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64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D1121" i="4" s="1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J1060" i="4"/>
  <c r="G1084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8" i="3"/>
  <c r="D1038" i="3"/>
  <c r="D1039" i="3"/>
  <c r="E1039" i="3"/>
  <c r="D1040" i="3"/>
  <c r="B1041" i="3"/>
  <c r="D1041" i="3"/>
  <c r="E1041" i="3"/>
  <c r="D1042" i="3"/>
  <c r="B1043" i="3"/>
  <c r="D1043" i="3"/>
  <c r="E1043" i="3"/>
  <c r="D1044" i="3"/>
  <c r="D1045" i="3"/>
  <c r="E1045" i="3"/>
  <c r="B1046" i="3"/>
  <c r="D1046" i="3"/>
  <c r="D1047" i="3"/>
  <c r="E1047" i="3"/>
  <c r="B1048" i="3"/>
  <c r="D1048" i="3"/>
  <c r="B1049" i="3"/>
  <c r="D1049" i="3"/>
  <c r="D1050" i="3"/>
  <c r="D1051" i="3"/>
  <c r="E1051" i="3"/>
  <c r="D1052" i="3"/>
  <c r="D1053" i="3"/>
  <c r="E1053" i="3"/>
  <c r="B1054" i="3"/>
  <c r="D1054" i="3"/>
  <c r="D1055" i="3"/>
  <c r="E1055" i="3"/>
  <c r="D1056" i="3"/>
  <c r="D1057" i="3"/>
  <c r="D1058" i="3"/>
  <c r="B1059" i="3"/>
  <c r="D1059" i="3"/>
  <c r="E1059" i="3"/>
  <c r="A1060" i="3"/>
  <c r="D1060" i="3"/>
  <c r="E1060" i="3"/>
  <c r="A1061" i="3"/>
  <c r="A1062" i="3" s="1"/>
  <c r="A1063" i="3" s="1"/>
  <c r="A1064" i="3" s="1"/>
  <c r="A1065" i="3" s="1"/>
  <c r="A1066" i="3" s="1"/>
  <c r="A1067" i="3" s="1"/>
  <c r="D1061" i="3"/>
  <c r="D1062" i="3"/>
  <c r="D1063" i="3"/>
  <c r="D1064" i="3"/>
  <c r="D1065" i="3"/>
  <c r="E1065" i="3"/>
  <c r="B1066" i="3"/>
  <c r="D1066" i="3"/>
  <c r="E1066" i="3"/>
  <c r="D1067" i="3"/>
  <c r="E1067" i="3"/>
  <c r="A1068" i="3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D1068" i="3"/>
  <c r="E1068" i="3"/>
  <c r="D1069" i="3"/>
  <c r="D1070" i="3"/>
  <c r="B1071" i="3"/>
  <c r="D1071" i="3"/>
  <c r="D1072" i="3"/>
  <c r="E1072" i="3"/>
  <c r="D1073" i="3"/>
  <c r="E1073" i="3"/>
  <c r="D1074" i="3"/>
  <c r="E1074" i="3"/>
  <c r="B1075" i="3"/>
  <c r="D1075" i="3"/>
  <c r="E1075" i="3"/>
  <c r="D1076" i="3"/>
  <c r="E1076" i="3"/>
  <c r="D1077" i="3"/>
  <c r="D1078" i="3"/>
  <c r="B1079" i="3"/>
  <c r="D1079" i="3"/>
  <c r="B1080" i="3"/>
  <c r="D1080" i="3"/>
  <c r="D1081" i="3"/>
  <c r="E1081" i="3"/>
  <c r="D1082" i="3"/>
  <c r="E1082" i="3"/>
  <c r="D1083" i="3"/>
  <c r="E1083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B1060" i="2"/>
  <c r="C1060" i="2"/>
  <c r="D1060" i="2"/>
  <c r="E1060" i="2"/>
  <c r="F1060" i="2"/>
  <c r="G1060" i="2"/>
  <c r="H1060" i="2"/>
  <c r="I1060" i="2"/>
  <c r="J1060" i="2"/>
  <c r="A1061" i="2"/>
  <c r="B1061" i="2"/>
  <c r="C1061" i="2"/>
  <c r="D1061" i="2"/>
  <c r="E1061" i="2"/>
  <c r="F1061" i="2"/>
  <c r="G1061" i="2"/>
  <c r="H1061" i="2"/>
  <c r="I1061" i="2"/>
  <c r="J1061" i="2"/>
  <c r="A1062" i="2"/>
  <c r="B1062" i="2"/>
  <c r="C1062" i="2"/>
  <c r="D1062" i="2"/>
  <c r="E1062" i="2"/>
  <c r="F1062" i="2"/>
  <c r="G1062" i="2"/>
  <c r="H1062" i="2"/>
  <c r="I1062" i="2"/>
  <c r="J1062" i="2"/>
  <c r="A1063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I17" i="1"/>
  <c r="J17" i="1"/>
  <c r="R17" i="1"/>
  <c r="B18" i="1"/>
  <c r="C18" i="1"/>
  <c r="D18" i="1"/>
  <c r="E18" i="1"/>
  <c r="F18" i="1"/>
  <c r="G18" i="1"/>
  <c r="H18" i="1"/>
  <c r="I18" i="1"/>
  <c r="J18" i="1"/>
  <c r="R18" i="1"/>
  <c r="B19" i="1"/>
  <c r="C19" i="1"/>
  <c r="D19" i="1"/>
  <c r="E19" i="1"/>
  <c r="F19" i="1"/>
  <c r="G19" i="1"/>
  <c r="H19" i="1"/>
  <c r="I19" i="1"/>
  <c r="J19" i="1"/>
  <c r="R19" i="1"/>
  <c r="B20" i="1"/>
  <c r="C20" i="1"/>
  <c r="D20" i="1"/>
  <c r="E20" i="1"/>
  <c r="F20" i="1"/>
  <c r="G20" i="1"/>
  <c r="H20" i="1"/>
  <c r="I20" i="1"/>
  <c r="J20" i="1"/>
  <c r="R20" i="1"/>
  <c r="B21" i="1"/>
  <c r="C21" i="1"/>
  <c r="D21" i="1"/>
  <c r="E21" i="1"/>
  <c r="F21" i="1"/>
  <c r="G21" i="1"/>
  <c r="H21" i="1"/>
  <c r="I21" i="1"/>
  <c r="J21" i="1"/>
  <c r="R21" i="1"/>
  <c r="B22" i="1"/>
  <c r="C22" i="1"/>
  <c r="D22" i="1"/>
  <c r="E22" i="1"/>
  <c r="F22" i="1"/>
  <c r="G22" i="1"/>
  <c r="H22" i="1"/>
  <c r="I22" i="1"/>
  <c r="J22" i="1"/>
  <c r="R22" i="1"/>
  <c r="B23" i="1"/>
  <c r="C23" i="1"/>
  <c r="D23" i="1"/>
  <c r="E23" i="1"/>
  <c r="F23" i="1"/>
  <c r="G23" i="1"/>
  <c r="H23" i="1"/>
  <c r="I23" i="1"/>
  <c r="J23" i="1"/>
  <c r="R23" i="1"/>
  <c r="B24" i="1"/>
  <c r="C24" i="1"/>
  <c r="D24" i="1"/>
  <c r="E24" i="1"/>
  <c r="F24" i="1"/>
  <c r="G24" i="1"/>
  <c r="H24" i="1"/>
  <c r="I24" i="1"/>
  <c r="J24" i="1"/>
  <c r="R24" i="1"/>
  <c r="B25" i="1"/>
  <c r="C25" i="1"/>
  <c r="D25" i="1"/>
  <c r="E25" i="1"/>
  <c r="F25" i="1"/>
  <c r="G25" i="1"/>
  <c r="H25" i="1"/>
  <c r="I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8" i="1"/>
  <c r="C1038" i="1"/>
  <c r="L1038" i="1"/>
  <c r="M1038" i="1"/>
  <c r="N1038" i="1"/>
  <c r="O1038" i="1"/>
  <c r="P1038" i="1"/>
  <c r="L1039" i="1"/>
  <c r="M1039" i="1"/>
  <c r="N1039" i="1"/>
  <c r="O1039" i="1"/>
  <c r="P1039" i="1"/>
  <c r="Q1039" i="1"/>
  <c r="H1040" i="1"/>
  <c r="L1040" i="1"/>
  <c r="M1040" i="1"/>
  <c r="N1040" i="1"/>
  <c r="O1040" i="1"/>
  <c r="P1040" i="1"/>
  <c r="Q1040" i="1"/>
  <c r="I1041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D1055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A1060" i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C1084" i="1" s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D1066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C1068" i="1"/>
  <c r="L1068" i="1"/>
  <c r="M1068" i="1"/>
  <c r="N1068" i="1"/>
  <c r="O1068" i="1"/>
  <c r="P1068" i="1"/>
  <c r="Q1068" i="1"/>
  <c r="F1069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D1071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L1081" i="1"/>
  <c r="M1081" i="1"/>
  <c r="N1081" i="1"/>
  <c r="O1081" i="1"/>
  <c r="P1081" i="1"/>
  <c r="Q1081" i="1"/>
  <c r="D1082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B1082" i="3" l="1"/>
  <c r="B1064" i="3"/>
  <c r="B1063" i="3"/>
  <c r="B1057" i="3"/>
  <c r="B1056" i="3"/>
  <c r="B1051" i="3"/>
  <c r="B1040" i="3"/>
  <c r="E1108" i="4"/>
  <c r="E1080" i="4"/>
  <c r="E1038" i="1"/>
  <c r="E1080" i="3"/>
  <c r="E1064" i="3"/>
  <c r="E1057" i="3"/>
  <c r="E1049" i="3"/>
  <c r="D1083" i="1"/>
  <c r="F1083" i="1"/>
  <c r="D1079" i="1"/>
  <c r="F1077" i="1"/>
  <c r="D1075" i="1"/>
  <c r="C1070" i="1"/>
  <c r="D1067" i="1"/>
  <c r="F1067" i="1"/>
  <c r="D1063" i="1"/>
  <c r="F1061" i="1"/>
  <c r="F1059" i="1"/>
  <c r="J1058" i="1"/>
  <c r="D1057" i="1"/>
  <c r="I1054" i="1"/>
  <c r="G1052" i="1"/>
  <c r="B1052" i="1"/>
  <c r="F1051" i="1"/>
  <c r="J1050" i="1"/>
  <c r="D1049" i="1"/>
  <c r="F1049" i="1"/>
  <c r="I1048" i="1"/>
  <c r="G1044" i="1"/>
  <c r="I1044" i="1"/>
  <c r="B1042" i="1"/>
  <c r="E1042" i="1"/>
  <c r="G1039" i="1"/>
  <c r="E1039" i="1"/>
  <c r="H1082" i="1"/>
  <c r="H1080" i="1"/>
  <c r="H1078" i="1"/>
  <c r="H1076" i="1"/>
  <c r="H1074" i="1"/>
  <c r="H1072" i="1"/>
  <c r="H1070" i="1"/>
  <c r="H1068" i="1"/>
  <c r="H1066" i="1"/>
  <c r="H1064" i="1"/>
  <c r="H1062" i="1"/>
  <c r="H1060" i="1"/>
  <c r="C1057" i="3"/>
  <c r="D1119" i="4"/>
  <c r="J1110" i="4"/>
  <c r="D1063" i="4"/>
  <c r="B1051" i="4"/>
  <c r="E1122" i="4"/>
  <c r="G1122" i="4"/>
  <c r="E1121" i="4"/>
  <c r="G1121" i="4"/>
  <c r="E1120" i="4"/>
  <c r="G1120" i="4"/>
  <c r="E1119" i="4"/>
  <c r="G1119" i="4"/>
  <c r="E1118" i="4"/>
  <c r="G1118" i="4"/>
  <c r="E1117" i="4"/>
  <c r="G1117" i="4"/>
  <c r="E1116" i="4"/>
  <c r="G1116" i="4"/>
  <c r="E1115" i="4"/>
  <c r="G1115" i="4"/>
  <c r="E1114" i="4"/>
  <c r="G1114" i="4"/>
  <c r="E1113" i="4"/>
  <c r="G1113" i="4"/>
  <c r="E1112" i="4"/>
  <c r="G1112" i="4"/>
  <c r="E1111" i="4"/>
  <c r="G1111" i="4"/>
  <c r="E1110" i="4"/>
  <c r="G1110" i="4"/>
  <c r="E1109" i="4"/>
  <c r="G1109" i="4"/>
  <c r="G1108" i="4"/>
  <c r="E1107" i="4"/>
  <c r="G1107" i="4"/>
  <c r="E1106" i="4"/>
  <c r="G1106" i="4"/>
  <c r="K1105" i="4"/>
  <c r="E1105" i="4"/>
  <c r="G1105" i="4"/>
  <c r="E1104" i="4"/>
  <c r="G1104" i="4"/>
  <c r="E1103" i="4"/>
  <c r="G1103" i="4"/>
  <c r="E1102" i="4"/>
  <c r="G1102" i="4"/>
  <c r="E1101" i="4"/>
  <c r="G1101" i="4"/>
  <c r="E1100" i="4"/>
  <c r="G1100" i="4"/>
  <c r="E1099" i="4"/>
  <c r="G1099" i="4"/>
  <c r="E1098" i="4"/>
  <c r="G1098" i="4"/>
  <c r="E1097" i="4"/>
  <c r="G1097" i="4"/>
  <c r="E1096" i="4"/>
  <c r="G1096" i="4"/>
  <c r="E1095" i="4"/>
  <c r="G1095" i="4"/>
  <c r="E1094" i="4"/>
  <c r="G1094" i="4"/>
  <c r="E1093" i="4"/>
  <c r="G1093" i="4"/>
  <c r="E1092" i="4"/>
  <c r="G1092" i="4"/>
  <c r="E1091" i="4"/>
  <c r="G1091" i="4"/>
  <c r="E1090" i="4"/>
  <c r="G1090" i="4"/>
  <c r="E1089" i="4"/>
  <c r="G1089" i="4"/>
  <c r="E1088" i="4"/>
  <c r="G1088" i="4"/>
  <c r="E1087" i="4"/>
  <c r="G1087" i="4"/>
  <c r="E1086" i="4"/>
  <c r="G1086" i="4"/>
  <c r="E1085" i="4"/>
  <c r="G1085" i="4"/>
  <c r="E1084" i="4"/>
  <c r="E1083" i="4"/>
  <c r="G1083" i="4"/>
  <c r="E1082" i="4"/>
  <c r="G1082" i="4"/>
  <c r="E1081" i="4"/>
  <c r="G1081" i="4"/>
  <c r="G1080" i="4"/>
  <c r="E1079" i="4"/>
  <c r="G1079" i="4"/>
  <c r="E1078" i="4"/>
  <c r="G1078" i="4"/>
  <c r="E1076" i="4"/>
  <c r="G1076" i="4"/>
  <c r="E1075" i="4"/>
  <c r="G1075" i="4"/>
  <c r="E1074" i="4"/>
  <c r="G1074" i="4"/>
  <c r="E1073" i="4"/>
  <c r="G1073" i="4"/>
  <c r="E1072" i="4"/>
  <c r="G1072" i="4"/>
  <c r="E1071" i="4"/>
  <c r="G1071" i="4"/>
  <c r="E1070" i="4"/>
  <c r="G1070" i="4"/>
  <c r="E1069" i="4"/>
  <c r="G1069" i="4"/>
  <c r="E1068" i="4"/>
  <c r="G1068" i="4"/>
  <c r="E1067" i="4"/>
  <c r="G1067" i="4"/>
  <c r="E1066" i="4"/>
  <c r="G1066" i="4"/>
  <c r="E1065" i="4"/>
  <c r="G1065" i="4"/>
  <c r="E1064" i="4"/>
  <c r="G1064" i="4"/>
  <c r="E1063" i="4"/>
  <c r="G1063" i="4"/>
  <c r="E1062" i="4"/>
  <c r="G1062" i="4"/>
  <c r="E1061" i="4"/>
  <c r="G1061" i="4"/>
  <c r="E1060" i="4"/>
  <c r="G1060" i="4"/>
  <c r="E1059" i="4"/>
  <c r="G1059" i="4"/>
  <c r="E1058" i="4"/>
  <c r="G1058" i="4"/>
  <c r="E1057" i="4"/>
  <c r="G1057" i="4"/>
  <c r="E1056" i="4"/>
  <c r="G1056" i="4"/>
  <c r="E1055" i="4"/>
  <c r="G1055" i="4"/>
  <c r="E1054" i="4"/>
  <c r="G1054" i="4"/>
  <c r="E1053" i="4"/>
  <c r="G1053" i="4"/>
  <c r="E1052" i="4"/>
  <c r="G1052" i="4"/>
  <c r="E1051" i="4"/>
  <c r="G1051" i="4"/>
  <c r="E1050" i="4"/>
  <c r="G1050" i="4"/>
  <c r="E1049" i="4"/>
  <c r="G1049" i="4"/>
  <c r="E1048" i="4"/>
  <c r="G1048" i="4"/>
  <c r="E1047" i="4"/>
  <c r="G1047" i="4"/>
  <c r="E1046" i="4"/>
  <c r="G1046" i="4"/>
  <c r="E1045" i="4"/>
  <c r="G1045" i="4"/>
  <c r="E1044" i="4"/>
  <c r="G1044" i="4"/>
  <c r="E1043" i="4"/>
  <c r="G1043" i="4"/>
  <c r="E1042" i="4"/>
  <c r="G1042" i="4"/>
  <c r="E1041" i="4"/>
  <c r="G1041" i="4"/>
  <c r="E1040" i="4"/>
  <c r="G1040" i="4"/>
  <c r="E1039" i="4"/>
  <c r="G1039" i="4"/>
  <c r="E1038" i="4"/>
  <c r="E1077" i="4"/>
  <c r="G1077" i="4"/>
  <c r="G1038" i="4"/>
  <c r="L1084" i="1"/>
  <c r="F1122" i="4"/>
  <c r="F1121" i="4"/>
  <c r="F1120" i="4"/>
  <c r="F1119" i="4"/>
  <c r="F1075" i="1"/>
  <c r="F1057" i="1"/>
  <c r="I1056" i="1"/>
  <c r="J1122" i="4"/>
  <c r="J1121" i="4"/>
  <c r="H1120" i="4"/>
  <c r="D1120" i="4"/>
  <c r="B1119" i="4"/>
  <c r="H1118" i="4"/>
  <c r="D1118" i="4"/>
  <c r="J1117" i="4"/>
  <c r="H1116" i="4"/>
  <c r="D1116" i="4"/>
  <c r="H1115" i="4"/>
  <c r="D1115" i="4"/>
  <c r="J1114" i="4"/>
  <c r="H1113" i="4"/>
  <c r="D1113" i="4"/>
  <c r="J1112" i="4"/>
  <c r="H1111" i="4"/>
  <c r="D1111" i="4"/>
  <c r="B1110" i="4"/>
  <c r="J1109" i="4"/>
  <c r="H1108" i="4"/>
  <c r="D1108" i="4"/>
  <c r="J1107" i="4"/>
  <c r="H1106" i="4"/>
  <c r="D1106" i="4"/>
  <c r="J1105" i="4"/>
  <c r="B1104" i="4"/>
  <c r="J1103" i="4"/>
  <c r="H1102" i="4"/>
  <c r="D1102" i="4"/>
  <c r="H1101" i="4"/>
  <c r="D1101" i="4"/>
  <c r="H1100" i="4"/>
  <c r="D1100" i="4"/>
  <c r="H1099" i="4"/>
  <c r="J1099" i="4"/>
  <c r="J1098" i="4"/>
  <c r="J1097" i="4"/>
  <c r="H1096" i="4"/>
  <c r="B1096" i="4"/>
  <c r="J1095" i="4"/>
  <c r="B1095" i="4"/>
  <c r="D1095" i="4"/>
  <c r="H1094" i="4"/>
  <c r="J1094" i="4"/>
  <c r="B1094" i="4"/>
  <c r="D1094" i="4"/>
  <c r="H1093" i="4"/>
  <c r="J1093" i="4"/>
  <c r="B1093" i="4"/>
  <c r="D1093" i="4"/>
  <c r="H1092" i="4"/>
  <c r="J1092" i="4"/>
  <c r="B1092" i="4"/>
  <c r="D1092" i="4"/>
  <c r="H1091" i="4"/>
  <c r="J1091" i="4"/>
  <c r="B1091" i="4"/>
  <c r="D1091" i="4"/>
  <c r="H1090" i="4"/>
  <c r="J1090" i="4"/>
  <c r="B1090" i="4"/>
  <c r="D1090" i="4"/>
  <c r="H1089" i="4"/>
  <c r="J1089" i="4"/>
  <c r="B1089" i="4"/>
  <c r="D1089" i="4"/>
  <c r="H1088" i="4"/>
  <c r="J1088" i="4"/>
  <c r="B1088" i="4"/>
  <c r="D1088" i="4"/>
  <c r="H1087" i="4"/>
  <c r="J1087" i="4"/>
  <c r="B1087" i="4"/>
  <c r="D1087" i="4"/>
  <c r="H1086" i="4"/>
  <c r="J1086" i="4"/>
  <c r="B1086" i="4"/>
  <c r="D1086" i="4"/>
  <c r="H1085" i="4"/>
  <c r="J1085" i="4"/>
  <c r="B1085" i="4"/>
  <c r="D1085" i="4"/>
  <c r="H1084" i="4"/>
  <c r="J1084" i="4"/>
  <c r="B1084" i="4"/>
  <c r="D1084" i="4"/>
  <c r="H1083" i="4"/>
  <c r="J1083" i="4"/>
  <c r="B1083" i="4"/>
  <c r="D1083" i="4"/>
  <c r="H1082" i="4"/>
  <c r="J1082" i="4"/>
  <c r="B1082" i="4"/>
  <c r="D1082" i="4"/>
  <c r="H1081" i="4"/>
  <c r="J1081" i="4"/>
  <c r="B1081" i="4"/>
  <c r="D1081" i="4"/>
  <c r="H1080" i="4"/>
  <c r="J1080" i="4"/>
  <c r="B1080" i="4"/>
  <c r="D1080" i="4"/>
  <c r="H1079" i="4"/>
  <c r="J1079" i="4"/>
  <c r="B1079" i="4"/>
  <c r="D1079" i="4"/>
  <c r="H1078" i="4"/>
  <c r="J1078" i="4"/>
  <c r="B1078" i="4"/>
  <c r="D1078" i="4"/>
  <c r="K1111" i="4"/>
  <c r="E1084" i="1"/>
  <c r="N1084" i="1"/>
  <c r="G1084" i="1"/>
  <c r="P1084" i="1"/>
  <c r="B1084" i="1"/>
  <c r="J1084" i="1"/>
  <c r="H1084" i="1"/>
  <c r="I1084" i="1"/>
  <c r="O1084" i="1"/>
  <c r="M1084" i="1"/>
  <c r="Q1084" i="1"/>
  <c r="A1085" i="1"/>
  <c r="D1084" i="1"/>
  <c r="F1084" i="1"/>
  <c r="B1122" i="4"/>
  <c r="H1121" i="4"/>
  <c r="B1120" i="4"/>
  <c r="H1119" i="4"/>
  <c r="B1118" i="4"/>
  <c r="B1117" i="4"/>
  <c r="J1116" i="4"/>
  <c r="J1115" i="4"/>
  <c r="B1114" i="4"/>
  <c r="J1113" i="4"/>
  <c r="B1112" i="4"/>
  <c r="J1111" i="4"/>
  <c r="H1110" i="4"/>
  <c r="B1109" i="4"/>
  <c r="B1108" i="4"/>
  <c r="B1107" i="4"/>
  <c r="B1106" i="4"/>
  <c r="B1105" i="4"/>
  <c r="H1104" i="4"/>
  <c r="D1104" i="4"/>
  <c r="H1103" i="4"/>
  <c r="B1103" i="4"/>
  <c r="B1102" i="4"/>
  <c r="B1101" i="4"/>
  <c r="B1100" i="4"/>
  <c r="B1099" i="4"/>
  <c r="B1098" i="4"/>
  <c r="B1097" i="4"/>
  <c r="D1096" i="4"/>
  <c r="H1083" i="1"/>
  <c r="J1083" i="1"/>
  <c r="C1082" i="1"/>
  <c r="E1082" i="1"/>
  <c r="G1081" i="1"/>
  <c r="I1081" i="1"/>
  <c r="B1081" i="1"/>
  <c r="D1080" i="1"/>
  <c r="F1080" i="1"/>
  <c r="H1079" i="1"/>
  <c r="J1079" i="1"/>
  <c r="D1078" i="1"/>
  <c r="F1078" i="1"/>
  <c r="G1077" i="1"/>
  <c r="I1077" i="1"/>
  <c r="B1077" i="1"/>
  <c r="C1076" i="1"/>
  <c r="E1076" i="1"/>
  <c r="G1075" i="1"/>
  <c r="I1075" i="1"/>
  <c r="B1075" i="1"/>
  <c r="C1074" i="1"/>
  <c r="E1074" i="1"/>
  <c r="G1073" i="1"/>
  <c r="I1073" i="1"/>
  <c r="B1073" i="1"/>
  <c r="D1072" i="1"/>
  <c r="F1072" i="1"/>
  <c r="H1071" i="1"/>
  <c r="J1071" i="1"/>
  <c r="D1070" i="1"/>
  <c r="F1070" i="1"/>
  <c r="H1069" i="1"/>
  <c r="J1069" i="1"/>
  <c r="E1068" i="1"/>
  <c r="H1067" i="1"/>
  <c r="J1067" i="1"/>
  <c r="C1066" i="1"/>
  <c r="E1066" i="1"/>
  <c r="H1065" i="1"/>
  <c r="J1065" i="1"/>
  <c r="D1064" i="1"/>
  <c r="F1064" i="1"/>
  <c r="G1063" i="1"/>
  <c r="I1063" i="1"/>
  <c r="B1063" i="1"/>
  <c r="C1062" i="1"/>
  <c r="E1062" i="1"/>
  <c r="H1061" i="1"/>
  <c r="J1061" i="1"/>
  <c r="D1060" i="1"/>
  <c r="F1060" i="1"/>
  <c r="H1059" i="1"/>
  <c r="J1059" i="1"/>
  <c r="C1058" i="1"/>
  <c r="E1058" i="1"/>
  <c r="I1057" i="1"/>
  <c r="B1057" i="1"/>
  <c r="D1056" i="1"/>
  <c r="F1056" i="1"/>
  <c r="G1055" i="1"/>
  <c r="I1055" i="1"/>
  <c r="B1055" i="1"/>
  <c r="C1054" i="1"/>
  <c r="E1054" i="1"/>
  <c r="G1053" i="1"/>
  <c r="I1053" i="1"/>
  <c r="J1053" i="1"/>
  <c r="D1052" i="1"/>
  <c r="F1052" i="1"/>
  <c r="H1051" i="1"/>
  <c r="J1051" i="1"/>
  <c r="D1050" i="1"/>
  <c r="F1050" i="1"/>
  <c r="G1049" i="1"/>
  <c r="I1049" i="1"/>
  <c r="B1049" i="1"/>
  <c r="D1048" i="1"/>
  <c r="F1048" i="1"/>
  <c r="G1047" i="1"/>
  <c r="I1047" i="1"/>
  <c r="B1047" i="1"/>
  <c r="D1046" i="1"/>
  <c r="F1046" i="1"/>
  <c r="I1045" i="1"/>
  <c r="B1045" i="1"/>
  <c r="C1044" i="1"/>
  <c r="E1044" i="1"/>
  <c r="G1043" i="1"/>
  <c r="I1043" i="1"/>
  <c r="B1043" i="1"/>
  <c r="C1042" i="1"/>
  <c r="F1042" i="1"/>
  <c r="H1041" i="1"/>
  <c r="J1041" i="1"/>
  <c r="C1040" i="1"/>
  <c r="E1040" i="1"/>
  <c r="D1039" i="1"/>
  <c r="F1038" i="1"/>
  <c r="A1064" i="2"/>
  <c r="B1063" i="2"/>
  <c r="H1122" i="4"/>
  <c r="D1122" i="4"/>
  <c r="B1121" i="4"/>
  <c r="J1120" i="4"/>
  <c r="J1119" i="4"/>
  <c r="J1118" i="4"/>
  <c r="H1117" i="4"/>
  <c r="D1117" i="4"/>
  <c r="B1116" i="4"/>
  <c r="B1115" i="4"/>
  <c r="H1114" i="4"/>
  <c r="D1114" i="4"/>
  <c r="B1113" i="4"/>
  <c r="H1112" i="4"/>
  <c r="D1112" i="4"/>
  <c r="B1111" i="4"/>
  <c r="D1110" i="4"/>
  <c r="H1109" i="4"/>
  <c r="D1109" i="4"/>
  <c r="J1108" i="4"/>
  <c r="H1107" i="4"/>
  <c r="D1107" i="4"/>
  <c r="J1106" i="4"/>
  <c r="H1105" i="4"/>
  <c r="D1105" i="4"/>
  <c r="J1104" i="4"/>
  <c r="D1103" i="4"/>
  <c r="J1102" i="4"/>
  <c r="J1101" i="4"/>
  <c r="J1100" i="4"/>
  <c r="D1099" i="4"/>
  <c r="H1098" i="4"/>
  <c r="D1098" i="4"/>
  <c r="H1097" i="4"/>
  <c r="D1097" i="4"/>
  <c r="J1096" i="4"/>
  <c r="H1095" i="4"/>
  <c r="G1083" i="1"/>
  <c r="I1083" i="1"/>
  <c r="B1083" i="1"/>
  <c r="F1082" i="1"/>
  <c r="H1081" i="1"/>
  <c r="J1081" i="1"/>
  <c r="C1080" i="1"/>
  <c r="E1080" i="1"/>
  <c r="G1079" i="1"/>
  <c r="I1079" i="1"/>
  <c r="B1079" i="1"/>
  <c r="C1078" i="1"/>
  <c r="E1078" i="1"/>
  <c r="H1077" i="1"/>
  <c r="J1077" i="1"/>
  <c r="D1076" i="1"/>
  <c r="F1076" i="1"/>
  <c r="H1075" i="1"/>
  <c r="J1075" i="1"/>
  <c r="D1074" i="1"/>
  <c r="F1074" i="1"/>
  <c r="H1073" i="1"/>
  <c r="J1073" i="1"/>
  <c r="C1072" i="1"/>
  <c r="E1072" i="1"/>
  <c r="G1071" i="1"/>
  <c r="I1071" i="1"/>
  <c r="B1071" i="1"/>
  <c r="E1070" i="1"/>
  <c r="G1069" i="1"/>
  <c r="I1069" i="1"/>
  <c r="B1069" i="1"/>
  <c r="D1068" i="1"/>
  <c r="F1068" i="1"/>
  <c r="G1067" i="1"/>
  <c r="I1067" i="1"/>
  <c r="B1067" i="1"/>
  <c r="F1066" i="1"/>
  <c r="G1065" i="1"/>
  <c r="I1065" i="1"/>
  <c r="B1065" i="1"/>
  <c r="C1064" i="1"/>
  <c r="E1064" i="1"/>
  <c r="H1063" i="1"/>
  <c r="J1063" i="1"/>
  <c r="D1062" i="1"/>
  <c r="F1062" i="1"/>
  <c r="G1061" i="1"/>
  <c r="I1061" i="1"/>
  <c r="B1061" i="1"/>
  <c r="C1060" i="1"/>
  <c r="E1060" i="1"/>
  <c r="G1059" i="1"/>
  <c r="I1059" i="1"/>
  <c r="B1059" i="1"/>
  <c r="D1058" i="1"/>
  <c r="F1058" i="1"/>
  <c r="G1057" i="1"/>
  <c r="H1057" i="1"/>
  <c r="J1057" i="1"/>
  <c r="C1056" i="1"/>
  <c r="E1056" i="1"/>
  <c r="H1055" i="1"/>
  <c r="J1055" i="1"/>
  <c r="D1054" i="1"/>
  <c r="F1054" i="1"/>
  <c r="H1053" i="1"/>
  <c r="B1053" i="1"/>
  <c r="C1052" i="1"/>
  <c r="E1052" i="1"/>
  <c r="G1051" i="1"/>
  <c r="I1051" i="1"/>
  <c r="B1051" i="1"/>
  <c r="C1050" i="1"/>
  <c r="E1050" i="1"/>
  <c r="H1049" i="1"/>
  <c r="J1049" i="1"/>
  <c r="C1048" i="1"/>
  <c r="E1048" i="1"/>
  <c r="H1047" i="1"/>
  <c r="J1047" i="1"/>
  <c r="C1046" i="1"/>
  <c r="E1046" i="1"/>
  <c r="G1045" i="1"/>
  <c r="H1045" i="1"/>
  <c r="J1045" i="1"/>
  <c r="D1044" i="1"/>
  <c r="F1044" i="1"/>
  <c r="H1043" i="1"/>
  <c r="J1043" i="1"/>
  <c r="D1042" i="1"/>
  <c r="G1041" i="1"/>
  <c r="B1041" i="1"/>
  <c r="D1040" i="1"/>
  <c r="F1040" i="1"/>
  <c r="F1039" i="1"/>
  <c r="D1038" i="1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C1083" i="1"/>
  <c r="G1082" i="1"/>
  <c r="C1081" i="1"/>
  <c r="G1080" i="1"/>
  <c r="C1079" i="1"/>
  <c r="G1078" i="1"/>
  <c r="C1077" i="1"/>
  <c r="G1076" i="1"/>
  <c r="C1075" i="1"/>
  <c r="G1074" i="1"/>
  <c r="C1073" i="1"/>
  <c r="G1072" i="1"/>
  <c r="C1071" i="1"/>
  <c r="G1070" i="1"/>
  <c r="C1069" i="1"/>
  <c r="C1067" i="1"/>
  <c r="G1058" i="1"/>
  <c r="C1053" i="1"/>
  <c r="C1051" i="1"/>
  <c r="H1076" i="4"/>
  <c r="D1076" i="4"/>
  <c r="H1075" i="4"/>
  <c r="D1075" i="4"/>
  <c r="B1074" i="4"/>
  <c r="H1073" i="4"/>
  <c r="D1073" i="4"/>
  <c r="J1072" i="4"/>
  <c r="H1071" i="4"/>
  <c r="D1071" i="4"/>
  <c r="B1070" i="4"/>
  <c r="J1069" i="4"/>
  <c r="B1068" i="4"/>
  <c r="B1067" i="4"/>
  <c r="B1066" i="4"/>
  <c r="J1065" i="4"/>
  <c r="H1064" i="4"/>
  <c r="D1064" i="4"/>
  <c r="J1063" i="4"/>
  <c r="H1062" i="4"/>
  <c r="B1062" i="4"/>
  <c r="J1061" i="4"/>
  <c r="H1059" i="4"/>
  <c r="D1059" i="4"/>
  <c r="J1058" i="4"/>
  <c r="J1057" i="4"/>
  <c r="B1056" i="4"/>
  <c r="J1055" i="4"/>
  <c r="J1054" i="4"/>
  <c r="J1053" i="4"/>
  <c r="J1052" i="4"/>
  <c r="D1051" i="4"/>
  <c r="J1050" i="4"/>
  <c r="J1049" i="4"/>
  <c r="B1048" i="4"/>
  <c r="H1047" i="4"/>
  <c r="D1047" i="4"/>
  <c r="J1046" i="4"/>
  <c r="H1045" i="4"/>
  <c r="D1045" i="4"/>
  <c r="J1044" i="4"/>
  <c r="J1043" i="4"/>
  <c r="B1042" i="4"/>
  <c r="J1041" i="4"/>
  <c r="H1040" i="4"/>
  <c r="D1040" i="4"/>
  <c r="J1039" i="4"/>
  <c r="J1077" i="4"/>
  <c r="J1038" i="4"/>
  <c r="I1122" i="4"/>
  <c r="C1122" i="4"/>
  <c r="K1121" i="4"/>
  <c r="I1120" i="4"/>
  <c r="C1120" i="4"/>
  <c r="I1119" i="4"/>
  <c r="C1119" i="4"/>
  <c r="I1118" i="4"/>
  <c r="C1118" i="4"/>
  <c r="I1117" i="4"/>
  <c r="C1117" i="4"/>
  <c r="I1116" i="4"/>
  <c r="K1116" i="4"/>
  <c r="K1115" i="4"/>
  <c r="I1114" i="4"/>
  <c r="C1114" i="4"/>
  <c r="I1113" i="4"/>
  <c r="C1113" i="4"/>
  <c r="K1112" i="4"/>
  <c r="C1111" i="4"/>
  <c r="I1110" i="4"/>
  <c r="C1110" i="4"/>
  <c r="I1109" i="4"/>
  <c r="C1109" i="4"/>
  <c r="K1108" i="4"/>
  <c r="I1107" i="4"/>
  <c r="C1107" i="4"/>
  <c r="I1106" i="4"/>
  <c r="C1106" i="4"/>
  <c r="C1105" i="4"/>
  <c r="I1104" i="4"/>
  <c r="C1104" i="4"/>
  <c r="K1103" i="4"/>
  <c r="K1102" i="4"/>
  <c r="K1101" i="4"/>
  <c r="K1100" i="4"/>
  <c r="I1099" i="4"/>
  <c r="C1099" i="4"/>
  <c r="I1098" i="4"/>
  <c r="C1098" i="4"/>
  <c r="K1097" i="4"/>
  <c r="K1096" i="4"/>
  <c r="K1095" i="4"/>
  <c r="I1094" i="4"/>
  <c r="C1094" i="4"/>
  <c r="I1093" i="4"/>
  <c r="C1093" i="4"/>
  <c r="K1092" i="4"/>
  <c r="K1091" i="4"/>
  <c r="I1090" i="4"/>
  <c r="C1090" i="4"/>
  <c r="K1089" i="4"/>
  <c r="I1088" i="4"/>
  <c r="C1088" i="4"/>
  <c r="I1087" i="4"/>
  <c r="K1087" i="4"/>
  <c r="K1086" i="4"/>
  <c r="I1085" i="4"/>
  <c r="C1085" i="4"/>
  <c r="I1084" i="4"/>
  <c r="C1084" i="4"/>
  <c r="I1083" i="4"/>
  <c r="C1083" i="4"/>
  <c r="I1082" i="4"/>
  <c r="C1082" i="4"/>
  <c r="I1081" i="4"/>
  <c r="C1081" i="4"/>
  <c r="I1080" i="4"/>
  <c r="C1080" i="4"/>
  <c r="I1079" i="4"/>
  <c r="C1079" i="4"/>
  <c r="I1078" i="4"/>
  <c r="C1078" i="4"/>
  <c r="I1076" i="4"/>
  <c r="C1076" i="4"/>
  <c r="I1075" i="4"/>
  <c r="C1075" i="4"/>
  <c r="I1074" i="4"/>
  <c r="C1074" i="4"/>
  <c r="K1077" i="4"/>
  <c r="J1076" i="4"/>
  <c r="J1075" i="4"/>
  <c r="H1074" i="4"/>
  <c r="D1074" i="4"/>
  <c r="J1073" i="4"/>
  <c r="B1072" i="4"/>
  <c r="J1071" i="4"/>
  <c r="H1070" i="4"/>
  <c r="D1070" i="4"/>
  <c r="B1069" i="4"/>
  <c r="J1068" i="4"/>
  <c r="H1067" i="4"/>
  <c r="D1067" i="4"/>
  <c r="J1066" i="4"/>
  <c r="B1065" i="4"/>
  <c r="J1064" i="4"/>
  <c r="H1063" i="4"/>
  <c r="D1062" i="4"/>
  <c r="B1061" i="4"/>
  <c r="B1060" i="4"/>
  <c r="B1059" i="4"/>
  <c r="H1058" i="4"/>
  <c r="D1058" i="4"/>
  <c r="B1057" i="4"/>
  <c r="D1056" i="4"/>
  <c r="H1055" i="4"/>
  <c r="D1055" i="4"/>
  <c r="B1054" i="4"/>
  <c r="H1053" i="4"/>
  <c r="D1053" i="4"/>
  <c r="H1052" i="4"/>
  <c r="D1052" i="4"/>
  <c r="J1051" i="4"/>
  <c r="H1050" i="4"/>
  <c r="D1050" i="4"/>
  <c r="H1049" i="4"/>
  <c r="D1049" i="4"/>
  <c r="H1048" i="4"/>
  <c r="D1048" i="4"/>
  <c r="J1047" i="4"/>
  <c r="B1046" i="4"/>
  <c r="B1045" i="4"/>
  <c r="H1044" i="4"/>
  <c r="D1044" i="4"/>
  <c r="B1043" i="4"/>
  <c r="J1042" i="4"/>
  <c r="D1041" i="4"/>
  <c r="B1040" i="4"/>
  <c r="H1039" i="4"/>
  <c r="D1039" i="4"/>
  <c r="H1038" i="4"/>
  <c r="H1077" i="4"/>
  <c r="B1077" i="4"/>
  <c r="B1038" i="4"/>
  <c r="K1122" i="4"/>
  <c r="I1121" i="4"/>
  <c r="C1121" i="4"/>
  <c r="K1120" i="4"/>
  <c r="K1119" i="4"/>
  <c r="K1118" i="4"/>
  <c r="K1117" i="4"/>
  <c r="C1116" i="4"/>
  <c r="I1115" i="4"/>
  <c r="C1115" i="4"/>
  <c r="K1114" i="4"/>
  <c r="K1113" i="4"/>
  <c r="I1112" i="4"/>
  <c r="C1112" i="4"/>
  <c r="I1111" i="4"/>
  <c r="K1110" i="4"/>
  <c r="K1109" i="4"/>
  <c r="I1108" i="4"/>
  <c r="C1108" i="4"/>
  <c r="K1107" i="4"/>
  <c r="K1106" i="4"/>
  <c r="I1105" i="4"/>
  <c r="K1104" i="4"/>
  <c r="I1103" i="4"/>
  <c r="C1103" i="4"/>
  <c r="I1102" i="4"/>
  <c r="C1102" i="4"/>
  <c r="I1101" i="4"/>
  <c r="C1101" i="4"/>
  <c r="I1100" i="4"/>
  <c r="C1100" i="4"/>
  <c r="K1099" i="4"/>
  <c r="K1098" i="4"/>
  <c r="I1097" i="4"/>
  <c r="C1097" i="4"/>
  <c r="I1096" i="4"/>
  <c r="C1096" i="4"/>
  <c r="I1095" i="4"/>
  <c r="C1095" i="4"/>
  <c r="K1094" i="4"/>
  <c r="K1093" i="4"/>
  <c r="I1092" i="4"/>
  <c r="C1092" i="4"/>
  <c r="I1091" i="4"/>
  <c r="C1091" i="4"/>
  <c r="K1090" i="4"/>
  <c r="I1089" i="4"/>
  <c r="C1089" i="4"/>
  <c r="K1088" i="4"/>
  <c r="C1087" i="4"/>
  <c r="I1086" i="4"/>
  <c r="C1086" i="4"/>
  <c r="K1085" i="4"/>
  <c r="K1084" i="4"/>
  <c r="K1083" i="4"/>
  <c r="K1082" i="4"/>
  <c r="K1081" i="4"/>
  <c r="K1080" i="4"/>
  <c r="K1079" i="4"/>
  <c r="K1078" i="4"/>
  <c r="K1076" i="4"/>
  <c r="K1075" i="4"/>
  <c r="K1074" i="4"/>
  <c r="C1068" i="4"/>
  <c r="B1076" i="4"/>
  <c r="B1075" i="4"/>
  <c r="J1074" i="4"/>
  <c r="B1073" i="4"/>
  <c r="H1072" i="4"/>
  <c r="D1072" i="4"/>
  <c r="B1071" i="4"/>
  <c r="J1070" i="4"/>
  <c r="H1069" i="4"/>
  <c r="D1069" i="4"/>
  <c r="H1068" i="4"/>
  <c r="D1068" i="4"/>
  <c r="J1067" i="4"/>
  <c r="H1066" i="4"/>
  <c r="D1066" i="4"/>
  <c r="H1065" i="4"/>
  <c r="D1065" i="4"/>
  <c r="B1064" i="4"/>
  <c r="B1063" i="4"/>
  <c r="J1062" i="4"/>
  <c r="H1061" i="4"/>
  <c r="D1061" i="4"/>
  <c r="H1060" i="4"/>
  <c r="D1060" i="4"/>
  <c r="J1059" i="4"/>
  <c r="B1058" i="4"/>
  <c r="H1057" i="4"/>
  <c r="D1057" i="4"/>
  <c r="H1056" i="4"/>
  <c r="J1056" i="4"/>
  <c r="B1055" i="4"/>
  <c r="H1054" i="4"/>
  <c r="D1054" i="4"/>
  <c r="B1053" i="4"/>
  <c r="B1052" i="4"/>
  <c r="H1051" i="4"/>
  <c r="B1050" i="4"/>
  <c r="B1049" i="4"/>
  <c r="J1048" i="4"/>
  <c r="B1047" i="4"/>
  <c r="H1046" i="4"/>
  <c r="D1046" i="4"/>
  <c r="J1045" i="4"/>
  <c r="B1044" i="4"/>
  <c r="H1043" i="4"/>
  <c r="D1043" i="4"/>
  <c r="H1042" i="4"/>
  <c r="D1042" i="4"/>
  <c r="H1041" i="4"/>
  <c r="B1041" i="4"/>
  <c r="J1040" i="4"/>
  <c r="B1039" i="4"/>
  <c r="D1077" i="4"/>
  <c r="D1038" i="4"/>
  <c r="I1082" i="1"/>
  <c r="J1082" i="1"/>
  <c r="B1082" i="1"/>
  <c r="D1081" i="1"/>
  <c r="F1081" i="1"/>
  <c r="I1080" i="1"/>
  <c r="J1080" i="1"/>
  <c r="B1080" i="1"/>
  <c r="F1079" i="1"/>
  <c r="I1078" i="1"/>
  <c r="J1078" i="1"/>
  <c r="B1078" i="1"/>
  <c r="D1077" i="1"/>
  <c r="I1076" i="1"/>
  <c r="J1076" i="1"/>
  <c r="B1076" i="1"/>
  <c r="I1074" i="1"/>
  <c r="J1074" i="1"/>
  <c r="B1074" i="1"/>
  <c r="D1073" i="1"/>
  <c r="F1073" i="1"/>
  <c r="I1072" i="1"/>
  <c r="J1072" i="1"/>
  <c r="B1072" i="1"/>
  <c r="F1071" i="1"/>
  <c r="I1070" i="1"/>
  <c r="J1070" i="1"/>
  <c r="B1070" i="1"/>
  <c r="D1069" i="1"/>
  <c r="I1068" i="1"/>
  <c r="J1068" i="1"/>
  <c r="B1068" i="1"/>
  <c r="I1066" i="1"/>
  <c r="J1066" i="1"/>
  <c r="B1066" i="1"/>
  <c r="C1065" i="1"/>
  <c r="D1065" i="1"/>
  <c r="F1065" i="1"/>
  <c r="I1064" i="1"/>
  <c r="J1064" i="1"/>
  <c r="B1064" i="1"/>
  <c r="C1063" i="1"/>
  <c r="F1063" i="1"/>
  <c r="I1062" i="1"/>
  <c r="J1062" i="1"/>
  <c r="B1062" i="1"/>
  <c r="C1061" i="1"/>
  <c r="D1061" i="1"/>
  <c r="I1060" i="1"/>
  <c r="J1060" i="1"/>
  <c r="B1060" i="1"/>
  <c r="C1059" i="1"/>
  <c r="D1059" i="1"/>
  <c r="H1058" i="1"/>
  <c r="B1058" i="1"/>
  <c r="H1056" i="1"/>
  <c r="J1056" i="1"/>
  <c r="B1056" i="1"/>
  <c r="E1055" i="1"/>
  <c r="F1055" i="1"/>
  <c r="G1054" i="1"/>
  <c r="J1054" i="1"/>
  <c r="B1054" i="1"/>
  <c r="E1053" i="1"/>
  <c r="F1053" i="1"/>
  <c r="I1052" i="1"/>
  <c r="J1052" i="1"/>
  <c r="D1051" i="1"/>
  <c r="G1050" i="1"/>
  <c r="H1050" i="1"/>
  <c r="B1050" i="1"/>
  <c r="H1048" i="1"/>
  <c r="J1048" i="1"/>
  <c r="B1048" i="1"/>
  <c r="D1047" i="1"/>
  <c r="E1047" i="1"/>
  <c r="F1047" i="1"/>
  <c r="G1046" i="1"/>
  <c r="I1046" i="1"/>
  <c r="J1046" i="1"/>
  <c r="B1046" i="1"/>
  <c r="C1045" i="1"/>
  <c r="E1045" i="1"/>
  <c r="F1045" i="1"/>
  <c r="J1044" i="1"/>
  <c r="B1044" i="1"/>
  <c r="C1043" i="1"/>
  <c r="D1043" i="1"/>
  <c r="F1043" i="1"/>
  <c r="G1042" i="1"/>
  <c r="H1042" i="1"/>
  <c r="J1042" i="1"/>
  <c r="D1041" i="1"/>
  <c r="F1041" i="1"/>
  <c r="I1040" i="1"/>
  <c r="J1040" i="1"/>
  <c r="B1040" i="1"/>
  <c r="H1039" i="1"/>
  <c r="J1039" i="1"/>
  <c r="B1039" i="1"/>
  <c r="H1038" i="1"/>
  <c r="J1038" i="1"/>
  <c r="B1084" i="3"/>
  <c r="D1084" i="3"/>
  <c r="C1084" i="3"/>
  <c r="E1084" i="3"/>
  <c r="A1085" i="3"/>
  <c r="I1073" i="4"/>
  <c r="I1072" i="4"/>
  <c r="I1071" i="4"/>
  <c r="I1070" i="4"/>
  <c r="I1069" i="4"/>
  <c r="I1068" i="4"/>
  <c r="I1067" i="4"/>
  <c r="K1066" i="4"/>
  <c r="K1065" i="4"/>
  <c r="K1064" i="4"/>
  <c r="C1063" i="4"/>
  <c r="K1062" i="4"/>
  <c r="I1061" i="4"/>
  <c r="I1060" i="4"/>
  <c r="K1059" i="4"/>
  <c r="C1058" i="4"/>
  <c r="K1057" i="4"/>
  <c r="K1056" i="4"/>
  <c r="K1055" i="4"/>
  <c r="I1054" i="4"/>
  <c r="C1053" i="4"/>
  <c r="K1052" i="4"/>
  <c r="I1051" i="4"/>
  <c r="K1050" i="4"/>
  <c r="K1049" i="4"/>
  <c r="C1048" i="4"/>
  <c r="C1047" i="4"/>
  <c r="K1046" i="4"/>
  <c r="K1045" i="4"/>
  <c r="K1044" i="4"/>
  <c r="K1043" i="4"/>
  <c r="C1042" i="4"/>
  <c r="K1041" i="4"/>
  <c r="C1040" i="4"/>
  <c r="I1039" i="4"/>
  <c r="I1038" i="4"/>
  <c r="I1077" i="4"/>
  <c r="C1073" i="4"/>
  <c r="C1072" i="4"/>
  <c r="C1071" i="4"/>
  <c r="K1070" i="4"/>
  <c r="K1069" i="4"/>
  <c r="K1068" i="4"/>
  <c r="K1067" i="4"/>
  <c r="C1066" i="4"/>
  <c r="I1065" i="4"/>
  <c r="C1064" i="4"/>
  <c r="K1063" i="4"/>
  <c r="I1062" i="4"/>
  <c r="K1061" i="4"/>
  <c r="K1060" i="4"/>
  <c r="I1059" i="4"/>
  <c r="K1058" i="4"/>
  <c r="C1057" i="4"/>
  <c r="I1056" i="4"/>
  <c r="I1055" i="4"/>
  <c r="K1054" i="4"/>
  <c r="I1053" i="4"/>
  <c r="C1052" i="4"/>
  <c r="C1051" i="4"/>
  <c r="C1050" i="4"/>
  <c r="I1049" i="4"/>
  <c r="K1048" i="4"/>
  <c r="K1047" i="4"/>
  <c r="I1046" i="4"/>
  <c r="C1045" i="4"/>
  <c r="C1044" i="4"/>
  <c r="I1043" i="4"/>
  <c r="K1042" i="4"/>
  <c r="I1041" i="4"/>
  <c r="K1040" i="4"/>
  <c r="K1039" i="4"/>
  <c r="C1038" i="4"/>
  <c r="C1077" i="4"/>
  <c r="K1073" i="4"/>
  <c r="K1072" i="4"/>
  <c r="K1071" i="4"/>
  <c r="C1070" i="4"/>
  <c r="C1069" i="4"/>
  <c r="C1067" i="4"/>
  <c r="I1066" i="4"/>
  <c r="C1065" i="4"/>
  <c r="I1064" i="4"/>
  <c r="I1063" i="4"/>
  <c r="C1062" i="4"/>
  <c r="C1061" i="4"/>
  <c r="C1060" i="4"/>
  <c r="C1059" i="4"/>
  <c r="I1058" i="4"/>
  <c r="I1057" i="4"/>
  <c r="C1056" i="4"/>
  <c r="C1055" i="4"/>
  <c r="C1054" i="4"/>
  <c r="K1053" i="4"/>
  <c r="I1052" i="4"/>
  <c r="K1051" i="4"/>
  <c r="I1050" i="4"/>
  <c r="C1049" i="4"/>
  <c r="I1048" i="4"/>
  <c r="I1047" i="4"/>
  <c r="C1046" i="4"/>
  <c r="I1045" i="4"/>
  <c r="I1044" i="4"/>
  <c r="C1043" i="4"/>
  <c r="I1042" i="4"/>
  <c r="C1041" i="4"/>
  <c r="I1040" i="4"/>
  <c r="C1039" i="4"/>
  <c r="K1038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77" i="4"/>
  <c r="F1038" i="4"/>
  <c r="E1081" i="1"/>
  <c r="E1077" i="1"/>
  <c r="E1071" i="1"/>
  <c r="E1069" i="1"/>
  <c r="E1067" i="1"/>
  <c r="E1065" i="1"/>
  <c r="E1063" i="1"/>
  <c r="E1061" i="1"/>
  <c r="E1059" i="1"/>
  <c r="I1058" i="1"/>
  <c r="E1057" i="1"/>
  <c r="H1054" i="1"/>
  <c r="D1053" i="1"/>
  <c r="H1052" i="1"/>
  <c r="E1051" i="1"/>
  <c r="I1050" i="1"/>
  <c r="E1049" i="1"/>
  <c r="H1046" i="1"/>
  <c r="D1045" i="1"/>
  <c r="H1044" i="1"/>
  <c r="E1043" i="1"/>
  <c r="I1042" i="1"/>
  <c r="E1041" i="1"/>
  <c r="I1039" i="1"/>
  <c r="E1083" i="1"/>
  <c r="E1079" i="1"/>
  <c r="E1075" i="1"/>
  <c r="E1073" i="1"/>
  <c r="G1068" i="1"/>
  <c r="G1066" i="1"/>
  <c r="G1064" i="1"/>
  <c r="G1062" i="1"/>
  <c r="G1060" i="1"/>
  <c r="C1057" i="1"/>
  <c r="G1056" i="1"/>
  <c r="C1055" i="1"/>
  <c r="C1049" i="1"/>
  <c r="G1048" i="1"/>
  <c r="C1047" i="1"/>
  <c r="C1041" i="1"/>
  <c r="G1040" i="1"/>
  <c r="C1039" i="1"/>
  <c r="R1038" i="1"/>
  <c r="G1038" i="1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B1083" i="3"/>
  <c r="B1081" i="3"/>
  <c r="B1078" i="3"/>
  <c r="B1077" i="3"/>
  <c r="B1076" i="3"/>
  <c r="B1074" i="3"/>
  <c r="B1073" i="3"/>
  <c r="B1072" i="3"/>
  <c r="B1070" i="3"/>
  <c r="B1069" i="3"/>
  <c r="B1068" i="3"/>
  <c r="B1067" i="3"/>
  <c r="B1065" i="3"/>
  <c r="B1062" i="3"/>
  <c r="B1061" i="3"/>
  <c r="B1060" i="3"/>
  <c r="B1058" i="3"/>
  <c r="B1055" i="3"/>
  <c r="B1053" i="3"/>
  <c r="B1052" i="3"/>
  <c r="B1050" i="3"/>
  <c r="B1047" i="3"/>
  <c r="B1045" i="3"/>
  <c r="B1044" i="3"/>
  <c r="B1042" i="3"/>
  <c r="B1039" i="3"/>
  <c r="E1079" i="3"/>
  <c r="E1078" i="3"/>
  <c r="E1077" i="3"/>
  <c r="E1071" i="3"/>
  <c r="E1070" i="3"/>
  <c r="E1069" i="3"/>
  <c r="E1063" i="3"/>
  <c r="E1062" i="3"/>
  <c r="E1061" i="3"/>
  <c r="E1058" i="3"/>
  <c r="E1056" i="3"/>
  <c r="E1054" i="3"/>
  <c r="E1052" i="3"/>
  <c r="E1050" i="3"/>
  <c r="E1048" i="3"/>
  <c r="E1046" i="3"/>
  <c r="E1044" i="3"/>
  <c r="E1042" i="3"/>
  <c r="E1040" i="3"/>
  <c r="E1038" i="3"/>
  <c r="E1085" i="3" l="1"/>
  <c r="B1085" i="3"/>
  <c r="C1085" i="3"/>
  <c r="D1085" i="3"/>
  <c r="A1086" i="3"/>
  <c r="B1064" i="2"/>
  <c r="A1065" i="2"/>
  <c r="E1085" i="1"/>
  <c r="N1085" i="1"/>
  <c r="G1085" i="1"/>
  <c r="P1085" i="1"/>
  <c r="B1085" i="1"/>
  <c r="J1085" i="1"/>
  <c r="D1085" i="1"/>
  <c r="A1086" i="1"/>
  <c r="F1085" i="1"/>
  <c r="L1085" i="1"/>
  <c r="Q1085" i="1"/>
  <c r="I1085" i="1"/>
  <c r="H1085" i="1"/>
  <c r="M1085" i="1"/>
  <c r="O1085" i="1"/>
  <c r="C1085" i="1"/>
  <c r="B1086" i="3" l="1"/>
  <c r="E1086" i="3"/>
  <c r="A1087" i="3"/>
  <c r="C1086" i="3"/>
  <c r="D1086" i="3"/>
  <c r="E1086" i="1"/>
  <c r="N1086" i="1"/>
  <c r="G1086" i="1"/>
  <c r="P1086" i="1"/>
  <c r="B1086" i="1"/>
  <c r="J1086" i="1"/>
  <c r="O1086" i="1"/>
  <c r="C1086" i="1"/>
  <c r="Q1086" i="1"/>
  <c r="H1086" i="1"/>
  <c r="D1086" i="1"/>
  <c r="F1086" i="1"/>
  <c r="M1086" i="1"/>
  <c r="I1086" i="1"/>
  <c r="A1087" i="1"/>
  <c r="L1086" i="1"/>
  <c r="A1066" i="2"/>
  <c r="B1065" i="2"/>
  <c r="B1066" i="2" l="1"/>
  <c r="A1067" i="2"/>
  <c r="E1087" i="1"/>
  <c r="N1087" i="1"/>
  <c r="G1087" i="1"/>
  <c r="P1087" i="1"/>
  <c r="B1087" i="1"/>
  <c r="J1087" i="1"/>
  <c r="L1087" i="1"/>
  <c r="M1087" i="1"/>
  <c r="D1087" i="1"/>
  <c r="A1088" i="1"/>
  <c r="F1087" i="1"/>
  <c r="H1087" i="1"/>
  <c r="I1087" i="1"/>
  <c r="Q1087" i="1"/>
  <c r="C1087" i="1"/>
  <c r="O1087" i="1"/>
  <c r="C1087" i="3"/>
  <c r="E1087" i="3"/>
  <c r="A1088" i="3"/>
  <c r="D1087" i="3"/>
  <c r="B1087" i="3"/>
  <c r="A1089" i="3" l="1"/>
  <c r="C1088" i="3"/>
  <c r="B1088" i="3"/>
  <c r="D1088" i="3"/>
  <c r="E1088" i="3"/>
  <c r="E1088" i="1"/>
  <c r="N1088" i="1"/>
  <c r="G1088" i="1"/>
  <c r="P1088" i="1"/>
  <c r="B1088" i="1"/>
  <c r="J1088" i="1"/>
  <c r="H1088" i="1"/>
  <c r="I1088" i="1"/>
  <c r="O1088" i="1"/>
  <c r="L1088" i="1"/>
  <c r="M1088" i="1"/>
  <c r="Q1088" i="1"/>
  <c r="C1088" i="1"/>
  <c r="D1088" i="1"/>
  <c r="F1088" i="1"/>
  <c r="A1089" i="1"/>
  <c r="A1068" i="2"/>
  <c r="B1067" i="2"/>
  <c r="E1089" i="1" l="1"/>
  <c r="N1089" i="1"/>
  <c r="G1089" i="1"/>
  <c r="P1089" i="1"/>
  <c r="B1089" i="1"/>
  <c r="J1089" i="1"/>
  <c r="D1089" i="1"/>
  <c r="A1090" i="1"/>
  <c r="F1089" i="1"/>
  <c r="L1089" i="1"/>
  <c r="O1089" i="1"/>
  <c r="Q1089" i="1"/>
  <c r="H1089" i="1"/>
  <c r="I1089" i="1"/>
  <c r="M1089" i="1"/>
  <c r="C1089" i="1"/>
  <c r="B1068" i="2"/>
  <c r="A1069" i="2"/>
  <c r="C1089" i="3"/>
  <c r="A1090" i="3"/>
  <c r="D1089" i="3"/>
  <c r="E1089" i="3"/>
  <c r="B1089" i="3"/>
  <c r="E1090" i="1" l="1"/>
  <c r="N1090" i="1"/>
  <c r="G1090" i="1"/>
  <c r="P1090" i="1"/>
  <c r="B1090" i="1"/>
  <c r="J1090" i="1"/>
  <c r="O1090" i="1"/>
  <c r="C1090" i="1"/>
  <c r="H1090" i="1"/>
  <c r="A1091" i="1"/>
  <c r="D1090" i="1"/>
  <c r="L1090" i="1"/>
  <c r="I1090" i="1"/>
  <c r="M1090" i="1"/>
  <c r="Q1090" i="1"/>
  <c r="F1090" i="1"/>
  <c r="D1090" i="3"/>
  <c r="A1091" i="3"/>
  <c r="C1090" i="3"/>
  <c r="E1090" i="3"/>
  <c r="B1090" i="3"/>
  <c r="B1069" i="2"/>
  <c r="A1070" i="2"/>
  <c r="A1071" i="2" l="1"/>
  <c r="B1070" i="2"/>
  <c r="D1091" i="3"/>
  <c r="B1091" i="3"/>
  <c r="A1092" i="3"/>
  <c r="C1091" i="3"/>
  <c r="E1091" i="3"/>
  <c r="E1091" i="1"/>
  <c r="N1091" i="1"/>
  <c r="G1091" i="1"/>
  <c r="P1091" i="1"/>
  <c r="B1091" i="1"/>
  <c r="J1091" i="1"/>
  <c r="L1091" i="1"/>
  <c r="D1091" i="1"/>
  <c r="A1092" i="1"/>
  <c r="C1091" i="1"/>
  <c r="F1091" i="1"/>
  <c r="M1091" i="1"/>
  <c r="H1091" i="1"/>
  <c r="O1091" i="1"/>
  <c r="Q1091" i="1"/>
  <c r="I1091" i="1"/>
  <c r="B1092" i="3" l="1"/>
  <c r="D1092" i="3"/>
  <c r="A1093" i="3"/>
  <c r="E1092" i="3"/>
  <c r="C1092" i="3"/>
  <c r="E1092" i="1"/>
  <c r="N1092" i="1"/>
  <c r="G1092" i="1"/>
  <c r="P1092" i="1"/>
  <c r="B1092" i="1"/>
  <c r="J1092" i="1"/>
  <c r="H1092" i="1"/>
  <c r="O1092" i="1"/>
  <c r="C1092" i="1"/>
  <c r="D1092" i="1"/>
  <c r="F1092" i="1"/>
  <c r="M1092" i="1"/>
  <c r="L1092" i="1"/>
  <c r="Q1092" i="1"/>
  <c r="A1093" i="1"/>
  <c r="I1092" i="1"/>
  <c r="A1072" i="2"/>
  <c r="B1071" i="2"/>
  <c r="B1072" i="2" l="1"/>
  <c r="A1073" i="2"/>
  <c r="E1093" i="1"/>
  <c r="N1093" i="1"/>
  <c r="G1093" i="1"/>
  <c r="P1093" i="1"/>
  <c r="B1093" i="1"/>
  <c r="J1093" i="1"/>
  <c r="D1093" i="1"/>
  <c r="A1094" i="1"/>
  <c r="L1093" i="1"/>
  <c r="C1093" i="1"/>
  <c r="F1093" i="1"/>
  <c r="H1093" i="1"/>
  <c r="O1093" i="1"/>
  <c r="I1093" i="1"/>
  <c r="Q1093" i="1"/>
  <c r="M1093" i="1"/>
  <c r="E1093" i="3"/>
  <c r="B1093" i="3"/>
  <c r="C1093" i="3"/>
  <c r="D1093" i="3"/>
  <c r="A1094" i="3"/>
  <c r="B1094" i="3" l="1"/>
  <c r="E1094" i="3"/>
  <c r="D1094" i="3"/>
  <c r="A1095" i="3"/>
  <c r="C1094" i="3"/>
  <c r="E1094" i="1"/>
  <c r="N1094" i="1"/>
  <c r="G1094" i="1"/>
  <c r="P1094" i="1"/>
  <c r="B1094" i="1"/>
  <c r="J1094" i="1"/>
  <c r="O1094" i="1"/>
  <c r="H1094" i="1"/>
  <c r="D1094" i="1"/>
  <c r="F1094" i="1"/>
  <c r="I1094" i="1"/>
  <c r="Q1094" i="1"/>
  <c r="M1094" i="1"/>
  <c r="A1095" i="1"/>
  <c r="C1094" i="1"/>
  <c r="L1094" i="1"/>
  <c r="B1073" i="2"/>
  <c r="A1074" i="2"/>
  <c r="B1074" i="2" l="1"/>
  <c r="A1075" i="2"/>
  <c r="C1095" i="3"/>
  <c r="D1095" i="3"/>
  <c r="E1095" i="3"/>
  <c r="A1096" i="3"/>
  <c r="B1095" i="3"/>
  <c r="E1095" i="1"/>
  <c r="N1095" i="1"/>
  <c r="G1095" i="1"/>
  <c r="P1095" i="1"/>
  <c r="B1095" i="1"/>
  <c r="J1095" i="1"/>
  <c r="L1095" i="1"/>
  <c r="D1095" i="1"/>
  <c r="A1096" i="1"/>
  <c r="F1095" i="1"/>
  <c r="H1095" i="1"/>
  <c r="I1095" i="1"/>
  <c r="Q1095" i="1"/>
  <c r="C1095" i="1"/>
  <c r="M1095" i="1"/>
  <c r="O1095" i="1"/>
  <c r="E1096" i="1" l="1"/>
  <c r="N1096" i="1"/>
  <c r="G1096" i="1"/>
  <c r="P1096" i="1"/>
  <c r="B1096" i="1"/>
  <c r="J1096" i="1"/>
  <c r="H1096" i="1"/>
  <c r="O1096" i="1"/>
  <c r="F1096" i="1"/>
  <c r="I1096" i="1"/>
  <c r="L1096" i="1"/>
  <c r="A1097" i="1"/>
  <c r="Q1096" i="1"/>
  <c r="C1096" i="1"/>
  <c r="D1096" i="1"/>
  <c r="M1096" i="1"/>
  <c r="A1097" i="3"/>
  <c r="C1096" i="3"/>
  <c r="E1096" i="3"/>
  <c r="B1096" i="3"/>
  <c r="D1096" i="3"/>
  <c r="A1076" i="2"/>
  <c r="B1075" i="2"/>
  <c r="B1076" i="2" l="1"/>
  <c r="A1077" i="2"/>
  <c r="C1097" i="1"/>
  <c r="L1097" i="1"/>
  <c r="G1097" i="1"/>
  <c r="P1097" i="1"/>
  <c r="E1097" i="1"/>
  <c r="Q1097" i="1"/>
  <c r="F1097" i="1"/>
  <c r="A1098" i="1"/>
  <c r="H1097" i="1"/>
  <c r="M1097" i="1"/>
  <c r="B1097" i="1"/>
  <c r="D1097" i="1"/>
  <c r="I1097" i="1"/>
  <c r="N1097" i="1"/>
  <c r="O1097" i="1"/>
  <c r="J1097" i="1"/>
  <c r="A1098" i="3"/>
  <c r="D1097" i="3"/>
  <c r="E1097" i="3"/>
  <c r="C1097" i="3"/>
  <c r="B1097" i="3"/>
  <c r="D1098" i="3" l="1"/>
  <c r="B1098" i="3"/>
  <c r="A1099" i="3"/>
  <c r="C1098" i="3"/>
  <c r="E1098" i="3"/>
  <c r="C1098" i="1"/>
  <c r="L1098" i="1"/>
  <c r="G1098" i="1"/>
  <c r="P1098" i="1"/>
  <c r="J1098" i="1"/>
  <c r="N1098" i="1"/>
  <c r="M1098" i="1"/>
  <c r="B1098" i="1"/>
  <c r="F1098" i="1"/>
  <c r="A1099" i="1"/>
  <c r="E1098" i="1"/>
  <c r="O1098" i="1"/>
  <c r="H1098" i="1"/>
  <c r="I1098" i="1"/>
  <c r="D1098" i="1"/>
  <c r="Q1098" i="1"/>
  <c r="B1077" i="2"/>
  <c r="A1078" i="2"/>
  <c r="A1079" i="2" l="1"/>
  <c r="B1078" i="2"/>
  <c r="C1099" i="1"/>
  <c r="L1099" i="1"/>
  <c r="G1099" i="1"/>
  <c r="P1099" i="1"/>
  <c r="E1099" i="1"/>
  <c r="Q1099" i="1"/>
  <c r="F1099" i="1"/>
  <c r="A1100" i="1"/>
  <c r="H1099" i="1"/>
  <c r="M1099" i="1"/>
  <c r="J1099" i="1"/>
  <c r="N1099" i="1"/>
  <c r="O1099" i="1"/>
  <c r="B1099" i="1"/>
  <c r="I1099" i="1"/>
  <c r="D1099" i="1"/>
  <c r="D1099" i="3"/>
  <c r="E1099" i="3"/>
  <c r="A1100" i="3"/>
  <c r="B1099" i="3"/>
  <c r="C1099" i="3"/>
  <c r="B1100" i="3" l="1"/>
  <c r="C1100" i="3"/>
  <c r="A1101" i="3"/>
  <c r="D1100" i="3"/>
  <c r="E1100" i="3"/>
  <c r="C1100" i="1"/>
  <c r="L1100" i="1"/>
  <c r="G1100" i="1"/>
  <c r="P1100" i="1"/>
  <c r="J1100" i="1"/>
  <c r="M1100" i="1"/>
  <c r="N1100" i="1"/>
  <c r="B1100" i="1"/>
  <c r="F1100" i="1"/>
  <c r="A1101" i="1"/>
  <c r="Q1100" i="1"/>
  <c r="D1100" i="1"/>
  <c r="H1100" i="1"/>
  <c r="E1100" i="1"/>
  <c r="I1100" i="1"/>
  <c r="O1100" i="1"/>
  <c r="A1080" i="2"/>
  <c r="B1079" i="2"/>
  <c r="B1080" i="2" l="1"/>
  <c r="A1081" i="2"/>
  <c r="E1101" i="3"/>
  <c r="B1101" i="3"/>
  <c r="A1102" i="3"/>
  <c r="D1101" i="3"/>
  <c r="C1101" i="3"/>
  <c r="C1101" i="1"/>
  <c r="L1101" i="1"/>
  <c r="G1101" i="1"/>
  <c r="P1101" i="1"/>
  <c r="E1101" i="1"/>
  <c r="Q1101" i="1"/>
  <c r="A1102" i="1"/>
  <c r="F1101" i="1"/>
  <c r="H1101" i="1"/>
  <c r="M1101" i="1"/>
  <c r="I1101" i="1"/>
  <c r="B1101" i="1"/>
  <c r="D1101" i="1"/>
  <c r="N1101" i="1"/>
  <c r="J1101" i="1"/>
  <c r="O1101" i="1"/>
  <c r="C1102" i="1" l="1"/>
  <c r="L1102" i="1"/>
  <c r="G1102" i="1"/>
  <c r="P1102" i="1"/>
  <c r="J1102" i="1"/>
  <c r="B1102" i="1"/>
  <c r="M1102" i="1"/>
  <c r="N1102" i="1"/>
  <c r="F1102" i="1"/>
  <c r="A1103" i="1"/>
  <c r="E1102" i="1"/>
  <c r="H1102" i="1"/>
  <c r="I1102" i="1"/>
  <c r="O1102" i="1"/>
  <c r="D1102" i="1"/>
  <c r="Q1102" i="1"/>
  <c r="E1102" i="3"/>
  <c r="B1102" i="3"/>
  <c r="C1102" i="3"/>
  <c r="D1102" i="3"/>
  <c r="A1103" i="3"/>
  <c r="A1082" i="2"/>
  <c r="B1081" i="2"/>
  <c r="B1082" i="2" l="1"/>
  <c r="A1083" i="2"/>
  <c r="C1103" i="3"/>
  <c r="A1104" i="3"/>
  <c r="B1103" i="3"/>
  <c r="D1103" i="3"/>
  <c r="E1103" i="3"/>
  <c r="C1103" i="1"/>
  <c r="L1103" i="1"/>
  <c r="G1103" i="1"/>
  <c r="P1103" i="1"/>
  <c r="E1103" i="1"/>
  <c r="Q1103" i="1"/>
  <c r="F1103" i="1"/>
  <c r="A1104" i="1"/>
  <c r="H1103" i="1"/>
  <c r="M1103" i="1"/>
  <c r="J1103" i="1"/>
  <c r="N1103" i="1"/>
  <c r="O1103" i="1"/>
  <c r="B1103" i="1"/>
  <c r="D1103" i="1"/>
  <c r="I1103" i="1"/>
  <c r="C1104" i="1" l="1"/>
  <c r="L1104" i="1"/>
  <c r="G1104" i="1"/>
  <c r="P1104" i="1"/>
  <c r="J1104" i="1"/>
  <c r="M1104" i="1"/>
  <c r="B1104" i="1"/>
  <c r="N1104" i="1"/>
  <c r="F1104" i="1"/>
  <c r="A1105" i="1"/>
  <c r="Q1104" i="1"/>
  <c r="D1104" i="1"/>
  <c r="H1104" i="1"/>
  <c r="O1104" i="1"/>
  <c r="I1104" i="1"/>
  <c r="E1104" i="1"/>
  <c r="A1105" i="3"/>
  <c r="C1104" i="3"/>
  <c r="B1104" i="3"/>
  <c r="D1104" i="3"/>
  <c r="E1104" i="3"/>
  <c r="A1084" i="2"/>
  <c r="B1083" i="2"/>
  <c r="I1084" i="2" l="1"/>
  <c r="B1084" i="2"/>
  <c r="J1084" i="2"/>
  <c r="G1084" i="2"/>
  <c r="H1084" i="2"/>
  <c r="A1085" i="2"/>
  <c r="D1084" i="2"/>
  <c r="E1084" i="2"/>
  <c r="C1084" i="2"/>
  <c r="F1084" i="2"/>
  <c r="C1105" i="1"/>
  <c r="L1105" i="1"/>
  <c r="G1105" i="1"/>
  <c r="P1105" i="1"/>
  <c r="E1105" i="1"/>
  <c r="Q1105" i="1"/>
  <c r="F1105" i="1"/>
  <c r="H1105" i="1"/>
  <c r="A1106" i="1"/>
  <c r="M1105" i="1"/>
  <c r="B1105" i="1"/>
  <c r="D1105" i="1"/>
  <c r="I1105" i="1"/>
  <c r="N1105" i="1"/>
  <c r="J1105" i="1"/>
  <c r="O1105" i="1"/>
  <c r="A1106" i="3"/>
  <c r="C1105" i="3"/>
  <c r="E1105" i="3"/>
  <c r="B1105" i="3"/>
  <c r="D1105" i="3"/>
  <c r="G1085" i="2" l="1"/>
  <c r="H1085" i="2"/>
  <c r="I1085" i="2"/>
  <c r="J1085" i="2"/>
  <c r="A1086" i="2"/>
  <c r="D1085" i="2"/>
  <c r="C1085" i="2"/>
  <c r="E1085" i="2"/>
  <c r="F1085" i="2"/>
  <c r="B1085" i="2"/>
  <c r="C1106" i="1"/>
  <c r="L1106" i="1"/>
  <c r="G1106" i="1"/>
  <c r="P1106" i="1"/>
  <c r="J1106" i="1"/>
  <c r="M1106" i="1"/>
  <c r="N1106" i="1"/>
  <c r="B1106" i="1"/>
  <c r="F1106" i="1"/>
  <c r="A1107" i="1"/>
  <c r="E1106" i="1"/>
  <c r="O1106" i="1"/>
  <c r="H1106" i="1"/>
  <c r="I1106" i="1"/>
  <c r="Q1106" i="1"/>
  <c r="D1106" i="1"/>
  <c r="D1106" i="3"/>
  <c r="B1106" i="3"/>
  <c r="C1106" i="3"/>
  <c r="E1106" i="3"/>
  <c r="A1107" i="3"/>
  <c r="E1086" i="2" l="1"/>
  <c r="F1086" i="2"/>
  <c r="I1086" i="2"/>
  <c r="J1086" i="2"/>
  <c r="A1087" i="2"/>
  <c r="D1086" i="2"/>
  <c r="G1086" i="2"/>
  <c r="B1086" i="2"/>
  <c r="C1086" i="2"/>
  <c r="H1086" i="2"/>
  <c r="C1107" i="1"/>
  <c r="L1107" i="1"/>
  <c r="G1107" i="1"/>
  <c r="P1107" i="1"/>
  <c r="E1107" i="1"/>
  <c r="Q1107" i="1"/>
  <c r="A1108" i="1"/>
  <c r="H1107" i="1"/>
  <c r="F1107" i="1"/>
  <c r="M1107" i="1"/>
  <c r="J1107" i="1"/>
  <c r="N1107" i="1"/>
  <c r="O1107" i="1"/>
  <c r="B1107" i="1"/>
  <c r="D1107" i="1"/>
  <c r="I1107" i="1"/>
  <c r="D1107" i="3"/>
  <c r="C1107" i="3"/>
  <c r="E1107" i="3"/>
  <c r="A1108" i="3"/>
  <c r="B1107" i="3"/>
  <c r="C1087" i="2" l="1"/>
  <c r="A1088" i="2"/>
  <c r="D1087" i="2"/>
  <c r="I1087" i="2"/>
  <c r="J1087" i="2"/>
  <c r="F1087" i="2"/>
  <c r="E1087" i="2"/>
  <c r="G1087" i="2"/>
  <c r="H1087" i="2"/>
  <c r="B1087" i="2"/>
  <c r="B1108" i="3"/>
  <c r="C1108" i="3"/>
  <c r="D1108" i="3"/>
  <c r="E1108" i="3"/>
  <c r="A1109" i="3"/>
  <c r="C1108" i="1"/>
  <c r="L1108" i="1"/>
  <c r="G1108" i="1"/>
  <c r="P1108" i="1"/>
  <c r="J1108" i="1"/>
  <c r="N1108" i="1"/>
  <c r="M1108" i="1"/>
  <c r="B1108" i="1"/>
  <c r="F1108" i="1"/>
  <c r="A1109" i="1"/>
  <c r="Q1108" i="1"/>
  <c r="D1108" i="1"/>
  <c r="H1108" i="1"/>
  <c r="I1108" i="1"/>
  <c r="E1108" i="1"/>
  <c r="O1108" i="1"/>
  <c r="I1088" i="2" l="1"/>
  <c r="B1088" i="2"/>
  <c r="J1088" i="2"/>
  <c r="A1089" i="2"/>
  <c r="C1088" i="2"/>
  <c r="F1088" i="2"/>
  <c r="G1088" i="2"/>
  <c r="D1088" i="2"/>
  <c r="E1088" i="2"/>
  <c r="H1088" i="2"/>
  <c r="E1109" i="3"/>
  <c r="B1109" i="3"/>
  <c r="D1109" i="3"/>
  <c r="A1110" i="3"/>
  <c r="C1109" i="3"/>
  <c r="C1109" i="1"/>
  <c r="L1109" i="1"/>
  <c r="G1109" i="1"/>
  <c r="P1109" i="1"/>
  <c r="E1109" i="1"/>
  <c r="Q1109" i="1"/>
  <c r="F1109" i="1"/>
  <c r="A1110" i="1"/>
  <c r="H1109" i="1"/>
  <c r="M1109" i="1"/>
  <c r="I1109" i="1"/>
  <c r="B1109" i="1"/>
  <c r="D1109" i="1"/>
  <c r="N1109" i="1"/>
  <c r="J1109" i="1"/>
  <c r="O1109" i="1"/>
  <c r="C1110" i="1" l="1"/>
  <c r="L1110" i="1"/>
  <c r="G1110" i="1"/>
  <c r="P1110" i="1"/>
  <c r="J1110" i="1"/>
  <c r="M1110" i="1"/>
  <c r="N1110" i="1"/>
  <c r="B1110" i="1"/>
  <c r="F1110" i="1"/>
  <c r="A1111" i="1"/>
  <c r="E1110" i="1"/>
  <c r="H1110" i="1"/>
  <c r="O1110" i="1"/>
  <c r="I1110" i="1"/>
  <c r="D1110" i="1"/>
  <c r="Q1110" i="1"/>
  <c r="E1110" i="3"/>
  <c r="C1110" i="3"/>
  <c r="D1110" i="3"/>
  <c r="A1111" i="3"/>
  <c r="B1110" i="3"/>
  <c r="G1089" i="2"/>
  <c r="H1089" i="2"/>
  <c r="A1090" i="2"/>
  <c r="B1089" i="2"/>
  <c r="C1089" i="2"/>
  <c r="F1089" i="2"/>
  <c r="E1089" i="2"/>
  <c r="I1089" i="2"/>
  <c r="J1089" i="2"/>
  <c r="D1089" i="2"/>
  <c r="E1090" i="2" l="1"/>
  <c r="F1090" i="2"/>
  <c r="A1091" i="2"/>
  <c r="B1090" i="2"/>
  <c r="C1090" i="2"/>
  <c r="H1090" i="2"/>
  <c r="I1090" i="2"/>
  <c r="D1090" i="2"/>
  <c r="G1090" i="2"/>
  <c r="J1090" i="2"/>
  <c r="C1111" i="3"/>
  <c r="E1111" i="3"/>
  <c r="A1112" i="3"/>
  <c r="B1111" i="3"/>
  <c r="D1111" i="3"/>
  <c r="C1111" i="1"/>
  <c r="L1111" i="1"/>
  <c r="G1111" i="1"/>
  <c r="P1111" i="1"/>
  <c r="E1111" i="1"/>
  <c r="Q1111" i="1"/>
  <c r="A1112" i="1"/>
  <c r="F1111" i="1"/>
  <c r="H1111" i="1"/>
  <c r="M1111" i="1"/>
  <c r="J1111" i="1"/>
  <c r="N1111" i="1"/>
  <c r="O1111" i="1"/>
  <c r="B1111" i="1"/>
  <c r="I1111" i="1"/>
  <c r="D1111" i="1"/>
  <c r="C1112" i="1" l="1"/>
  <c r="L1112" i="1"/>
  <c r="G1112" i="1"/>
  <c r="P1112" i="1"/>
  <c r="J1112" i="1"/>
  <c r="N1112" i="1"/>
  <c r="M1112" i="1"/>
  <c r="B1112" i="1"/>
  <c r="F1112" i="1"/>
  <c r="A1113" i="1"/>
  <c r="Q1112" i="1"/>
  <c r="D1112" i="1"/>
  <c r="H1112" i="1"/>
  <c r="E1112" i="1"/>
  <c r="I1112" i="1"/>
  <c r="O1112" i="1"/>
  <c r="A1113" i="3"/>
  <c r="C1112" i="3"/>
  <c r="D1112" i="3"/>
  <c r="E1112" i="3"/>
  <c r="B1112" i="3"/>
  <c r="C1091" i="2"/>
  <c r="A1092" i="2"/>
  <c r="D1091" i="2"/>
  <c r="B1091" i="2"/>
  <c r="E1091" i="2"/>
  <c r="H1091" i="2"/>
  <c r="G1091" i="2"/>
  <c r="I1091" i="2"/>
  <c r="J1091" i="2"/>
  <c r="F1091" i="2"/>
  <c r="I1092" i="2" l="1"/>
  <c r="B1092" i="2"/>
  <c r="J1092" i="2"/>
  <c r="C1092" i="2"/>
  <c r="D1092" i="2"/>
  <c r="E1092" i="2"/>
  <c r="H1092" i="2"/>
  <c r="A1093" i="2"/>
  <c r="F1092" i="2"/>
  <c r="G1092" i="2"/>
  <c r="C1113" i="1"/>
  <c r="L1113" i="1"/>
  <c r="G1113" i="1"/>
  <c r="P1113" i="1"/>
  <c r="E1113" i="1"/>
  <c r="Q1113" i="1"/>
  <c r="F1113" i="1"/>
  <c r="A1114" i="1"/>
  <c r="H1113" i="1"/>
  <c r="M1113" i="1"/>
  <c r="B1113" i="1"/>
  <c r="D1113" i="1"/>
  <c r="I1113" i="1"/>
  <c r="N1113" i="1"/>
  <c r="O1113" i="1"/>
  <c r="J1113" i="1"/>
  <c r="A1114" i="3"/>
  <c r="B1113" i="3"/>
  <c r="E1113" i="3"/>
  <c r="C1113" i="3"/>
  <c r="D1113" i="3"/>
  <c r="G1093" i="2" l="1"/>
  <c r="H1093" i="2"/>
  <c r="C1093" i="2"/>
  <c r="D1093" i="2"/>
  <c r="E1093" i="2"/>
  <c r="J1093" i="2"/>
  <c r="I1093" i="2"/>
  <c r="A1094" i="2"/>
  <c r="F1093" i="2"/>
  <c r="B1093" i="2"/>
  <c r="D1114" i="3"/>
  <c r="E1114" i="3"/>
  <c r="A1115" i="3"/>
  <c r="C1114" i="3"/>
  <c r="B1114" i="3"/>
  <c r="C1114" i="1"/>
  <c r="L1114" i="1"/>
  <c r="G1114" i="1"/>
  <c r="P1114" i="1"/>
  <c r="J1114" i="1"/>
  <c r="M1114" i="1"/>
  <c r="B1114" i="1"/>
  <c r="N1114" i="1"/>
  <c r="F1114" i="1"/>
  <c r="A1115" i="1"/>
  <c r="E1114" i="1"/>
  <c r="O1114" i="1"/>
  <c r="H1114" i="1"/>
  <c r="I1114" i="1"/>
  <c r="D1114" i="1"/>
  <c r="Q1114" i="1"/>
  <c r="D1115" i="3" l="1"/>
  <c r="B1115" i="3"/>
  <c r="A1116" i="3"/>
  <c r="C1115" i="3"/>
  <c r="E1115" i="3"/>
  <c r="E1094" i="2"/>
  <c r="F1094" i="2"/>
  <c r="C1094" i="2"/>
  <c r="D1094" i="2"/>
  <c r="G1094" i="2"/>
  <c r="J1094" i="2"/>
  <c r="B1094" i="2"/>
  <c r="A1095" i="2"/>
  <c r="H1094" i="2"/>
  <c r="I1094" i="2"/>
  <c r="C1115" i="1"/>
  <c r="L1115" i="1"/>
  <c r="G1115" i="1"/>
  <c r="P1115" i="1"/>
  <c r="E1115" i="1"/>
  <c r="Q1115" i="1"/>
  <c r="A1116" i="1"/>
  <c r="F1115" i="1"/>
  <c r="H1115" i="1"/>
  <c r="M1115" i="1"/>
  <c r="J1115" i="1"/>
  <c r="N1115" i="1"/>
  <c r="O1115" i="1"/>
  <c r="B1115" i="1"/>
  <c r="I1115" i="1"/>
  <c r="D1115" i="1"/>
  <c r="C1095" i="2" l="1"/>
  <c r="A1096" i="2"/>
  <c r="D1095" i="2"/>
  <c r="E1095" i="2"/>
  <c r="F1095" i="2"/>
  <c r="G1095" i="2"/>
  <c r="J1095" i="2"/>
  <c r="I1095" i="2"/>
  <c r="H1095" i="2"/>
  <c r="B1095" i="2"/>
  <c r="B1116" i="3"/>
  <c r="E1116" i="3"/>
  <c r="A1117" i="3"/>
  <c r="C1116" i="3"/>
  <c r="D1116" i="3"/>
  <c r="C1116" i="1"/>
  <c r="L1116" i="1"/>
  <c r="G1116" i="1"/>
  <c r="P1116" i="1"/>
  <c r="J1116" i="1"/>
  <c r="B1116" i="1"/>
  <c r="M1116" i="1"/>
  <c r="N1116" i="1"/>
  <c r="F1116" i="1"/>
  <c r="A1117" i="1"/>
  <c r="Q1116" i="1"/>
  <c r="D1116" i="1"/>
  <c r="H1116" i="1"/>
  <c r="E1116" i="1"/>
  <c r="I1116" i="1"/>
  <c r="O1116" i="1"/>
  <c r="E1117" i="3" l="1"/>
  <c r="B1117" i="3"/>
  <c r="C1117" i="3"/>
  <c r="D1117" i="3"/>
  <c r="A1118" i="3"/>
  <c r="I1096" i="2"/>
  <c r="B1096" i="2"/>
  <c r="J1096" i="2"/>
  <c r="E1096" i="2"/>
  <c r="F1096" i="2"/>
  <c r="G1096" i="2"/>
  <c r="C1096" i="2"/>
  <c r="D1096" i="2"/>
  <c r="H1096" i="2"/>
  <c r="A1097" i="2"/>
  <c r="C1117" i="1"/>
  <c r="L1117" i="1"/>
  <c r="G1117" i="1"/>
  <c r="P1117" i="1"/>
  <c r="E1117" i="1"/>
  <c r="Q1117" i="1"/>
  <c r="F1117" i="1"/>
  <c r="A1118" i="1"/>
  <c r="H1117" i="1"/>
  <c r="M1117" i="1"/>
  <c r="I1117" i="1"/>
  <c r="B1117" i="1"/>
  <c r="D1117" i="1"/>
  <c r="N1117" i="1"/>
  <c r="J1117" i="1"/>
  <c r="O1117" i="1"/>
  <c r="G1097" i="2" l="1"/>
  <c r="H1097" i="2"/>
  <c r="E1097" i="2"/>
  <c r="F1097" i="2"/>
  <c r="I1097" i="2"/>
  <c r="B1097" i="2"/>
  <c r="A1098" i="2"/>
  <c r="C1097" i="2"/>
  <c r="J1097" i="2"/>
  <c r="D1097" i="2"/>
  <c r="E1118" i="3"/>
  <c r="A1119" i="3"/>
  <c r="B1118" i="3"/>
  <c r="D1118" i="3"/>
  <c r="C1118" i="3"/>
  <c r="C1118" i="1"/>
  <c r="L1118" i="1"/>
  <c r="G1118" i="1"/>
  <c r="P1118" i="1"/>
  <c r="J1118" i="1"/>
  <c r="M1118" i="1"/>
  <c r="B1118" i="1"/>
  <c r="N1118" i="1"/>
  <c r="F1118" i="1"/>
  <c r="A1119" i="1"/>
  <c r="E1118" i="1"/>
  <c r="H1118" i="1"/>
  <c r="I1118" i="1"/>
  <c r="O1118" i="1"/>
  <c r="D1118" i="1"/>
  <c r="Q1118" i="1"/>
  <c r="E1098" i="2" l="1"/>
  <c r="F1098" i="2"/>
  <c r="G1098" i="2"/>
  <c r="H1098" i="2"/>
  <c r="I1098" i="2"/>
  <c r="B1098" i="2"/>
  <c r="C1098" i="2"/>
  <c r="D1098" i="2"/>
  <c r="J1098" i="2"/>
  <c r="A1099" i="2"/>
  <c r="C1119" i="3"/>
  <c r="B1119" i="3"/>
  <c r="D1119" i="3"/>
  <c r="E1119" i="3"/>
  <c r="A1120" i="3"/>
  <c r="C1119" i="1"/>
  <c r="L1119" i="1"/>
  <c r="G1119" i="1"/>
  <c r="P1119" i="1"/>
  <c r="E1119" i="1"/>
  <c r="Q1119" i="1"/>
  <c r="A1120" i="1"/>
  <c r="F1119" i="1"/>
  <c r="H1119" i="1"/>
  <c r="M1119" i="1"/>
  <c r="J1119" i="1"/>
  <c r="N1119" i="1"/>
  <c r="O1119" i="1"/>
  <c r="B1119" i="1"/>
  <c r="D1119" i="1"/>
  <c r="I1119" i="1"/>
  <c r="A1121" i="3" l="1"/>
  <c r="C1120" i="3"/>
  <c r="B1120" i="3"/>
  <c r="D1120" i="3"/>
  <c r="E1120" i="3"/>
  <c r="C1120" i="1"/>
  <c r="L1120" i="1"/>
  <c r="G1120" i="1"/>
  <c r="P1120" i="1"/>
  <c r="J1120" i="1"/>
  <c r="B1120" i="1"/>
  <c r="M1120" i="1"/>
  <c r="N1120" i="1"/>
  <c r="F1120" i="1"/>
  <c r="A1121" i="1"/>
  <c r="Q1120" i="1"/>
  <c r="D1120" i="1"/>
  <c r="H1120" i="1"/>
  <c r="O1120" i="1"/>
  <c r="E1120" i="1"/>
  <c r="I1120" i="1"/>
  <c r="C1099" i="2"/>
  <c r="A1100" i="2"/>
  <c r="D1099" i="2"/>
  <c r="G1099" i="2"/>
  <c r="H1099" i="2"/>
  <c r="I1099" i="2"/>
  <c r="B1099" i="2"/>
  <c r="E1099" i="2"/>
  <c r="F1099" i="2"/>
  <c r="J1099" i="2"/>
  <c r="C1121" i="1" l="1"/>
  <c r="L1121" i="1"/>
  <c r="G1121" i="1"/>
  <c r="P1121" i="1"/>
  <c r="E1121" i="1"/>
  <c r="Q1121" i="1"/>
  <c r="F1121" i="1"/>
  <c r="A1122" i="1"/>
  <c r="H1121" i="1"/>
  <c r="M1121" i="1"/>
  <c r="I1121" i="1"/>
  <c r="B1121" i="1"/>
  <c r="D1121" i="1"/>
  <c r="N1121" i="1"/>
  <c r="J1121" i="1"/>
  <c r="O1121" i="1"/>
  <c r="I1100" i="2"/>
  <c r="B1100" i="2"/>
  <c r="J1100" i="2"/>
  <c r="G1100" i="2"/>
  <c r="H1100" i="2"/>
  <c r="A1101" i="2"/>
  <c r="D1100" i="2"/>
  <c r="C1100" i="2"/>
  <c r="E1100" i="2"/>
  <c r="F1100" i="2"/>
  <c r="A1122" i="3"/>
  <c r="B1121" i="3"/>
  <c r="C1121" i="3"/>
  <c r="D1121" i="3"/>
  <c r="E1121" i="3"/>
  <c r="G1101" i="2" l="1"/>
  <c r="H1101" i="2"/>
  <c r="I1101" i="2"/>
  <c r="J1101" i="2"/>
  <c r="D1101" i="2"/>
  <c r="E1101" i="2"/>
  <c r="A1102" i="2"/>
  <c r="B1101" i="2"/>
  <c r="C1101" i="2"/>
  <c r="F1101" i="2"/>
  <c r="D1122" i="3"/>
  <c r="C1122" i="3"/>
  <c r="B1122" i="3"/>
  <c r="E1122" i="3"/>
  <c r="C1122" i="1"/>
  <c r="L1122" i="1"/>
  <c r="G1122" i="1"/>
  <c r="P1122" i="1"/>
  <c r="J1122" i="1"/>
  <c r="M1122" i="1"/>
  <c r="B1122" i="1"/>
  <c r="N1122" i="1"/>
  <c r="F1122" i="1"/>
  <c r="E1122" i="1"/>
  <c r="H1122" i="1"/>
  <c r="I1122" i="1"/>
  <c r="O1122" i="1"/>
  <c r="Q1122" i="1"/>
  <c r="D1122" i="1"/>
  <c r="F1102" i="2" l="1"/>
  <c r="G1102" i="2"/>
  <c r="H1102" i="2"/>
  <c r="C1102" i="2"/>
  <c r="A1103" i="2"/>
  <c r="B1102" i="2"/>
  <c r="D1102" i="2"/>
  <c r="E1102" i="2"/>
  <c r="I1102" i="2"/>
  <c r="J1102" i="2"/>
  <c r="D1103" i="2" l="1"/>
  <c r="E1103" i="2"/>
  <c r="F1103" i="2"/>
  <c r="I1103" i="2"/>
  <c r="H1103" i="2"/>
  <c r="J1103" i="2"/>
  <c r="A1104" i="2"/>
  <c r="B1103" i="2"/>
  <c r="G1103" i="2"/>
  <c r="C1103" i="2"/>
  <c r="B1104" i="2" l="1"/>
  <c r="J1104" i="2"/>
  <c r="C1104" i="2"/>
  <c r="A1105" i="2"/>
  <c r="D1104" i="2"/>
  <c r="G1104" i="2"/>
  <c r="H1104" i="2"/>
  <c r="E1104" i="2"/>
  <c r="F1104" i="2"/>
  <c r="I1104" i="2"/>
  <c r="H1105" i="2" l="1"/>
  <c r="I1105" i="2"/>
  <c r="B1105" i="2"/>
  <c r="J1105" i="2"/>
  <c r="E1105" i="2"/>
  <c r="D1105" i="2"/>
  <c r="F1105" i="2"/>
  <c r="G1105" i="2"/>
  <c r="C1105" i="2"/>
  <c r="A1106" i="2"/>
  <c r="F1106" i="2" l="1"/>
  <c r="G1106" i="2"/>
  <c r="H1106" i="2"/>
  <c r="C1106" i="2"/>
  <c r="A1107" i="2"/>
  <c r="J1106" i="2"/>
  <c r="D1106" i="2"/>
  <c r="B1106" i="2"/>
  <c r="E1106" i="2"/>
  <c r="I1106" i="2"/>
  <c r="D1107" i="2" l="1"/>
  <c r="E1107" i="2"/>
  <c r="F1107" i="2"/>
  <c r="I1107" i="2"/>
  <c r="B1107" i="2"/>
  <c r="C1107" i="2"/>
  <c r="J1107" i="2"/>
  <c r="G1107" i="2"/>
  <c r="A1108" i="2"/>
  <c r="H1107" i="2"/>
  <c r="B1108" i="2" l="1"/>
  <c r="J1108" i="2"/>
  <c r="C1108" i="2"/>
  <c r="A1109" i="2"/>
  <c r="D1108" i="2"/>
  <c r="G1108" i="2"/>
  <c r="F1108" i="2"/>
  <c r="H1108" i="2"/>
  <c r="I1108" i="2"/>
  <c r="E1108" i="2"/>
  <c r="H1109" i="2" l="1"/>
  <c r="I1109" i="2"/>
  <c r="B1109" i="2"/>
  <c r="J1109" i="2"/>
  <c r="E1109" i="2"/>
  <c r="F1109" i="2"/>
  <c r="C1109" i="2"/>
  <c r="D1109" i="2"/>
  <c r="A1110" i="2"/>
  <c r="G1109" i="2"/>
  <c r="F1110" i="2" l="1"/>
  <c r="G1110" i="2"/>
  <c r="H1110" i="2"/>
  <c r="C1110" i="2"/>
  <c r="A1111" i="2"/>
  <c r="B1110" i="2"/>
  <c r="D1110" i="2"/>
  <c r="E1110" i="2"/>
  <c r="I1110" i="2"/>
  <c r="J1110" i="2"/>
  <c r="D1111" i="2" l="1"/>
  <c r="E1111" i="2"/>
  <c r="F1111" i="2"/>
  <c r="I1111" i="2"/>
  <c r="H1111" i="2"/>
  <c r="J1111" i="2"/>
  <c r="A1112" i="2"/>
  <c r="B1111" i="2"/>
  <c r="G1111" i="2"/>
  <c r="C1111" i="2"/>
  <c r="B1112" i="2" l="1"/>
  <c r="J1112" i="2"/>
  <c r="C1112" i="2"/>
  <c r="A1113" i="2"/>
  <c r="D1112" i="2"/>
  <c r="G1112" i="2"/>
  <c r="H1112" i="2"/>
  <c r="E1112" i="2"/>
  <c r="F1112" i="2"/>
  <c r="I1112" i="2"/>
  <c r="H1113" i="2" l="1"/>
  <c r="I1113" i="2"/>
  <c r="B1113" i="2"/>
  <c r="J1113" i="2"/>
  <c r="E1113" i="2"/>
  <c r="D1113" i="2"/>
  <c r="F1113" i="2"/>
  <c r="G1113" i="2"/>
  <c r="A1114" i="2"/>
  <c r="C1113" i="2"/>
  <c r="F1114" i="2" l="1"/>
  <c r="G1114" i="2"/>
  <c r="H1114" i="2"/>
  <c r="C1114" i="2"/>
  <c r="A1115" i="2"/>
  <c r="J1114" i="2"/>
  <c r="D1114" i="2"/>
  <c r="I1114" i="2"/>
  <c r="B1114" i="2"/>
  <c r="E1114" i="2"/>
  <c r="D1115" i="2" l="1"/>
  <c r="E1115" i="2"/>
  <c r="F1115" i="2"/>
  <c r="I1115" i="2"/>
  <c r="B1115" i="2"/>
  <c r="C1115" i="2"/>
  <c r="J1115" i="2"/>
  <c r="G1115" i="2"/>
  <c r="H1115" i="2"/>
  <c r="A1116" i="2"/>
  <c r="B1116" i="2" l="1"/>
  <c r="J1116" i="2"/>
  <c r="C1116" i="2"/>
  <c r="A1117" i="2"/>
  <c r="D1116" i="2"/>
  <c r="G1116" i="2"/>
  <c r="F1116" i="2"/>
  <c r="H1116" i="2"/>
  <c r="I1116" i="2"/>
  <c r="E1116" i="2"/>
  <c r="H1117" i="2" l="1"/>
  <c r="I1117" i="2"/>
  <c r="B1117" i="2"/>
  <c r="J1117" i="2"/>
  <c r="E1117" i="2"/>
  <c r="F1117" i="2"/>
  <c r="A1118" i="2"/>
  <c r="C1117" i="2"/>
  <c r="D1117" i="2"/>
  <c r="G1117" i="2"/>
  <c r="F1118" i="2" l="1"/>
  <c r="G1118" i="2"/>
  <c r="H1118" i="2"/>
  <c r="C1118" i="2"/>
  <c r="A1119" i="2"/>
  <c r="B1118" i="2"/>
  <c r="D1118" i="2"/>
  <c r="E1118" i="2"/>
  <c r="I1118" i="2"/>
  <c r="J1118" i="2"/>
  <c r="D1119" i="2" l="1"/>
  <c r="E1119" i="2"/>
  <c r="F1119" i="2"/>
  <c r="I1119" i="2"/>
  <c r="H1119" i="2"/>
  <c r="J1119" i="2"/>
  <c r="A1120" i="2"/>
  <c r="B1119" i="2"/>
  <c r="C1119" i="2"/>
  <c r="G1119" i="2"/>
  <c r="B1120" i="2" l="1"/>
  <c r="J1120" i="2"/>
  <c r="C1120" i="2"/>
  <c r="A1121" i="2"/>
  <c r="D1120" i="2"/>
  <c r="G1120" i="2"/>
  <c r="H1120" i="2"/>
  <c r="E1120" i="2"/>
  <c r="F1120" i="2"/>
  <c r="I1120" i="2"/>
  <c r="H1121" i="2" l="1"/>
  <c r="I1121" i="2"/>
  <c r="B1121" i="2"/>
  <c r="J1121" i="2"/>
  <c r="E1121" i="2"/>
  <c r="D1121" i="2"/>
  <c r="F1121" i="2"/>
  <c r="G1121" i="2"/>
  <c r="C1121" i="2"/>
  <c r="A1122" i="2"/>
  <c r="F1122" i="2" l="1"/>
  <c r="G1122" i="2"/>
  <c r="H1122" i="2"/>
  <c r="C1122" i="2"/>
  <c r="J1122" i="2"/>
  <c r="D1122" i="2"/>
  <c r="B1122" i="2"/>
  <c r="I1122" i="2"/>
  <c r="E1122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<sst xmlns="http://schemas.openxmlformats.org/spreadsheetml/2006/main" count="161" uniqueCount="74">
  <si>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</si>
  <si>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</si>
  <si>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</si>
  <si>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</si>
  <si>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</si>
  <si>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</si>
  <si>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</si>
  <si>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</si>
  <si>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</si>
  <si>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</si>
  <si>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</si>
  <si>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</si>
  <si>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</si>
  <si>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</si>
  <si>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</si>
  <si>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</si>
  <si>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</si>
  <si>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</si>
  <si>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</si>
  <si>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</si>
  <si>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</si>
  <si>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</si>
  <si>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</si>
  <si>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</si>
  <si>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</si>
  <si>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February 01,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</si>
  <si>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</si>
  <si>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</si>
  <si>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</si>
  <si>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</si>
  <si>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</si>
  <si>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</si>
  <si>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</si>
  <si>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</si>
  <si>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</si>
  <si>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</si>
  <si>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</si>
  <si>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</si>
  <si>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</si>
  <si>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</si>
  <si>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</si>
  <si>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</si>
  <si>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</si>
  <si>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</si>
  <si>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</si>
  <si>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</si>
  <si>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</si>
  <si>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</si>
  <si>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</si>
  <si>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</si>
  <si>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</si>
  <si>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</si>
  <si>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</si>
  <si>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</si>
  <si>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</si>
  <si>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</si>
  <si>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</si>
  <si>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</si>
  <si>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</si>
  <si>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</si>
  <si>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</si>
  <si>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</si>
  <si>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</si>
  <si>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</si>
  <si>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</si>
  <si>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</si>
  <si>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</si>
  <si>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</si>
  <si>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</si>
  <si>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49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</si>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</sst>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4" applyFont="1" applyAlignment="1">
      <alignment horizontal="center" wrapText="1"/>
    </xf>
    <xf numFmtId="0" fontId="6" fillId="3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3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4" borderId="0" xfId="4" applyNumberFormat="1" applyFont="1" applyFill="1" applyAlignment="1">
      <alignment horizontal="center"/>
    </xf>
    <xf numFmtId="0" fontId="6" fillId="4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5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5" borderId="0" xfId="4" applyNumberFormat="1" applyFont="1" applyFill="1" applyAlignment="1">
      <alignment horizontal="center"/>
    </xf>
    <xf numFmtId="171" fontId="6" fillId="6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7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5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0" borderId="0" xfId="3" applyFont="1" applyFill="1" applyAlignment="1">
      <alignment horizontal="center"/>
    </xf>
    <xf numFmtId="0" fontId="12" fillId="10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4" borderId="0" xfId="4" quotePrefix="1" applyNumberFormat="1" applyFont="1" applyFill="1" applyAlignment="1">
      <alignment horizontal="center"/>
    </xf>
    <xf numFmtId="15" fontId="6" fillId="4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4" quotePrefix="1" applyFont="1" applyFill="1" applyAlignment="1">
      <alignment horizontal="center"/>
    </xf>
    <xf numFmtId="0" fontId="6" fillId="8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6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0" fontId="6" fillId="8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6.zip\2016\2.%20February\160201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2.4787 * CHOOSE(CONTROL!$C$15, $D$11, 100%, $F$11)</f>
        <v>2.4786999999999999</v>
      </c>
      <c r="C17" s="8">
        <f>2.489 * CHOOSE(CONTROL!$C$15, $D$11, 100%, $F$11)</f>
        <v>2.4889999999999999</v>
      </c>
      <c r="D17" s="8">
        <f>2.4837 * CHOOSE( CONTROL!$C$15, $D$11, 100%, $F$11)</f>
        <v>2.4836999999999998</v>
      </c>
      <c r="E17" s="12">
        <f>2.4845 * CHOOSE( CONTROL!$C$15, $D$11, 100%, $F$11)</f>
        <v>2.4845000000000002</v>
      </c>
      <c r="F17" s="4">
        <f>3.1613 * CHOOSE(CONTROL!$C$15, $D$11, 100%, $F$11)</f>
        <v>3.1613000000000002</v>
      </c>
      <c r="G17" s="8">
        <f>2.4416 * CHOOSE( CONTROL!$C$15, $D$11, 100%, $F$11)</f>
        <v>2.4416000000000002</v>
      </c>
      <c r="H17" s="4">
        <f>3.3387 * CHOOSE(CONTROL!$C$15, $D$11, 100%, $F$11)</f>
        <v>3.3386999999999998</v>
      </c>
      <c r="I17" s="8">
        <f>2.4818 * CHOOSE(CONTROL!$C$15, $D$11, 100%, $F$11)</f>
        <v>2.4817999999999998</v>
      </c>
      <c r="J17" s="4">
        <f>2.372 * CHOOSE(CONTROL!$C$15,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0.61570000000000003</v>
      </c>
      <c r="P17" s="9">
        <v>1.2927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2.2894 * CHOOSE(CONTROL!$C$15, $D$11, 100%, $F$11)</f>
        <v>2.2894000000000001</v>
      </c>
      <c r="C18" s="8">
        <f>2.2998 * CHOOSE(CONTROL!$C$15, $D$11, 100%, $F$11)</f>
        <v>2.2997999999999998</v>
      </c>
      <c r="D18" s="8">
        <f>2.2968 * CHOOSE( CONTROL!$C$15, $D$11, 100%, $F$11)</f>
        <v>2.2968000000000002</v>
      </c>
      <c r="E18" s="12">
        <f>2.2968 * CHOOSE( CONTROL!$C$15, $D$11, 100%, $F$11)</f>
        <v>2.2968000000000002</v>
      </c>
      <c r="F18" s="4">
        <f>2.9644 * CHOOSE(CONTROL!$C$15, $D$11, 100%, $F$11)</f>
        <v>2.9643999999999999</v>
      </c>
      <c r="G18" s="8">
        <f>2.2552 * CHOOSE( CONTROL!$C$15, $D$11, 100%, $F$11)</f>
        <v>2.2551999999999999</v>
      </c>
      <c r="H18" s="4">
        <f>3.1449 * CHOOSE(CONTROL!$C$15, $D$11, 100%, $F$11)</f>
        <v>3.1448999999999998</v>
      </c>
      <c r="I18" s="8">
        <f>2.2877 * CHOOSE(CONTROL!$C$15, $D$11, 100%, $F$11)</f>
        <v>2.2877000000000001</v>
      </c>
      <c r="J18" s="4">
        <f>2.189 * CHOOSE(CONTROL!$C$15, $D$11, 100%, $F$11)</f>
        <v>2.1890000000000001</v>
      </c>
      <c r="K18" s="4"/>
      <c r="L18" s="9">
        <v>27.415299999999998</v>
      </c>
      <c r="M18" s="9">
        <v>11.285299999999999</v>
      </c>
      <c r="N18" s="9">
        <v>4.6254999999999997</v>
      </c>
      <c r="O18" s="9">
        <v>0.57599999999999996</v>
      </c>
      <c r="P18" s="9">
        <v>1.2093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2.2512 * CHOOSE(CONTROL!$C$15, $D$11, 100%, $F$11)</f>
        <v>2.2511999999999999</v>
      </c>
      <c r="C19" s="8">
        <f>2.2615 * CHOOSE(CONTROL!$C$15, $D$11, 100%, $F$11)</f>
        <v>2.2614999999999998</v>
      </c>
      <c r="D19" s="8">
        <f>2.2513 * CHOOSE( CONTROL!$C$15, $D$11, 100%, $F$11)</f>
        <v>2.2513000000000001</v>
      </c>
      <c r="E19" s="12">
        <f>2.2539 * CHOOSE( CONTROL!$C$15, $D$11, 100%, $F$11)</f>
        <v>2.2538999999999998</v>
      </c>
      <c r="F19" s="4">
        <f>2.9287 * CHOOSE(CONTROL!$C$15, $D$11, 100%, $F$11)</f>
        <v>2.9287000000000001</v>
      </c>
      <c r="G19" s="8">
        <f>2.2125 * CHOOSE( CONTROL!$C$15, $D$11, 100%, $F$11)</f>
        <v>2.2124999999999999</v>
      </c>
      <c r="H19" s="4">
        <f>3.1098 * CHOOSE(CONTROL!$C$15, $D$11, 100%, $F$11)</f>
        <v>3.1097999999999999</v>
      </c>
      <c r="I19" s="8">
        <f>2.2389 * CHOOSE(CONTROL!$C$15, $D$11, 100%, $F$11)</f>
        <v>2.2389000000000001</v>
      </c>
      <c r="J19" s="4">
        <f>2.152 * CHOOSE(CONTROL!$C$15, $D$11, 100%, $F$11)</f>
        <v>2.1520000000000001</v>
      </c>
      <c r="K19" s="4"/>
      <c r="L19" s="9">
        <v>29.306000000000001</v>
      </c>
      <c r="M19" s="9">
        <v>12.063700000000001</v>
      </c>
      <c r="N19" s="9">
        <v>4.9444999999999997</v>
      </c>
      <c r="O19" s="9">
        <v>0.61570000000000003</v>
      </c>
      <c r="P19" s="9">
        <v>1.2927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2.3277 * CHOOSE(CONTROL!$C$15, $D$11, 100%, $F$11)</f>
        <v>2.3277000000000001</v>
      </c>
      <c r="C20" s="8">
        <f>2.338 * CHOOSE(CONTROL!$C$15, $D$11, 100%, $F$11)</f>
        <v>2.3380000000000001</v>
      </c>
      <c r="D20" s="8">
        <f>2.3276 * CHOOSE( CONTROL!$C$15, $D$11, 100%, $F$11)</f>
        <v>2.3275999999999999</v>
      </c>
      <c r="E20" s="12">
        <f>2.3299 * CHOOSE( CONTROL!$C$15, $D$11, 100%, $F$11)</f>
        <v>2.3298999999999999</v>
      </c>
      <c r="F20" s="4">
        <f>3.0078 * CHOOSE(CONTROL!$C$15, $D$11, 100%, $F$11)</f>
        <v>3.0078</v>
      </c>
      <c r="G20" s="8">
        <f>2.2688 * CHOOSE( CONTROL!$C$15, $D$11, 100%, $F$11)</f>
        <v>2.2688000000000001</v>
      </c>
      <c r="H20" s="4">
        <f>3.1877 * CHOOSE(CONTROL!$C$15, $D$11, 100%, $F$11)</f>
        <v>3.1877</v>
      </c>
      <c r="I20" s="8">
        <f>2.3052 * CHOOSE(CONTROL!$C$15, $D$11, 100%, $F$11)</f>
        <v>2.3052000000000001</v>
      </c>
      <c r="J20" s="4">
        <f>2.226 * CHOOSE(CONTROL!$C$15, $D$11, 100%, $F$11)</f>
        <v>2.226</v>
      </c>
      <c r="K20" s="4"/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CONTROL!$C$32, 2.387, 2.3835) * CHOOSE(CONTROL!$C$15, $D$11, 100%, $F$11)</f>
        <v>2.387</v>
      </c>
      <c r="C21" s="8">
        <f>CHOOSE( CONTROL!$C$32, 2.3973, 2.3939) * CHOOSE(CONTROL!$C$15, $D$11, 100%, $F$11)</f>
        <v>2.3973</v>
      </c>
      <c r="D21" s="8">
        <f>CHOOSE( CONTROL!$C$32, 2.3978, 2.3943) * CHOOSE( CONTROL!$C$15, $D$11, 100%, $F$11)</f>
        <v>2.3978000000000002</v>
      </c>
      <c r="E21" s="12">
        <f>CHOOSE( CONTROL!$C$32, 2.3962, 2.3927) * CHOOSE( CONTROL!$C$15, $D$11, 100%, $F$11)</f>
        <v>2.3961999999999999</v>
      </c>
      <c r="F21" s="4">
        <f>CHOOSE( CONTROL!$C$32, 3.0671, 3.0636) * CHOOSE(CONTROL!$C$15, $D$11, 100%, $F$11)</f>
        <v>3.0670999999999999</v>
      </c>
      <c r="G21" s="8">
        <f>CHOOSE( CONTROL!$C$32, 2.3263, 2.3228) * CHOOSE( CONTROL!$C$15, $D$11, 100%, $F$11)</f>
        <v>2.3262999999999998</v>
      </c>
      <c r="H21" s="4">
        <f>CHOOSE( CONTROL!$C$32, 3.246, 3.2426) * CHOOSE(CONTROL!$C$15, $D$11, 100%, $F$11)</f>
        <v>3.246</v>
      </c>
      <c r="I21" s="8">
        <f>CHOOSE( CONTROL!$C$32, 2.3642, 2.3608) * CHOOSE(CONTROL!$C$15, $D$11, 100%, $F$11)</f>
        <v>2.3641999999999999</v>
      </c>
      <c r="J21" s="4">
        <f>CHOOSE( CONTROL!$C$32, 2.2834, 2.28) * CHOOSE(CONTROL!$C$15, $D$11, 100%, $F$11)</f>
        <v>2.2833999999999999</v>
      </c>
      <c r="K21" s="4"/>
      <c r="L21" s="9">
        <v>34.362099999999998</v>
      </c>
      <c r="M21" s="9">
        <v>12.063700000000001</v>
      </c>
      <c r="N21" s="9">
        <v>4.9444999999999997</v>
      </c>
      <c r="O21" s="9">
        <v>0.37409999999999999</v>
      </c>
      <c r="P21" s="9">
        <v>1.3707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CONTROL!$C$32, 2.4356, 2.4321) * CHOOSE(CONTROL!$C$15, $D$11, 100%, $F$11)</f>
        <v>2.4356</v>
      </c>
      <c r="C22" s="8">
        <f>CHOOSE( CONTROL!$C$32, 2.4459, 2.4425) * CHOOSE(CONTROL!$C$15, $D$11, 100%, $F$11)</f>
        <v>2.4459</v>
      </c>
      <c r="D22" s="8">
        <f>CHOOSE( CONTROL!$C$32, 2.4467, 2.4432) * CHOOSE( CONTROL!$C$15, $D$11, 100%, $F$11)</f>
        <v>2.4466999999999999</v>
      </c>
      <c r="E22" s="12">
        <f>CHOOSE( CONTROL!$C$32, 2.445, 2.4415) * CHOOSE( CONTROL!$C$15, $D$11, 100%, $F$11)</f>
        <v>2.4449999999999998</v>
      </c>
      <c r="F22" s="4">
        <f>CHOOSE( CONTROL!$C$32, 3.1157, 3.1122) * CHOOSE(CONTROL!$C$15, $D$11, 100%, $F$11)</f>
        <v>3.1156999999999999</v>
      </c>
      <c r="G22" s="8">
        <f>CHOOSE( CONTROL!$C$32, 2.3745, 2.3711) * CHOOSE( CONTROL!$C$15, $D$11, 100%, $F$11)</f>
        <v>2.3744999999999998</v>
      </c>
      <c r="H22" s="4">
        <f>CHOOSE( CONTROL!$C$32, 3.2938, 3.2904) * CHOOSE(CONTROL!$C$15, $D$11, 100%, $F$11)</f>
        <v>3.2938000000000001</v>
      </c>
      <c r="I22" s="8">
        <f>CHOOSE( CONTROL!$C$32, 2.4126, 2.4092) * CHOOSE(CONTROL!$C$15, $D$11, 100%, $F$11)</f>
        <v>2.4125999999999999</v>
      </c>
      <c r="J22" s="4">
        <f>CHOOSE( CONTROL!$C$32, 2.3304, 2.327) * CHOOSE(CONTROL!$C$15, $D$11, 100%, $F$11)</f>
        <v>2.3304</v>
      </c>
      <c r="K22" s="4"/>
      <c r="L22" s="9">
        <v>33.253700000000002</v>
      </c>
      <c r="M22" s="9">
        <v>11.6745</v>
      </c>
      <c r="N22" s="9">
        <v>4.7850000000000001</v>
      </c>
      <c r="O22" s="9">
        <v>0.36199999999999999</v>
      </c>
      <c r="P22" s="9">
        <v>1.3265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CONTROL!$C$32, 2.4873, 2.4838) * CHOOSE(CONTROL!$C$15, $D$11, 100%, $F$11)</f>
        <v>2.4872999999999998</v>
      </c>
      <c r="C23" s="8">
        <f>CHOOSE( CONTROL!$C$32, 2.4976, 2.4942) * CHOOSE(CONTROL!$C$15, $D$11, 100%, $F$11)</f>
        <v>2.4975999999999998</v>
      </c>
      <c r="D23" s="8">
        <f>CHOOSE( CONTROL!$C$32, 2.4988, 2.4953) * CHOOSE( CONTROL!$C$15, $D$11, 100%, $F$11)</f>
        <v>2.4988000000000001</v>
      </c>
      <c r="E23" s="12">
        <f>CHOOSE( CONTROL!$C$32, 2.497, 2.4935) * CHOOSE( CONTROL!$C$15, $D$11, 100%, $F$11)</f>
        <v>2.4969999999999999</v>
      </c>
      <c r="F23" s="4">
        <f>CHOOSE( CONTROL!$C$32, 3.1674, 3.1639) * CHOOSE(CONTROL!$C$15, $D$11, 100%, $F$11)</f>
        <v>3.1674000000000002</v>
      </c>
      <c r="G23" s="8">
        <f>CHOOSE( CONTROL!$C$32, 2.4258, 2.4224) * CHOOSE( CONTROL!$C$15, $D$11, 100%, $F$11)</f>
        <v>2.4258000000000002</v>
      </c>
      <c r="H23" s="4">
        <f>CHOOSE( CONTROL!$C$32, 3.3447, 3.3413) * CHOOSE(CONTROL!$C$15, $D$11, 100%, $F$11)</f>
        <v>3.3447</v>
      </c>
      <c r="I23" s="8">
        <f>CHOOSE( CONTROL!$C$32, 2.464, 2.4607) * CHOOSE(CONTROL!$C$15, $D$11, 100%, $F$11)</f>
        <v>2.464</v>
      </c>
      <c r="J23" s="4">
        <f>CHOOSE( CONTROL!$C$32, 2.3804, 2.377) * CHOOSE(CONTROL!$C$15, $D$11, 100%, $F$11)</f>
        <v>2.3803999999999998</v>
      </c>
      <c r="K23" s="4"/>
      <c r="L23" s="9">
        <v>34.362099999999998</v>
      </c>
      <c r="M23" s="9">
        <v>12.063700000000001</v>
      </c>
      <c r="N23" s="9">
        <v>4.9444999999999997</v>
      </c>
      <c r="O23" s="9">
        <v>0.37409999999999999</v>
      </c>
      <c r="P23" s="9">
        <v>1.3707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CONTROL!$C$32, 2.5111, 2.5076) * CHOOSE(CONTROL!$C$15, $D$11, 100%, $F$11)</f>
        <v>2.5110999999999999</v>
      </c>
      <c r="C24" s="8">
        <f>CHOOSE( CONTROL!$C$32, 2.5214, 2.5179) * CHOOSE(CONTROL!$C$15, $D$11, 100%, $F$11)</f>
        <v>2.5213999999999999</v>
      </c>
      <c r="D24" s="8">
        <f>CHOOSE( CONTROL!$C$32, 2.5227, 2.5193) * CHOOSE( CONTROL!$C$15, $D$11, 100%, $F$11)</f>
        <v>2.5226999999999999</v>
      </c>
      <c r="E24" s="12">
        <f>CHOOSE( CONTROL!$C$32, 2.5208, 2.5174) * CHOOSE( CONTROL!$C$15, $D$11, 100%, $F$11)</f>
        <v>2.5207999999999999</v>
      </c>
      <c r="F24" s="4">
        <f>CHOOSE( CONTROL!$C$32, 3.1912, 3.1877) * CHOOSE(CONTROL!$C$15, $D$11, 100%, $F$11)</f>
        <v>3.1911999999999998</v>
      </c>
      <c r="G24" s="8">
        <f>CHOOSE( CONTROL!$C$32, 2.4494, 2.446) * CHOOSE( CONTROL!$C$15, $D$11, 100%, $F$11)</f>
        <v>2.4493999999999998</v>
      </c>
      <c r="H24" s="4">
        <f>CHOOSE( CONTROL!$C$32, 3.3681, 3.3647) * CHOOSE(CONTROL!$C$15, $D$11, 100%, $F$11)</f>
        <v>3.3681000000000001</v>
      </c>
      <c r="I24" s="8">
        <f>CHOOSE( CONTROL!$C$32, 2.4877, 2.4843) * CHOOSE(CONTROL!$C$15, $D$11, 100%, $F$11)</f>
        <v>2.4876999999999998</v>
      </c>
      <c r="J24" s="4">
        <f>CHOOSE( CONTROL!$C$32, 2.4034, 2.4) * CHOOSE(CONTROL!$C$15, $D$11, 100%, $F$11)</f>
        <v>2.4034</v>
      </c>
      <c r="K24" s="4"/>
      <c r="L24" s="9">
        <v>34.362099999999998</v>
      </c>
      <c r="M24" s="9">
        <v>12.063700000000001</v>
      </c>
      <c r="N24" s="9">
        <v>4.9444999999999997</v>
      </c>
      <c r="O24" s="9">
        <v>0.37409999999999999</v>
      </c>
      <c r="P24" s="9">
        <v>1.3707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CONTROL!$C$32, 2.5183, 2.5148) * CHOOSE(CONTROL!$C$15, $D$11, 100%, $F$11)</f>
        <v>2.5183</v>
      </c>
      <c r="C25" s="8">
        <f>CHOOSE( CONTROL!$C$32, 2.5287, 2.5252) * CHOOSE(CONTROL!$C$15, $D$11, 100%, $F$11)</f>
        <v>2.5287000000000002</v>
      </c>
      <c r="D25" s="8">
        <f>CHOOSE( CONTROL!$C$32, 2.53, 2.5265) * CHOOSE( CONTROL!$C$15, $D$11, 100%, $F$11)</f>
        <v>2.5299999999999998</v>
      </c>
      <c r="E25" s="12">
        <f>CHOOSE( CONTROL!$C$32, 2.5281, 2.5246) * CHOOSE( CONTROL!$C$15, $D$11, 100%, $F$11)</f>
        <v>2.5280999999999998</v>
      </c>
      <c r="F25" s="4">
        <f>CHOOSE( CONTROL!$C$32, 3.1984, 3.195) * CHOOSE(CONTROL!$C$15, $D$11, 100%, $F$11)</f>
        <v>3.1983999999999999</v>
      </c>
      <c r="G25" s="8">
        <f>CHOOSE( CONTROL!$C$32, 2.4566, 2.4532) * CHOOSE( CONTROL!$C$15, $D$11, 100%, $F$11)</f>
        <v>2.4565999999999999</v>
      </c>
      <c r="H25" s="4">
        <f>CHOOSE( CONTROL!$C$32, 3.3752, 3.3718) * CHOOSE(CONTROL!$C$15, $D$11, 100%, $F$11)</f>
        <v>3.3752</v>
      </c>
      <c r="I25" s="8">
        <f>CHOOSE( CONTROL!$C$32, 2.4949, 2.4916) * CHOOSE(CONTROL!$C$15, $D$11, 100%, $F$11)</f>
        <v>2.4948999999999999</v>
      </c>
      <c r="J25" s="4">
        <f>CHOOSE( CONTROL!$C$32, 2.4104, 2.407) * CHOOSE(CONTROL!$C$15, $D$11, 100%, $F$11)</f>
        <v>2.4104000000000001</v>
      </c>
      <c r="K25" s="4"/>
      <c r="L25" s="9">
        <v>33.253700000000002</v>
      </c>
      <c r="M25" s="9">
        <v>11.6745</v>
      </c>
      <c r="N25" s="9">
        <v>4.7850000000000001</v>
      </c>
      <c r="O25" s="9">
        <v>0.36199999999999999</v>
      </c>
      <c r="P25" s="9">
        <v>1.3265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2.5459 * CHOOSE(CONTROL!$C$15, $D$11, 100%, $F$11)</f>
        <v>2.5459000000000001</v>
      </c>
      <c r="C26" s="8">
        <f>2.5562 * CHOOSE(CONTROL!$C$15, $D$11, 100%, $F$11)</f>
        <v>2.5562</v>
      </c>
      <c r="D26" s="8">
        <f>2.5586 * CHOOSE( CONTROL!$C$15, $D$11, 100%, $F$11)</f>
        <v>2.5586000000000002</v>
      </c>
      <c r="E26" s="12">
        <f>2.5569 * CHOOSE( CONTROL!$C$15, $D$11, 100%, $F$11)</f>
        <v>2.5569000000000002</v>
      </c>
      <c r="F26" s="4">
        <f>3.226 * CHOOSE(CONTROL!$C$15, $D$11, 100%, $F$11)</f>
        <v>3.226</v>
      </c>
      <c r="G26" s="8">
        <f>2.4833 * CHOOSE( CONTROL!$C$15, $D$11, 100%, $F$11)</f>
        <v>2.4832999999999998</v>
      </c>
      <c r="H26" s="4">
        <f>3.4023 * CHOOSE(CONTROL!$C$15, $D$11, 100%, $F$11)</f>
        <v>3.4022999999999999</v>
      </c>
      <c r="I26" s="8">
        <f>2.5224 * CHOOSE(CONTROL!$C$15, $D$11, 100%, $F$11)</f>
        <v>2.5224000000000002</v>
      </c>
      <c r="J26" s="4">
        <f>2.437 * CHOOSE(CONTROL!$C$15, $D$11, 100%, $F$11)</f>
        <v>2.4369999999999998</v>
      </c>
      <c r="K26" s="4"/>
      <c r="L26" s="9">
        <v>34.740900000000003</v>
      </c>
      <c r="M26" s="9">
        <v>12.063700000000001</v>
      </c>
      <c r="N26" s="9">
        <v>4.9444999999999997</v>
      </c>
      <c r="O26" s="9">
        <v>0.37409999999999999</v>
      </c>
      <c r="P26" s="9">
        <v>1.3707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2.6286 * CHOOSE(CONTROL!$C$15, $D$11, 100%, $F$11)</f>
        <v>2.6286</v>
      </c>
      <c r="C27" s="8">
        <f>2.6389 * CHOOSE(CONTROL!$C$15, $D$11, 100%, $F$11)</f>
        <v>2.6389</v>
      </c>
      <c r="D27" s="8">
        <f>2.6239 * CHOOSE( CONTROL!$C$15, $D$11, 100%, $F$11)</f>
        <v>2.6238999999999999</v>
      </c>
      <c r="E27" s="12">
        <f>2.6283 * CHOOSE( CONTROL!$C$15, $D$11, 100%, $F$11)</f>
        <v>2.6282999999999999</v>
      </c>
      <c r="F27" s="4">
        <f>3.2828 * CHOOSE(CONTROL!$C$15, $D$11, 100%, $F$11)</f>
        <v>3.2827999999999999</v>
      </c>
      <c r="G27" s="8">
        <f>2.5741 * CHOOSE( CONTROL!$C$15, $D$11, 100%, $F$11)</f>
        <v>2.5741000000000001</v>
      </c>
      <c r="H27" s="4">
        <f>3.4583 * CHOOSE(CONTROL!$C$15, $D$11, 100%, $F$11)</f>
        <v>3.4582999999999999</v>
      </c>
      <c r="I27" s="8">
        <f>2.6228 * CHOOSE(CONTROL!$C$15, $D$11, 100%, $F$11)</f>
        <v>2.6227999999999998</v>
      </c>
      <c r="J27" s="4">
        <f>2.517 * CHOOSE(CONTROL!$C$15, $D$11, 100%, $F$11)</f>
        <v>2.5169999999999999</v>
      </c>
      <c r="K27" s="4"/>
      <c r="L27" s="9">
        <v>28.360600000000002</v>
      </c>
      <c r="M27" s="9">
        <v>11.6745</v>
      </c>
      <c r="N27" s="9">
        <v>4.7850000000000001</v>
      </c>
      <c r="O27" s="9">
        <v>0.36199999999999999</v>
      </c>
      <c r="P27" s="9">
        <v>1.2509999999999999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2.8178 * CHOOSE(CONTROL!$C$15, $D$11, 100%, $F$11)</f>
        <v>2.8178000000000001</v>
      </c>
      <c r="C28" s="8">
        <f>2.8282 * CHOOSE(CONTROL!$C$15, $D$11, 100%, $F$11)</f>
        <v>2.8281999999999998</v>
      </c>
      <c r="D28" s="8">
        <f>2.8147 * CHOOSE( CONTROL!$C$15, $D$11, 100%, $F$11)</f>
        <v>2.8147000000000002</v>
      </c>
      <c r="E28" s="12">
        <f>2.8185 * CHOOSE( CONTROL!$C$15, $D$11, 100%, $F$11)</f>
        <v>2.8184999999999998</v>
      </c>
      <c r="F28" s="4">
        <f>3.4721 * CHOOSE(CONTROL!$C$15, $D$11, 100%, $F$11)</f>
        <v>3.4721000000000002</v>
      </c>
      <c r="G28" s="8">
        <f>2.7614 * CHOOSE( CONTROL!$C$15, $D$11, 100%, $F$11)</f>
        <v>2.7614000000000001</v>
      </c>
      <c r="H28" s="4">
        <f>3.6444 * CHOOSE(CONTROL!$C$15, $D$11, 100%, $F$11)</f>
        <v>3.6444000000000001</v>
      </c>
      <c r="I28" s="8">
        <f>2.8112 * CHOOSE(CONTROL!$C$15, $D$11, 100%, $F$11)</f>
        <v>2.8111999999999999</v>
      </c>
      <c r="J28" s="4">
        <f>2.7 * CHOOSE(CONTROL!$C$15, $D$11, 100%, $F$11)</f>
        <v>2.7</v>
      </c>
      <c r="K28" s="4"/>
      <c r="L28" s="9">
        <v>29.306000000000001</v>
      </c>
      <c r="M28" s="9">
        <v>12.063700000000001</v>
      </c>
      <c r="N28" s="9">
        <v>4.9444999999999997</v>
      </c>
      <c r="O28" s="9">
        <v>0.37409999999999999</v>
      </c>
      <c r="P28" s="9">
        <v>1.2927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2.9429 * CHOOSE(CONTROL!$C$15, $D$11, 100%, $F$11)</f>
        <v>2.9428999999999998</v>
      </c>
      <c r="C29" s="8">
        <f>2.9533 * CHOOSE(CONTROL!$C$15, $D$11, 100%, $F$11)</f>
        <v>2.9533</v>
      </c>
      <c r="D29" s="8">
        <f>2.9517 * CHOOSE( CONTROL!$C$15, $D$11, 100%, $F$11)</f>
        <v>2.9517000000000002</v>
      </c>
      <c r="E29" s="12">
        <f>2.9512 * CHOOSE( CONTROL!$C$15, $D$11, 100%, $F$11)</f>
        <v>2.9512</v>
      </c>
      <c r="F29" s="4">
        <f>3.6256 * CHOOSE(CONTROL!$C$15, $D$11, 100%, $F$11)</f>
        <v>3.6255999999999999</v>
      </c>
      <c r="G29" s="8">
        <f>2.8971 * CHOOSE( CONTROL!$C$15, $D$11, 100%, $F$11)</f>
        <v>2.8971</v>
      </c>
      <c r="H29" s="4">
        <f>3.7955 * CHOOSE(CONTROL!$C$15, $D$11, 100%, $F$11)</f>
        <v>3.7955000000000001</v>
      </c>
      <c r="I29" s="8">
        <f>2.931 * CHOOSE(CONTROL!$C$15, $D$11, 100%, $F$11)</f>
        <v>2.931</v>
      </c>
      <c r="J29" s="4">
        <f>2.821 * CHOOSE(CONTROL!$C$15, $D$11, 100%, $F$11)</f>
        <v>2.8210000000000002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0.37409999999999999</v>
      </c>
      <c r="P29" s="9">
        <v>1.2927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2.9378 * CHOOSE(CONTROL!$C$15, $D$11, 100%, $F$11)</f>
        <v>2.9378000000000002</v>
      </c>
      <c r="C30" s="8">
        <f>2.9481 * CHOOSE(CONTROL!$C$15, $D$11, 100%, $F$11)</f>
        <v>2.9481000000000002</v>
      </c>
      <c r="D30" s="8">
        <f>2.9486 * CHOOSE( CONTROL!$C$15, $D$11, 100%, $F$11)</f>
        <v>2.9485999999999999</v>
      </c>
      <c r="E30" s="12">
        <f>2.9473 * CHOOSE( CONTROL!$C$15, $D$11, 100%, $F$11)</f>
        <v>2.9472999999999998</v>
      </c>
      <c r="F30" s="4">
        <f>3.6127 * CHOOSE(CONTROL!$C$15, $D$11, 100%, $F$11)</f>
        <v>3.6126999999999998</v>
      </c>
      <c r="G30" s="8">
        <f>2.8917 * CHOOSE( CONTROL!$C$15, $D$11, 100%, $F$11)</f>
        <v>2.8917000000000002</v>
      </c>
      <c r="H30" s="4">
        <f>3.7828 * CHOOSE(CONTROL!$C$15, $D$11, 100%, $F$11)</f>
        <v>3.7827999999999999</v>
      </c>
      <c r="I30" s="8">
        <f>2.9151 * CHOOSE(CONTROL!$C$15, $D$11, 100%, $F$11)</f>
        <v>2.9150999999999998</v>
      </c>
      <c r="J30" s="4">
        <f>2.816 * CHOOSE(CONTROL!$C$15, $D$11, 100%, $F$11)</f>
        <v>2.8159999999999998</v>
      </c>
      <c r="K30" s="4"/>
      <c r="L30" s="9">
        <v>26.469899999999999</v>
      </c>
      <c r="M30" s="9">
        <v>10.8962</v>
      </c>
      <c r="N30" s="9">
        <v>4.4660000000000002</v>
      </c>
      <c r="O30" s="9">
        <v>0.33789999999999998</v>
      </c>
      <c r="P30" s="9">
        <v>1.1676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2.8964 * CHOOSE(CONTROL!$C$15, $D$11, 100%, $F$11)</f>
        <v>2.8963999999999999</v>
      </c>
      <c r="C31" s="8">
        <f>2.9067 * CHOOSE(CONTROL!$C$15, $D$11, 100%, $F$11)</f>
        <v>2.9066999999999998</v>
      </c>
      <c r="D31" s="8">
        <f>2.9019 * CHOOSE( CONTROL!$C$15, $D$11, 100%, $F$11)</f>
        <v>2.9018999999999999</v>
      </c>
      <c r="E31" s="12">
        <f>2.9026 * CHOOSE( CONTROL!$C$15, $D$11, 100%, $F$11)</f>
        <v>2.9026000000000001</v>
      </c>
      <c r="F31" s="4">
        <f>3.5739 * CHOOSE(CONTROL!$C$15, $D$11, 100%, $F$11)</f>
        <v>3.5739000000000001</v>
      </c>
      <c r="G31" s="8">
        <f>2.8456 * CHOOSE( CONTROL!$C$15, $D$11, 100%, $F$11)</f>
        <v>2.8456000000000001</v>
      </c>
      <c r="H31" s="4">
        <f>3.7446 * CHOOSE(CONTROL!$C$15, $D$11, 100%, $F$11)</f>
        <v>3.7446000000000002</v>
      </c>
      <c r="I31" s="8">
        <f>2.8632 * CHOOSE(CONTROL!$C$15, $D$11, 100%, $F$11)</f>
        <v>2.8632</v>
      </c>
      <c r="J31" s="4">
        <f>2.776 * CHOOSE(CONTROL!$C$15, $D$11, 100%, $F$11)</f>
        <v>2.7759999999999998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0.37409999999999999</v>
      </c>
      <c r="P31" s="9">
        <v>1.2927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2.7061 * CHOOSE(CONTROL!$C$15, $D$11, 100%, $F$11)</f>
        <v>2.7061000000000002</v>
      </c>
      <c r="C32" s="8">
        <f>2.7165 * CHOOSE(CONTROL!$C$15, $D$11, 100%, $F$11)</f>
        <v>2.7164999999999999</v>
      </c>
      <c r="D32" s="8">
        <f>2.7122 * CHOOSE( CONTROL!$C$15, $D$11, 100%, $F$11)</f>
        <v>2.7122000000000002</v>
      </c>
      <c r="E32" s="12">
        <f>2.7124 * CHOOSE( CONTROL!$C$15, $D$11, 100%, $F$11)</f>
        <v>2.7124000000000001</v>
      </c>
      <c r="F32" s="4">
        <f>3.3862 * CHOOSE(CONTROL!$C$15, $D$11, 100%, $F$11)</f>
        <v>3.3862000000000001</v>
      </c>
      <c r="G32" s="8">
        <f>2.639 * CHOOSE( CONTROL!$C$15, $D$11, 100%, $F$11)</f>
        <v>2.6389999999999998</v>
      </c>
      <c r="H32" s="4">
        <f>3.56 * CHOOSE(CONTROL!$C$15, $D$11, 100%, $F$11)</f>
        <v>3.56</v>
      </c>
      <c r="I32" s="8">
        <f>2.6714 * CHOOSE(CONTROL!$C$15, $D$11, 100%, $F$11)</f>
        <v>2.6714000000000002</v>
      </c>
      <c r="J32" s="4">
        <f>2.592 * CHOOSE(CONTROL!$C$15, $D$11, 100%, $F$11)</f>
        <v>2.5920000000000001</v>
      </c>
      <c r="K32" s="4"/>
      <c r="L32" s="9">
        <v>30.092199999999998</v>
      </c>
      <c r="M32" s="9">
        <v>11.6745</v>
      </c>
      <c r="N32" s="9">
        <v>4.7850000000000001</v>
      </c>
      <c r="O32" s="9">
        <v>0.36199999999999999</v>
      </c>
      <c r="P32" s="9">
        <v>2.0339999999999998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CONTROL!$C$32, 2.7158, 2.7123) * CHOOSE(CONTROL!$C$15, $D$11, 100%, $F$11)</f>
        <v>2.7158000000000002</v>
      </c>
      <c r="C33" s="8">
        <f>CHOOSE( CONTROL!$C$32, 2.7262, 2.7227) * CHOOSE(CONTROL!$C$15, $D$11, 100%, $F$11)</f>
        <v>2.7262</v>
      </c>
      <c r="D33" s="8">
        <f>CHOOSE( CONTROL!$C$32, 2.7219, 2.7184) * CHOOSE( CONTROL!$C$15, $D$11, 100%, $F$11)</f>
        <v>2.7219000000000002</v>
      </c>
      <c r="E33" s="12">
        <f>CHOOSE( CONTROL!$C$32, 2.7219, 2.7184) * CHOOSE( CONTROL!$C$15, $D$11, 100%, $F$11)</f>
        <v>2.7219000000000002</v>
      </c>
      <c r="F33" s="4">
        <f>CHOOSE( CONTROL!$C$32, 3.3959, 3.3924) * CHOOSE(CONTROL!$C$15, $D$11, 100%, $F$11)</f>
        <v>3.3959000000000001</v>
      </c>
      <c r="G33" s="8">
        <f>CHOOSE( CONTROL!$C$32, 2.6498, 2.6463) * CHOOSE( CONTROL!$C$15, $D$11, 100%, $F$11)</f>
        <v>2.6497999999999999</v>
      </c>
      <c r="H33" s="4">
        <f>CHOOSE( CONTROL!$C$32, 3.5695, 3.5661) * CHOOSE(CONTROL!$C$15, $D$11, 100%, $F$11)</f>
        <v>3.5695000000000001</v>
      </c>
      <c r="I33" s="8">
        <f>CHOOSE( CONTROL!$C$32, 2.6823, 2.679) * CHOOSE(CONTROL!$C$15, $D$11, 100%, $F$11)</f>
        <v>2.6823000000000001</v>
      </c>
      <c r="J33" s="4">
        <f>CHOOSE( CONTROL!$C$32, 2.6014, 2.598) * CHOOSE(CONTROL!$C$15, $D$11, 100%, $F$11)</f>
        <v>2.6013999999999999</v>
      </c>
      <c r="K33" s="4"/>
      <c r="L33" s="9">
        <v>30.7165</v>
      </c>
      <c r="M33" s="9">
        <v>12.063700000000001</v>
      </c>
      <c r="N33" s="9">
        <v>4.9444999999999997</v>
      </c>
      <c r="O33" s="9">
        <v>0.37409999999999999</v>
      </c>
      <c r="P33" s="9">
        <v>2.1017999999999999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CONTROL!$C$32, 2.7561, 2.7527) * CHOOSE(CONTROL!$C$15, $D$11, 100%, $F$11)</f>
        <v>2.7561</v>
      </c>
      <c r="C34" s="8">
        <f>CHOOSE( CONTROL!$C$32, 2.7665, 2.763) * CHOOSE(CONTROL!$C$15, $D$11, 100%, $F$11)</f>
        <v>2.7665000000000002</v>
      </c>
      <c r="D34" s="8">
        <f>CHOOSE( CONTROL!$C$32, 2.7626, 2.7591) * CHOOSE( CONTROL!$C$15, $D$11, 100%, $F$11)</f>
        <v>2.7625999999999999</v>
      </c>
      <c r="E34" s="12">
        <f>CHOOSE( CONTROL!$C$32, 2.7624, 2.7589) * CHOOSE( CONTROL!$C$15, $D$11, 100%, $F$11)</f>
        <v>2.7624</v>
      </c>
      <c r="F34" s="4">
        <f>CHOOSE( CONTROL!$C$32, 3.4362, 3.4328) * CHOOSE(CONTROL!$C$15, $D$11, 100%, $F$11)</f>
        <v>3.4361999999999999</v>
      </c>
      <c r="G34" s="8">
        <f>CHOOSE( CONTROL!$C$32, 2.6899, 2.6864) * CHOOSE( CONTROL!$C$15, $D$11, 100%, $F$11)</f>
        <v>2.6899000000000002</v>
      </c>
      <c r="H34" s="4">
        <f>CHOOSE( CONTROL!$C$32, 3.6092, 3.6058) * CHOOSE(CONTROL!$C$15, $D$11, 100%, $F$11)</f>
        <v>3.6092</v>
      </c>
      <c r="I34" s="8">
        <f>CHOOSE( CONTROL!$C$32, 2.7227, 2.7194) * CHOOSE(CONTROL!$C$15, $D$11, 100%, $F$11)</f>
        <v>2.7227000000000001</v>
      </c>
      <c r="J34" s="4">
        <f>CHOOSE( CONTROL!$C$32, 2.6404, 2.637) * CHOOSE(CONTROL!$C$15, $D$11, 100%, $F$11)</f>
        <v>2.6404000000000001</v>
      </c>
      <c r="K34" s="4"/>
      <c r="L34" s="9">
        <v>29.7257</v>
      </c>
      <c r="M34" s="9">
        <v>11.6745</v>
      </c>
      <c r="N34" s="9">
        <v>4.7850000000000001</v>
      </c>
      <c r="O34" s="9">
        <v>0.36199999999999999</v>
      </c>
      <c r="P34" s="9">
        <v>2.0339999999999998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CONTROL!$C$32, 2.7975, 2.794) * CHOOSE(CONTROL!$C$15, $D$11, 100%, $F$11)</f>
        <v>2.7974999999999999</v>
      </c>
      <c r="C35" s="8">
        <f>CHOOSE( CONTROL!$C$32, 2.8078, 2.8044) * CHOOSE(CONTROL!$C$15, $D$11, 100%, $F$11)</f>
        <v>2.8077999999999999</v>
      </c>
      <c r="D35" s="8">
        <f>CHOOSE( CONTROL!$C$32, 2.8044, 2.8009) * CHOOSE( CONTROL!$C$15, $D$11, 100%, $F$11)</f>
        <v>2.8043999999999998</v>
      </c>
      <c r="E35" s="12">
        <f>CHOOSE( CONTROL!$C$32, 2.8041, 2.8006) * CHOOSE( CONTROL!$C$15, $D$11, 100%, $F$11)</f>
        <v>2.8041</v>
      </c>
      <c r="F35" s="4">
        <f>CHOOSE( CONTROL!$C$32, 3.4776, 3.4741) * CHOOSE(CONTROL!$C$15, $D$11, 100%, $F$11)</f>
        <v>3.4775999999999998</v>
      </c>
      <c r="G35" s="8">
        <f>CHOOSE( CONTROL!$C$32, 2.731, 2.7276) * CHOOSE( CONTROL!$C$15, $D$11, 100%, $F$11)</f>
        <v>2.7309999999999999</v>
      </c>
      <c r="H35" s="4">
        <f>CHOOSE( CONTROL!$C$32, 3.6499, 3.6464) * CHOOSE(CONTROL!$C$15, $D$11, 100%, $F$11)</f>
        <v>3.6499000000000001</v>
      </c>
      <c r="I35" s="8">
        <f>CHOOSE( CONTROL!$C$32, 2.7642, 2.7608) * CHOOSE(CONTROL!$C$15, $D$11, 100%, $F$11)</f>
        <v>2.7642000000000002</v>
      </c>
      <c r="J35" s="4">
        <f>CHOOSE( CONTROL!$C$32, 2.6804, 2.677) * CHOOSE(CONTROL!$C$15, $D$11, 100%, $F$11)</f>
        <v>2.6804000000000001</v>
      </c>
      <c r="K35" s="4"/>
      <c r="L35" s="9">
        <v>30.7165</v>
      </c>
      <c r="M35" s="9">
        <v>12.063700000000001</v>
      </c>
      <c r="N35" s="9">
        <v>4.9444999999999997</v>
      </c>
      <c r="O35" s="9">
        <v>0.37409999999999999</v>
      </c>
      <c r="P35" s="9">
        <v>2.1017999999999999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CONTROL!$C$32, 2.8109, 2.8075) * CHOOSE(CONTROL!$C$15, $D$11, 100%, $F$11)</f>
        <v>2.8109000000000002</v>
      </c>
      <c r="C36" s="8">
        <f>CHOOSE( CONTROL!$C$32, 2.8213, 2.8178) * CHOOSE(CONTROL!$C$15, $D$11, 100%, $F$11)</f>
        <v>2.8212999999999999</v>
      </c>
      <c r="D36" s="8">
        <f>CHOOSE( CONTROL!$C$32, 2.8181, 2.8146) * CHOOSE( CONTROL!$C$15, $D$11, 100%, $F$11)</f>
        <v>2.8180999999999998</v>
      </c>
      <c r="E36" s="12">
        <f>CHOOSE( CONTROL!$C$32, 2.8177, 2.8142) * CHOOSE( CONTROL!$C$15, $D$11, 100%, $F$11)</f>
        <v>2.8176999999999999</v>
      </c>
      <c r="F36" s="4">
        <f>CHOOSE( CONTROL!$C$32, 3.4911, 3.4876) * CHOOSE(CONTROL!$C$15, $D$11, 100%, $F$11)</f>
        <v>3.4910999999999999</v>
      </c>
      <c r="G36" s="8">
        <f>CHOOSE( CONTROL!$C$32, 2.7444, 2.741) * CHOOSE( CONTROL!$C$15, $D$11, 100%, $F$11)</f>
        <v>2.7444000000000002</v>
      </c>
      <c r="H36" s="4">
        <f>CHOOSE( CONTROL!$C$32, 3.6631, 3.6597) * CHOOSE(CONTROL!$C$15, $D$11, 100%, $F$11)</f>
        <v>3.6631</v>
      </c>
      <c r="I36" s="8">
        <f>CHOOSE( CONTROL!$C$32, 2.7778, 2.7745) * CHOOSE(CONTROL!$C$15, $D$11, 100%, $F$11)</f>
        <v>2.7778</v>
      </c>
      <c r="J36" s="4">
        <f>CHOOSE( CONTROL!$C$32, 2.6934, 2.69) * CHOOSE(CONTROL!$C$15, $D$11, 100%, $F$11)</f>
        <v>2.6934</v>
      </c>
      <c r="K36" s="4"/>
      <c r="L36" s="9">
        <v>30.7165</v>
      </c>
      <c r="M36" s="9">
        <v>12.063700000000001</v>
      </c>
      <c r="N36" s="9">
        <v>4.9444999999999997</v>
      </c>
      <c r="O36" s="9">
        <v>0.37409999999999999</v>
      </c>
      <c r="P36" s="9">
        <v>2.1017999999999999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CONTROL!$C$32, 2.8068, 2.8033) * CHOOSE(CONTROL!$C$15, $D$11, 100%, $F$11)</f>
        <v>2.8068</v>
      </c>
      <c r="C37" s="8">
        <f>CHOOSE( CONTROL!$C$32, 2.8171, 2.8137) * CHOOSE(CONTROL!$C$15, $D$11, 100%, $F$11)</f>
        <v>2.8170999999999999</v>
      </c>
      <c r="D37" s="8">
        <f>CHOOSE( CONTROL!$C$32, 2.814, 2.8105) * CHOOSE( CONTROL!$C$15, $D$11, 100%, $F$11)</f>
        <v>2.8140000000000001</v>
      </c>
      <c r="E37" s="12">
        <f>CHOOSE( CONTROL!$C$32, 2.8136, 2.8101) * CHOOSE( CONTROL!$C$15, $D$11, 100%, $F$11)</f>
        <v>2.8136000000000001</v>
      </c>
      <c r="F37" s="4">
        <f>CHOOSE( CONTROL!$C$32, 3.4869, 3.4834) * CHOOSE(CONTROL!$C$15, $D$11, 100%, $F$11)</f>
        <v>3.4868999999999999</v>
      </c>
      <c r="G37" s="8">
        <f>CHOOSE( CONTROL!$C$32, 2.7404, 2.737) * CHOOSE( CONTROL!$C$15, $D$11, 100%, $F$11)</f>
        <v>2.7404000000000002</v>
      </c>
      <c r="H37" s="4">
        <f>CHOOSE( CONTROL!$C$32, 3.659, 3.6556) * CHOOSE(CONTROL!$C$15, $D$11, 100%, $F$11)</f>
        <v>3.6589999999999998</v>
      </c>
      <c r="I37" s="8">
        <f>CHOOSE( CONTROL!$C$32, 2.774, 2.7707) * CHOOSE(CONTROL!$C$15, $D$11, 100%, $F$11)</f>
        <v>2.774</v>
      </c>
      <c r="J37" s="4">
        <f>CHOOSE( CONTROL!$C$32, 2.6894, 2.686) * CHOOSE(CONTROL!$C$15, $D$11, 100%, $F$11)</f>
        <v>2.6894</v>
      </c>
      <c r="K37" s="4"/>
      <c r="L37" s="9">
        <v>29.7257</v>
      </c>
      <c r="M37" s="9">
        <v>11.6745</v>
      </c>
      <c r="N37" s="9">
        <v>4.7850000000000001</v>
      </c>
      <c r="O37" s="9">
        <v>0.36199999999999999</v>
      </c>
      <c r="P37" s="9">
        <v>2.0339999999999998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2.8271 * CHOOSE(CONTROL!$C$15, $D$11, 100%, $F$11)</f>
        <v>2.8271000000000002</v>
      </c>
      <c r="C38" s="8">
        <f>2.8375 * CHOOSE(CONTROL!$C$15, $D$11, 100%, $F$11)</f>
        <v>2.8374999999999999</v>
      </c>
      <c r="D38" s="8">
        <f>2.835 * CHOOSE( CONTROL!$C$15, $D$11, 100%, $F$11)</f>
        <v>2.835</v>
      </c>
      <c r="E38" s="12">
        <f>2.8347 * CHOOSE( CONTROL!$C$15, $D$11, 100%, $F$11)</f>
        <v>2.8347000000000002</v>
      </c>
      <c r="F38" s="4">
        <f>3.5072 * CHOOSE(CONTROL!$C$15, $D$11, 100%, $F$11)</f>
        <v>3.5072000000000001</v>
      </c>
      <c r="G38" s="8">
        <f>2.76 * CHOOSE( CONTROL!$C$15, $D$11, 100%, $F$11)</f>
        <v>2.76</v>
      </c>
      <c r="H38" s="4">
        <f>3.679 * CHOOSE(CONTROL!$C$15, $D$11, 100%, $F$11)</f>
        <v>3.6789999999999998</v>
      </c>
      <c r="I38" s="8">
        <f>2.7946 * CHOOSE(CONTROL!$C$15, $D$11, 100%, $F$11)</f>
        <v>2.7946</v>
      </c>
      <c r="J38" s="4">
        <f>2.709 * CHOOSE(CONTROL!$C$15, $D$11, 100%, $F$11)</f>
        <v>2.7090000000000001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2.8995 * CHOOSE(CONTROL!$C$15, $D$11, 100%, $F$11)</f>
        <v>2.8995000000000002</v>
      </c>
      <c r="C39" s="8">
        <f>2.9098 * CHOOSE(CONTROL!$C$15, $D$11, 100%, $F$11)</f>
        <v>2.9098000000000002</v>
      </c>
      <c r="D39" s="8">
        <f>2.8948 * CHOOSE( CONTROL!$C$15, $D$11, 100%, $F$11)</f>
        <v>2.8948</v>
      </c>
      <c r="E39" s="12">
        <f>2.8992 * CHOOSE( CONTROL!$C$15, $D$11, 100%, $F$11)</f>
        <v>2.8992</v>
      </c>
      <c r="F39" s="4">
        <f>3.5538 * CHOOSE(CONTROL!$C$15, $D$11, 100%, $F$11)</f>
        <v>3.5537999999999998</v>
      </c>
      <c r="G39" s="8">
        <f>2.8406 * CHOOSE( CONTROL!$C$15, $D$11, 100%, $F$11)</f>
        <v>2.8405999999999998</v>
      </c>
      <c r="H39" s="4">
        <f>3.7248 * CHOOSE(CONTROL!$C$15, $D$11, 100%, $F$11)</f>
        <v>3.7248000000000001</v>
      </c>
      <c r="I39" s="8">
        <f>2.8849 * CHOOSE(CONTROL!$C$15, $D$11, 100%, $F$11)</f>
        <v>2.8849</v>
      </c>
      <c r="J39" s="4">
        <f>2.779 * CHOOSE(CONTROL!$C$15, $D$11, 100%, $F$11)</f>
        <v>2.7789999999999999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3.0443 * CHOOSE(CONTROL!$C$15, $D$11, 100%, $F$11)</f>
        <v>3.0442999999999998</v>
      </c>
      <c r="C40" s="8">
        <f>3.0546 * CHOOSE(CONTROL!$C$15, $D$11, 100%, $F$11)</f>
        <v>3.0546000000000002</v>
      </c>
      <c r="D40" s="8">
        <f>3.0412 * CHOOSE( CONTROL!$C$15, $D$11, 100%, $F$11)</f>
        <v>3.0411999999999999</v>
      </c>
      <c r="E40" s="12">
        <f>3.045 * CHOOSE( CONTROL!$C$15, $D$11, 100%, $F$11)</f>
        <v>3.0449999999999999</v>
      </c>
      <c r="F40" s="4">
        <f>3.6985 * CHOOSE(CONTROL!$C$15, $D$11, 100%, $F$11)</f>
        <v>3.6985000000000001</v>
      </c>
      <c r="G40" s="8">
        <f>2.9842 * CHOOSE( CONTROL!$C$15, $D$11, 100%, $F$11)</f>
        <v>2.9842</v>
      </c>
      <c r="H40" s="4">
        <f>3.8672 * CHOOSE(CONTROL!$C$15, $D$11, 100%, $F$11)</f>
        <v>3.8672</v>
      </c>
      <c r="I40" s="8">
        <f>3.0303 * CHOOSE(CONTROL!$C$15, $D$11, 100%, $F$11)</f>
        <v>3.0303</v>
      </c>
      <c r="J40" s="4">
        <f>2.919 * CHOOSE(CONTROL!$C$15, $D$11, 100%, $F$11)</f>
        <v>2.919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3.1435 * CHOOSE(CONTROL!$C$15, $D$11, 100%, $F$11)</f>
        <v>3.1435</v>
      </c>
      <c r="C41" s="8">
        <f>3.1539 * CHOOSE(CONTROL!$C$15, $D$11, 100%, $F$11)</f>
        <v>3.1539000000000001</v>
      </c>
      <c r="D41" s="8">
        <f>3.1523 * CHOOSE( CONTROL!$C$15, $D$11, 100%, $F$11)</f>
        <v>3.1522999999999999</v>
      </c>
      <c r="E41" s="12">
        <f>3.1518 * CHOOSE( CONTROL!$C$15, $D$11, 100%, $F$11)</f>
        <v>3.1518000000000002</v>
      </c>
      <c r="F41" s="4">
        <f>3.8262 * CHOOSE(CONTROL!$C$15, $D$11, 100%, $F$11)</f>
        <v>3.8262</v>
      </c>
      <c r="G41" s="8">
        <f>3.0944 * CHOOSE( CONTROL!$C$15, $D$11, 100%, $F$11)</f>
        <v>3.0943999999999998</v>
      </c>
      <c r="H41" s="4">
        <f>3.9928 * CHOOSE(CONTROL!$C$15, $D$11, 100%, $F$11)</f>
        <v>3.9927999999999999</v>
      </c>
      <c r="I41" s="8">
        <f>3.1251 * CHOOSE(CONTROL!$C$15, $D$11, 100%, $F$11)</f>
        <v>3.1251000000000002</v>
      </c>
      <c r="J41" s="4">
        <f>3.015 * CHOOSE(CONTROL!$C$15, $D$11, 100%, $F$11)</f>
        <v>3.0150000000000001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3.1363 * CHOOSE(CONTROL!$C$15, $D$11, 100%, $F$11)</f>
        <v>3.1362999999999999</v>
      </c>
      <c r="C42" s="8">
        <f>3.1466 * CHOOSE(CONTROL!$C$15, $D$11, 100%, $F$11)</f>
        <v>3.1465999999999998</v>
      </c>
      <c r="D42" s="8">
        <f>3.1472 * CHOOSE( CONTROL!$C$15, $D$11, 100%, $F$11)</f>
        <v>3.1472000000000002</v>
      </c>
      <c r="E42" s="12">
        <f>3.1459 * CHOOSE( CONTROL!$C$15, $D$11, 100%, $F$11)</f>
        <v>3.1459000000000001</v>
      </c>
      <c r="F42" s="4">
        <f>3.8112 * CHOOSE(CONTROL!$C$15, $D$11, 100%, $F$11)</f>
        <v>3.8111999999999999</v>
      </c>
      <c r="G42" s="8">
        <f>3.0871 * CHOOSE( CONTROL!$C$15, $D$11, 100%, $F$11)</f>
        <v>3.0871</v>
      </c>
      <c r="H42" s="4">
        <f>3.9781 * CHOOSE(CONTROL!$C$15, $D$11, 100%, $F$11)</f>
        <v>3.9781</v>
      </c>
      <c r="I42" s="8">
        <f>3.1072 * CHOOSE(CONTROL!$C$15, $D$11, 100%, $F$11)</f>
        <v>3.1072000000000002</v>
      </c>
      <c r="J42" s="4">
        <f>3.008 * CHOOSE(CONTROL!$C$15, $D$11, 100%, $F$11)</f>
        <v>3.008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3.0794 * CHOOSE(CONTROL!$C$15, $D$11, 100%, $F$11)</f>
        <v>3.0794000000000001</v>
      </c>
      <c r="C43" s="8">
        <f>3.0898 * CHOOSE(CONTROL!$C$15, $D$11, 100%, $F$11)</f>
        <v>3.0897999999999999</v>
      </c>
      <c r="D43" s="8">
        <f>3.085 * CHOOSE( CONTROL!$C$15, $D$11, 100%, $F$11)</f>
        <v>3.085</v>
      </c>
      <c r="E43" s="12">
        <f>3.0856 * CHOOSE( CONTROL!$C$15, $D$11, 100%, $F$11)</f>
        <v>3.0855999999999999</v>
      </c>
      <c r="F43" s="4">
        <f>3.7569 * CHOOSE(CONTROL!$C$15, $D$11, 100%, $F$11)</f>
        <v>3.7568999999999999</v>
      </c>
      <c r="G43" s="8">
        <f>3.0257 * CHOOSE( CONTROL!$C$15, $D$11, 100%, $F$11)</f>
        <v>3.0257000000000001</v>
      </c>
      <c r="H43" s="4">
        <f>3.9247 * CHOOSE(CONTROL!$C$15, $D$11, 100%, $F$11)</f>
        <v>3.9247000000000001</v>
      </c>
      <c r="I43" s="8">
        <f>3.0403 * CHOOSE(CONTROL!$C$15, $D$11, 100%, $F$11)</f>
        <v>3.0402999999999998</v>
      </c>
      <c r="J43" s="4">
        <f>2.953 * CHOOSE(CONTROL!$C$15, $D$11, 100%, $F$11)</f>
        <v>2.9529999999999998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2.8054 * CHOOSE(CONTROL!$C$15, $D$11, 100%, $F$11)</f>
        <v>2.8054000000000001</v>
      </c>
      <c r="C44" s="8">
        <f>2.8157 * CHOOSE(CONTROL!$C$15, $D$11, 100%, $F$11)</f>
        <v>2.8157000000000001</v>
      </c>
      <c r="D44" s="8">
        <f>2.827 * CHOOSE( CONTROL!$C$15, $D$11, 100%, $F$11)</f>
        <v>2.827</v>
      </c>
      <c r="E44" s="12">
        <f>2.8221 * CHOOSE( CONTROL!$C$15, $D$11, 100%, $F$11)</f>
        <v>2.8220999999999998</v>
      </c>
      <c r="F44" s="4">
        <f>3.4855 * CHOOSE(CONTROL!$C$15, $D$11, 100%, $F$11)</f>
        <v>3.4855</v>
      </c>
      <c r="G44" s="8">
        <f>2.7367 * CHOOSE( CONTROL!$C$15, $D$11, 100%, $F$11)</f>
        <v>2.7366999999999999</v>
      </c>
      <c r="H44" s="4">
        <f>3.6576 * CHOOSE(CONTROL!$C$15, $D$11, 100%, $F$11)</f>
        <v>3.6576</v>
      </c>
      <c r="I44" s="8">
        <f>2.7675 * CHOOSE(CONTROL!$C$15, $D$11, 100%, $F$11)</f>
        <v>2.7675000000000001</v>
      </c>
      <c r="J44" s="4">
        <f>2.688 * CHOOSE(CONTROL!$C$15, $D$11, 100%, $F$11)</f>
        <v>2.6880000000000002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1.1791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CONTROL!$C$32, 2.8078, 2.8044) * CHOOSE(CONTROL!$C$15, $D$11, 100%, $F$11)</f>
        <v>2.8077999999999999</v>
      </c>
      <c r="C45" s="8">
        <f>CHOOSE( CONTROL!$C$32, 2.8182, 2.8147) * CHOOSE(CONTROL!$C$15, $D$11, 100%, $F$11)</f>
        <v>2.8182</v>
      </c>
      <c r="D45" s="8">
        <f>CHOOSE( CONTROL!$C$32, 2.829, 2.8255) * CHOOSE( CONTROL!$C$15, $D$11, 100%, $F$11)</f>
        <v>2.8290000000000002</v>
      </c>
      <c r="E45" s="12">
        <f>CHOOSE( CONTROL!$C$32, 2.8235, 2.82) * CHOOSE( CONTROL!$C$15, $D$11, 100%, $F$11)</f>
        <v>2.8235000000000001</v>
      </c>
      <c r="F45" s="4">
        <f>CHOOSE( CONTROL!$C$32, 3.4879, 3.4845) * CHOOSE(CONTROL!$C$15, $D$11, 100%, $F$11)</f>
        <v>3.4878999999999998</v>
      </c>
      <c r="G45" s="8">
        <f>CHOOSE( CONTROL!$C$32, 2.7403, 2.7369) * CHOOSE( CONTROL!$C$15, $D$11, 100%, $F$11)</f>
        <v>2.7403</v>
      </c>
      <c r="H45" s="4">
        <f>CHOOSE( CONTROL!$C$32, 3.66, 3.6566) * CHOOSE(CONTROL!$C$15, $D$11, 100%, $F$11)</f>
        <v>3.66</v>
      </c>
      <c r="I45" s="8">
        <f>CHOOSE( CONTROL!$C$32, 2.7714, 2.768) * CHOOSE(CONTROL!$C$15, $D$11, 100%, $F$11)</f>
        <v>2.7713999999999999</v>
      </c>
      <c r="J45" s="4">
        <f>CHOOSE( CONTROL!$C$32, 2.6904, 2.687) * CHOOSE(CONTROL!$C$15, $D$11, 100%, $F$11)</f>
        <v>2.6903999999999999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1.2183999999999999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CONTROL!$C$32, 2.843, 2.8395) * CHOOSE(CONTROL!$C$15, $D$11, 100%, $F$11)</f>
        <v>2.843</v>
      </c>
      <c r="C46" s="8">
        <f>CHOOSE( CONTROL!$C$32, 2.8533, 2.8499) * CHOOSE(CONTROL!$C$15, $D$11, 100%, $F$11)</f>
        <v>2.8532999999999999</v>
      </c>
      <c r="D46" s="8">
        <f>CHOOSE( CONTROL!$C$32, 2.8644, 2.861) * CHOOSE( CONTROL!$C$15, $D$11, 100%, $F$11)</f>
        <v>2.8643999999999998</v>
      </c>
      <c r="E46" s="12">
        <f>CHOOSE( CONTROL!$C$32, 2.8588, 2.8554) * CHOOSE( CONTROL!$C$15, $D$11, 100%, $F$11)</f>
        <v>2.8588</v>
      </c>
      <c r="F46" s="4">
        <f>CHOOSE( CONTROL!$C$32, 3.5231, 3.5196) * CHOOSE(CONTROL!$C$15, $D$11, 100%, $F$11)</f>
        <v>3.5230999999999999</v>
      </c>
      <c r="G46" s="8">
        <f>CHOOSE( CONTROL!$C$32, 2.7753, 2.7719) * CHOOSE( CONTROL!$C$15, $D$11, 100%, $F$11)</f>
        <v>2.7753000000000001</v>
      </c>
      <c r="H46" s="4">
        <f>CHOOSE( CONTROL!$C$32, 3.6946, 3.6912) * CHOOSE(CONTROL!$C$15, $D$11, 100%, $F$11)</f>
        <v>3.6945999999999999</v>
      </c>
      <c r="I46" s="8">
        <f>CHOOSE( CONTROL!$C$32, 2.8068, 2.8034) * CHOOSE(CONTROL!$C$15, $D$11, 100%, $F$11)</f>
        <v>2.8068</v>
      </c>
      <c r="J46" s="4">
        <f>CHOOSE( CONTROL!$C$32, 2.7244, 2.721) * CHOOSE(CONTROL!$C$15, $D$11, 100%, $F$11)</f>
        <v>2.7244000000000002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1.1791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CONTROL!$C$32, 2.8813, 2.8778) * CHOOSE(CONTROL!$C$15, $D$11, 100%, $F$11)</f>
        <v>2.8813</v>
      </c>
      <c r="C47" s="8">
        <f>CHOOSE( CONTROL!$C$32, 2.8916, 2.8881) * CHOOSE(CONTROL!$C$15, $D$11, 100%, $F$11)</f>
        <v>2.8915999999999999</v>
      </c>
      <c r="D47" s="8">
        <f>CHOOSE( CONTROL!$C$32, 2.903, 2.8995) * CHOOSE( CONTROL!$C$15, $D$11, 100%, $F$11)</f>
        <v>2.903</v>
      </c>
      <c r="E47" s="12">
        <f>CHOOSE( CONTROL!$C$32, 2.8973, 2.8938) * CHOOSE( CONTROL!$C$15, $D$11, 100%, $F$11)</f>
        <v>2.8973</v>
      </c>
      <c r="F47" s="4">
        <f>CHOOSE( CONTROL!$C$32, 3.5614, 3.5579) * CHOOSE(CONTROL!$C$15, $D$11, 100%, $F$11)</f>
        <v>3.5613999999999999</v>
      </c>
      <c r="G47" s="8">
        <f>CHOOSE( CONTROL!$C$32, 2.8134, 2.81) * CHOOSE( CONTROL!$C$15, $D$11, 100%, $F$11)</f>
        <v>2.8134000000000001</v>
      </c>
      <c r="H47" s="4">
        <f>CHOOSE( CONTROL!$C$32, 3.7323, 3.7289) * CHOOSE(CONTROL!$C$15, $D$11, 100%, $F$11)</f>
        <v>3.7323</v>
      </c>
      <c r="I47" s="8">
        <f>CHOOSE( CONTROL!$C$32, 2.8452, 2.8419) * CHOOSE(CONTROL!$C$15, $D$11, 100%, $F$11)</f>
        <v>2.8452000000000002</v>
      </c>
      <c r="J47" s="4">
        <f>CHOOSE( CONTROL!$C$32, 2.7614, 2.758) * CHOOSE(CONTROL!$C$15, $D$11, 100%, $F$11)</f>
        <v>2.7614000000000001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1.2183999999999999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CONTROL!$C$32, 2.8947, 2.8912) * CHOOSE(CONTROL!$C$15, $D$11, 100%, $F$11)</f>
        <v>2.8946999999999998</v>
      </c>
      <c r="C48" s="8">
        <f>CHOOSE( CONTROL!$C$32, 2.905, 2.9016) * CHOOSE(CONTROL!$C$15, $D$11, 100%, $F$11)</f>
        <v>2.9049999999999998</v>
      </c>
      <c r="D48" s="8">
        <f>CHOOSE( CONTROL!$C$32, 2.9166, 2.9131) * CHOOSE( CONTROL!$C$15, $D$11, 100%, $F$11)</f>
        <v>2.9165999999999999</v>
      </c>
      <c r="E48" s="12">
        <f>CHOOSE( CONTROL!$C$32, 2.9108, 2.9073) * CHOOSE( CONTROL!$C$15, $D$11, 100%, $F$11)</f>
        <v>2.9108000000000001</v>
      </c>
      <c r="F48" s="4">
        <f>CHOOSE( CONTROL!$C$32, 3.5748, 3.5713) * CHOOSE(CONTROL!$C$15, $D$11, 100%, $F$11)</f>
        <v>3.5748000000000002</v>
      </c>
      <c r="G48" s="8">
        <f>CHOOSE( CONTROL!$C$32, 2.8268, 2.8234) * CHOOSE( CONTROL!$C$15, $D$11, 100%, $F$11)</f>
        <v>2.8268</v>
      </c>
      <c r="H48" s="4">
        <f>CHOOSE( CONTROL!$C$32, 3.7455, 3.7421) * CHOOSE(CONTROL!$C$15, $D$11, 100%, $F$11)</f>
        <v>3.7454999999999998</v>
      </c>
      <c r="I48" s="8">
        <f>CHOOSE( CONTROL!$C$32, 2.8589, 2.8555) * CHOOSE(CONTROL!$C$15, $D$11, 100%, $F$11)</f>
        <v>2.8589000000000002</v>
      </c>
      <c r="J48" s="4">
        <f>CHOOSE( CONTROL!$C$32, 2.7744, 2.771) * CHOOSE(CONTROL!$C$15, $D$11, 100%, $F$11)</f>
        <v>2.7744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1.2183999999999999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CONTROL!$C$32, 2.8895, 2.8861) * CHOOSE(CONTROL!$C$15, $D$11, 100%, $F$11)</f>
        <v>2.8895</v>
      </c>
      <c r="C49" s="8">
        <f>CHOOSE( CONTROL!$C$32, 2.8999, 2.8964) * CHOOSE(CONTROL!$C$15, $D$11, 100%, $F$11)</f>
        <v>2.8999000000000001</v>
      </c>
      <c r="D49" s="8">
        <f>CHOOSE( CONTROL!$C$32, 2.9115, 2.908) * CHOOSE( CONTROL!$C$15, $D$11, 100%, $F$11)</f>
        <v>2.9115000000000002</v>
      </c>
      <c r="E49" s="12">
        <f>CHOOSE( CONTROL!$C$32, 2.9057, 2.9022) * CHOOSE( CONTROL!$C$15, $D$11, 100%, $F$11)</f>
        <v>2.9056999999999999</v>
      </c>
      <c r="F49" s="4">
        <f>CHOOSE( CONTROL!$C$32, 3.5696, 3.5662) * CHOOSE(CONTROL!$C$15, $D$11, 100%, $F$11)</f>
        <v>3.5695999999999999</v>
      </c>
      <c r="G49" s="8">
        <f>CHOOSE( CONTROL!$C$32, 2.8218, 2.8184) * CHOOSE( CONTROL!$C$15, $D$11, 100%, $F$11)</f>
        <v>2.8218000000000001</v>
      </c>
      <c r="H49" s="4">
        <f>CHOOSE( CONTROL!$C$32, 3.7404, 3.737) * CHOOSE(CONTROL!$C$15, $D$11, 100%, $F$11)</f>
        <v>3.7404000000000002</v>
      </c>
      <c r="I49" s="8">
        <f>CHOOSE( CONTROL!$C$32, 2.8541, 2.8507) * CHOOSE(CONTROL!$C$15, $D$11, 100%, $F$11)</f>
        <v>2.8540999999999999</v>
      </c>
      <c r="J49" s="4">
        <f>CHOOSE( CONTROL!$C$32, 2.7694, 2.766) * CHOOSE(CONTROL!$C$15, $D$11, 100%, $F$11)</f>
        <v>2.7694000000000001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1.1791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2.914 * CHOOSE(CONTROL!$C$15, $D$11, 100%, $F$11)</f>
        <v>2.9140000000000001</v>
      </c>
      <c r="C50" s="8">
        <f>2.9243 * CHOOSE(CONTROL!$C$15, $D$11, 100%, $F$11)</f>
        <v>2.9243000000000001</v>
      </c>
      <c r="D50" s="8">
        <f>2.9369 * CHOOSE( CONTROL!$C$15, $D$11, 100%, $F$11)</f>
        <v>2.9369000000000001</v>
      </c>
      <c r="E50" s="12">
        <f>2.9316 * CHOOSE( CONTROL!$C$15, $D$11, 100%, $F$11)</f>
        <v>2.9316</v>
      </c>
      <c r="F50" s="4">
        <f>3.5941 * CHOOSE(CONTROL!$C$15, $D$11, 100%, $F$11)</f>
        <v>3.5941000000000001</v>
      </c>
      <c r="G50" s="8">
        <f>2.8454 * CHOOSE( CONTROL!$C$15, $D$11, 100%, $F$11)</f>
        <v>2.8454000000000002</v>
      </c>
      <c r="H50" s="4">
        <f>3.7645 * CHOOSE(CONTROL!$C$15, $D$11, 100%, $F$11)</f>
        <v>3.7645</v>
      </c>
      <c r="I50" s="8">
        <f>2.8786 * CHOOSE(CONTROL!$C$15, $D$11, 100%, $F$11)</f>
        <v>2.8786</v>
      </c>
      <c r="J50" s="4">
        <f>2.793 * CHOOSE(CONTROL!$C$15, $D$11, 100%, $F$11)</f>
        <v>2.7930000000000001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1.2183999999999999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2.9926 * CHOOSE(CONTROL!$C$15, $D$11, 100%, $F$11)</f>
        <v>2.9925999999999999</v>
      </c>
      <c r="C51" s="8">
        <f>3.0029 * CHOOSE(CONTROL!$C$15, $D$11, 100%, $F$11)</f>
        <v>3.0028999999999999</v>
      </c>
      <c r="D51" s="8">
        <f>2.9878 * CHOOSE( CONTROL!$C$15, $D$11, 100%, $F$11)</f>
        <v>2.9878</v>
      </c>
      <c r="E51" s="12">
        <f>2.9922 * CHOOSE( CONTROL!$C$15, $D$11, 100%, $F$11)</f>
        <v>2.9922</v>
      </c>
      <c r="F51" s="4">
        <f>3.6468 * CHOOSE(CONTROL!$C$15, $D$11, 100%, $F$11)</f>
        <v>3.6467999999999998</v>
      </c>
      <c r="G51" s="8">
        <f>2.9321 * CHOOSE( CONTROL!$C$15, $D$11, 100%, $F$11)</f>
        <v>2.9321000000000002</v>
      </c>
      <c r="H51" s="4">
        <f>3.8163 * CHOOSE(CONTROL!$C$15, $D$11, 100%, $F$11)</f>
        <v>3.8163</v>
      </c>
      <c r="I51" s="8">
        <f>2.975 * CHOOSE(CONTROL!$C$15, $D$11, 100%, $F$11)</f>
        <v>2.9750000000000001</v>
      </c>
      <c r="J51" s="4">
        <f>2.869 * CHOOSE(CONTROL!$C$15, $D$11, 100%, $F$11)</f>
        <v>2.8690000000000002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3.1425 * CHOOSE(CONTROL!$C$15, $D$11, 100%, $F$11)</f>
        <v>3.1425000000000001</v>
      </c>
      <c r="C52" s="8">
        <f>3.1528 * CHOOSE(CONTROL!$C$15, $D$11, 100%, $F$11)</f>
        <v>3.1528</v>
      </c>
      <c r="D52" s="8">
        <f>3.1394 * CHOOSE( CONTROL!$C$15, $D$11, 100%, $F$11)</f>
        <v>3.1394000000000002</v>
      </c>
      <c r="E52" s="12">
        <f>3.1432 * CHOOSE( CONTROL!$C$15, $D$11, 100%, $F$11)</f>
        <v>3.1432000000000002</v>
      </c>
      <c r="F52" s="4">
        <f>3.7967 * CHOOSE(CONTROL!$C$15, $D$11, 100%, $F$11)</f>
        <v>3.7967</v>
      </c>
      <c r="G52" s="8">
        <f>3.0809 * CHOOSE( CONTROL!$C$15, $D$11, 100%, $F$11)</f>
        <v>3.0809000000000002</v>
      </c>
      <c r="H52" s="4">
        <f>3.9638 * CHOOSE(CONTROL!$C$15, $D$11, 100%, $F$11)</f>
        <v>3.9638</v>
      </c>
      <c r="I52" s="8">
        <f>3.1253 * CHOOSE(CONTROL!$C$15, $D$11, 100%, $F$11)</f>
        <v>3.1253000000000002</v>
      </c>
      <c r="J52" s="4">
        <f>3.014 * CHOOSE(CONTROL!$C$15, $D$11, 100%, $F$11)</f>
        <v>3.0139999999999998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3.9073 * CHOOSE(CONTROL!$C$15, $D$11, 100%, $F$11)</f>
        <v>3.9073000000000002</v>
      </c>
      <c r="C53" s="8">
        <f>3.9177 * CHOOSE(CONTROL!$C$15, $D$11, 100%, $F$11)</f>
        <v>3.9177</v>
      </c>
      <c r="D53" s="8">
        <f>3.9161 * CHOOSE( CONTROL!$C$15, $D$11, 100%, $F$11)</f>
        <v>3.9161000000000001</v>
      </c>
      <c r="E53" s="12">
        <f>3.9156 * CHOOSE( CONTROL!$C$15, $D$11, 100%, $F$11)</f>
        <v>3.9156</v>
      </c>
      <c r="F53" s="4">
        <f>4.59 * CHOOSE(CONTROL!$C$15, $D$11, 100%, $F$11)</f>
        <v>4.59</v>
      </c>
      <c r="G53" s="8">
        <f>3.8458 * CHOOSE( CONTROL!$C$15, $D$11, 100%, $F$11)</f>
        <v>3.8458000000000001</v>
      </c>
      <c r="H53" s="4">
        <f>4.7443 * CHOOSE(CONTROL!$C$15, $D$11, 100%, $F$11)</f>
        <v>4.7443</v>
      </c>
      <c r="I53" s="8">
        <f>3.8641 * CHOOSE(CONTROL!$C$15, $D$11, 100%, $F$11)</f>
        <v>3.8641000000000001</v>
      </c>
      <c r="J53" s="4">
        <f>3.7537 * CHOOSE(CONTROL!$C$15, $D$11, 100%, $F$11)</f>
        <v>3.7536999999999998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3.6564 * CHOOSE(CONTROL!$C$15, $D$11, 100%, $F$11)</f>
        <v>3.6564000000000001</v>
      </c>
      <c r="C54" s="8">
        <f>3.6667 * CHOOSE(CONTROL!$C$15, $D$11, 100%, $F$11)</f>
        <v>3.6667000000000001</v>
      </c>
      <c r="D54" s="8">
        <f>3.6673 * CHOOSE( CONTROL!$C$15, $D$11, 100%, $F$11)</f>
        <v>3.6673</v>
      </c>
      <c r="E54" s="12">
        <f>3.666 * CHOOSE( CONTROL!$C$15, $D$11, 100%, $F$11)</f>
        <v>3.6659999999999999</v>
      </c>
      <c r="F54" s="4">
        <f>4.3313 * CHOOSE(CONTROL!$C$15, $D$11, 100%, $F$11)</f>
        <v>4.3312999999999997</v>
      </c>
      <c r="G54" s="8">
        <f>3.5988 * CHOOSE( CONTROL!$C$15, $D$11, 100%, $F$11)</f>
        <v>3.5988000000000002</v>
      </c>
      <c r="H54" s="4">
        <f>4.4898 * CHOOSE(CONTROL!$C$15, $D$11, 100%, $F$11)</f>
        <v>4.4897999999999998</v>
      </c>
      <c r="I54" s="8">
        <f>3.6104 * CHOOSE(CONTROL!$C$15, $D$11, 100%, $F$11)</f>
        <v>3.6103999999999998</v>
      </c>
      <c r="J54" s="4">
        <f>3.511 * CHOOSE(CONTROL!$C$15, $D$11, 100%, $F$11)</f>
        <v>3.5110000000000001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3.5791 * CHOOSE(CONTROL!$C$15, $D$11, 100%, $F$11)</f>
        <v>3.5790999999999999</v>
      </c>
      <c r="C55" s="8">
        <f>3.5894 * CHOOSE(CONTROL!$C$15, $D$11, 100%, $F$11)</f>
        <v>3.5893999999999999</v>
      </c>
      <c r="D55" s="8">
        <f>3.5847 * CHOOSE( CONTROL!$C$15, $D$11, 100%, $F$11)</f>
        <v>3.5847000000000002</v>
      </c>
      <c r="E55" s="12">
        <f>3.5853 * CHOOSE( CONTROL!$C$15, $D$11, 100%, $F$11)</f>
        <v>3.5853000000000002</v>
      </c>
      <c r="F55" s="4">
        <f>4.2566 * CHOOSE(CONTROL!$C$15, $D$11, 100%, $F$11)</f>
        <v>4.2565999999999997</v>
      </c>
      <c r="G55" s="8">
        <f>3.5173 * CHOOSE( CONTROL!$C$15, $D$11, 100%, $F$11)</f>
        <v>3.5173000000000001</v>
      </c>
      <c r="H55" s="4">
        <f>4.4163 * CHOOSE(CONTROL!$C$15, $D$11, 100%, $F$11)</f>
        <v>4.4162999999999997</v>
      </c>
      <c r="I55" s="8">
        <f>3.5237 * CHOOSE(CONTROL!$C$15, $D$11, 100%, $F$11)</f>
        <v>3.5236999999999998</v>
      </c>
      <c r="J55" s="4">
        <f>3.4362 * CHOOSE(CONTROL!$C$15, $D$11, 100%, $F$11)</f>
        <v>3.4361999999999999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3.6331 * CHOOSE(CONTROL!$C$15, $D$11, 100%, $F$11)</f>
        <v>3.6331000000000002</v>
      </c>
      <c r="C56" s="8">
        <f>3.6435 * CHOOSE(CONTROL!$C$15, $D$11, 100%, $F$11)</f>
        <v>3.6435</v>
      </c>
      <c r="D56" s="8">
        <f>3.6547 * CHOOSE( CONTROL!$C$15, $D$11, 100%, $F$11)</f>
        <v>3.6547000000000001</v>
      </c>
      <c r="E56" s="12">
        <f>3.6498 * CHOOSE( CONTROL!$C$15, $D$11, 100%, $F$11)</f>
        <v>3.6497999999999999</v>
      </c>
      <c r="F56" s="4">
        <f>4.3132 * CHOOSE(CONTROL!$C$15, $D$11, 100%, $F$11)</f>
        <v>4.3132000000000001</v>
      </c>
      <c r="G56" s="8">
        <f>3.551 * CHOOSE( CONTROL!$C$15, $D$11, 100%, $F$11)</f>
        <v>3.5510000000000002</v>
      </c>
      <c r="H56" s="4">
        <f>4.472 * CHOOSE(CONTROL!$C$15, $D$11, 100%, $F$11)</f>
        <v>4.4720000000000004</v>
      </c>
      <c r="I56" s="8">
        <f>3.5684 * CHOOSE(CONTROL!$C$15, $D$11, 100%, $F$11)</f>
        <v>3.5684</v>
      </c>
      <c r="J56" s="4">
        <f>3.4885 * CHOOSE(CONTROL!$C$15, $D$11, 100%, $F$11)</f>
        <v>3.4885000000000002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CONTROL!$C$32, 3.7327, 3.7292) * CHOOSE(CONTROL!$C$15, $D$11, 100%, $F$11)</f>
        <v>3.7326999999999999</v>
      </c>
      <c r="C57" s="8">
        <f>CHOOSE( CONTROL!$C$32, 3.743, 3.7396) * CHOOSE(CONTROL!$C$15, $D$11, 100%, $F$11)</f>
        <v>3.7429999999999999</v>
      </c>
      <c r="D57" s="8">
        <f>CHOOSE( CONTROL!$C$32, 3.7539, 3.7504) * CHOOSE( CONTROL!$C$15, $D$11, 100%, $F$11)</f>
        <v>3.7538999999999998</v>
      </c>
      <c r="E57" s="12">
        <f>CHOOSE( CONTROL!$C$32, 3.7484, 3.7449) * CHOOSE( CONTROL!$C$15, $D$11, 100%, $F$11)</f>
        <v>3.7484000000000002</v>
      </c>
      <c r="F57" s="4">
        <f>CHOOSE( CONTROL!$C$32, 4.4128, 4.4093) * CHOOSE(CONTROL!$C$15, $D$11, 100%, $F$11)</f>
        <v>4.4127999999999998</v>
      </c>
      <c r="G57" s="8">
        <f>CHOOSE( CONTROL!$C$32, 3.6502, 3.6468) * CHOOSE( CONTROL!$C$15, $D$11, 100%, $F$11)</f>
        <v>3.6501999999999999</v>
      </c>
      <c r="H57" s="4">
        <f>CHOOSE( CONTROL!$C$32, 4.5699, 4.5665) * CHOOSE(CONTROL!$C$15, $D$11, 100%, $F$11)</f>
        <v>4.5698999999999996</v>
      </c>
      <c r="I57" s="8">
        <f>CHOOSE( CONTROL!$C$32, 3.6663, 3.6629) * CHOOSE(CONTROL!$C$15, $D$11, 100%, $F$11)</f>
        <v>3.6663000000000001</v>
      </c>
      <c r="J57" s="4">
        <f>CHOOSE( CONTROL!$C$32, 3.5848, 3.5814) * CHOOSE(CONTROL!$C$15, $D$11, 100%, $F$11)</f>
        <v>3.5848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CONTROL!$C$32, 3.6732, 3.6697) * CHOOSE(CONTROL!$C$15, $D$11, 100%, $F$11)</f>
        <v>3.6732</v>
      </c>
      <c r="C58" s="8">
        <f>CHOOSE( CONTROL!$C$32, 3.6835, 3.68) * CHOOSE(CONTROL!$C$15, $D$11, 100%, $F$11)</f>
        <v>3.6835</v>
      </c>
      <c r="D58" s="8">
        <f>CHOOSE( CONTROL!$C$32, 3.6946, 3.6911) * CHOOSE( CONTROL!$C$15, $D$11, 100%, $F$11)</f>
        <v>3.6945999999999999</v>
      </c>
      <c r="E58" s="12">
        <f>CHOOSE( CONTROL!$C$32, 3.689, 3.6855) * CHOOSE( CONTROL!$C$15, $D$11, 100%, $F$11)</f>
        <v>3.6890000000000001</v>
      </c>
      <c r="F58" s="4">
        <f>CHOOSE( CONTROL!$C$32, 4.3533, 4.3498) * CHOOSE(CONTROL!$C$15, $D$11, 100%, $F$11)</f>
        <v>4.3532999999999999</v>
      </c>
      <c r="G58" s="8">
        <f>CHOOSE( CONTROL!$C$32, 3.592, 3.5886) * CHOOSE( CONTROL!$C$15, $D$11, 100%, $F$11)</f>
        <v>3.5920000000000001</v>
      </c>
      <c r="H58" s="4">
        <f>CHOOSE( CONTROL!$C$32, 4.5114, 4.5079) * CHOOSE(CONTROL!$C$15, $D$11, 100%, $F$11)</f>
        <v>4.5114000000000001</v>
      </c>
      <c r="I58" s="8">
        <f>CHOOSE( CONTROL!$C$32, 3.61, 3.6067) * CHOOSE(CONTROL!$C$15, $D$11, 100%, $F$11)</f>
        <v>3.61</v>
      </c>
      <c r="J58" s="4">
        <f>CHOOSE( CONTROL!$C$32, 3.5272, 3.5238) * CHOOSE(CONTROL!$C$15, $D$11, 100%, $F$11)</f>
        <v>3.5272000000000001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CONTROL!$C$32, 3.8299, 3.8265) * CHOOSE(CONTROL!$C$15, $D$11, 100%, $F$11)</f>
        <v>3.8298999999999999</v>
      </c>
      <c r="C59" s="8">
        <f>CHOOSE( CONTROL!$C$32, 3.8403, 3.8368) * CHOOSE(CONTROL!$C$15, $D$11, 100%, $F$11)</f>
        <v>3.8403</v>
      </c>
      <c r="D59" s="8">
        <f>CHOOSE( CONTROL!$C$32, 3.8517, 3.8482) * CHOOSE( CONTROL!$C$15, $D$11, 100%, $F$11)</f>
        <v>3.8517000000000001</v>
      </c>
      <c r="E59" s="12">
        <f>CHOOSE( CONTROL!$C$32, 3.846, 3.8425) * CHOOSE( CONTROL!$C$15, $D$11, 100%, $F$11)</f>
        <v>3.8460000000000001</v>
      </c>
      <c r="F59" s="4">
        <f>CHOOSE( CONTROL!$C$32, 4.5101, 4.5066) * CHOOSE(CONTROL!$C$15, $D$11, 100%, $F$11)</f>
        <v>4.5101000000000004</v>
      </c>
      <c r="G59" s="8">
        <f>CHOOSE( CONTROL!$C$32, 3.7467, 3.7433) * CHOOSE( CONTROL!$C$15, $D$11, 100%, $F$11)</f>
        <v>3.7467000000000001</v>
      </c>
      <c r="H59" s="4">
        <f>CHOOSE( CONTROL!$C$32, 4.6656, 4.6622) * CHOOSE(CONTROL!$C$15, $D$11, 100%, $F$11)</f>
        <v>4.6656000000000004</v>
      </c>
      <c r="I59" s="8">
        <f>CHOOSE( CONTROL!$C$32, 3.7632, 3.7598) * CHOOSE(CONTROL!$C$15, $D$11, 100%, $F$11)</f>
        <v>3.7631999999999999</v>
      </c>
      <c r="J59" s="4">
        <f>CHOOSE( CONTROL!$C$32, 3.6788, 3.6755) * CHOOSE(CONTROL!$C$15, $D$11, 100%, $F$11)</f>
        <v>3.6787999999999998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CONTROL!$C$32, 3.5366, 3.5331) * CHOOSE(CONTROL!$C$15, $D$11, 100%, $F$11)</f>
        <v>3.5366</v>
      </c>
      <c r="C60" s="8">
        <f>CHOOSE( CONTROL!$C$32, 3.5469, 3.5434) * CHOOSE(CONTROL!$C$15, $D$11, 100%, $F$11)</f>
        <v>3.5468999999999999</v>
      </c>
      <c r="D60" s="8">
        <f>CHOOSE( CONTROL!$C$32, 3.5585, 3.555) * CHOOSE( CONTROL!$C$15, $D$11, 100%, $F$11)</f>
        <v>3.5585</v>
      </c>
      <c r="E60" s="12">
        <f>CHOOSE( CONTROL!$C$32, 3.5527, 3.5492) * CHOOSE( CONTROL!$C$15, $D$11, 100%, $F$11)</f>
        <v>3.5527000000000002</v>
      </c>
      <c r="F60" s="4">
        <f>CHOOSE( CONTROL!$C$32, 4.2167, 4.2132) * CHOOSE(CONTROL!$C$15, $D$11, 100%, $F$11)</f>
        <v>4.2167000000000003</v>
      </c>
      <c r="G60" s="8">
        <f>CHOOSE( CONTROL!$C$32, 3.4583, 3.4549) * CHOOSE( CONTROL!$C$15, $D$11, 100%, $F$11)</f>
        <v>3.4582999999999999</v>
      </c>
      <c r="H60" s="4">
        <f>CHOOSE( CONTROL!$C$32, 4.377, 4.3736) * CHOOSE(CONTROL!$C$15, $D$11, 100%, $F$11)</f>
        <v>4.3769999999999998</v>
      </c>
      <c r="I60" s="8">
        <f>CHOOSE( CONTROL!$C$32, 3.48, 3.4766) * CHOOSE(CONTROL!$C$15, $D$11, 100%, $F$11)</f>
        <v>3.48</v>
      </c>
      <c r="J60" s="4">
        <f>CHOOSE( CONTROL!$C$32, 3.3951, 3.3918) * CHOOSE(CONTROL!$C$15, $D$11, 100%, $F$11)</f>
        <v>3.3950999999999998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CONTROL!$C$32, 3.4631, 3.4596) * CHOOSE(CONTROL!$C$15, $D$11, 100%, $F$11)</f>
        <v>3.4630999999999998</v>
      </c>
      <c r="C61" s="8">
        <f>CHOOSE( CONTROL!$C$32, 3.4735, 3.47) * CHOOSE(CONTROL!$C$15, $D$11, 100%, $F$11)</f>
        <v>3.4735</v>
      </c>
      <c r="D61" s="8">
        <f>CHOOSE( CONTROL!$C$32, 3.485, 3.4816) * CHOOSE( CONTROL!$C$15, $D$11, 100%, $F$11)</f>
        <v>3.4849999999999999</v>
      </c>
      <c r="E61" s="12">
        <f>CHOOSE( CONTROL!$C$32, 3.4792, 3.4758) * CHOOSE( CONTROL!$C$15, $D$11, 100%, $F$11)</f>
        <v>3.4792000000000001</v>
      </c>
      <c r="F61" s="4">
        <f>CHOOSE( CONTROL!$C$32, 4.1432, 4.1397) * CHOOSE(CONTROL!$C$15, $D$11, 100%, $F$11)</f>
        <v>4.1432000000000002</v>
      </c>
      <c r="G61" s="8">
        <f>CHOOSE( CONTROL!$C$32, 3.3861, 3.3827) * CHOOSE( CONTROL!$C$15, $D$11, 100%, $F$11)</f>
        <v>3.3860999999999999</v>
      </c>
      <c r="H61" s="4">
        <f>CHOOSE( CONTROL!$C$32, 4.3047, 4.3013) * CHOOSE(CONTROL!$C$15, $D$11, 100%, $F$11)</f>
        <v>4.3047000000000004</v>
      </c>
      <c r="I61" s="8">
        <f>CHOOSE( CONTROL!$C$32, 3.4091, 3.4057) * CHOOSE(CONTROL!$C$15, $D$11, 100%, $F$11)</f>
        <v>3.4091</v>
      </c>
      <c r="J61" s="4">
        <f>CHOOSE( CONTROL!$C$32, 3.3241, 3.3207) * CHOOSE(CONTROL!$C$15, $D$11, 100%, $F$11)</f>
        <v>3.3241000000000001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3.6122 * CHOOSE(CONTROL!$C$15, $D$11, 100%, $F$11)</f>
        <v>3.6122000000000001</v>
      </c>
      <c r="C62" s="8">
        <f>3.6225 * CHOOSE(CONTROL!$C$15, $D$11, 100%, $F$11)</f>
        <v>3.6225000000000001</v>
      </c>
      <c r="D62" s="8">
        <f>3.6351 * CHOOSE( CONTROL!$C$15, $D$11, 100%, $F$11)</f>
        <v>3.6351</v>
      </c>
      <c r="E62" s="12">
        <f>3.6298 * CHOOSE( CONTROL!$C$15, $D$11, 100%, $F$11)</f>
        <v>3.6297999999999999</v>
      </c>
      <c r="F62" s="4">
        <f>4.2923 * CHOOSE(CONTROL!$C$15, $D$11, 100%, $F$11)</f>
        <v>4.2923</v>
      </c>
      <c r="G62" s="8">
        <f>3.5323 * CHOOSE( CONTROL!$C$15, $D$11, 100%, $F$11)</f>
        <v>3.5323000000000002</v>
      </c>
      <c r="H62" s="4">
        <f>4.4514 * CHOOSE(CONTROL!$C$15, $D$11, 100%, $F$11)</f>
        <v>4.4513999999999996</v>
      </c>
      <c r="I62" s="8">
        <f>3.5542 * CHOOSE(CONTROL!$C$15, $D$11, 100%, $F$11)</f>
        <v>3.5541999999999998</v>
      </c>
      <c r="J62" s="4">
        <f>3.4682 * CHOOSE(CONTROL!$C$15, $D$11, 100%, $F$11)</f>
        <v>3.4681999999999999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3.8937 * CHOOSE(CONTROL!$C$15, $D$11, 100%, $F$11)</f>
        <v>3.8936999999999999</v>
      </c>
      <c r="C63" s="8">
        <f>3.9041 * CHOOSE(CONTROL!$C$15, $D$11, 100%, $F$11)</f>
        <v>3.9041000000000001</v>
      </c>
      <c r="D63" s="8">
        <f>3.889 * CHOOSE( CONTROL!$C$15, $D$11, 100%, $F$11)</f>
        <v>3.8889999999999998</v>
      </c>
      <c r="E63" s="12">
        <f>3.8934 * CHOOSE( CONTROL!$C$15, $D$11, 100%, $F$11)</f>
        <v>3.8934000000000002</v>
      </c>
      <c r="F63" s="4">
        <f>4.548 * CHOOSE(CONTROL!$C$15, $D$11, 100%, $F$11)</f>
        <v>4.548</v>
      </c>
      <c r="G63" s="8">
        <f>3.8187 * CHOOSE( CONTROL!$C$15, $D$11, 100%, $F$11)</f>
        <v>3.8187000000000002</v>
      </c>
      <c r="H63" s="4">
        <f>4.7029 * CHOOSE(CONTROL!$C$15, $D$11, 100%, $F$11)</f>
        <v>4.7028999999999996</v>
      </c>
      <c r="I63" s="8">
        <f>3.8469 * CHOOSE(CONTROL!$C$15, $D$11, 100%, $F$11)</f>
        <v>3.8469000000000002</v>
      </c>
      <c r="J63" s="4">
        <f>3.7405 * CHOOSE(CONTROL!$C$15, $D$11, 100%, $F$11)</f>
        <v>3.7404999999999999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3.8867 * CHOOSE(CONTROL!$C$15, $D$11, 100%, $F$11)</f>
        <v>3.8866999999999998</v>
      </c>
      <c r="C64" s="8">
        <f>3.897 * CHOOSE(CONTROL!$C$15, $D$11, 100%, $F$11)</f>
        <v>3.8969999999999998</v>
      </c>
      <c r="D64" s="8">
        <f>3.8836 * CHOOSE( CONTROL!$C$15, $D$11, 100%, $F$11)</f>
        <v>3.8835999999999999</v>
      </c>
      <c r="E64" s="12">
        <f>3.8874 * CHOOSE( CONTROL!$C$15, $D$11, 100%, $F$11)</f>
        <v>3.8874</v>
      </c>
      <c r="F64" s="4">
        <f>4.5409 * CHOOSE(CONTROL!$C$15, $D$11, 100%, $F$11)</f>
        <v>4.5408999999999997</v>
      </c>
      <c r="G64" s="8">
        <f>3.813 * CHOOSE( CONTROL!$C$15, $D$11, 100%, $F$11)</f>
        <v>3.8130000000000002</v>
      </c>
      <c r="H64" s="4">
        <f>4.696 * CHOOSE(CONTROL!$C$15, $D$11, 100%, $F$11)</f>
        <v>4.6959999999999997</v>
      </c>
      <c r="I64" s="8">
        <f>3.8454 * CHOOSE(CONTROL!$C$15, $D$11, 100%, $F$11)</f>
        <v>3.8454000000000002</v>
      </c>
      <c r="J64" s="4">
        <f>3.7337 * CHOOSE(CONTROL!$C$15, $D$11, 100%, $F$11)</f>
        <v>3.7336999999999998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3.9894 * CHOOSE(CONTROL!$C$15, $D$11, 100%, $F$11)</f>
        <v>3.9893999999999998</v>
      </c>
      <c r="C65" s="8">
        <f>3.9998 * CHOOSE(CONTROL!$C$15, $D$11, 100%, $F$11)</f>
        <v>3.9998</v>
      </c>
      <c r="D65" s="8">
        <f>3.9982 * CHOOSE( CONTROL!$C$15, $D$11, 100%, $F$11)</f>
        <v>3.9982000000000002</v>
      </c>
      <c r="E65" s="12">
        <f>3.9977 * CHOOSE( CONTROL!$C$15, $D$11, 100%, $F$11)</f>
        <v>3.9977</v>
      </c>
      <c r="F65" s="4">
        <f>4.6721 * CHOOSE(CONTROL!$C$15, $D$11, 100%, $F$11)</f>
        <v>4.6721000000000004</v>
      </c>
      <c r="G65" s="8">
        <f>3.9267 * CHOOSE( CONTROL!$C$15, $D$11, 100%, $F$11)</f>
        <v>3.9266999999999999</v>
      </c>
      <c r="H65" s="4">
        <f>4.8251 * CHOOSE(CONTROL!$C$15, $D$11, 100%, $F$11)</f>
        <v>4.8250999999999999</v>
      </c>
      <c r="I65" s="8">
        <f>3.9436 * CHOOSE(CONTROL!$C$15, $D$11, 100%, $F$11)</f>
        <v>3.9436</v>
      </c>
      <c r="J65" s="4">
        <f>3.8331 * CHOOSE(CONTROL!$C$15, $D$11, 100%, $F$11)</f>
        <v>3.8331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3.7332 * CHOOSE(CONTROL!$C$15, $D$11, 100%, $F$11)</f>
        <v>3.7332000000000001</v>
      </c>
      <c r="C66" s="8">
        <f>3.7436 * CHOOSE(CONTROL!$C$15, $D$11, 100%, $F$11)</f>
        <v>3.7435999999999998</v>
      </c>
      <c r="D66" s="8">
        <f>3.7441 * CHOOSE( CONTROL!$C$15, $D$11, 100%, $F$11)</f>
        <v>3.7441</v>
      </c>
      <c r="E66" s="12">
        <f>3.7428 * CHOOSE( CONTROL!$C$15, $D$11, 100%, $F$11)</f>
        <v>3.7427999999999999</v>
      </c>
      <c r="F66" s="4">
        <f>4.4082 * CHOOSE(CONTROL!$C$15, $D$11, 100%, $F$11)</f>
        <v>4.4081999999999999</v>
      </c>
      <c r="G66" s="8">
        <f>3.6743 * CHOOSE( CONTROL!$C$15, $D$11, 100%, $F$11)</f>
        <v>3.6743000000000001</v>
      </c>
      <c r="H66" s="4">
        <f>4.5654 * CHOOSE(CONTROL!$C$15, $D$11, 100%, $F$11)</f>
        <v>4.5654000000000003</v>
      </c>
      <c r="I66" s="8">
        <f>3.6847 * CHOOSE(CONTROL!$C$15, $D$11, 100%, $F$11)</f>
        <v>3.6846999999999999</v>
      </c>
      <c r="J66" s="4">
        <f>3.5853 * CHOOSE(CONTROL!$C$15, $D$11, 100%, $F$11)</f>
        <v>3.5853000000000002</v>
      </c>
      <c r="K66" s="4"/>
      <c r="L66" s="9">
        <v>27.415299999999998</v>
      </c>
      <c r="M66" s="9">
        <v>11.285299999999999</v>
      </c>
      <c r="N66" s="9">
        <v>4.6254999999999997</v>
      </c>
      <c r="O66" s="9">
        <v>0.34989999999999999</v>
      </c>
      <c r="P66" s="9">
        <v>1.2093</v>
      </c>
      <c r="Q66" s="9">
        <v>20.7211</v>
      </c>
      <c r="R66" s="9"/>
      <c r="S66" s="11"/>
    </row>
    <row r="67" spans="1:19" ht="15.75">
      <c r="A67" s="13">
        <v>43891</v>
      </c>
      <c r="B67" s="8">
        <f>3.6543 * CHOOSE(CONTROL!$C$15, $D$11, 100%, $F$11)</f>
        <v>3.6543000000000001</v>
      </c>
      <c r="C67" s="8">
        <f>3.6646 * CHOOSE(CONTROL!$C$15, $D$11, 100%, $F$11)</f>
        <v>3.6646000000000001</v>
      </c>
      <c r="D67" s="8">
        <f>3.6598 * CHOOSE( CONTROL!$C$15, $D$11, 100%, $F$11)</f>
        <v>3.6598000000000002</v>
      </c>
      <c r="E67" s="12">
        <f>3.6605 * CHOOSE( CONTROL!$C$15, $D$11, 100%, $F$11)</f>
        <v>3.6604999999999999</v>
      </c>
      <c r="F67" s="4">
        <f>4.3318 * CHOOSE(CONTROL!$C$15, $D$11, 100%, $F$11)</f>
        <v>4.3318000000000003</v>
      </c>
      <c r="G67" s="8">
        <f>3.5912 * CHOOSE( CONTROL!$C$15, $D$11, 100%, $F$11)</f>
        <v>3.5912000000000002</v>
      </c>
      <c r="H67" s="4">
        <f>4.4903 * CHOOSE(CONTROL!$C$15, $D$11, 100%, $F$11)</f>
        <v>4.4903000000000004</v>
      </c>
      <c r="I67" s="8">
        <f>3.5965 * CHOOSE(CONTROL!$C$15, $D$11, 100%, $F$11)</f>
        <v>3.5964999999999998</v>
      </c>
      <c r="J67" s="4">
        <f>3.509 * CHOOSE(CONTROL!$C$15, $D$11, 100%, $F$11)</f>
        <v>3.5089999999999999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3.7094 * CHOOSE(CONTROL!$C$15, $D$11, 100%, $F$11)</f>
        <v>3.7094</v>
      </c>
      <c r="C68" s="8">
        <f>3.7198 * CHOOSE(CONTROL!$C$15, $D$11, 100%, $F$11)</f>
        <v>3.7198000000000002</v>
      </c>
      <c r="D68" s="8">
        <f>3.7311 * CHOOSE( CONTROL!$C$15, $D$11, 100%, $F$11)</f>
        <v>3.7311000000000001</v>
      </c>
      <c r="E68" s="12">
        <f>3.7262 * CHOOSE( CONTROL!$C$15, $D$11, 100%, $F$11)</f>
        <v>3.7262</v>
      </c>
      <c r="F68" s="4">
        <f>4.3896 * CHOOSE(CONTROL!$C$15, $D$11, 100%, $F$11)</f>
        <v>4.3895999999999997</v>
      </c>
      <c r="G68" s="8">
        <f>3.6261 * CHOOSE( CONTROL!$C$15, $D$11, 100%, $F$11)</f>
        <v>3.6261000000000001</v>
      </c>
      <c r="H68" s="4">
        <f>4.5471 * CHOOSE(CONTROL!$C$15, $D$11, 100%, $F$11)</f>
        <v>4.5471000000000004</v>
      </c>
      <c r="I68" s="8">
        <f>3.6422 * CHOOSE(CONTROL!$C$15, $D$11, 100%, $F$11)</f>
        <v>3.6421999999999999</v>
      </c>
      <c r="J68" s="4">
        <f>3.5623 * CHOOSE(CONTROL!$C$15, $D$11, 100%, $F$11)</f>
        <v>3.5623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CONTROL!$C$32, 3.8111, 3.8076) * CHOOSE(CONTROL!$C$15, $D$11, 100%, $F$11)</f>
        <v>3.8111000000000002</v>
      </c>
      <c r="C69" s="8">
        <f>CHOOSE( CONTROL!$C$32, 3.8214, 3.8179) * CHOOSE(CONTROL!$C$15, $D$11, 100%, $F$11)</f>
        <v>3.8214000000000001</v>
      </c>
      <c r="D69" s="8">
        <f>CHOOSE( CONTROL!$C$32, 3.8322, 3.8288) * CHOOSE( CONTROL!$C$15, $D$11, 100%, $F$11)</f>
        <v>3.8321999999999998</v>
      </c>
      <c r="E69" s="12">
        <f>CHOOSE( CONTROL!$C$32, 3.8267, 3.8233) * CHOOSE( CONTROL!$C$15, $D$11, 100%, $F$11)</f>
        <v>3.8267000000000002</v>
      </c>
      <c r="F69" s="4">
        <f>CHOOSE( CONTROL!$C$32, 4.4912, 4.4877) * CHOOSE(CONTROL!$C$15, $D$11, 100%, $F$11)</f>
        <v>4.4912000000000001</v>
      </c>
      <c r="G69" s="8">
        <f>CHOOSE( CONTROL!$C$32, 3.7273, 3.7239) * CHOOSE( CONTROL!$C$15, $D$11, 100%, $F$11)</f>
        <v>3.7273000000000001</v>
      </c>
      <c r="H69" s="4">
        <f>CHOOSE( CONTROL!$C$32, 4.647, 4.6436) * CHOOSE(CONTROL!$C$15, $D$11, 100%, $F$11)</f>
        <v>4.6470000000000002</v>
      </c>
      <c r="I69" s="8">
        <f>CHOOSE( CONTROL!$C$32, 3.7421, 3.7387) * CHOOSE(CONTROL!$C$15, $D$11, 100%, $F$11)</f>
        <v>3.7421000000000002</v>
      </c>
      <c r="J69" s="4">
        <f>CHOOSE( CONTROL!$C$32, 3.6606, 3.6572) * CHOOSE(CONTROL!$C$15, $D$11, 100%, $F$11)</f>
        <v>3.6606000000000001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CONTROL!$C$32, 3.7503, 3.7468) * CHOOSE(CONTROL!$C$15, $D$11, 100%, $F$11)</f>
        <v>3.7503000000000002</v>
      </c>
      <c r="C70" s="8">
        <f>CHOOSE( CONTROL!$C$32, 3.7606, 3.7571) * CHOOSE(CONTROL!$C$15, $D$11, 100%, $F$11)</f>
        <v>3.7606000000000002</v>
      </c>
      <c r="D70" s="8">
        <f>CHOOSE( CONTROL!$C$32, 3.7717, 3.7682) * CHOOSE( CONTROL!$C$15, $D$11, 100%, $F$11)</f>
        <v>3.7717000000000001</v>
      </c>
      <c r="E70" s="12">
        <f>CHOOSE( CONTROL!$C$32, 3.7661, 3.7626) * CHOOSE( CONTROL!$C$15, $D$11, 100%, $F$11)</f>
        <v>3.7660999999999998</v>
      </c>
      <c r="F70" s="4">
        <f>CHOOSE( CONTROL!$C$32, 4.4304, 4.4269) * CHOOSE(CONTROL!$C$15, $D$11, 100%, $F$11)</f>
        <v>4.4303999999999997</v>
      </c>
      <c r="G70" s="8">
        <f>CHOOSE( CONTROL!$C$32, 3.6679, 3.6645) * CHOOSE( CONTROL!$C$15, $D$11, 100%, $F$11)</f>
        <v>3.6678999999999999</v>
      </c>
      <c r="H70" s="4">
        <f>CHOOSE( CONTROL!$C$32, 4.5872, 4.5838) * CHOOSE(CONTROL!$C$15, $D$11, 100%, $F$11)</f>
        <v>4.5872000000000002</v>
      </c>
      <c r="I70" s="8">
        <f>CHOOSE( CONTROL!$C$32, 3.6846, 3.6813) * CHOOSE(CONTROL!$C$15, $D$11, 100%, $F$11)</f>
        <v>3.6846000000000001</v>
      </c>
      <c r="J70" s="4">
        <f>CHOOSE( CONTROL!$C$32, 3.6018, 3.5984) * CHOOSE(CONTROL!$C$15, $D$11, 100%, $F$11)</f>
        <v>3.6017999999999999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CONTROL!$C$32, 3.9104, 3.9069) * CHOOSE(CONTROL!$C$15, $D$11, 100%, $F$11)</f>
        <v>3.9104000000000001</v>
      </c>
      <c r="C71" s="8">
        <f>CHOOSE( CONTROL!$C$32, 3.9207, 3.9172) * CHOOSE(CONTROL!$C$15, $D$11, 100%, $F$11)</f>
        <v>3.9207000000000001</v>
      </c>
      <c r="D71" s="8">
        <f>CHOOSE( CONTROL!$C$32, 3.9321, 3.9286) * CHOOSE( CONTROL!$C$15, $D$11, 100%, $F$11)</f>
        <v>3.9321000000000002</v>
      </c>
      <c r="E71" s="12">
        <f>CHOOSE( CONTROL!$C$32, 3.9264, 3.9229) * CHOOSE( CONTROL!$C$15, $D$11, 100%, $F$11)</f>
        <v>3.9264000000000001</v>
      </c>
      <c r="F71" s="4">
        <f>CHOOSE( CONTROL!$C$32, 4.5905, 4.587) * CHOOSE(CONTROL!$C$15, $D$11, 100%, $F$11)</f>
        <v>4.5904999999999996</v>
      </c>
      <c r="G71" s="8">
        <f>CHOOSE( CONTROL!$C$32, 3.8259, 3.8225) * CHOOSE( CONTROL!$C$15, $D$11, 100%, $F$11)</f>
        <v>3.8258999999999999</v>
      </c>
      <c r="H71" s="4">
        <f>CHOOSE( CONTROL!$C$32, 4.7447, 4.7413) * CHOOSE(CONTROL!$C$15, $D$11, 100%, $F$11)</f>
        <v>4.7446999999999999</v>
      </c>
      <c r="I71" s="8">
        <f>CHOOSE( CONTROL!$C$32, 3.841, 3.8376) * CHOOSE(CONTROL!$C$15, $D$11, 100%, $F$11)</f>
        <v>3.8410000000000002</v>
      </c>
      <c r="J71" s="4">
        <f>CHOOSE( CONTROL!$C$32, 3.7566, 3.7533) * CHOOSE(CONTROL!$C$15, $D$11, 100%, $F$11)</f>
        <v>3.7566000000000002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CONTROL!$C$32, 3.6108, 3.6073) * CHOOSE(CONTROL!$C$15, $D$11, 100%, $F$11)</f>
        <v>3.6107999999999998</v>
      </c>
      <c r="C72" s="8">
        <f>CHOOSE( CONTROL!$C$32, 3.6211, 3.6177) * CHOOSE(CONTROL!$C$15, $D$11, 100%, $F$11)</f>
        <v>3.6211000000000002</v>
      </c>
      <c r="D72" s="8">
        <f>CHOOSE( CONTROL!$C$32, 3.6327, 3.6292) * CHOOSE( CONTROL!$C$15, $D$11, 100%, $F$11)</f>
        <v>3.6326999999999998</v>
      </c>
      <c r="E72" s="12">
        <f>CHOOSE( CONTROL!$C$32, 3.6269, 3.6234) * CHOOSE( CONTROL!$C$15, $D$11, 100%, $F$11)</f>
        <v>3.6269</v>
      </c>
      <c r="F72" s="4">
        <f>CHOOSE( CONTROL!$C$32, 4.2909, 4.2874) * CHOOSE(CONTROL!$C$15, $D$11, 100%, $F$11)</f>
        <v>4.2908999999999997</v>
      </c>
      <c r="G72" s="8">
        <f>CHOOSE( CONTROL!$C$32, 3.5313, 3.5279) * CHOOSE( CONTROL!$C$15, $D$11, 100%, $F$11)</f>
        <v>3.5312999999999999</v>
      </c>
      <c r="H72" s="4">
        <f>CHOOSE( CONTROL!$C$32, 4.45, 4.4466) * CHOOSE(CONTROL!$C$15, $D$11, 100%, $F$11)</f>
        <v>4.45</v>
      </c>
      <c r="I72" s="8">
        <f>CHOOSE( CONTROL!$C$32, 3.5518, 3.5484) * CHOOSE(CONTROL!$C$15, $D$11, 100%, $F$11)</f>
        <v>3.5518000000000001</v>
      </c>
      <c r="J72" s="4">
        <f>CHOOSE( CONTROL!$C$32, 3.4669, 3.4635) * CHOOSE(CONTROL!$C$15, $D$11, 100%, $F$11)</f>
        <v>3.4668999999999999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CONTROL!$C$32, 3.5358, 3.5323) * CHOOSE(CONTROL!$C$15, $D$11, 100%, $F$11)</f>
        <v>3.5358000000000001</v>
      </c>
      <c r="C73" s="8">
        <f>CHOOSE( CONTROL!$C$32, 3.5461, 3.5426) * CHOOSE(CONTROL!$C$15, $D$11, 100%, $F$11)</f>
        <v>3.5461</v>
      </c>
      <c r="D73" s="8">
        <f>CHOOSE( CONTROL!$C$32, 3.5577, 3.5542) * CHOOSE( CONTROL!$C$15, $D$11, 100%, $F$11)</f>
        <v>3.5577000000000001</v>
      </c>
      <c r="E73" s="12">
        <f>CHOOSE( CONTROL!$C$32, 3.5519, 3.5484) * CHOOSE( CONTROL!$C$15, $D$11, 100%, $F$11)</f>
        <v>3.5518999999999998</v>
      </c>
      <c r="F73" s="4">
        <f>CHOOSE( CONTROL!$C$32, 4.2159, 4.2124) * CHOOSE(CONTROL!$C$15, $D$11, 100%, $F$11)</f>
        <v>4.2159000000000004</v>
      </c>
      <c r="G73" s="8">
        <f>CHOOSE( CONTROL!$C$32, 3.4576, 3.4542) * CHOOSE( CONTROL!$C$15, $D$11, 100%, $F$11)</f>
        <v>3.4575999999999998</v>
      </c>
      <c r="H73" s="4">
        <f>CHOOSE( CONTROL!$C$32, 4.3762, 4.3728) * CHOOSE(CONTROL!$C$15, $D$11, 100%, $F$11)</f>
        <v>4.3761999999999999</v>
      </c>
      <c r="I73" s="8">
        <f>CHOOSE( CONTROL!$C$32, 3.4794, 3.476) * CHOOSE(CONTROL!$C$15, $D$11, 100%, $F$11)</f>
        <v>3.4794</v>
      </c>
      <c r="J73" s="4">
        <f>CHOOSE( CONTROL!$C$32, 3.3943, 3.391) * CHOOSE(CONTROL!$C$15, $D$11, 100%, $F$11)</f>
        <v>3.3942999999999999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3.6881 * CHOOSE(CONTROL!$C$15, $D$11, 100%, $F$11)</f>
        <v>3.6880999999999999</v>
      </c>
      <c r="C74" s="8">
        <f>3.6984 * CHOOSE(CONTROL!$C$15, $D$11, 100%, $F$11)</f>
        <v>3.6983999999999999</v>
      </c>
      <c r="D74" s="8">
        <f>3.7109 * CHOOSE( CONTROL!$C$15, $D$11, 100%, $F$11)</f>
        <v>3.7109000000000001</v>
      </c>
      <c r="E74" s="12">
        <f>3.7057 * CHOOSE( CONTROL!$C$15, $D$11, 100%, $F$11)</f>
        <v>3.7057000000000002</v>
      </c>
      <c r="F74" s="4">
        <f>4.3682 * CHOOSE(CONTROL!$C$15, $D$11, 100%, $F$11)</f>
        <v>4.3681999999999999</v>
      </c>
      <c r="G74" s="8">
        <f>3.607 * CHOOSE( CONTROL!$C$15, $D$11, 100%, $F$11)</f>
        <v>3.6070000000000002</v>
      </c>
      <c r="H74" s="4">
        <f>4.526 * CHOOSE(CONTROL!$C$15, $D$11, 100%, $F$11)</f>
        <v>4.5259999999999998</v>
      </c>
      <c r="I74" s="8">
        <f>3.6276 * CHOOSE(CONTROL!$C$15, $D$11, 100%, $F$11)</f>
        <v>3.6276000000000002</v>
      </c>
      <c r="J74" s="4">
        <f>3.5416 * CHOOSE(CONTROL!$C$15, $D$11, 100%, $F$11)</f>
        <v>3.5415999999999999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3.9756 * CHOOSE(CONTROL!$C$15, $D$11, 100%, $F$11)</f>
        <v>3.9756</v>
      </c>
      <c r="C75" s="8">
        <f>3.9859 * CHOOSE(CONTROL!$C$15, $D$11, 100%, $F$11)</f>
        <v>3.9859</v>
      </c>
      <c r="D75" s="8">
        <f>3.9708 * CHOOSE( CONTROL!$C$15, $D$11, 100%, $F$11)</f>
        <v>3.9708000000000001</v>
      </c>
      <c r="E75" s="12">
        <f>3.9752 * CHOOSE( CONTROL!$C$15, $D$11, 100%, $F$11)</f>
        <v>3.9752000000000001</v>
      </c>
      <c r="F75" s="4">
        <f>4.6298 * CHOOSE(CONTROL!$C$15, $D$11, 100%, $F$11)</f>
        <v>4.6298000000000004</v>
      </c>
      <c r="G75" s="8">
        <f>3.8993 * CHOOSE( CONTROL!$C$15, $D$11, 100%, $F$11)</f>
        <v>3.8993000000000002</v>
      </c>
      <c r="H75" s="4">
        <f>4.7835 * CHOOSE(CONTROL!$C$15, $D$11, 100%, $F$11)</f>
        <v>4.7835000000000001</v>
      </c>
      <c r="I75" s="8">
        <f>3.9261 * CHOOSE(CONTROL!$C$15, $D$11, 100%, $F$11)</f>
        <v>3.9260999999999999</v>
      </c>
      <c r="J75" s="4">
        <f>3.8197 * CHOOSE(CONTROL!$C$15, $D$11, 100%, $F$11)</f>
        <v>3.8197000000000001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3.9684 * CHOOSE(CONTROL!$C$15, $D$11, 100%, $F$11)</f>
        <v>3.9683999999999999</v>
      </c>
      <c r="C76" s="8">
        <f>3.9787 * CHOOSE(CONTROL!$C$15, $D$11, 100%, $F$11)</f>
        <v>3.9786999999999999</v>
      </c>
      <c r="D76" s="8">
        <f>3.9653 * CHOOSE( CONTROL!$C$15, $D$11, 100%, $F$11)</f>
        <v>3.9653</v>
      </c>
      <c r="E76" s="12">
        <f>3.9691 * CHOOSE( CONTROL!$C$15, $D$11, 100%, $F$11)</f>
        <v>3.9691000000000001</v>
      </c>
      <c r="F76" s="4">
        <f>4.6226 * CHOOSE(CONTROL!$C$15, $D$11, 100%, $F$11)</f>
        <v>4.6226000000000003</v>
      </c>
      <c r="G76" s="8">
        <f>3.8934 * CHOOSE( CONTROL!$C$15, $D$11, 100%, $F$11)</f>
        <v>3.8934000000000002</v>
      </c>
      <c r="H76" s="4">
        <f>4.7764 * CHOOSE(CONTROL!$C$15, $D$11, 100%, $F$11)</f>
        <v>4.7763999999999998</v>
      </c>
      <c r="I76" s="8">
        <f>3.9244 * CHOOSE(CONTROL!$C$15, $D$11, 100%, $F$11)</f>
        <v>3.9243999999999999</v>
      </c>
      <c r="J76" s="4">
        <f>3.8127 * CHOOSE(CONTROL!$C$15, $D$11, 100%, $F$11)</f>
        <v>3.8127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4.7573 * CHOOSE(CONTROL!$C$15, $D$11, 100%, $F$11)</f>
        <v>4.7572999999999999</v>
      </c>
      <c r="C77" s="8">
        <f>4.7677 * CHOOSE(CONTROL!$C$15, $D$11, 100%, $F$11)</f>
        <v>4.7676999999999996</v>
      </c>
      <c r="D77" s="8">
        <f>4.7661 * CHOOSE( CONTROL!$C$15, $D$11, 100%, $F$11)</f>
        <v>4.7660999999999998</v>
      </c>
      <c r="E77" s="12">
        <f>4.7656 * CHOOSE( CONTROL!$C$15, $D$11, 100%, $F$11)</f>
        <v>4.7656000000000001</v>
      </c>
      <c r="F77" s="4">
        <f>5.44 * CHOOSE(CONTROL!$C$15, $D$11, 100%, $F$11)</f>
        <v>5.44</v>
      </c>
      <c r="G77" s="8">
        <f>4.6821 * CHOOSE( CONTROL!$C$15, $D$11, 100%, $F$11)</f>
        <v>4.6821000000000002</v>
      </c>
      <c r="H77" s="4">
        <f>5.5805 * CHOOSE(CONTROL!$C$15, $D$11, 100%, $F$11)</f>
        <v>5.5804999999999998</v>
      </c>
      <c r="I77" s="8">
        <f>4.6866 * CHOOSE(CONTROL!$C$15, $D$11, 100%, $F$11)</f>
        <v>4.6866000000000003</v>
      </c>
      <c r="J77" s="4">
        <f>4.5757 * CHOOSE(CONTROL!$C$15, $D$11, 100%, $F$11)</f>
        <v>4.5757000000000003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4.4515 * CHOOSE(CONTROL!$C$15, $D$11, 100%, $F$11)</f>
        <v>4.4515000000000002</v>
      </c>
      <c r="C78" s="8">
        <f>4.4618 * CHOOSE(CONTROL!$C$15, $D$11, 100%, $F$11)</f>
        <v>4.4618000000000002</v>
      </c>
      <c r="D78" s="8">
        <f>4.4623 * CHOOSE( CONTROL!$C$15, $D$11, 100%, $F$11)</f>
        <v>4.4622999999999999</v>
      </c>
      <c r="E78" s="12">
        <f>4.461 * CHOOSE( CONTROL!$C$15, $D$11, 100%, $F$11)</f>
        <v>4.4610000000000003</v>
      </c>
      <c r="F78" s="4">
        <f>5.1264 * CHOOSE(CONTROL!$C$15, $D$11, 100%, $F$11)</f>
        <v>5.1264000000000003</v>
      </c>
      <c r="G78" s="8">
        <f>4.381 * CHOOSE( CONTROL!$C$15, $D$11, 100%, $F$11)</f>
        <v>4.3810000000000002</v>
      </c>
      <c r="H78" s="4">
        <f>5.272 * CHOOSE(CONTROL!$C$15, $D$11, 100%, $F$11)</f>
        <v>5.2720000000000002</v>
      </c>
      <c r="I78" s="8">
        <f>4.3797 * CHOOSE(CONTROL!$C$15, $D$11, 100%, $F$11)</f>
        <v>4.3796999999999997</v>
      </c>
      <c r="J78" s="4">
        <f>4.2799 * CHOOSE(CONTROL!$C$15, $D$11, 100%, $F$11)</f>
        <v>4.2798999999999996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4.3573 * CHOOSE(CONTROL!$C$15, $D$11, 100%, $F$11)</f>
        <v>4.3573000000000004</v>
      </c>
      <c r="C79" s="8">
        <f>4.3676 * CHOOSE(CONTROL!$C$15, $D$11, 100%, $F$11)</f>
        <v>4.3676000000000004</v>
      </c>
      <c r="D79" s="8">
        <f>4.3628 * CHOOSE( CONTROL!$C$15, $D$11, 100%, $F$11)</f>
        <v>4.3628</v>
      </c>
      <c r="E79" s="12">
        <f>4.3635 * CHOOSE( CONTROL!$C$15, $D$11, 100%, $F$11)</f>
        <v>4.3635000000000002</v>
      </c>
      <c r="F79" s="4">
        <f>5.0348 * CHOOSE(CONTROL!$C$15, $D$11, 100%, $F$11)</f>
        <v>5.0347999999999997</v>
      </c>
      <c r="G79" s="8">
        <f>4.2828 * CHOOSE( CONTROL!$C$15, $D$11, 100%, $F$11)</f>
        <v>4.2827999999999999</v>
      </c>
      <c r="H79" s="4">
        <f>5.1818 * CHOOSE(CONTROL!$C$15, $D$11, 100%, $F$11)</f>
        <v>5.1818</v>
      </c>
      <c r="I79" s="8">
        <f>4.2767 * CHOOSE(CONTROL!$C$15, $D$11, 100%, $F$11)</f>
        <v>4.2766999999999999</v>
      </c>
      <c r="J79" s="4">
        <f>4.1888 * CHOOSE(CONTROL!$C$15, $D$11, 100%, $F$11)</f>
        <v>4.1887999999999996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4.4231 * CHOOSE(CONTROL!$C$15, $D$11, 100%, $F$11)</f>
        <v>4.4230999999999998</v>
      </c>
      <c r="C80" s="8">
        <f>4.4334 * CHOOSE(CONTROL!$C$15, $D$11, 100%, $F$11)</f>
        <v>4.4333999999999998</v>
      </c>
      <c r="D80" s="8">
        <f>4.4447 * CHOOSE( CONTROL!$C$15, $D$11, 100%, $F$11)</f>
        <v>4.4447000000000001</v>
      </c>
      <c r="E80" s="12">
        <f>4.4398 * CHOOSE( CONTROL!$C$15, $D$11, 100%, $F$11)</f>
        <v>4.4398</v>
      </c>
      <c r="F80" s="4">
        <f>5.1032 * CHOOSE(CONTROL!$C$15, $D$11, 100%, $F$11)</f>
        <v>5.1032000000000002</v>
      </c>
      <c r="G80" s="8">
        <f>4.3282 * CHOOSE( CONTROL!$C$15, $D$11, 100%, $F$11)</f>
        <v>4.3281999999999998</v>
      </c>
      <c r="H80" s="4">
        <f>5.2492 * CHOOSE(CONTROL!$C$15, $D$11, 100%, $F$11)</f>
        <v>5.2492000000000001</v>
      </c>
      <c r="I80" s="8">
        <f>4.3327 * CHOOSE(CONTROL!$C$15, $D$11, 100%, $F$11)</f>
        <v>4.3327</v>
      </c>
      <c r="J80" s="4">
        <f>4.2525 * CHOOSE(CONTROL!$C$15, $D$11, 100%, $F$11)</f>
        <v>4.2525000000000004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CONTROL!$C$32, 4.5437, 4.5403) * CHOOSE(CONTROL!$C$15, $D$11, 100%, $F$11)</f>
        <v>4.5437000000000003</v>
      </c>
      <c r="C81" s="8">
        <f>CHOOSE( CONTROL!$C$32, 4.5541, 4.5506) * CHOOSE(CONTROL!$C$15, $D$11, 100%, $F$11)</f>
        <v>4.5541</v>
      </c>
      <c r="D81" s="8">
        <f>CHOOSE( CONTROL!$C$32, 4.5649, 4.5614) * CHOOSE( CONTROL!$C$15, $D$11, 100%, $F$11)</f>
        <v>4.5648999999999997</v>
      </c>
      <c r="E81" s="12">
        <f>CHOOSE( CONTROL!$C$32, 4.5594, 4.5559) * CHOOSE( CONTROL!$C$15, $D$11, 100%, $F$11)</f>
        <v>4.5594000000000001</v>
      </c>
      <c r="F81" s="4">
        <f>CHOOSE( CONTROL!$C$32, 5.2238, 5.2204) * CHOOSE(CONTROL!$C$15, $D$11, 100%, $F$11)</f>
        <v>5.2237999999999998</v>
      </c>
      <c r="G81" s="8">
        <f>CHOOSE( CONTROL!$C$32, 4.4481, 4.4447) * CHOOSE( CONTROL!$C$15, $D$11, 100%, $F$11)</f>
        <v>4.4481000000000002</v>
      </c>
      <c r="H81" s="4">
        <f>CHOOSE( CONTROL!$C$32, 5.3678, 5.3644) * CHOOSE(CONTROL!$C$15, $D$11, 100%, $F$11)</f>
        <v>5.3677999999999999</v>
      </c>
      <c r="I81" s="8">
        <f>CHOOSE( CONTROL!$C$32, 4.451, 4.4476) * CHOOSE(CONTROL!$C$15, $D$11, 100%, $F$11)</f>
        <v>4.4509999999999996</v>
      </c>
      <c r="J81" s="4">
        <f>CHOOSE( CONTROL!$C$32, 4.3691, 4.3658) * CHOOSE(CONTROL!$C$15, $D$11, 100%, $F$11)</f>
        <v>4.3691000000000004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CONTROL!$C$32, 4.4711, 4.4677) * CHOOSE(CONTROL!$C$15, $D$11, 100%, $F$11)</f>
        <v>4.4710999999999999</v>
      </c>
      <c r="C82" s="8">
        <f>CHOOSE( CONTROL!$C$32, 4.4815, 4.478) * CHOOSE(CONTROL!$C$15, $D$11, 100%, $F$11)</f>
        <v>4.4814999999999996</v>
      </c>
      <c r="D82" s="8">
        <f>CHOOSE( CONTROL!$C$32, 4.4926, 4.4891) * CHOOSE( CONTROL!$C$15, $D$11, 100%, $F$11)</f>
        <v>4.4926000000000004</v>
      </c>
      <c r="E82" s="12">
        <f>CHOOSE( CONTROL!$C$32, 4.487, 4.4835) * CHOOSE( CONTROL!$C$15, $D$11, 100%, $F$11)</f>
        <v>4.4870000000000001</v>
      </c>
      <c r="F82" s="4">
        <f>CHOOSE( CONTROL!$C$32, 5.1513, 5.1478) * CHOOSE(CONTROL!$C$15, $D$11, 100%, $F$11)</f>
        <v>5.1513</v>
      </c>
      <c r="G82" s="8">
        <f>CHOOSE( CONTROL!$C$32, 4.3771, 4.3737) * CHOOSE( CONTROL!$C$15, $D$11, 100%, $F$11)</f>
        <v>4.3771000000000004</v>
      </c>
      <c r="H82" s="4">
        <f>CHOOSE( CONTROL!$C$32, 5.2964, 5.293) * CHOOSE(CONTROL!$C$15, $D$11, 100%, $F$11)</f>
        <v>5.2964000000000002</v>
      </c>
      <c r="I82" s="8">
        <f>CHOOSE( CONTROL!$C$32, 4.3821, 4.3788) * CHOOSE(CONTROL!$C$15, $D$11, 100%, $F$11)</f>
        <v>4.3821000000000003</v>
      </c>
      <c r="J82" s="4">
        <f>CHOOSE( CONTROL!$C$32, 4.2989, 4.2956) * CHOOSE(CONTROL!$C$15, $D$11, 100%, $F$11)</f>
        <v>4.2988999999999997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CONTROL!$C$32, 4.6623, 4.6588) * CHOOSE(CONTROL!$C$15, $D$11, 100%, $F$11)</f>
        <v>4.6623000000000001</v>
      </c>
      <c r="C83" s="8">
        <f>CHOOSE( CONTROL!$C$32, 4.6726, 4.6691) * CHOOSE(CONTROL!$C$15, $D$11, 100%, $F$11)</f>
        <v>4.6726000000000001</v>
      </c>
      <c r="D83" s="8">
        <f>CHOOSE( CONTROL!$C$32, 4.684, 4.6805) * CHOOSE( CONTROL!$C$15, $D$11, 100%, $F$11)</f>
        <v>4.6840000000000002</v>
      </c>
      <c r="E83" s="12">
        <f>CHOOSE( CONTROL!$C$32, 4.6783, 4.6748) * CHOOSE( CONTROL!$C$15, $D$11, 100%, $F$11)</f>
        <v>4.6783000000000001</v>
      </c>
      <c r="F83" s="4">
        <f>CHOOSE( CONTROL!$C$32, 5.3424, 5.3389) * CHOOSE(CONTROL!$C$15, $D$11, 100%, $F$11)</f>
        <v>5.3423999999999996</v>
      </c>
      <c r="G83" s="8">
        <f>CHOOSE( CONTROL!$C$32, 4.5656, 4.5622) * CHOOSE( CONTROL!$C$15, $D$11, 100%, $F$11)</f>
        <v>4.5655999999999999</v>
      </c>
      <c r="H83" s="4">
        <f>CHOOSE( CONTROL!$C$32, 5.4845, 5.4811) * CHOOSE(CONTROL!$C$15, $D$11, 100%, $F$11)</f>
        <v>5.4844999999999997</v>
      </c>
      <c r="I83" s="8">
        <f>CHOOSE( CONTROL!$C$32, 4.5685, 4.5651) * CHOOSE(CONTROL!$C$15, $D$11, 100%, $F$11)</f>
        <v>4.5685000000000002</v>
      </c>
      <c r="J83" s="4">
        <f>CHOOSE( CONTROL!$C$32, 4.4838, 4.4804) * CHOOSE(CONTROL!$C$15, $D$11, 100%, $F$11)</f>
        <v>4.4837999999999996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CONTROL!$C$32, 4.3047, 4.3012) * CHOOSE(CONTROL!$C$15, $D$11, 100%, $F$11)</f>
        <v>4.3047000000000004</v>
      </c>
      <c r="C84" s="8">
        <f>CHOOSE( CONTROL!$C$32, 4.315, 4.3115) * CHOOSE(CONTROL!$C$15, $D$11, 100%, $F$11)</f>
        <v>4.3150000000000004</v>
      </c>
      <c r="D84" s="8">
        <f>CHOOSE( CONTROL!$C$32, 4.3265, 4.3231) * CHOOSE( CONTROL!$C$15, $D$11, 100%, $F$11)</f>
        <v>4.3265000000000002</v>
      </c>
      <c r="E84" s="12">
        <f>CHOOSE( CONTROL!$C$32, 4.3208, 4.3173) * CHOOSE( CONTROL!$C$15, $D$11, 100%, $F$11)</f>
        <v>4.3208000000000002</v>
      </c>
      <c r="F84" s="4">
        <f>CHOOSE( CONTROL!$C$32, 4.9848, 4.9813) * CHOOSE(CONTROL!$C$15, $D$11, 100%, $F$11)</f>
        <v>4.9847999999999999</v>
      </c>
      <c r="G84" s="8">
        <f>CHOOSE( CONTROL!$C$32, 4.214, 4.2106) * CHOOSE( CONTROL!$C$15, $D$11, 100%, $F$11)</f>
        <v>4.2140000000000004</v>
      </c>
      <c r="H84" s="4">
        <f>CHOOSE( CONTROL!$C$32, 5.1326, 5.1292) * CHOOSE(CONTROL!$C$15, $D$11, 100%, $F$11)</f>
        <v>5.1326000000000001</v>
      </c>
      <c r="I84" s="8">
        <f>CHOOSE( CONTROL!$C$32, 4.2231, 4.2198) * CHOOSE(CONTROL!$C$15, $D$11, 100%, $F$11)</f>
        <v>4.2230999999999996</v>
      </c>
      <c r="J84" s="4">
        <f>CHOOSE( CONTROL!$C$32, 4.1379, 4.1346) * CHOOSE(CONTROL!$C$15, $D$11, 100%, $F$11)</f>
        <v>4.1379000000000001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CONTROL!$C$32, 4.2151, 4.2116) * CHOOSE(CONTROL!$C$15, $D$11, 100%, $F$11)</f>
        <v>4.2150999999999996</v>
      </c>
      <c r="C85" s="8">
        <f>CHOOSE( CONTROL!$C$32, 4.2254, 4.222) * CHOOSE(CONTROL!$C$15, $D$11, 100%, $F$11)</f>
        <v>4.2253999999999996</v>
      </c>
      <c r="D85" s="8">
        <f>CHOOSE( CONTROL!$C$32, 4.237, 4.2335) * CHOOSE( CONTROL!$C$15, $D$11, 100%, $F$11)</f>
        <v>4.2370000000000001</v>
      </c>
      <c r="E85" s="12">
        <f>CHOOSE( CONTROL!$C$32, 4.2312, 4.2277) * CHOOSE( CONTROL!$C$15, $D$11, 100%, $F$11)</f>
        <v>4.2312000000000003</v>
      </c>
      <c r="F85" s="4">
        <f>CHOOSE( CONTROL!$C$32, 4.8952, 4.8917) * CHOOSE(CONTROL!$C$15, $D$11, 100%, $F$11)</f>
        <v>4.8952</v>
      </c>
      <c r="G85" s="8">
        <f>CHOOSE( CONTROL!$C$32, 4.1259, 4.1225) * CHOOSE( CONTROL!$C$15, $D$11, 100%, $F$11)</f>
        <v>4.1258999999999997</v>
      </c>
      <c r="H85" s="4">
        <f>CHOOSE( CONTROL!$C$32, 5.0445, 5.0411) * CHOOSE(CONTROL!$C$15, $D$11, 100%, $F$11)</f>
        <v>5.0445000000000002</v>
      </c>
      <c r="I85" s="8">
        <f>CHOOSE( CONTROL!$C$32, 4.1367, 4.1333) * CHOOSE(CONTROL!$C$15, $D$11, 100%, $F$11)</f>
        <v>4.1367000000000003</v>
      </c>
      <c r="J85" s="4">
        <f>CHOOSE( CONTROL!$C$32, 4.0513, 4.048) * CHOOSE(CONTROL!$C$15, $D$11, 100%, $F$11)</f>
        <v>4.0513000000000003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4.3976 * CHOOSE(CONTROL!$C$15, $D$11, 100%, $F$11)</f>
        <v>4.3975999999999997</v>
      </c>
      <c r="C86" s="8">
        <f>4.4079 * CHOOSE(CONTROL!$C$15, $D$11, 100%, $F$11)</f>
        <v>4.4078999999999997</v>
      </c>
      <c r="D86" s="8">
        <f>4.4205 * CHOOSE( CONTROL!$C$15, $D$11, 100%, $F$11)</f>
        <v>4.4204999999999997</v>
      </c>
      <c r="E86" s="12">
        <f>4.4152 * CHOOSE( CONTROL!$C$15, $D$11, 100%, $F$11)</f>
        <v>4.4151999999999996</v>
      </c>
      <c r="F86" s="4">
        <f>5.0777 * CHOOSE(CONTROL!$C$15, $D$11, 100%, $F$11)</f>
        <v>5.0777000000000001</v>
      </c>
      <c r="G86" s="8">
        <f>4.305 * CHOOSE( CONTROL!$C$15, $D$11, 100%, $F$11)</f>
        <v>4.3049999999999997</v>
      </c>
      <c r="H86" s="4">
        <f>5.2241 * CHOOSE(CONTROL!$C$15, $D$11, 100%, $F$11)</f>
        <v>5.2241</v>
      </c>
      <c r="I86" s="8">
        <f>4.3141 * CHOOSE(CONTROL!$C$15, $D$11, 100%, $F$11)</f>
        <v>4.3140999999999998</v>
      </c>
      <c r="J86" s="4">
        <f>4.2278 * CHOOSE(CONTROL!$C$15, $D$11, 100%, $F$11)</f>
        <v>4.2278000000000002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4.7408 * CHOOSE(CONTROL!$C$15, $D$11, 100%, $F$11)</f>
        <v>4.7408000000000001</v>
      </c>
      <c r="C87" s="8">
        <f>4.7511 * CHOOSE(CONTROL!$C$15, $D$11, 100%, $F$11)</f>
        <v>4.7511000000000001</v>
      </c>
      <c r="D87" s="8">
        <f>4.736 * CHOOSE( CONTROL!$C$15, $D$11, 100%, $F$11)</f>
        <v>4.7359999999999998</v>
      </c>
      <c r="E87" s="12">
        <f>4.7404 * CHOOSE( CONTROL!$C$15, $D$11, 100%, $F$11)</f>
        <v>4.7404000000000002</v>
      </c>
      <c r="F87" s="4">
        <f>5.395 * CHOOSE(CONTROL!$C$15, $D$11, 100%, $F$11)</f>
        <v>5.3949999999999996</v>
      </c>
      <c r="G87" s="8">
        <f>4.6521 * CHOOSE( CONTROL!$C$15, $D$11, 100%, $F$11)</f>
        <v>4.6520999999999999</v>
      </c>
      <c r="H87" s="4">
        <f>5.5363 * CHOOSE(CONTROL!$C$15, $D$11, 100%, $F$11)</f>
        <v>5.5362999999999998</v>
      </c>
      <c r="I87" s="8">
        <f>4.6665 * CHOOSE(CONTROL!$C$15, $D$11, 100%, $F$11)</f>
        <v>4.6665000000000001</v>
      </c>
      <c r="J87" s="4">
        <f>4.5597 * CHOOSE(CONTROL!$C$15, $D$11, 100%, $F$11)</f>
        <v>4.5597000000000003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4.7322 * CHOOSE(CONTROL!$C$15, $D$11, 100%, $F$11)</f>
        <v>4.7321999999999997</v>
      </c>
      <c r="C88" s="8">
        <f>4.7425 * CHOOSE(CONTROL!$C$15, $D$11, 100%, $F$11)</f>
        <v>4.7424999999999997</v>
      </c>
      <c r="D88" s="8">
        <f>4.7291 * CHOOSE( CONTROL!$C$15, $D$11, 100%, $F$11)</f>
        <v>4.7290999999999999</v>
      </c>
      <c r="E88" s="12">
        <f>4.7329 * CHOOSE( CONTROL!$C$15, $D$11, 100%, $F$11)</f>
        <v>4.7328999999999999</v>
      </c>
      <c r="F88" s="4">
        <f>5.3865 * CHOOSE(CONTROL!$C$15, $D$11, 100%, $F$11)</f>
        <v>5.3864999999999998</v>
      </c>
      <c r="G88" s="8">
        <f>4.6449 * CHOOSE( CONTROL!$C$15, $D$11, 100%, $F$11)</f>
        <v>4.6448999999999998</v>
      </c>
      <c r="H88" s="4">
        <f>5.5278 * CHOOSE(CONTROL!$C$15, $D$11, 100%, $F$11)</f>
        <v>5.5278</v>
      </c>
      <c r="I88" s="8">
        <f>4.6635 * CHOOSE(CONTROL!$C$15, $D$11, 100%, $F$11)</f>
        <v>4.6635</v>
      </c>
      <c r="J88" s="4">
        <f>4.5514 * CHOOSE(CONTROL!$C$15, $D$11, 100%, $F$11)</f>
        <v>4.5514000000000001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5.0414 * CHOOSE(CONTROL!$C$15, $D$11, 100%, $F$11)</f>
        <v>5.0414000000000003</v>
      </c>
      <c r="C89" s="8">
        <f>5.0518 * CHOOSE(CONTROL!$C$15, $D$11, 100%, $F$11)</f>
        <v>5.0518000000000001</v>
      </c>
      <c r="D89" s="8">
        <f>5.0502 * CHOOSE( CONTROL!$C$15, $D$11, 100%, $F$11)</f>
        <v>5.0502000000000002</v>
      </c>
      <c r="E89" s="12">
        <f>5.0497 * CHOOSE( CONTROL!$C$15, $D$11, 100%, $F$11)</f>
        <v>5.0496999999999996</v>
      </c>
      <c r="F89" s="4">
        <f>5.7241 * CHOOSE(CONTROL!$C$15, $D$11, 100%, $F$11)</f>
        <v>5.7241</v>
      </c>
      <c r="G89" s="8">
        <f>4.9616 * CHOOSE( CONTROL!$C$15, $D$11, 100%, $F$11)</f>
        <v>4.9615999999999998</v>
      </c>
      <c r="H89" s="4">
        <f>5.8601 * CHOOSE(CONTROL!$C$15, $D$11, 100%, $F$11)</f>
        <v>5.8601000000000001</v>
      </c>
      <c r="I89" s="8">
        <f>4.9615 * CHOOSE(CONTROL!$C$15, $D$11, 100%, $F$11)</f>
        <v>4.9615</v>
      </c>
      <c r="J89" s="4">
        <f>4.8505 * CHOOSE(CONTROL!$C$15, $D$11, 100%, $F$11)</f>
        <v>4.8505000000000003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32.8123</v>
      </c>
      <c r="R89" s="9"/>
      <c r="S89" s="11"/>
    </row>
    <row r="90" spans="1:19" ht="15.75">
      <c r="A90" s="13">
        <v>44593</v>
      </c>
      <c r="B90" s="8">
        <f>4.7172 * CHOOSE(CONTROL!$C$15, $D$11, 100%, $F$11)</f>
        <v>4.7172000000000001</v>
      </c>
      <c r="C90" s="8">
        <f>4.7275 * CHOOSE(CONTROL!$C$15, $D$11, 100%, $F$11)</f>
        <v>4.7275</v>
      </c>
      <c r="D90" s="8">
        <f>4.7281 * CHOOSE( CONTROL!$C$15, $D$11, 100%, $F$11)</f>
        <v>4.7281000000000004</v>
      </c>
      <c r="E90" s="12">
        <f>4.7268 * CHOOSE( CONTROL!$C$15, $D$11, 100%, $F$11)</f>
        <v>4.7267999999999999</v>
      </c>
      <c r="F90" s="4">
        <f>5.3921 * CHOOSE(CONTROL!$C$15, $D$11, 100%, $F$11)</f>
        <v>5.3921000000000001</v>
      </c>
      <c r="G90" s="8">
        <f>4.6424 * CHOOSE( CONTROL!$C$15, $D$11, 100%, $F$11)</f>
        <v>4.6424000000000003</v>
      </c>
      <c r="H90" s="4">
        <f>5.5334 * CHOOSE(CONTROL!$C$15, $D$11, 100%, $F$11)</f>
        <v>5.5334000000000003</v>
      </c>
      <c r="I90" s="8">
        <f>4.6368 * CHOOSE(CONTROL!$C$15, $D$11, 100%, $F$11)</f>
        <v>4.6368</v>
      </c>
      <c r="J90" s="4">
        <f>4.5369 * CHOOSE(CONTROL!$C$15, $D$11, 100%, $F$11)</f>
        <v>4.5369000000000002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4.6173 * CHOOSE(CONTROL!$C$15, $D$11, 100%, $F$11)</f>
        <v>4.6173000000000002</v>
      </c>
      <c r="C91" s="8">
        <f>4.6277 * CHOOSE(CONTROL!$C$15, $D$11, 100%, $F$11)</f>
        <v>4.6276999999999999</v>
      </c>
      <c r="D91" s="8">
        <f>4.6229 * CHOOSE( CONTROL!$C$15, $D$11, 100%, $F$11)</f>
        <v>4.6228999999999996</v>
      </c>
      <c r="E91" s="12">
        <f>4.6235 * CHOOSE( CONTROL!$C$15, $D$11, 100%, $F$11)</f>
        <v>4.6234999999999999</v>
      </c>
      <c r="F91" s="4">
        <f>5.2949 * CHOOSE(CONTROL!$C$15, $D$11, 100%, $F$11)</f>
        <v>5.2949000000000002</v>
      </c>
      <c r="G91" s="8">
        <f>4.5387 * CHOOSE( CONTROL!$C$15, $D$11, 100%, $F$11)</f>
        <v>4.5387000000000004</v>
      </c>
      <c r="H91" s="4">
        <f>5.4377 * CHOOSE(CONTROL!$C$15, $D$11, 100%, $F$11)</f>
        <v>5.4377000000000004</v>
      </c>
      <c r="I91" s="8">
        <f>4.5283 * CHOOSE(CONTROL!$C$15, $D$11, 100%, $F$11)</f>
        <v>4.5282999999999998</v>
      </c>
      <c r="J91" s="4">
        <f>4.4403 * CHOOSE(CONTROL!$C$15, $D$11, 100%, $F$11)</f>
        <v>4.4402999999999997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32.8123</v>
      </c>
      <c r="R91" s="9"/>
      <c r="S91" s="11"/>
    </row>
    <row r="92" spans="1:19" ht="15.75">
      <c r="A92" s="13">
        <v>44652</v>
      </c>
      <c r="B92" s="8">
        <f>4.6871 * CHOOSE(CONTROL!$C$15, $D$11, 100%, $F$11)</f>
        <v>4.6871</v>
      </c>
      <c r="C92" s="8">
        <f>4.6975 * CHOOSE(CONTROL!$C$15, $D$11, 100%, $F$11)</f>
        <v>4.6974999999999998</v>
      </c>
      <c r="D92" s="8">
        <f>4.7088 * CHOOSE( CONTROL!$C$15, $D$11, 100%, $F$11)</f>
        <v>4.7088000000000001</v>
      </c>
      <c r="E92" s="12">
        <f>4.7039 * CHOOSE( CONTROL!$C$15, $D$11, 100%, $F$11)</f>
        <v>4.7039</v>
      </c>
      <c r="F92" s="4">
        <f>5.3672 * CHOOSE(CONTROL!$C$15, $D$11, 100%, $F$11)</f>
        <v>5.3672000000000004</v>
      </c>
      <c r="G92" s="8">
        <f>4.588 * CHOOSE( CONTROL!$C$15, $D$11, 100%, $F$11)</f>
        <v>4.5880000000000001</v>
      </c>
      <c r="H92" s="4">
        <f>5.5089 * CHOOSE(CONTROL!$C$15, $D$11, 100%, $F$11)</f>
        <v>5.5088999999999997</v>
      </c>
      <c r="I92" s="8">
        <f>4.5882 * CHOOSE(CONTROL!$C$15, $D$11, 100%, $F$11)</f>
        <v>4.5881999999999996</v>
      </c>
      <c r="J92" s="4">
        <f>4.5078 * CHOOSE(CONTROL!$C$15, $D$11, 100%, $F$11)</f>
        <v>4.5077999999999996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CONTROL!$C$32, 4.8148, 4.8113) * CHOOSE(CONTROL!$C$15, $D$11, 100%, $F$11)</f>
        <v>4.8148</v>
      </c>
      <c r="C93" s="8">
        <f>CHOOSE( CONTROL!$C$32, 4.8251, 4.8217) * CHOOSE(CONTROL!$C$15, $D$11, 100%, $F$11)</f>
        <v>4.8250999999999999</v>
      </c>
      <c r="D93" s="8">
        <f>CHOOSE( CONTROL!$C$32, 4.836, 4.8325) * CHOOSE( CONTROL!$C$15, $D$11, 100%, $F$11)</f>
        <v>4.8360000000000003</v>
      </c>
      <c r="E93" s="12">
        <f>CHOOSE( CONTROL!$C$32, 4.8305, 4.827) * CHOOSE( CONTROL!$C$15, $D$11, 100%, $F$11)</f>
        <v>4.8304999999999998</v>
      </c>
      <c r="F93" s="4">
        <f>CHOOSE( CONTROL!$C$32, 5.4949, 5.4914) * CHOOSE(CONTROL!$C$15, $D$11, 100%, $F$11)</f>
        <v>5.4949000000000003</v>
      </c>
      <c r="G93" s="8">
        <f>CHOOSE( CONTROL!$C$32, 4.7148, 4.7114) * CHOOSE( CONTROL!$C$15, $D$11, 100%, $F$11)</f>
        <v>4.7148000000000003</v>
      </c>
      <c r="H93" s="4">
        <f>CHOOSE( CONTROL!$C$32, 5.6345, 5.6311) * CHOOSE(CONTROL!$C$15, $D$11, 100%, $F$11)</f>
        <v>5.6345000000000001</v>
      </c>
      <c r="I93" s="8">
        <f>CHOOSE( CONTROL!$C$32, 4.7133, 4.7099) * CHOOSE(CONTROL!$C$15, $D$11, 100%, $F$11)</f>
        <v>4.7133000000000003</v>
      </c>
      <c r="J93" s="4">
        <f>CHOOSE( CONTROL!$C$32, 4.6313, 4.6279) * CHOOSE(CONTROL!$C$15, $D$11, 100%, $F$11)</f>
        <v>4.6313000000000004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CONTROL!$C$32, 4.7379, 4.7344) * CHOOSE(CONTROL!$C$15, $D$11, 100%, $F$11)</f>
        <v>4.7378999999999998</v>
      </c>
      <c r="C94" s="8">
        <f>CHOOSE( CONTROL!$C$32, 4.7482, 4.7447) * CHOOSE(CONTROL!$C$15, $D$11, 100%, $F$11)</f>
        <v>4.7481999999999998</v>
      </c>
      <c r="D94" s="8">
        <f>CHOOSE( CONTROL!$C$32, 4.7593, 4.7558) * CHOOSE( CONTROL!$C$15, $D$11, 100%, $F$11)</f>
        <v>4.7592999999999996</v>
      </c>
      <c r="E94" s="12">
        <f>CHOOSE( CONTROL!$C$32, 4.7537, 4.7502) * CHOOSE( CONTROL!$C$15, $D$11, 100%, $F$11)</f>
        <v>4.7537000000000003</v>
      </c>
      <c r="F94" s="4">
        <f>CHOOSE( CONTROL!$C$32, 5.418, 5.4145) * CHOOSE(CONTROL!$C$15, $D$11, 100%, $F$11)</f>
        <v>5.4180000000000001</v>
      </c>
      <c r="G94" s="8">
        <f>CHOOSE( CONTROL!$C$32, 4.6395, 4.6361) * CHOOSE( CONTROL!$C$15, $D$11, 100%, $F$11)</f>
        <v>4.6395</v>
      </c>
      <c r="H94" s="4">
        <f>CHOOSE( CONTROL!$C$32, 5.5588, 5.5554) * CHOOSE(CONTROL!$C$15, $D$11, 100%, $F$11)</f>
        <v>5.5587999999999997</v>
      </c>
      <c r="I94" s="8">
        <f>CHOOSE( CONTROL!$C$32, 4.6402, 4.6368) * CHOOSE(CONTROL!$C$15, $D$11, 100%, $F$11)</f>
        <v>4.6402000000000001</v>
      </c>
      <c r="J94" s="4">
        <f>CHOOSE( CONTROL!$C$32, 4.5569, 4.5535) * CHOOSE(CONTROL!$C$15, $D$11, 100%, $F$11)</f>
        <v>4.5568999999999997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CONTROL!$C$32, 4.9405, 4.937) * CHOOSE(CONTROL!$C$15, $D$11, 100%, $F$11)</f>
        <v>4.9405000000000001</v>
      </c>
      <c r="C95" s="8">
        <f>CHOOSE( CONTROL!$C$32, 4.9508, 4.9473) * CHOOSE(CONTROL!$C$15, $D$11, 100%, $F$11)</f>
        <v>4.9508000000000001</v>
      </c>
      <c r="D95" s="8">
        <f>CHOOSE( CONTROL!$C$32, 4.9622, 4.9587) * CHOOSE( CONTROL!$C$15, $D$11, 100%, $F$11)</f>
        <v>4.9622000000000002</v>
      </c>
      <c r="E95" s="12">
        <f>CHOOSE( CONTROL!$C$32, 4.9565, 4.953) * CHOOSE( CONTROL!$C$15, $D$11, 100%, $F$11)</f>
        <v>4.9565000000000001</v>
      </c>
      <c r="F95" s="4">
        <f>CHOOSE( CONTROL!$C$32, 5.6206, 5.6171) * CHOOSE(CONTROL!$C$15, $D$11, 100%, $F$11)</f>
        <v>5.6205999999999996</v>
      </c>
      <c r="G95" s="8">
        <f>CHOOSE( CONTROL!$C$32, 4.8393, 4.8359) * CHOOSE( CONTROL!$C$15, $D$11, 100%, $F$11)</f>
        <v>4.8392999999999997</v>
      </c>
      <c r="H95" s="4">
        <f>CHOOSE( CONTROL!$C$32, 5.7582, 5.7547) * CHOOSE(CONTROL!$C$15, $D$11, 100%, $F$11)</f>
        <v>5.7582000000000004</v>
      </c>
      <c r="I95" s="8">
        <f>CHOOSE( CONTROL!$C$32, 4.8377, 4.8343) * CHOOSE(CONTROL!$C$15, $D$11, 100%, $F$11)</f>
        <v>4.8376999999999999</v>
      </c>
      <c r="J95" s="4">
        <f>CHOOSE( CONTROL!$C$32, 4.7528, 4.7495) * CHOOSE(CONTROL!$C$15, $D$11, 100%, $F$11)</f>
        <v>4.7527999999999997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CONTROL!$C$32, 4.5614, 4.5579) * CHOOSE(CONTROL!$C$15, $D$11, 100%, $F$11)</f>
        <v>4.5613999999999999</v>
      </c>
      <c r="C96" s="8">
        <f>CHOOSE( CONTROL!$C$32, 4.5717, 4.5682) * CHOOSE(CONTROL!$C$15, $D$11, 100%, $F$11)</f>
        <v>4.5716999999999999</v>
      </c>
      <c r="D96" s="8">
        <f>CHOOSE( CONTROL!$C$32, 4.5832, 4.5798) * CHOOSE( CONTROL!$C$15, $D$11, 100%, $F$11)</f>
        <v>4.5831999999999997</v>
      </c>
      <c r="E96" s="12">
        <f>CHOOSE( CONTROL!$C$32, 4.5775, 4.574) * CHOOSE( CONTROL!$C$15, $D$11, 100%, $F$11)</f>
        <v>4.5774999999999997</v>
      </c>
      <c r="F96" s="4">
        <f>CHOOSE( CONTROL!$C$32, 5.2415, 5.238) * CHOOSE(CONTROL!$C$15, $D$11, 100%, $F$11)</f>
        <v>5.2415000000000003</v>
      </c>
      <c r="G96" s="8">
        <f>CHOOSE( CONTROL!$C$32, 4.4665, 4.4631) * CHOOSE( CONTROL!$C$15, $D$11, 100%, $F$11)</f>
        <v>4.4664999999999999</v>
      </c>
      <c r="H96" s="4">
        <f>CHOOSE( CONTROL!$C$32, 5.3852, 5.3818) * CHOOSE(CONTROL!$C$15, $D$11, 100%, $F$11)</f>
        <v>5.3852000000000002</v>
      </c>
      <c r="I96" s="8">
        <f>CHOOSE( CONTROL!$C$32, 4.4715, 4.4682) * CHOOSE(CONTROL!$C$15, $D$11, 100%, $F$11)</f>
        <v>4.4714999999999998</v>
      </c>
      <c r="J96" s="4">
        <f>CHOOSE( CONTROL!$C$32, 4.3862, 4.3828) * CHOOSE(CONTROL!$C$15, $D$11, 100%, $F$11)</f>
        <v>4.3861999999999997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CONTROL!$C$32, 4.4664, 4.463) * CHOOSE(CONTROL!$C$15, $D$11, 100%, $F$11)</f>
        <v>4.4664000000000001</v>
      </c>
      <c r="C97" s="8">
        <f>CHOOSE( CONTROL!$C$32, 4.4768, 4.4733) * CHOOSE(CONTROL!$C$15, $D$11, 100%, $F$11)</f>
        <v>4.4767999999999999</v>
      </c>
      <c r="D97" s="8">
        <f>CHOOSE( CONTROL!$C$32, 4.4884, 4.4849) * CHOOSE( CONTROL!$C$15, $D$11, 100%, $F$11)</f>
        <v>4.4884000000000004</v>
      </c>
      <c r="E97" s="12">
        <f>CHOOSE( CONTROL!$C$32, 4.4826, 4.4791) * CHOOSE( CONTROL!$C$15, $D$11, 100%, $F$11)</f>
        <v>4.4825999999999997</v>
      </c>
      <c r="F97" s="4">
        <f>CHOOSE( CONTROL!$C$32, 5.1465, 5.1431) * CHOOSE(CONTROL!$C$15, $D$11, 100%, $F$11)</f>
        <v>5.1464999999999996</v>
      </c>
      <c r="G97" s="8">
        <f>CHOOSE( CONTROL!$C$32, 4.3732, 4.3698) * CHOOSE( CONTROL!$C$15, $D$11, 100%, $F$11)</f>
        <v>4.3731999999999998</v>
      </c>
      <c r="H97" s="4">
        <f>CHOOSE( CONTROL!$C$32, 5.2918, 5.2884) * CHOOSE(CONTROL!$C$15, $D$11, 100%, $F$11)</f>
        <v>5.2918000000000003</v>
      </c>
      <c r="I97" s="8">
        <f>CHOOSE( CONTROL!$C$32, 4.3799, 4.3765) * CHOOSE(CONTROL!$C$15, $D$11, 100%, $F$11)</f>
        <v>4.3799000000000001</v>
      </c>
      <c r="J97" s="4">
        <f>CHOOSE( CONTROL!$C$32, 4.2944, 4.291) * CHOOSE(CONTROL!$C$15, $D$11, 100%, $F$11)</f>
        <v>4.2944000000000004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4.6601 * CHOOSE(CONTROL!$C$15, $D$11, 100%, $F$11)</f>
        <v>4.6600999999999999</v>
      </c>
      <c r="C98" s="8">
        <f>4.6704 * CHOOSE(CONTROL!$C$15, $D$11, 100%, $F$11)</f>
        <v>4.6703999999999999</v>
      </c>
      <c r="D98" s="8">
        <f>4.683 * CHOOSE( CONTROL!$C$15, $D$11, 100%, $F$11)</f>
        <v>4.6829999999999998</v>
      </c>
      <c r="E98" s="12">
        <f>4.6777 * CHOOSE( CONTROL!$C$15, $D$11, 100%, $F$11)</f>
        <v>4.6776999999999997</v>
      </c>
      <c r="F98" s="4">
        <f>5.3402 * CHOOSE(CONTROL!$C$15, $D$11, 100%, $F$11)</f>
        <v>5.3402000000000003</v>
      </c>
      <c r="G98" s="8">
        <f>4.5633 * CHOOSE( CONTROL!$C$15, $D$11, 100%, $F$11)</f>
        <v>4.5632999999999999</v>
      </c>
      <c r="H98" s="4">
        <f>5.4823 * CHOOSE(CONTROL!$C$15, $D$11, 100%, $F$11)</f>
        <v>5.4823000000000004</v>
      </c>
      <c r="I98" s="8">
        <f>4.5681 * CHOOSE(CONTROL!$C$15, $D$11, 100%, $F$11)</f>
        <v>4.5681000000000003</v>
      </c>
      <c r="J98" s="4">
        <f>4.4816 * CHOOSE(CONTROL!$C$15, $D$11, 100%, $F$11)</f>
        <v>4.4816000000000003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32.8123</v>
      </c>
      <c r="R98" s="9"/>
      <c r="S98" s="11"/>
    </row>
    <row r="99" spans="1:19" ht="15.75">
      <c r="A99" s="13">
        <v>44866</v>
      </c>
      <c r="B99" s="8">
        <f>5.0239 * CHOOSE(CONTROL!$C$15, $D$11, 100%, $F$11)</f>
        <v>5.0239000000000003</v>
      </c>
      <c r="C99" s="8">
        <f>5.0342 * CHOOSE(CONTROL!$C$15, $D$11, 100%, $F$11)</f>
        <v>5.0342000000000002</v>
      </c>
      <c r="D99" s="8">
        <f>5.0192 * CHOOSE( CONTROL!$C$15, $D$11, 100%, $F$11)</f>
        <v>5.0191999999999997</v>
      </c>
      <c r="E99" s="12">
        <f>5.0236 * CHOOSE( CONTROL!$C$15, $D$11, 100%, $F$11)</f>
        <v>5.0236000000000001</v>
      </c>
      <c r="F99" s="4">
        <f>5.6781 * CHOOSE(CONTROL!$C$15, $D$11, 100%, $F$11)</f>
        <v>5.6780999999999997</v>
      </c>
      <c r="G99" s="8">
        <f>4.9306 * CHOOSE( CONTROL!$C$15, $D$11, 100%, $F$11)</f>
        <v>4.9306000000000001</v>
      </c>
      <c r="H99" s="4">
        <f>5.8148 * CHOOSE(CONTROL!$C$15, $D$11, 100%, $F$11)</f>
        <v>5.8148</v>
      </c>
      <c r="I99" s="8">
        <f>4.9404 * CHOOSE(CONTROL!$C$15, $D$11, 100%, $F$11)</f>
        <v>4.9404000000000003</v>
      </c>
      <c r="J99" s="4">
        <f>4.8335 * CHOOSE(CONTROL!$C$15, $D$11, 100%, $F$11)</f>
        <v>4.8334999999999999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5.0148 * CHOOSE(CONTROL!$C$15, $D$11, 100%, $F$11)</f>
        <v>5.0148000000000001</v>
      </c>
      <c r="C100" s="8">
        <f>5.0251 * CHOOSE(CONTROL!$C$15, $D$11, 100%, $F$11)</f>
        <v>5.0251000000000001</v>
      </c>
      <c r="D100" s="8">
        <f>5.0117 * CHOOSE( CONTROL!$C$15, $D$11, 100%, $F$11)</f>
        <v>5.0117000000000003</v>
      </c>
      <c r="E100" s="12">
        <f>5.0155 * CHOOSE( CONTROL!$C$15, $D$11, 100%, $F$11)</f>
        <v>5.0155000000000003</v>
      </c>
      <c r="F100" s="4">
        <f>5.6691 * CHOOSE(CONTROL!$C$15, $D$11, 100%, $F$11)</f>
        <v>5.6691000000000003</v>
      </c>
      <c r="G100" s="8">
        <f>4.9229 * CHOOSE( CONTROL!$C$15, $D$11, 100%, $F$11)</f>
        <v>4.9229000000000003</v>
      </c>
      <c r="H100" s="4">
        <f>5.8059 * CHOOSE(CONTROL!$C$15, $D$11, 100%, $F$11)</f>
        <v>5.8059000000000003</v>
      </c>
      <c r="I100" s="8">
        <f>4.9369 * CHOOSE(CONTROL!$C$15, $D$11, 100%, $F$11)</f>
        <v>4.9368999999999996</v>
      </c>
      <c r="J100" s="4">
        <f>4.8247 * CHOOSE(CONTROL!$C$15, $D$11, 100%, $F$11)</f>
        <v>4.8247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32.8123</v>
      </c>
      <c r="R100" s="9"/>
      <c r="S100" s="11"/>
    </row>
    <row r="101" spans="1:19" ht="15.75">
      <c r="A101" s="13">
        <v>44927</v>
      </c>
      <c r="B101" s="8">
        <f>5.3911 * CHOOSE(CONTROL!$C$15, $D$11, 100%, $F$11)</f>
        <v>5.3910999999999998</v>
      </c>
      <c r="C101" s="8">
        <f>5.4014 * CHOOSE(CONTROL!$C$15, $D$11, 100%, $F$11)</f>
        <v>5.4013999999999998</v>
      </c>
      <c r="D101" s="8">
        <f>5.3999 * CHOOSE( CONTROL!$C$15, $D$11, 100%, $F$11)</f>
        <v>5.3998999999999997</v>
      </c>
      <c r="E101" s="12">
        <f>5.3994 * CHOOSE( CONTROL!$C$15, $D$11, 100%, $F$11)</f>
        <v>5.3994</v>
      </c>
      <c r="F101" s="4">
        <f>6.0738 * CHOOSE(CONTROL!$C$15, $D$11, 100%, $F$11)</f>
        <v>6.0738000000000003</v>
      </c>
      <c r="G101" s="8">
        <f>5.3056 * CHOOSE( CONTROL!$C$15, $D$11, 100%, $F$11)</f>
        <v>5.3056000000000001</v>
      </c>
      <c r="H101" s="4">
        <f>6.2041 * CHOOSE(CONTROL!$C$15, $D$11, 100%, $F$11)</f>
        <v>6.2041000000000004</v>
      </c>
      <c r="I101" s="8">
        <f>5.2998 * CHOOSE(CONTROL!$C$15, $D$11, 100%, $F$11)</f>
        <v>5.2998000000000003</v>
      </c>
      <c r="J101" s="4">
        <f>5.1886 * CHOOSE(CONTROL!$C$15, $D$11, 100%, $F$11)</f>
        <v>5.1886000000000001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5.0443 * CHOOSE(CONTROL!$C$15, $D$11, 100%, $F$11)</f>
        <v>5.0442999999999998</v>
      </c>
      <c r="C102" s="8">
        <f>5.0546 * CHOOSE(CONTROL!$C$15, $D$11, 100%, $F$11)</f>
        <v>5.0545999999999998</v>
      </c>
      <c r="D102" s="8">
        <f>5.0551 * CHOOSE( CONTROL!$C$15, $D$11, 100%, $F$11)</f>
        <v>5.0551000000000004</v>
      </c>
      <c r="E102" s="12">
        <f>5.0538 * CHOOSE( CONTROL!$C$15, $D$11, 100%, $F$11)</f>
        <v>5.0537999999999998</v>
      </c>
      <c r="F102" s="4">
        <f>5.7192 * CHOOSE(CONTROL!$C$15, $D$11, 100%, $F$11)</f>
        <v>5.7191999999999998</v>
      </c>
      <c r="G102" s="8">
        <f>4.9642 * CHOOSE( CONTROL!$C$15, $D$11, 100%, $F$11)</f>
        <v>4.9641999999999999</v>
      </c>
      <c r="H102" s="4">
        <f>5.8552 * CHOOSE(CONTROL!$C$15, $D$11, 100%, $F$11)</f>
        <v>5.8552</v>
      </c>
      <c r="I102" s="8">
        <f>4.9533 * CHOOSE(CONTROL!$C$15, $D$11, 100%, $F$11)</f>
        <v>4.9532999999999996</v>
      </c>
      <c r="J102" s="4">
        <f>4.8532 * CHOOSE(CONTROL!$C$15, $D$11, 100%, $F$11)</f>
        <v>4.8532000000000002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4.9374 * CHOOSE(CONTROL!$C$15, $D$11, 100%, $F$11)</f>
        <v>4.9374000000000002</v>
      </c>
      <c r="C103" s="8">
        <f>4.9478 * CHOOSE(CONTROL!$C$15, $D$11, 100%, $F$11)</f>
        <v>4.9478</v>
      </c>
      <c r="D103" s="8">
        <f>4.943 * CHOOSE( CONTROL!$C$15, $D$11, 100%, $F$11)</f>
        <v>4.9429999999999996</v>
      </c>
      <c r="E103" s="12">
        <f>4.9436 * CHOOSE( CONTROL!$C$15, $D$11, 100%, $F$11)</f>
        <v>4.9436</v>
      </c>
      <c r="F103" s="4">
        <f>5.615 * CHOOSE(CONTROL!$C$15, $D$11, 100%, $F$11)</f>
        <v>5.6150000000000002</v>
      </c>
      <c r="G103" s="8">
        <f>4.8536 * CHOOSE( CONTROL!$C$15, $D$11, 100%, $F$11)</f>
        <v>4.8536000000000001</v>
      </c>
      <c r="H103" s="4">
        <f>5.7526 * CHOOSE(CONTROL!$C$15, $D$11, 100%, $F$11)</f>
        <v>5.7526000000000002</v>
      </c>
      <c r="I103" s="8">
        <f>4.838 * CHOOSE(CONTROL!$C$15, $D$11, 100%, $F$11)</f>
        <v>4.8380000000000001</v>
      </c>
      <c r="J103" s="4">
        <f>4.7499 * CHOOSE(CONTROL!$C$15, $D$11, 100%, $F$11)</f>
        <v>4.7499000000000002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5.0121 * CHOOSE(CONTROL!$C$15, $D$11, 100%, $F$11)</f>
        <v>5.0121000000000002</v>
      </c>
      <c r="C104" s="8">
        <f>5.0224 * CHOOSE(CONTROL!$C$15, $D$11, 100%, $F$11)</f>
        <v>5.0224000000000002</v>
      </c>
      <c r="D104" s="8">
        <f>5.0337 * CHOOSE( CONTROL!$C$15, $D$11, 100%, $F$11)</f>
        <v>5.0336999999999996</v>
      </c>
      <c r="E104" s="12">
        <f>5.0288 * CHOOSE( CONTROL!$C$15, $D$11, 100%, $F$11)</f>
        <v>5.0288000000000004</v>
      </c>
      <c r="F104" s="4">
        <f>5.6922 * CHOOSE(CONTROL!$C$15, $D$11, 100%, $F$11)</f>
        <v>5.6921999999999997</v>
      </c>
      <c r="G104" s="8">
        <f>4.9077 * CHOOSE( CONTROL!$C$15, $D$11, 100%, $F$11)</f>
        <v>4.9077000000000002</v>
      </c>
      <c r="H104" s="4">
        <f>5.8286 * CHOOSE(CONTROL!$C$15, $D$11, 100%, $F$11)</f>
        <v>5.8285999999999998</v>
      </c>
      <c r="I104" s="8">
        <f>4.9026 * CHOOSE(CONTROL!$C$15, $D$11, 100%, $F$11)</f>
        <v>4.9025999999999996</v>
      </c>
      <c r="J104" s="4">
        <f>4.8221 * CHOOSE(CONTROL!$C$15, $D$11, 100%, $F$11)</f>
        <v>4.8220999999999998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CONTROL!$C$32, 5.1484, 5.1449) * CHOOSE(CONTROL!$C$15, $D$11, 100%, $F$11)</f>
        <v>5.1483999999999996</v>
      </c>
      <c r="C105" s="8">
        <f>CHOOSE( CONTROL!$C$32, 5.1588, 5.1553) * CHOOSE(CONTROL!$C$15, $D$11, 100%, $F$11)</f>
        <v>5.1588000000000003</v>
      </c>
      <c r="D105" s="8">
        <f>CHOOSE( CONTROL!$C$32, 5.1696, 5.1661) * CHOOSE( CONTROL!$C$15, $D$11, 100%, $F$11)</f>
        <v>5.1696</v>
      </c>
      <c r="E105" s="12">
        <f>CHOOSE( CONTROL!$C$32, 5.1641, 5.1606) * CHOOSE( CONTROL!$C$15, $D$11, 100%, $F$11)</f>
        <v>5.1641000000000004</v>
      </c>
      <c r="F105" s="4">
        <f>CHOOSE( CONTROL!$C$32, 5.8285, 5.825) * CHOOSE(CONTROL!$C$15, $D$11, 100%, $F$11)</f>
        <v>5.8285</v>
      </c>
      <c r="G105" s="8">
        <f>CHOOSE( CONTROL!$C$32, 5.043, 5.0396) * CHOOSE( CONTROL!$C$15, $D$11, 100%, $F$11)</f>
        <v>5.0430000000000001</v>
      </c>
      <c r="H105" s="4">
        <f>CHOOSE( CONTROL!$C$32, 5.9627, 5.9593) * CHOOSE(CONTROL!$C$15, $D$11, 100%, $F$11)</f>
        <v>5.9626999999999999</v>
      </c>
      <c r="I105" s="8">
        <f>CHOOSE( CONTROL!$C$32, 5.0361, 5.0327) * CHOOSE(CONTROL!$C$15, $D$11, 100%, $F$11)</f>
        <v>5.0361000000000002</v>
      </c>
      <c r="J105" s="4">
        <f>CHOOSE( CONTROL!$C$32, 4.9539, 4.9506) * CHOOSE(CONTROL!$C$15, $D$11, 100%, $F$11)</f>
        <v>4.9539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CONTROL!$C$32, 5.0661, 5.0626) * CHOOSE(CONTROL!$C$15, $D$11, 100%, $F$11)</f>
        <v>5.0660999999999996</v>
      </c>
      <c r="C106" s="8">
        <f>CHOOSE( CONTROL!$C$32, 5.0764, 5.073) * CHOOSE(CONTROL!$C$15, $D$11, 100%, $F$11)</f>
        <v>5.0763999999999996</v>
      </c>
      <c r="D106" s="8">
        <f>CHOOSE( CONTROL!$C$32, 5.0876, 5.0841) * CHOOSE( CONTROL!$C$15, $D$11, 100%, $F$11)</f>
        <v>5.0876000000000001</v>
      </c>
      <c r="E106" s="12">
        <f>CHOOSE( CONTROL!$C$32, 5.082, 5.0785) * CHOOSE( CONTROL!$C$15, $D$11, 100%, $F$11)</f>
        <v>5.0819999999999999</v>
      </c>
      <c r="F106" s="4">
        <f>CHOOSE( CONTROL!$C$32, 5.7462, 5.7427) * CHOOSE(CONTROL!$C$15, $D$11, 100%, $F$11)</f>
        <v>5.7462</v>
      </c>
      <c r="G106" s="8">
        <f>CHOOSE( CONTROL!$C$32, 4.9625, 4.959) * CHOOSE( CONTROL!$C$15, $D$11, 100%, $F$11)</f>
        <v>4.9625000000000004</v>
      </c>
      <c r="H106" s="4">
        <f>CHOOSE( CONTROL!$C$32, 5.8818, 5.8784) * CHOOSE(CONTROL!$C$15, $D$11, 100%, $F$11)</f>
        <v>5.8818000000000001</v>
      </c>
      <c r="I106" s="8">
        <f>CHOOSE( CONTROL!$C$32, 4.9578, 4.9544) * CHOOSE(CONTROL!$C$15, $D$11, 100%, $F$11)</f>
        <v>4.9577999999999998</v>
      </c>
      <c r="J106" s="4">
        <f>CHOOSE( CONTROL!$C$32, 4.8743, 4.871) * CHOOSE(CONTROL!$C$15, $D$11, 100%, $F$11)</f>
        <v>4.8742999999999999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CONTROL!$C$32, 5.2828, 5.2794) * CHOOSE(CONTROL!$C$15, $D$11, 100%, $F$11)</f>
        <v>5.2827999999999999</v>
      </c>
      <c r="C107" s="8">
        <f>CHOOSE( CONTROL!$C$32, 5.2932, 5.2897) * CHOOSE(CONTROL!$C$15, $D$11, 100%, $F$11)</f>
        <v>5.2931999999999997</v>
      </c>
      <c r="D107" s="8">
        <f>CHOOSE( CONTROL!$C$32, 5.3046, 5.3011) * CHOOSE( CONTROL!$C$15, $D$11, 100%, $F$11)</f>
        <v>5.3045999999999998</v>
      </c>
      <c r="E107" s="12">
        <f>CHOOSE( CONTROL!$C$32, 5.2989, 5.2954) * CHOOSE( CONTROL!$C$15, $D$11, 100%, $F$11)</f>
        <v>5.2988999999999997</v>
      </c>
      <c r="F107" s="4">
        <f>CHOOSE( CONTROL!$C$32, 5.9629, 5.9595) * CHOOSE(CONTROL!$C$15, $D$11, 100%, $F$11)</f>
        <v>5.9629000000000003</v>
      </c>
      <c r="G107" s="8">
        <f>CHOOSE( CONTROL!$C$32, 5.1761, 5.1727) * CHOOSE( CONTROL!$C$15, $D$11, 100%, $F$11)</f>
        <v>5.1760999999999999</v>
      </c>
      <c r="H107" s="4">
        <f>CHOOSE( CONTROL!$C$32, 6.095, 6.0916) * CHOOSE(CONTROL!$C$15, $D$11, 100%, $F$11)</f>
        <v>6.0949999999999998</v>
      </c>
      <c r="I107" s="8">
        <f>CHOOSE( CONTROL!$C$32, 5.169, 5.1656) * CHOOSE(CONTROL!$C$15, $D$11, 100%, $F$11)</f>
        <v>5.1689999999999996</v>
      </c>
      <c r="J107" s="4">
        <f>CHOOSE( CONTROL!$C$32, 5.0839, 5.0806) * CHOOSE(CONTROL!$C$15, $D$11, 100%, $F$11)</f>
        <v>5.0838999999999999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CONTROL!$C$32, 4.8773, 4.8738) * CHOOSE(CONTROL!$C$15, $D$11, 100%, $F$11)</f>
        <v>4.8773</v>
      </c>
      <c r="C108" s="8">
        <f>CHOOSE( CONTROL!$C$32, 4.8877, 4.8842) * CHOOSE(CONTROL!$C$15, $D$11, 100%, $F$11)</f>
        <v>4.8876999999999997</v>
      </c>
      <c r="D108" s="8">
        <f>CHOOSE( CONTROL!$C$32, 4.8992, 4.8957) * CHOOSE( CONTROL!$C$15, $D$11, 100%, $F$11)</f>
        <v>4.8992000000000004</v>
      </c>
      <c r="E108" s="12">
        <f>CHOOSE( CONTROL!$C$32, 4.8934, 4.8899) * CHOOSE( CONTROL!$C$15, $D$11, 100%, $F$11)</f>
        <v>4.8933999999999997</v>
      </c>
      <c r="F108" s="4">
        <f>CHOOSE( CONTROL!$C$32, 5.5574, 5.5539) * CHOOSE(CONTROL!$C$15, $D$11, 100%, $F$11)</f>
        <v>5.5574000000000003</v>
      </c>
      <c r="G108" s="8">
        <f>CHOOSE( CONTROL!$C$32, 4.7774, 4.774) * CHOOSE( CONTROL!$C$15, $D$11, 100%, $F$11)</f>
        <v>4.7774000000000001</v>
      </c>
      <c r="H108" s="4">
        <f>CHOOSE( CONTROL!$C$32, 5.696, 5.6926) * CHOOSE(CONTROL!$C$15, $D$11, 100%, $F$11)</f>
        <v>5.6959999999999997</v>
      </c>
      <c r="I108" s="8">
        <f>CHOOSE( CONTROL!$C$32, 4.7772, 4.7739) * CHOOSE(CONTROL!$C$15, $D$11, 100%, $F$11)</f>
        <v>4.7771999999999997</v>
      </c>
      <c r="J108" s="4">
        <f>CHOOSE( CONTROL!$C$32, 4.6917, 4.6884) * CHOOSE(CONTROL!$C$15, $D$11, 100%, $F$11)</f>
        <v>4.6917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CONTROL!$C$32, 4.7758, 4.7723) * CHOOSE(CONTROL!$C$15, $D$11, 100%, $F$11)</f>
        <v>4.7758000000000003</v>
      </c>
      <c r="C109" s="8">
        <f>CHOOSE( CONTROL!$C$32, 4.7861, 4.7826) * CHOOSE(CONTROL!$C$15, $D$11, 100%, $F$11)</f>
        <v>4.7861000000000002</v>
      </c>
      <c r="D109" s="8">
        <f>CHOOSE( CONTROL!$C$32, 4.7977, 4.7942) * CHOOSE( CONTROL!$C$15, $D$11, 100%, $F$11)</f>
        <v>4.7976999999999999</v>
      </c>
      <c r="E109" s="12">
        <f>CHOOSE( CONTROL!$C$32, 4.7919, 4.7884) * CHOOSE( CONTROL!$C$15, $D$11, 100%, $F$11)</f>
        <v>4.7919</v>
      </c>
      <c r="F109" s="4">
        <f>CHOOSE( CONTROL!$C$32, 5.4559, 5.4524) * CHOOSE(CONTROL!$C$15, $D$11, 100%, $F$11)</f>
        <v>5.4558999999999997</v>
      </c>
      <c r="G109" s="8">
        <f>CHOOSE( CONTROL!$C$32, 4.6775, 4.6741) * CHOOSE( CONTROL!$C$15, $D$11, 100%, $F$11)</f>
        <v>4.6775000000000002</v>
      </c>
      <c r="H109" s="4">
        <f>CHOOSE( CONTROL!$C$32, 5.5961, 5.5927) * CHOOSE(CONTROL!$C$15, $D$11, 100%, $F$11)</f>
        <v>5.5960999999999999</v>
      </c>
      <c r="I109" s="8">
        <f>CHOOSE( CONTROL!$C$32, 4.6792, 4.6758) * CHOOSE(CONTROL!$C$15, $D$11, 100%, $F$11)</f>
        <v>4.6791999999999998</v>
      </c>
      <c r="J109" s="4">
        <f>CHOOSE( CONTROL!$C$32, 4.5935, 4.5902) * CHOOSE(CONTROL!$C$15, $D$11, 100%, $F$11)</f>
        <v>4.5934999999999997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4.9831 * CHOOSE(CONTROL!$C$15, $D$11, 100%, $F$11)</f>
        <v>4.9831000000000003</v>
      </c>
      <c r="C110" s="8">
        <f>4.9935 * CHOOSE(CONTROL!$C$15, $D$11, 100%, $F$11)</f>
        <v>4.9935</v>
      </c>
      <c r="D110" s="8">
        <f>5.006 * CHOOSE( CONTROL!$C$15, $D$11, 100%, $F$11)</f>
        <v>5.0060000000000002</v>
      </c>
      <c r="E110" s="12">
        <f>5.0008 * CHOOSE( CONTROL!$C$15, $D$11, 100%, $F$11)</f>
        <v>5.0007999999999999</v>
      </c>
      <c r="F110" s="4">
        <f>5.6632 * CHOOSE(CONTROL!$C$15, $D$11, 100%, $F$11)</f>
        <v>5.6631999999999998</v>
      </c>
      <c r="G110" s="8">
        <f>4.8811 * CHOOSE( CONTROL!$C$15, $D$11, 100%, $F$11)</f>
        <v>4.8811</v>
      </c>
      <c r="H110" s="4">
        <f>5.8002 * CHOOSE(CONTROL!$C$15, $D$11, 100%, $F$11)</f>
        <v>5.8002000000000002</v>
      </c>
      <c r="I110" s="8">
        <f>4.8807 * CHOOSE(CONTROL!$C$15, $D$11, 100%, $F$11)</f>
        <v>4.8807</v>
      </c>
      <c r="J110" s="4">
        <f>4.7941 * CHOOSE(CONTROL!$C$15, $D$11, 100%, $F$11)</f>
        <v>4.7941000000000003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5.3723 * CHOOSE(CONTROL!$C$15, $D$11, 100%, $F$11)</f>
        <v>5.3723000000000001</v>
      </c>
      <c r="C111" s="8">
        <f>5.3827 * CHOOSE(CONTROL!$C$15, $D$11, 100%, $F$11)</f>
        <v>5.3826999999999998</v>
      </c>
      <c r="D111" s="8">
        <f>5.3676 * CHOOSE( CONTROL!$C$15, $D$11, 100%, $F$11)</f>
        <v>5.3676000000000004</v>
      </c>
      <c r="E111" s="12">
        <f>5.372 * CHOOSE( CONTROL!$C$15, $D$11, 100%, $F$11)</f>
        <v>5.3719999999999999</v>
      </c>
      <c r="F111" s="4">
        <f>6.0266 * CHOOSE(CONTROL!$C$15, $D$11, 100%, $F$11)</f>
        <v>6.0266000000000002</v>
      </c>
      <c r="G111" s="8">
        <f>5.2734 * CHOOSE( CONTROL!$C$15, $D$11, 100%, $F$11)</f>
        <v>5.2733999999999996</v>
      </c>
      <c r="H111" s="4">
        <f>6.1576 * CHOOSE(CONTROL!$C$15, $D$11, 100%, $F$11)</f>
        <v>6.1576000000000004</v>
      </c>
      <c r="I111" s="8">
        <f>5.2776 * CHOOSE(CONTROL!$C$15, $D$11, 100%, $F$11)</f>
        <v>5.2775999999999996</v>
      </c>
      <c r="J111" s="4">
        <f>5.1705 * CHOOSE(CONTROL!$C$15, $D$11, 100%, $F$11)</f>
        <v>5.1704999999999997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5.3626 * CHOOSE(CONTROL!$C$15, $D$11, 100%, $F$11)</f>
        <v>5.3625999999999996</v>
      </c>
      <c r="C112" s="8">
        <f>5.3729 * CHOOSE(CONTROL!$C$15, $D$11, 100%, $F$11)</f>
        <v>5.3728999999999996</v>
      </c>
      <c r="D112" s="8">
        <f>5.3595 * CHOOSE( CONTROL!$C$15, $D$11, 100%, $F$11)</f>
        <v>5.3594999999999997</v>
      </c>
      <c r="E112" s="12">
        <f>5.3633 * CHOOSE( CONTROL!$C$15, $D$11, 100%, $F$11)</f>
        <v>5.3632999999999997</v>
      </c>
      <c r="F112" s="4">
        <f>6.0169 * CHOOSE(CONTROL!$C$15, $D$11, 100%, $F$11)</f>
        <v>6.0168999999999997</v>
      </c>
      <c r="G112" s="8">
        <f>5.2651 * CHOOSE( CONTROL!$C$15, $D$11, 100%, $F$11)</f>
        <v>5.2651000000000003</v>
      </c>
      <c r="H112" s="4">
        <f>6.148 * CHOOSE(CONTROL!$C$15, $D$11, 100%, $F$11)</f>
        <v>6.1479999999999997</v>
      </c>
      <c r="I112" s="8">
        <f>5.2735 * CHOOSE(CONTROL!$C$15, $D$11, 100%, $F$11)</f>
        <v>5.2735000000000003</v>
      </c>
      <c r="J112" s="4">
        <f>5.1611 * CHOOSE(CONTROL!$C$15, $D$11, 100%, $F$11)</f>
        <v>5.1611000000000002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6.0249 * CHOOSE(CONTROL!$C$15, $D$11, 100%, $F$11)</f>
        <v>6.0248999999999997</v>
      </c>
      <c r="C113" s="8">
        <f>6.0352 * CHOOSE(CONTROL!$C$15, $D$11, 100%, $F$11)</f>
        <v>6.0351999999999997</v>
      </c>
      <c r="D113" s="8">
        <f>6.0336 * CHOOSE( CONTROL!$C$15, $D$11, 100%, $F$11)</f>
        <v>6.0335999999999999</v>
      </c>
      <c r="E113" s="12">
        <f>6.0331 * CHOOSE( CONTROL!$C$15, $D$11, 100%, $F$11)</f>
        <v>6.0331000000000001</v>
      </c>
      <c r="F113" s="4">
        <f>6.7076 * CHOOSE(CONTROL!$C$15, $D$11, 100%, $F$11)</f>
        <v>6.7076000000000002</v>
      </c>
      <c r="G113" s="8">
        <f>5.9292 * CHOOSE( CONTROL!$C$15, $D$11, 100%, $F$11)</f>
        <v>5.9291999999999998</v>
      </c>
      <c r="H113" s="4">
        <f>6.8276 * CHOOSE(CONTROL!$C$15, $D$11, 100%, $F$11)</f>
        <v>6.8276000000000003</v>
      </c>
      <c r="I113" s="8">
        <f>5.913 * CHOOSE(CONTROL!$C$15, $D$11, 100%, $F$11)</f>
        <v>5.9130000000000003</v>
      </c>
      <c r="J113" s="4">
        <f>5.8015 * CHOOSE(CONTROL!$C$15, $D$11, 100%, $F$11)</f>
        <v>5.8014999999999999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5.6371 * CHOOSE(CONTROL!$C$15, $D$11, 100%, $F$11)</f>
        <v>5.6371000000000002</v>
      </c>
      <c r="C114" s="8">
        <f>5.6474 * CHOOSE(CONTROL!$C$15, $D$11, 100%, $F$11)</f>
        <v>5.6474000000000002</v>
      </c>
      <c r="D114" s="8">
        <f>5.6479 * CHOOSE( CONTROL!$C$15, $D$11, 100%, $F$11)</f>
        <v>5.6478999999999999</v>
      </c>
      <c r="E114" s="12">
        <f>5.6466 * CHOOSE( CONTROL!$C$15, $D$11, 100%, $F$11)</f>
        <v>5.6466000000000003</v>
      </c>
      <c r="F114" s="4">
        <f>6.312 * CHOOSE(CONTROL!$C$15, $D$11, 100%, $F$11)</f>
        <v>6.3120000000000003</v>
      </c>
      <c r="G114" s="8">
        <f>5.5474 * CHOOSE( CONTROL!$C$15, $D$11, 100%, $F$11)</f>
        <v>5.5473999999999997</v>
      </c>
      <c r="H114" s="4">
        <f>6.4384 * CHOOSE(CONTROL!$C$15, $D$11, 100%, $F$11)</f>
        <v>6.4383999999999997</v>
      </c>
      <c r="I114" s="8">
        <f>5.5269 * CHOOSE(CONTROL!$C$15, $D$11, 100%, $F$11)</f>
        <v>5.5269000000000004</v>
      </c>
      <c r="J114" s="4">
        <f>5.4265 * CHOOSE(CONTROL!$C$15, $D$11, 100%, $F$11)</f>
        <v>5.4264999999999999</v>
      </c>
      <c r="K114" s="4"/>
      <c r="L114" s="9">
        <v>27.415299999999998</v>
      </c>
      <c r="M114" s="9">
        <v>11.285299999999999</v>
      </c>
      <c r="N114" s="9">
        <v>4.6254999999999997</v>
      </c>
      <c r="O114" s="9">
        <v>0.34989999999999999</v>
      </c>
      <c r="P114" s="9">
        <v>1.2093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5.5176 * CHOOSE(CONTROL!$C$15, $D$11, 100%, $F$11)</f>
        <v>5.5175999999999998</v>
      </c>
      <c r="C115" s="8">
        <f>5.5279 * CHOOSE(CONTROL!$C$15, $D$11, 100%, $F$11)</f>
        <v>5.5278999999999998</v>
      </c>
      <c r="D115" s="8">
        <f>5.5231 * CHOOSE( CONTROL!$C$15, $D$11, 100%, $F$11)</f>
        <v>5.5231000000000003</v>
      </c>
      <c r="E115" s="12">
        <f>5.5238 * CHOOSE( CONTROL!$C$15, $D$11, 100%, $F$11)</f>
        <v>5.5237999999999996</v>
      </c>
      <c r="F115" s="4">
        <f>6.1951 * CHOOSE(CONTROL!$C$15, $D$11, 100%, $F$11)</f>
        <v>6.1951000000000001</v>
      </c>
      <c r="G115" s="8">
        <f>5.4244 * CHOOSE( CONTROL!$C$15, $D$11, 100%, $F$11)</f>
        <v>5.4244000000000003</v>
      </c>
      <c r="H115" s="4">
        <f>6.3234 * CHOOSE(CONTROL!$C$15, $D$11, 100%, $F$11)</f>
        <v>6.3234000000000004</v>
      </c>
      <c r="I115" s="8">
        <f>5.3994 * CHOOSE(CONTROL!$C$15, $D$11, 100%, $F$11)</f>
        <v>5.3994</v>
      </c>
      <c r="J115" s="4">
        <f>5.311 * CHOOSE(CONTROL!$C$15, $D$11, 100%, $F$11)</f>
        <v>5.3109999999999999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5.6011 * CHOOSE(CONTROL!$C$15, $D$11, 100%, $F$11)</f>
        <v>5.6010999999999997</v>
      </c>
      <c r="C116" s="8">
        <f>5.6114 * CHOOSE(CONTROL!$C$15, $D$11, 100%, $F$11)</f>
        <v>5.6113999999999997</v>
      </c>
      <c r="D116" s="8">
        <f>5.6227 * CHOOSE( CONTROL!$C$15, $D$11, 100%, $F$11)</f>
        <v>5.6227</v>
      </c>
      <c r="E116" s="12">
        <f>5.6178 * CHOOSE( CONTROL!$C$15, $D$11, 100%, $F$11)</f>
        <v>5.6177999999999999</v>
      </c>
      <c r="F116" s="4">
        <f>6.2812 * CHOOSE(CONTROL!$C$15, $D$11, 100%, $F$11)</f>
        <v>6.2812000000000001</v>
      </c>
      <c r="G116" s="8">
        <f>5.4872 * CHOOSE( CONTROL!$C$15, $D$11, 100%, $F$11)</f>
        <v>5.4871999999999996</v>
      </c>
      <c r="H116" s="4">
        <f>6.4081 * CHOOSE(CONTROL!$C$15, $D$11, 100%, $F$11)</f>
        <v>6.4081000000000001</v>
      </c>
      <c r="I116" s="8">
        <f>5.4725 * CHOOSE(CONTROL!$C$15, $D$11, 100%, $F$11)</f>
        <v>5.4725000000000001</v>
      </c>
      <c r="J116" s="4">
        <f>5.3917 * CHOOSE(CONTROL!$C$15, $D$11, 100%, $F$11)</f>
        <v>5.3917000000000002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CONTROL!$C$32, 5.7531, 5.7496) * CHOOSE(CONTROL!$C$15, $D$11, 100%, $F$11)</f>
        <v>5.7530999999999999</v>
      </c>
      <c r="C117" s="8">
        <f>CHOOSE( CONTROL!$C$32, 5.7634, 5.76) * CHOOSE(CONTROL!$C$15, $D$11, 100%, $F$11)</f>
        <v>5.7633999999999999</v>
      </c>
      <c r="D117" s="8">
        <f>CHOOSE( CONTROL!$C$32, 5.7743, 5.7708) * CHOOSE( CONTROL!$C$15, $D$11, 100%, $F$11)</f>
        <v>5.7743000000000002</v>
      </c>
      <c r="E117" s="12">
        <f>CHOOSE( CONTROL!$C$32, 5.7688, 5.7653) * CHOOSE( CONTROL!$C$15, $D$11, 100%, $F$11)</f>
        <v>5.7687999999999997</v>
      </c>
      <c r="F117" s="4">
        <f>CHOOSE( CONTROL!$C$32, 6.4332, 6.4297) * CHOOSE(CONTROL!$C$15, $D$11, 100%, $F$11)</f>
        <v>6.4332000000000003</v>
      </c>
      <c r="G117" s="8">
        <f>CHOOSE( CONTROL!$C$32, 5.6379, 5.6345) * CHOOSE( CONTROL!$C$15, $D$11, 100%, $F$11)</f>
        <v>5.6379000000000001</v>
      </c>
      <c r="H117" s="4">
        <f>CHOOSE( CONTROL!$C$32, 6.5577, 6.5542) * CHOOSE(CONTROL!$C$15, $D$11, 100%, $F$11)</f>
        <v>6.5576999999999996</v>
      </c>
      <c r="I117" s="8">
        <f>CHOOSE( CONTROL!$C$32, 5.6212, 5.6178) * CHOOSE(CONTROL!$C$15, $D$11, 100%, $F$11)</f>
        <v>5.6212</v>
      </c>
      <c r="J117" s="4">
        <f>CHOOSE( CONTROL!$C$32, 5.5387, 5.5354) * CHOOSE(CONTROL!$C$15, $D$11, 100%, $F$11)</f>
        <v>5.5387000000000004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CONTROL!$C$32, 5.6611, 5.6576) * CHOOSE(CONTROL!$C$15, $D$11, 100%, $F$11)</f>
        <v>5.6611000000000002</v>
      </c>
      <c r="C118" s="8">
        <f>CHOOSE( CONTROL!$C$32, 5.6714, 5.6679) * CHOOSE(CONTROL!$C$15, $D$11, 100%, $F$11)</f>
        <v>5.6714000000000002</v>
      </c>
      <c r="D118" s="8">
        <f>CHOOSE( CONTROL!$C$32, 5.6825, 5.679) * CHOOSE( CONTROL!$C$15, $D$11, 100%, $F$11)</f>
        <v>5.6825000000000001</v>
      </c>
      <c r="E118" s="12">
        <f>CHOOSE( CONTROL!$C$32, 5.6769, 5.6734) * CHOOSE( CONTROL!$C$15, $D$11, 100%, $F$11)</f>
        <v>5.6768999999999998</v>
      </c>
      <c r="F118" s="4">
        <f>CHOOSE( CONTROL!$C$32, 6.3412, 6.3377) * CHOOSE(CONTROL!$C$15, $D$11, 100%, $F$11)</f>
        <v>6.3411999999999997</v>
      </c>
      <c r="G118" s="8">
        <f>CHOOSE( CONTROL!$C$32, 5.5478, 5.5444) * CHOOSE( CONTROL!$C$15, $D$11, 100%, $F$11)</f>
        <v>5.5477999999999996</v>
      </c>
      <c r="H118" s="4">
        <f>CHOOSE( CONTROL!$C$32, 6.4671, 6.4637) * CHOOSE(CONTROL!$C$15, $D$11, 100%, $F$11)</f>
        <v>6.4671000000000003</v>
      </c>
      <c r="I118" s="8">
        <f>CHOOSE( CONTROL!$C$32, 5.5335, 5.5301) * CHOOSE(CONTROL!$C$15, $D$11, 100%, $F$11)</f>
        <v>5.5335000000000001</v>
      </c>
      <c r="J118" s="4">
        <f>CHOOSE( CONTROL!$C$32, 5.4497, 5.4464) * CHOOSE(CONTROL!$C$15, $D$11, 100%, $F$11)</f>
        <v>5.4497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CONTROL!$C$32, 5.9034, 5.8999) * CHOOSE(CONTROL!$C$15, $D$11, 100%, $F$11)</f>
        <v>5.9034000000000004</v>
      </c>
      <c r="C119" s="8">
        <f>CHOOSE( CONTROL!$C$32, 5.9137, 5.9103) * CHOOSE(CONTROL!$C$15, $D$11, 100%, $F$11)</f>
        <v>5.9137000000000004</v>
      </c>
      <c r="D119" s="8">
        <f>CHOOSE( CONTROL!$C$32, 5.9251, 5.9217) * CHOOSE( CONTROL!$C$15, $D$11, 100%, $F$11)</f>
        <v>5.9250999999999996</v>
      </c>
      <c r="E119" s="12">
        <f>CHOOSE( CONTROL!$C$32, 5.9194, 5.916) * CHOOSE( CONTROL!$C$15, $D$11, 100%, $F$11)</f>
        <v>5.9194000000000004</v>
      </c>
      <c r="F119" s="4">
        <f>CHOOSE( CONTROL!$C$32, 6.5835, 6.58) * CHOOSE(CONTROL!$C$15, $D$11, 100%, $F$11)</f>
        <v>6.5834999999999999</v>
      </c>
      <c r="G119" s="8">
        <f>CHOOSE( CONTROL!$C$32, 5.7867, 5.7833) * CHOOSE( CONTROL!$C$15, $D$11, 100%, $F$11)</f>
        <v>5.7866999999999997</v>
      </c>
      <c r="H119" s="4">
        <f>CHOOSE( CONTROL!$C$32, 6.7055, 6.7021) * CHOOSE(CONTROL!$C$15, $D$11, 100%, $F$11)</f>
        <v>6.7054999999999998</v>
      </c>
      <c r="I119" s="8">
        <f>CHOOSE( CONTROL!$C$32, 5.7694, 5.766) * CHOOSE(CONTROL!$C$15, $D$11, 100%, $F$11)</f>
        <v>5.7694000000000001</v>
      </c>
      <c r="J119" s="4">
        <f>CHOOSE( CONTROL!$C$32, 5.6841, 5.6807) * CHOOSE(CONTROL!$C$15, $D$11, 100%, $F$11)</f>
        <v>5.6840999999999999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CONTROL!$C$32, 5.45, 5.4465) * CHOOSE(CONTROL!$C$15, $D$11, 100%, $F$11)</f>
        <v>5.45</v>
      </c>
      <c r="C120" s="8">
        <f>CHOOSE( CONTROL!$C$32, 5.4603, 5.4568) * CHOOSE(CONTROL!$C$15, $D$11, 100%, $F$11)</f>
        <v>5.4603000000000002</v>
      </c>
      <c r="D120" s="8">
        <f>CHOOSE( CONTROL!$C$32, 5.4719, 5.4684) * CHOOSE( CONTROL!$C$15, $D$11, 100%, $F$11)</f>
        <v>5.4718999999999998</v>
      </c>
      <c r="E120" s="12">
        <f>CHOOSE( CONTROL!$C$32, 5.4661, 5.4626) * CHOOSE( CONTROL!$C$15, $D$11, 100%, $F$11)</f>
        <v>5.4661</v>
      </c>
      <c r="F120" s="4">
        <f>CHOOSE( CONTROL!$C$32, 6.1301, 6.1266) * CHOOSE(CONTROL!$C$15, $D$11, 100%, $F$11)</f>
        <v>6.1300999999999997</v>
      </c>
      <c r="G120" s="8">
        <f>CHOOSE( CONTROL!$C$32, 5.3408, 5.3374) * CHOOSE( CONTROL!$C$15, $D$11, 100%, $F$11)</f>
        <v>5.3407999999999998</v>
      </c>
      <c r="H120" s="4">
        <f>CHOOSE( CONTROL!$C$32, 6.2594, 6.256) * CHOOSE(CONTROL!$C$15, $D$11, 100%, $F$11)</f>
        <v>6.2594000000000003</v>
      </c>
      <c r="I120" s="8">
        <f>CHOOSE( CONTROL!$C$32, 5.3313, 5.328) * CHOOSE(CONTROL!$C$15, $D$11, 100%, $F$11)</f>
        <v>5.3312999999999997</v>
      </c>
      <c r="J120" s="4">
        <f>CHOOSE( CONTROL!$C$32, 5.2456, 5.2422) * CHOOSE(CONTROL!$C$15, $D$11, 100%, $F$11)</f>
        <v>5.2455999999999996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CONTROL!$C$32, 5.3364, 5.333) * CHOOSE(CONTROL!$C$15, $D$11, 100%, $F$11)</f>
        <v>5.3364000000000003</v>
      </c>
      <c r="C121" s="8">
        <f>CHOOSE( CONTROL!$C$32, 5.3468, 5.3433) * CHOOSE(CONTROL!$C$15, $D$11, 100%, $F$11)</f>
        <v>5.3468</v>
      </c>
      <c r="D121" s="8">
        <f>CHOOSE( CONTROL!$C$32, 5.3584, 5.3549) * CHOOSE( CONTROL!$C$15, $D$11, 100%, $F$11)</f>
        <v>5.3583999999999996</v>
      </c>
      <c r="E121" s="12">
        <f>CHOOSE( CONTROL!$C$32, 5.3526, 5.3491) * CHOOSE( CONTROL!$C$15, $D$11, 100%, $F$11)</f>
        <v>5.3525999999999998</v>
      </c>
      <c r="F121" s="4">
        <f>CHOOSE( CONTROL!$C$32, 6.0165, 6.0131) * CHOOSE(CONTROL!$C$15, $D$11, 100%, $F$11)</f>
        <v>6.0164999999999997</v>
      </c>
      <c r="G121" s="8">
        <f>CHOOSE( CONTROL!$C$32, 5.2291, 5.2257) * CHOOSE( CONTROL!$C$15, $D$11, 100%, $F$11)</f>
        <v>5.2290999999999999</v>
      </c>
      <c r="H121" s="4">
        <f>CHOOSE( CONTROL!$C$32, 6.1477, 6.1443) * CHOOSE(CONTROL!$C$15, $D$11, 100%, $F$11)</f>
        <v>6.1477000000000004</v>
      </c>
      <c r="I121" s="8">
        <f>CHOOSE( CONTROL!$C$32, 5.2217, 5.2183) * CHOOSE(CONTROL!$C$15, $D$11, 100%, $F$11)</f>
        <v>5.2217000000000002</v>
      </c>
      <c r="J121" s="4">
        <f>CHOOSE( CONTROL!$C$32, 5.1358, 5.1324) * CHOOSE(CONTROL!$C$15, $D$11, 100%, $F$11)</f>
        <v>5.1357999999999997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5.5687 * CHOOSE(CONTROL!$C$15, $D$11, 100%, $F$11)</f>
        <v>5.5686999999999998</v>
      </c>
      <c r="C122" s="8">
        <f>5.5791 * CHOOSE(CONTROL!$C$15, $D$11, 100%, $F$11)</f>
        <v>5.5791000000000004</v>
      </c>
      <c r="D122" s="8">
        <f>5.5916 * CHOOSE( CONTROL!$C$15, $D$11, 100%, $F$11)</f>
        <v>5.5915999999999997</v>
      </c>
      <c r="E122" s="12">
        <f>5.5864 * CHOOSE( CONTROL!$C$15, $D$11, 100%, $F$11)</f>
        <v>5.5864000000000003</v>
      </c>
      <c r="F122" s="4">
        <f>6.2488 * CHOOSE(CONTROL!$C$15, $D$11, 100%, $F$11)</f>
        <v>6.2488000000000001</v>
      </c>
      <c r="G122" s="8">
        <f>5.4572 * CHOOSE( CONTROL!$C$15, $D$11, 100%, $F$11)</f>
        <v>5.4572000000000003</v>
      </c>
      <c r="H122" s="4">
        <f>6.3763 * CHOOSE(CONTROL!$C$15, $D$11, 100%, $F$11)</f>
        <v>6.3762999999999996</v>
      </c>
      <c r="I122" s="8">
        <f>5.4473 * CHOOSE(CONTROL!$C$15, $D$11, 100%, $F$11)</f>
        <v>5.4473000000000003</v>
      </c>
      <c r="J122" s="4">
        <f>5.3604 * CHOOSE(CONTROL!$C$15, $D$11, 100%, $F$11)</f>
        <v>5.3604000000000003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6.0039 * CHOOSE(CONTROL!$C$15, $D$11, 100%, $F$11)</f>
        <v>6.0038999999999998</v>
      </c>
      <c r="C123" s="8">
        <f>6.0142 * CHOOSE(CONTROL!$C$15, $D$11, 100%, $F$11)</f>
        <v>6.0141999999999998</v>
      </c>
      <c r="D123" s="8">
        <f>5.9991 * CHOOSE( CONTROL!$C$15, $D$11, 100%, $F$11)</f>
        <v>5.9991000000000003</v>
      </c>
      <c r="E123" s="12">
        <f>6.0035 * CHOOSE( CONTROL!$C$15, $D$11, 100%, $F$11)</f>
        <v>6.0034999999999998</v>
      </c>
      <c r="F123" s="4">
        <f>6.6581 * CHOOSE(CONTROL!$C$15, $D$11, 100%, $F$11)</f>
        <v>6.6581000000000001</v>
      </c>
      <c r="G123" s="8">
        <f>5.8947 * CHOOSE( CONTROL!$C$15, $D$11, 100%, $F$11)</f>
        <v>5.8947000000000003</v>
      </c>
      <c r="H123" s="4">
        <f>6.7789 * CHOOSE(CONTROL!$C$15, $D$11, 100%, $F$11)</f>
        <v>6.7789000000000001</v>
      </c>
      <c r="I123" s="8">
        <f>5.8887 * CHOOSE(CONTROL!$C$15, $D$11, 100%, $F$11)</f>
        <v>5.8887</v>
      </c>
      <c r="J123" s="4">
        <f>5.7812 * CHOOSE(CONTROL!$C$15, $D$11, 100%, $F$11)</f>
        <v>5.7812000000000001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5.993 * CHOOSE(CONTROL!$C$15, $D$11, 100%, $F$11)</f>
        <v>5.9930000000000003</v>
      </c>
      <c r="C124" s="8">
        <f>6.0033 * CHOOSE(CONTROL!$C$15, $D$11, 100%, $F$11)</f>
        <v>6.0033000000000003</v>
      </c>
      <c r="D124" s="8">
        <f>5.9899 * CHOOSE( CONTROL!$C$15, $D$11, 100%, $F$11)</f>
        <v>5.9898999999999996</v>
      </c>
      <c r="E124" s="12">
        <f>5.9937 * CHOOSE( CONTROL!$C$15, $D$11, 100%, $F$11)</f>
        <v>5.9936999999999996</v>
      </c>
      <c r="F124" s="4">
        <f>6.6473 * CHOOSE(CONTROL!$C$15, $D$11, 100%, $F$11)</f>
        <v>6.6473000000000004</v>
      </c>
      <c r="G124" s="8">
        <f>5.8853 * CHOOSE( CONTROL!$C$15, $D$11, 100%, $F$11)</f>
        <v>5.8853</v>
      </c>
      <c r="H124" s="4">
        <f>6.7682 * CHOOSE(CONTROL!$C$15, $D$11, 100%, $F$11)</f>
        <v>6.7682000000000002</v>
      </c>
      <c r="I124" s="8">
        <f>5.8834 * CHOOSE(CONTROL!$C$15, $D$11, 100%, $F$11)</f>
        <v>5.8834</v>
      </c>
      <c r="J124" s="4">
        <f>5.7707 * CHOOSE(CONTROL!$C$15, $D$11, 100%, $F$11)</f>
        <v>5.7706999999999997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6.0139 * CHOOSE(CONTROL!$C$15, $D$11, 100%, $F$11)</f>
        <v>6.0138999999999996</v>
      </c>
      <c r="C125" s="8">
        <f>6.0243 * CHOOSE(CONTROL!$C$15, $D$11, 100%, $F$11)</f>
        <v>6.0243000000000002</v>
      </c>
      <c r="D125" s="8">
        <f>6.0227 * CHOOSE( CONTROL!$C$15, $D$11, 100%, $F$11)</f>
        <v>6.0227000000000004</v>
      </c>
      <c r="E125" s="12">
        <f>6.0222 * CHOOSE( CONTROL!$C$15, $D$11, 100%, $F$11)</f>
        <v>6.0221999999999998</v>
      </c>
      <c r="F125" s="4">
        <f>6.6966 * CHOOSE(CONTROL!$C$15, $D$11, 100%, $F$11)</f>
        <v>6.6966000000000001</v>
      </c>
      <c r="G125" s="8">
        <f>5.9184 * CHOOSE( CONTROL!$C$15, $D$11, 100%, $F$11)</f>
        <v>5.9184000000000001</v>
      </c>
      <c r="H125" s="4">
        <f>6.8168 * CHOOSE(CONTROL!$C$15, $D$11, 100%, $F$11)</f>
        <v>6.8167999999999997</v>
      </c>
      <c r="I125" s="8">
        <f>5.9025 * CHOOSE(CONTROL!$C$15, $D$11, 100%, $F$11)</f>
        <v>5.9024999999999999</v>
      </c>
      <c r="J125" s="4">
        <f>5.791 * CHOOSE(CONTROL!$C$15, $D$11, 100%, $F$11)</f>
        <v>5.7910000000000004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5.6268 * CHOOSE(CONTROL!$C$15, $D$11, 100%, $F$11)</f>
        <v>5.6268000000000002</v>
      </c>
      <c r="C126" s="8">
        <f>5.6372 * CHOOSE(CONTROL!$C$15, $D$11, 100%, $F$11)</f>
        <v>5.6372</v>
      </c>
      <c r="D126" s="8">
        <f>5.6377 * CHOOSE( CONTROL!$C$15, $D$11, 100%, $F$11)</f>
        <v>5.6376999999999997</v>
      </c>
      <c r="E126" s="12">
        <f>5.6364 * CHOOSE( CONTROL!$C$15, $D$11, 100%, $F$11)</f>
        <v>5.6364000000000001</v>
      </c>
      <c r="F126" s="4">
        <f>6.3018 * CHOOSE(CONTROL!$C$15, $D$11, 100%, $F$11)</f>
        <v>6.3018000000000001</v>
      </c>
      <c r="G126" s="8">
        <f>5.5373 * CHOOSE( CONTROL!$C$15, $D$11, 100%, $F$11)</f>
        <v>5.5373000000000001</v>
      </c>
      <c r="H126" s="4">
        <f>6.4283 * CHOOSE(CONTROL!$C$15, $D$11, 100%, $F$11)</f>
        <v>6.4283000000000001</v>
      </c>
      <c r="I126" s="8">
        <f>5.517 * CHOOSE(CONTROL!$C$15, $D$11, 100%, $F$11)</f>
        <v>5.5170000000000003</v>
      </c>
      <c r="J126" s="4">
        <f>5.4166 * CHOOSE(CONTROL!$C$15, $D$11, 100%, $F$11)</f>
        <v>5.4165999999999999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5.5076 * CHOOSE(CONTROL!$C$15, $D$11, 100%, $F$11)</f>
        <v>5.5076000000000001</v>
      </c>
      <c r="C127" s="8">
        <f>5.5179 * CHOOSE(CONTROL!$C$15, $D$11, 100%, $F$11)</f>
        <v>5.5179</v>
      </c>
      <c r="D127" s="8">
        <f>5.5131 * CHOOSE( CONTROL!$C$15, $D$11, 100%, $F$11)</f>
        <v>5.5130999999999997</v>
      </c>
      <c r="E127" s="12">
        <f>5.5138 * CHOOSE( CONTROL!$C$15, $D$11, 100%, $F$11)</f>
        <v>5.5137999999999998</v>
      </c>
      <c r="F127" s="4">
        <f>6.1851 * CHOOSE(CONTROL!$C$15, $D$11, 100%, $F$11)</f>
        <v>6.1851000000000003</v>
      </c>
      <c r="G127" s="8">
        <f>5.4146 * CHOOSE( CONTROL!$C$15, $D$11, 100%, $F$11)</f>
        <v>5.4146000000000001</v>
      </c>
      <c r="H127" s="4">
        <f>6.3136 * CHOOSE(CONTROL!$C$15, $D$11, 100%, $F$11)</f>
        <v>6.3136000000000001</v>
      </c>
      <c r="I127" s="8">
        <f>5.3897 * CHOOSE(CONTROL!$C$15, $D$11, 100%, $F$11)</f>
        <v>5.3897000000000004</v>
      </c>
      <c r="J127" s="4">
        <f>5.3013 * CHOOSE(CONTROL!$C$15, $D$11, 100%, $F$11)</f>
        <v>5.3013000000000003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5.5909 * CHOOSE(CONTROL!$C$15, $D$11, 100%, $F$11)</f>
        <v>5.5909000000000004</v>
      </c>
      <c r="C128" s="8">
        <f>5.6013 * CHOOSE(CONTROL!$C$15, $D$11, 100%, $F$11)</f>
        <v>5.6013000000000002</v>
      </c>
      <c r="D128" s="8">
        <f>5.6125 * CHOOSE( CONTROL!$C$15, $D$11, 100%, $F$11)</f>
        <v>5.6124999999999998</v>
      </c>
      <c r="E128" s="12">
        <f>5.6076 * CHOOSE( CONTROL!$C$15, $D$11, 100%, $F$11)</f>
        <v>5.6075999999999997</v>
      </c>
      <c r="F128" s="4">
        <f>6.271 * CHOOSE(CONTROL!$C$15, $D$11, 100%, $F$11)</f>
        <v>6.2709999999999999</v>
      </c>
      <c r="G128" s="8">
        <f>5.4772 * CHOOSE( CONTROL!$C$15, $D$11, 100%, $F$11)</f>
        <v>5.4771999999999998</v>
      </c>
      <c r="H128" s="4">
        <f>6.3981 * CHOOSE(CONTROL!$C$15, $D$11, 100%, $F$11)</f>
        <v>6.3981000000000003</v>
      </c>
      <c r="I128" s="8">
        <f>5.4627 * CHOOSE(CONTROL!$C$15, $D$11, 100%, $F$11)</f>
        <v>5.4626999999999999</v>
      </c>
      <c r="J128" s="4">
        <f>5.3819 * CHOOSE(CONTROL!$C$15, $D$11, 100%, $F$11)</f>
        <v>5.3818999999999999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CONTROL!$C$32, 5.7427, 5.7392) * CHOOSE(CONTROL!$C$15, $D$11, 100%, $F$11)</f>
        <v>5.7427000000000001</v>
      </c>
      <c r="C129" s="8">
        <f>CHOOSE( CONTROL!$C$32, 5.753, 5.7495) * CHOOSE(CONTROL!$C$15, $D$11, 100%, $F$11)</f>
        <v>5.7530000000000001</v>
      </c>
      <c r="D129" s="8">
        <f>CHOOSE( CONTROL!$C$32, 5.7638, 5.7604) * CHOOSE( CONTROL!$C$15, $D$11, 100%, $F$11)</f>
        <v>5.7637999999999998</v>
      </c>
      <c r="E129" s="12">
        <f>CHOOSE( CONTROL!$C$32, 5.7583, 5.7549) * CHOOSE( CONTROL!$C$15, $D$11, 100%, $F$11)</f>
        <v>5.7583000000000002</v>
      </c>
      <c r="F129" s="4">
        <f>CHOOSE( CONTROL!$C$32, 6.4228, 6.4193) * CHOOSE(CONTROL!$C$15, $D$11, 100%, $F$11)</f>
        <v>6.4227999999999996</v>
      </c>
      <c r="G129" s="8">
        <f>CHOOSE( CONTROL!$C$32, 5.6277, 5.6242) * CHOOSE( CONTROL!$C$15, $D$11, 100%, $F$11)</f>
        <v>5.6276999999999999</v>
      </c>
      <c r="H129" s="4">
        <f>CHOOSE( CONTROL!$C$32, 6.5474, 6.544) * CHOOSE(CONTROL!$C$15, $D$11, 100%, $F$11)</f>
        <v>6.5473999999999997</v>
      </c>
      <c r="I129" s="8">
        <f>CHOOSE( CONTROL!$C$32, 5.6111, 5.6077) * CHOOSE(CONTROL!$C$15, $D$11, 100%, $F$11)</f>
        <v>5.6111000000000004</v>
      </c>
      <c r="J129" s="4">
        <f>CHOOSE( CONTROL!$C$32, 5.5286, 5.5253) * CHOOSE(CONTROL!$C$15, $D$11, 100%, $F$11)</f>
        <v>5.5286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CONTROL!$C$32, 5.6508, 5.6473) * CHOOSE(CONTROL!$C$15, $D$11, 100%, $F$11)</f>
        <v>5.6508000000000003</v>
      </c>
      <c r="C130" s="8">
        <f>CHOOSE( CONTROL!$C$32, 5.6612, 5.6577) * CHOOSE(CONTROL!$C$15, $D$11, 100%, $F$11)</f>
        <v>5.6612</v>
      </c>
      <c r="D130" s="8">
        <f>CHOOSE( CONTROL!$C$32, 5.6723, 5.6688) * CHOOSE( CONTROL!$C$15, $D$11, 100%, $F$11)</f>
        <v>5.6722999999999999</v>
      </c>
      <c r="E130" s="12">
        <f>CHOOSE( CONTROL!$C$32, 5.6667, 5.6632) * CHOOSE( CONTROL!$C$15, $D$11, 100%, $F$11)</f>
        <v>5.6666999999999996</v>
      </c>
      <c r="F130" s="4">
        <f>CHOOSE( CONTROL!$C$32, 6.3309, 6.3274) * CHOOSE(CONTROL!$C$15, $D$11, 100%, $F$11)</f>
        <v>6.3308999999999997</v>
      </c>
      <c r="G130" s="8">
        <f>CHOOSE( CONTROL!$C$32, 5.5377, 5.5343) * CHOOSE( CONTROL!$C$15, $D$11, 100%, $F$11)</f>
        <v>5.5377000000000001</v>
      </c>
      <c r="H130" s="4">
        <f>CHOOSE( CONTROL!$C$32, 6.457, 6.4536) * CHOOSE(CONTROL!$C$15, $D$11, 100%, $F$11)</f>
        <v>6.4569999999999999</v>
      </c>
      <c r="I130" s="8">
        <f>CHOOSE( CONTROL!$C$32, 5.5236, 5.5202) * CHOOSE(CONTROL!$C$15, $D$11, 100%, $F$11)</f>
        <v>5.5236000000000001</v>
      </c>
      <c r="J130" s="4">
        <f>CHOOSE( CONTROL!$C$32, 5.4398, 5.4364) * CHOOSE(CONTROL!$C$15, $D$11, 100%, $F$11)</f>
        <v>5.4398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CONTROL!$C$32, 5.8927, 5.8892) * CHOOSE(CONTROL!$C$15, $D$11, 100%, $F$11)</f>
        <v>5.8926999999999996</v>
      </c>
      <c r="C131" s="8">
        <f>CHOOSE( CONTROL!$C$32, 5.903, 5.8996) * CHOOSE(CONTROL!$C$15, $D$11, 100%, $F$11)</f>
        <v>5.9029999999999996</v>
      </c>
      <c r="D131" s="8">
        <f>CHOOSE( CONTROL!$C$32, 5.9144, 5.911) * CHOOSE( CONTROL!$C$15, $D$11, 100%, $F$11)</f>
        <v>5.9143999999999997</v>
      </c>
      <c r="E131" s="12">
        <f>CHOOSE( CONTROL!$C$32, 5.9087, 5.9053) * CHOOSE( CONTROL!$C$15, $D$11, 100%, $F$11)</f>
        <v>5.9086999999999996</v>
      </c>
      <c r="F131" s="4">
        <f>CHOOSE( CONTROL!$C$32, 6.5728, 6.5693) * CHOOSE(CONTROL!$C$15, $D$11, 100%, $F$11)</f>
        <v>6.5728</v>
      </c>
      <c r="G131" s="8">
        <f>CHOOSE( CONTROL!$C$32, 5.7761, 5.7727) * CHOOSE( CONTROL!$C$15, $D$11, 100%, $F$11)</f>
        <v>5.7760999999999996</v>
      </c>
      <c r="H131" s="4">
        <f>CHOOSE( CONTROL!$C$32, 6.695, 6.6916) * CHOOSE(CONTROL!$C$15, $D$11, 100%, $F$11)</f>
        <v>6.6950000000000003</v>
      </c>
      <c r="I131" s="8">
        <f>CHOOSE( CONTROL!$C$32, 5.759, 5.7557) * CHOOSE(CONTROL!$C$15, $D$11, 100%, $F$11)</f>
        <v>5.7590000000000003</v>
      </c>
      <c r="J131" s="4">
        <f>CHOOSE( CONTROL!$C$32, 5.6737, 5.6704) * CHOOSE(CONTROL!$C$15, $D$11, 100%, $F$11)</f>
        <v>5.6737000000000002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CONTROL!$C$32, 5.4401, 5.4366) * CHOOSE(CONTROL!$C$15, $D$11, 100%, $F$11)</f>
        <v>5.4401000000000002</v>
      </c>
      <c r="C132" s="8">
        <f>CHOOSE( CONTROL!$C$32, 5.4504, 5.447) * CHOOSE(CONTROL!$C$15, $D$11, 100%, $F$11)</f>
        <v>5.4504000000000001</v>
      </c>
      <c r="D132" s="8">
        <f>CHOOSE( CONTROL!$C$32, 5.462, 5.4585) * CHOOSE( CONTROL!$C$15, $D$11, 100%, $F$11)</f>
        <v>5.4619999999999997</v>
      </c>
      <c r="E132" s="12">
        <f>CHOOSE( CONTROL!$C$32, 5.4562, 5.4527) * CHOOSE( CONTROL!$C$15, $D$11, 100%, $F$11)</f>
        <v>5.4561999999999999</v>
      </c>
      <c r="F132" s="4">
        <f>CHOOSE( CONTROL!$C$32, 6.1202, 6.1167) * CHOOSE(CONTROL!$C$15, $D$11, 100%, $F$11)</f>
        <v>6.1201999999999996</v>
      </c>
      <c r="G132" s="8">
        <f>CHOOSE( CONTROL!$C$32, 5.3311, 5.3277) * CHOOSE( CONTROL!$C$15, $D$11, 100%, $F$11)</f>
        <v>5.3311000000000002</v>
      </c>
      <c r="H132" s="4">
        <f>CHOOSE( CONTROL!$C$32, 6.2497, 6.2463) * CHOOSE(CONTROL!$C$15, $D$11, 100%, $F$11)</f>
        <v>6.2496999999999998</v>
      </c>
      <c r="I132" s="8">
        <f>CHOOSE( CONTROL!$C$32, 5.3218, 5.3184) * CHOOSE(CONTROL!$C$15, $D$11, 100%, $F$11)</f>
        <v>5.3217999999999996</v>
      </c>
      <c r="J132" s="4">
        <f>CHOOSE( CONTROL!$C$32, 5.236, 5.2327) * CHOOSE(CONTROL!$C$15, $D$11, 100%, $F$11)</f>
        <v>5.2359999999999998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CONTROL!$C$32, 5.3268, 5.3233) * CHOOSE(CONTROL!$C$15, $D$11, 100%, $F$11)</f>
        <v>5.3268000000000004</v>
      </c>
      <c r="C133" s="8">
        <f>CHOOSE( CONTROL!$C$32, 5.3371, 5.3336) * CHOOSE(CONTROL!$C$15, $D$11, 100%, $F$11)</f>
        <v>5.3371000000000004</v>
      </c>
      <c r="D133" s="8">
        <f>CHOOSE( CONTROL!$C$32, 5.3487, 5.3452) * CHOOSE( CONTROL!$C$15, $D$11, 100%, $F$11)</f>
        <v>5.3487</v>
      </c>
      <c r="E133" s="12">
        <f>CHOOSE( CONTROL!$C$32, 5.3429, 5.3394) * CHOOSE( CONTROL!$C$15, $D$11, 100%, $F$11)</f>
        <v>5.3429000000000002</v>
      </c>
      <c r="F133" s="4">
        <f>CHOOSE( CONTROL!$C$32, 6.0069, 6.0034) * CHOOSE(CONTROL!$C$15, $D$11, 100%, $F$11)</f>
        <v>6.0068999999999999</v>
      </c>
      <c r="G133" s="8">
        <f>CHOOSE( CONTROL!$C$32, 5.2196, 5.2162) * CHOOSE( CONTROL!$C$15, $D$11, 100%, $F$11)</f>
        <v>5.2195999999999998</v>
      </c>
      <c r="H133" s="4">
        <f>CHOOSE( CONTROL!$C$32, 6.1382, 6.1348) * CHOOSE(CONTROL!$C$15, $D$11, 100%, $F$11)</f>
        <v>6.1382000000000003</v>
      </c>
      <c r="I133" s="8">
        <f>CHOOSE( CONTROL!$C$32, 5.2123, 5.209) * CHOOSE(CONTROL!$C$15, $D$11, 100%, $F$11)</f>
        <v>5.2122999999999999</v>
      </c>
      <c r="J133" s="4">
        <f>CHOOSE( CONTROL!$C$32, 5.1264, 5.1231) * CHOOSE(CONTROL!$C$15, $D$11, 100%, $F$11)</f>
        <v>5.1264000000000003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5.5586 * CHOOSE(CONTROL!$C$15, $D$11, 100%, $F$11)</f>
        <v>5.5586000000000002</v>
      </c>
      <c r="C134" s="8">
        <f>5.569 * CHOOSE(CONTROL!$C$15, $D$11, 100%, $F$11)</f>
        <v>5.569</v>
      </c>
      <c r="D134" s="8">
        <f>5.5815 * CHOOSE( CONTROL!$C$15, $D$11, 100%, $F$11)</f>
        <v>5.5815000000000001</v>
      </c>
      <c r="E134" s="12">
        <f>5.5763 * CHOOSE( CONTROL!$C$15, $D$11, 100%, $F$11)</f>
        <v>5.5762999999999998</v>
      </c>
      <c r="F134" s="4">
        <f>6.2387 * CHOOSE(CONTROL!$C$15, $D$11, 100%, $F$11)</f>
        <v>6.2386999999999997</v>
      </c>
      <c r="G134" s="8">
        <f>5.4473 * CHOOSE( CONTROL!$C$15, $D$11, 100%, $F$11)</f>
        <v>5.4473000000000003</v>
      </c>
      <c r="H134" s="4">
        <f>6.3663 * CHOOSE(CONTROL!$C$15, $D$11, 100%, $F$11)</f>
        <v>6.3662999999999998</v>
      </c>
      <c r="I134" s="8">
        <f>5.4375 * CHOOSE(CONTROL!$C$15, $D$11, 100%, $F$11)</f>
        <v>5.4375</v>
      </c>
      <c r="J134" s="4">
        <f>5.3506 * CHOOSE(CONTROL!$C$15, $D$11, 100%, $F$11)</f>
        <v>5.3506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5.993 * CHOOSE(CONTROL!$C$15, $D$11, 100%, $F$11)</f>
        <v>5.9930000000000003</v>
      </c>
      <c r="C135" s="8">
        <f>6.0033 * CHOOSE(CONTROL!$C$15, $D$11, 100%, $F$11)</f>
        <v>6.0033000000000003</v>
      </c>
      <c r="D135" s="8">
        <f>5.9883 * CHOOSE( CONTROL!$C$15, $D$11, 100%, $F$11)</f>
        <v>5.9882999999999997</v>
      </c>
      <c r="E135" s="12">
        <f>5.9927 * CHOOSE( CONTROL!$C$15, $D$11, 100%, $F$11)</f>
        <v>5.9927000000000001</v>
      </c>
      <c r="F135" s="4">
        <f>6.6472 * CHOOSE(CONTROL!$C$15, $D$11, 100%, $F$11)</f>
        <v>6.6471999999999998</v>
      </c>
      <c r="G135" s="8">
        <f>5.884 * CHOOSE( CONTROL!$C$15, $D$11, 100%, $F$11)</f>
        <v>5.8840000000000003</v>
      </c>
      <c r="H135" s="4">
        <f>6.7682 * CHOOSE(CONTROL!$C$15, $D$11, 100%, $F$11)</f>
        <v>6.7682000000000002</v>
      </c>
      <c r="I135" s="8">
        <f>5.8781 * CHOOSE(CONTROL!$C$15, $D$11, 100%, $F$11)</f>
        <v>5.8780999999999999</v>
      </c>
      <c r="J135" s="4">
        <f>5.7707 * CHOOSE(CONTROL!$C$15, $D$11, 100%, $F$11)</f>
        <v>5.7706999999999997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5.9821 * CHOOSE(CONTROL!$C$15, $D$11, 100%, $F$11)</f>
        <v>5.9821</v>
      </c>
      <c r="C136" s="8">
        <f>5.9925 * CHOOSE(CONTROL!$C$15, $D$11, 100%, $F$11)</f>
        <v>5.9924999999999997</v>
      </c>
      <c r="D136" s="8">
        <f>5.979 * CHOOSE( CONTROL!$C$15, $D$11, 100%, $F$11)</f>
        <v>5.9790000000000001</v>
      </c>
      <c r="E136" s="12">
        <f>5.9828 * CHOOSE( CONTROL!$C$15, $D$11, 100%, $F$11)</f>
        <v>5.9828000000000001</v>
      </c>
      <c r="F136" s="4">
        <f>6.6364 * CHOOSE(CONTROL!$C$15, $D$11, 100%, $F$11)</f>
        <v>6.6364000000000001</v>
      </c>
      <c r="G136" s="8">
        <f>5.8746 * CHOOSE( CONTROL!$C$15, $D$11, 100%, $F$11)</f>
        <v>5.8746</v>
      </c>
      <c r="H136" s="4">
        <f>6.7576 * CHOOSE(CONTROL!$C$15, $D$11, 100%, $F$11)</f>
        <v>6.7576000000000001</v>
      </c>
      <c r="I136" s="8">
        <f>5.8729 * CHOOSE(CONTROL!$C$15, $D$11, 100%, $F$11)</f>
        <v>5.8728999999999996</v>
      </c>
      <c r="J136" s="4">
        <f>5.7602 * CHOOSE(CONTROL!$C$15, $D$11, 100%, $F$11)</f>
        <v>5.7602000000000002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5.9921 * CHOOSE(CONTROL!$C$15, $D$11, 100%, $F$11)</f>
        <v>5.9920999999999998</v>
      </c>
      <c r="C137" s="8">
        <f>6.0024 * CHOOSE(CONTROL!$C$15, $D$11, 100%, $F$11)</f>
        <v>6.0023999999999997</v>
      </c>
      <c r="D137" s="8">
        <f>6.0009 * CHOOSE( CONTROL!$C$15, $D$11, 100%, $F$11)</f>
        <v>6.0008999999999997</v>
      </c>
      <c r="E137" s="12">
        <f>6.0004 * CHOOSE( CONTROL!$C$15, $D$11, 100%, $F$11)</f>
        <v>6.0004</v>
      </c>
      <c r="F137" s="4">
        <f>6.6748 * CHOOSE(CONTROL!$C$15, $D$11, 100%, $F$11)</f>
        <v>6.6748000000000003</v>
      </c>
      <c r="G137" s="8">
        <f>5.8969 * CHOOSE( CONTROL!$C$15, $D$11, 100%, $F$11)</f>
        <v>5.8968999999999996</v>
      </c>
      <c r="H137" s="4">
        <f>6.7953 * CHOOSE(CONTROL!$C$15, $D$11, 100%, $F$11)</f>
        <v>6.7953000000000001</v>
      </c>
      <c r="I137" s="8">
        <f>5.8813 * CHOOSE(CONTROL!$C$15, $D$11, 100%, $F$11)</f>
        <v>5.8813000000000004</v>
      </c>
      <c r="J137" s="4">
        <f>5.7698 * CHOOSE(CONTROL!$C$15, $D$11, 100%, $F$11)</f>
        <v>5.7698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5.6064 * CHOOSE(CONTROL!$C$15, $D$11, 100%, $F$11)</f>
        <v>5.6063999999999998</v>
      </c>
      <c r="C138" s="8">
        <f>5.6167 * CHOOSE(CONTROL!$C$15, $D$11, 100%, $F$11)</f>
        <v>5.6166999999999998</v>
      </c>
      <c r="D138" s="8">
        <f>5.6173 * CHOOSE( CONTROL!$C$15, $D$11, 100%, $F$11)</f>
        <v>5.6173000000000002</v>
      </c>
      <c r="E138" s="12">
        <f>5.616 * CHOOSE( CONTROL!$C$15, $D$11, 100%, $F$11)</f>
        <v>5.6159999999999997</v>
      </c>
      <c r="F138" s="4">
        <f>6.2813 * CHOOSE(CONTROL!$C$15, $D$11, 100%, $F$11)</f>
        <v>6.2812999999999999</v>
      </c>
      <c r="G138" s="8">
        <f>5.5172 * CHOOSE( CONTROL!$C$15, $D$11, 100%, $F$11)</f>
        <v>5.5171999999999999</v>
      </c>
      <c r="H138" s="4">
        <f>6.4082 * CHOOSE(CONTROL!$C$15, $D$11, 100%, $F$11)</f>
        <v>6.4081999999999999</v>
      </c>
      <c r="I138" s="8">
        <f>5.4972 * CHOOSE(CONTROL!$C$15, $D$11, 100%, $F$11)</f>
        <v>5.4972000000000003</v>
      </c>
      <c r="J138" s="4">
        <f>5.3968 * CHOOSE(CONTROL!$C$15, $D$11, 100%, $F$11)</f>
        <v>5.3967999999999998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28.9666</v>
      </c>
      <c r="R138" s="9"/>
      <c r="S138" s="11"/>
    </row>
    <row r="139" spans="1:19" ht="15.75">
      <c r="A139" s="13">
        <v>46082</v>
      </c>
      <c r="B139" s="8">
        <f>5.4876 * CHOOSE(CONTROL!$C$15, $D$11, 100%, $F$11)</f>
        <v>5.4875999999999996</v>
      </c>
      <c r="C139" s="8">
        <f>5.4979 * CHOOSE(CONTROL!$C$15, $D$11, 100%, $F$11)</f>
        <v>5.4978999999999996</v>
      </c>
      <c r="D139" s="8">
        <f>5.4931 * CHOOSE( CONTROL!$C$15, $D$11, 100%, $F$11)</f>
        <v>5.4931000000000001</v>
      </c>
      <c r="E139" s="12">
        <f>5.4938 * CHOOSE( CONTROL!$C$15, $D$11, 100%, $F$11)</f>
        <v>5.4938000000000002</v>
      </c>
      <c r="F139" s="4">
        <f>6.1651 * CHOOSE(CONTROL!$C$15, $D$11, 100%, $F$11)</f>
        <v>6.1650999999999998</v>
      </c>
      <c r="G139" s="8">
        <f>5.3949 * CHOOSE( CONTROL!$C$15, $D$11, 100%, $F$11)</f>
        <v>5.3948999999999998</v>
      </c>
      <c r="H139" s="4">
        <f>6.2939 * CHOOSE(CONTROL!$C$15, $D$11, 100%, $F$11)</f>
        <v>6.2938999999999998</v>
      </c>
      <c r="I139" s="8">
        <f>5.3704 * CHOOSE(CONTROL!$C$15, $D$11, 100%, $F$11)</f>
        <v>5.3704000000000001</v>
      </c>
      <c r="J139" s="4">
        <f>5.2819 * CHOOSE(CONTROL!$C$15, $D$11, 100%, $F$11)</f>
        <v>5.2819000000000003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5.5706 * CHOOSE(CONTROL!$C$15, $D$11, 100%, $F$11)</f>
        <v>5.5705999999999998</v>
      </c>
      <c r="C140" s="8">
        <f>5.5809 * CHOOSE(CONTROL!$C$15, $D$11, 100%, $F$11)</f>
        <v>5.5808999999999997</v>
      </c>
      <c r="D140" s="8">
        <f>5.5922 * CHOOSE( CONTROL!$C$15, $D$11, 100%, $F$11)</f>
        <v>5.5922000000000001</v>
      </c>
      <c r="E140" s="12">
        <f>5.5873 * CHOOSE( CONTROL!$C$15, $D$11, 100%, $F$11)</f>
        <v>5.5872999999999999</v>
      </c>
      <c r="F140" s="4">
        <f>6.2507 * CHOOSE(CONTROL!$C$15, $D$11, 100%, $F$11)</f>
        <v>6.2507000000000001</v>
      </c>
      <c r="G140" s="8">
        <f>5.4572 * CHOOSE( CONTROL!$C$15, $D$11, 100%, $F$11)</f>
        <v>5.4572000000000003</v>
      </c>
      <c r="H140" s="4">
        <f>6.3781 * CHOOSE(CONTROL!$C$15, $D$11, 100%, $F$11)</f>
        <v>6.3780999999999999</v>
      </c>
      <c r="I140" s="8">
        <f>5.443 * CHOOSE(CONTROL!$C$15, $D$11, 100%, $F$11)</f>
        <v>5.4429999999999996</v>
      </c>
      <c r="J140" s="4">
        <f>5.3622 * CHOOSE(CONTROL!$C$15, $D$11, 100%, $F$11)</f>
        <v>5.3621999999999996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CONTROL!$C$32, 5.7218, 5.7183) * CHOOSE(CONTROL!$C$15, $D$11, 100%, $F$11)</f>
        <v>5.7218</v>
      </c>
      <c r="C141" s="8">
        <f>CHOOSE( CONTROL!$C$32, 5.7322, 5.7287) * CHOOSE(CONTROL!$C$15, $D$11, 100%, $F$11)</f>
        <v>5.7321999999999997</v>
      </c>
      <c r="D141" s="8">
        <f>CHOOSE( CONTROL!$C$32, 5.743, 5.7395) * CHOOSE( CONTROL!$C$15, $D$11, 100%, $F$11)</f>
        <v>5.7430000000000003</v>
      </c>
      <c r="E141" s="12">
        <f>CHOOSE( CONTROL!$C$32, 5.7375, 5.734) * CHOOSE( CONTROL!$C$15, $D$11, 100%, $F$11)</f>
        <v>5.7374999999999998</v>
      </c>
      <c r="F141" s="4">
        <f>CHOOSE( CONTROL!$C$32, 6.4019, 6.3985) * CHOOSE(CONTROL!$C$15, $D$11, 100%, $F$11)</f>
        <v>6.4019000000000004</v>
      </c>
      <c r="G141" s="8">
        <f>CHOOSE( CONTROL!$C$32, 5.6071, 5.6037) * CHOOSE( CONTROL!$C$15, $D$11, 100%, $F$11)</f>
        <v>5.6071</v>
      </c>
      <c r="H141" s="4">
        <f>CHOOSE( CONTROL!$C$32, 6.5269, 6.5235) * CHOOSE(CONTROL!$C$15, $D$11, 100%, $F$11)</f>
        <v>6.5269000000000004</v>
      </c>
      <c r="I141" s="8">
        <f>CHOOSE( CONTROL!$C$32, 5.5909, 5.5875) * CHOOSE(CONTROL!$C$15, $D$11, 100%, $F$11)</f>
        <v>5.5909000000000004</v>
      </c>
      <c r="J141" s="4">
        <f>CHOOSE( CONTROL!$C$32, 5.5085, 5.5051) * CHOOSE(CONTROL!$C$15, $D$11, 100%, $F$11)</f>
        <v>5.5084999999999997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CONTROL!$C$32, 5.6303, 5.6268) * CHOOSE(CONTROL!$C$15, $D$11, 100%, $F$11)</f>
        <v>5.6303000000000001</v>
      </c>
      <c r="C142" s="8">
        <f>CHOOSE( CONTROL!$C$32, 5.6406, 5.6372) * CHOOSE(CONTROL!$C$15, $D$11, 100%, $F$11)</f>
        <v>5.6406000000000001</v>
      </c>
      <c r="D142" s="8">
        <f>CHOOSE( CONTROL!$C$32, 5.6517, 5.6483) * CHOOSE( CONTROL!$C$15, $D$11, 100%, $F$11)</f>
        <v>5.6516999999999999</v>
      </c>
      <c r="E142" s="12">
        <f>CHOOSE( CONTROL!$C$32, 5.6461, 5.6427) * CHOOSE( CONTROL!$C$15, $D$11, 100%, $F$11)</f>
        <v>5.6460999999999997</v>
      </c>
      <c r="F142" s="4">
        <f>CHOOSE( CONTROL!$C$32, 6.3104, 6.3069) * CHOOSE(CONTROL!$C$15, $D$11, 100%, $F$11)</f>
        <v>6.3103999999999996</v>
      </c>
      <c r="G142" s="8">
        <f>CHOOSE( CONTROL!$C$32, 5.5175, 5.5141) * CHOOSE( CONTROL!$C$15, $D$11, 100%, $F$11)</f>
        <v>5.5175000000000001</v>
      </c>
      <c r="H142" s="4">
        <f>CHOOSE( CONTROL!$C$32, 6.4368, 6.4334) * CHOOSE(CONTROL!$C$15, $D$11, 100%, $F$11)</f>
        <v>6.4367999999999999</v>
      </c>
      <c r="I142" s="8">
        <f>CHOOSE( CONTROL!$C$32, 5.5037, 5.5003) * CHOOSE(CONTROL!$C$15, $D$11, 100%, $F$11)</f>
        <v>5.5037000000000003</v>
      </c>
      <c r="J142" s="4">
        <f>CHOOSE( CONTROL!$C$32, 5.42, 5.4166) * CHOOSE(CONTROL!$C$15, $D$11, 100%, $F$11)</f>
        <v>5.42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CONTROL!$C$32, 5.8713, 5.8678) * CHOOSE(CONTROL!$C$15, $D$11, 100%, $F$11)</f>
        <v>5.8712999999999997</v>
      </c>
      <c r="C143" s="8">
        <f>CHOOSE( CONTROL!$C$32, 5.8816, 5.8782) * CHOOSE(CONTROL!$C$15, $D$11, 100%, $F$11)</f>
        <v>5.8815999999999997</v>
      </c>
      <c r="D143" s="8">
        <f>CHOOSE( CONTROL!$C$32, 5.893, 5.8896) * CHOOSE( CONTROL!$C$15, $D$11, 100%, $F$11)</f>
        <v>5.8929999999999998</v>
      </c>
      <c r="E143" s="12">
        <f>CHOOSE( CONTROL!$C$32, 5.8873, 5.8839) * CHOOSE( CONTROL!$C$15, $D$11, 100%, $F$11)</f>
        <v>5.8872999999999998</v>
      </c>
      <c r="F143" s="4">
        <f>CHOOSE( CONTROL!$C$32, 6.5514, 6.5479) * CHOOSE(CONTROL!$C$15, $D$11, 100%, $F$11)</f>
        <v>6.5514000000000001</v>
      </c>
      <c r="G143" s="8">
        <f>CHOOSE( CONTROL!$C$32, 5.7551, 5.7517) * CHOOSE( CONTROL!$C$15, $D$11, 100%, $F$11)</f>
        <v>5.7550999999999997</v>
      </c>
      <c r="H143" s="4">
        <f>CHOOSE( CONTROL!$C$32, 6.674, 6.6705) * CHOOSE(CONTROL!$C$15, $D$11, 100%, $F$11)</f>
        <v>6.6740000000000004</v>
      </c>
      <c r="I143" s="8">
        <f>CHOOSE( CONTROL!$C$32, 5.7383, 5.735) * CHOOSE(CONTROL!$C$15, $D$11, 100%, $F$11)</f>
        <v>5.7382999999999997</v>
      </c>
      <c r="J143" s="4">
        <f>CHOOSE( CONTROL!$C$32, 5.653, 5.6497) * CHOOSE(CONTROL!$C$15, $D$11, 100%, $F$11)</f>
        <v>5.6529999999999996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CONTROL!$C$32, 5.4204, 5.4169) * CHOOSE(CONTROL!$C$15, $D$11, 100%, $F$11)</f>
        <v>5.4203999999999999</v>
      </c>
      <c r="C144" s="8">
        <f>CHOOSE( CONTROL!$C$32, 5.4307, 5.4272) * CHOOSE(CONTROL!$C$15, $D$11, 100%, $F$11)</f>
        <v>5.4306999999999999</v>
      </c>
      <c r="D144" s="8">
        <f>CHOOSE( CONTROL!$C$32, 5.4422, 5.4388) * CHOOSE( CONTROL!$C$15, $D$11, 100%, $F$11)</f>
        <v>5.4421999999999997</v>
      </c>
      <c r="E144" s="12">
        <f>CHOOSE( CONTROL!$C$32, 5.4365, 5.433) * CHOOSE( CONTROL!$C$15, $D$11, 100%, $F$11)</f>
        <v>5.4364999999999997</v>
      </c>
      <c r="F144" s="4">
        <f>CHOOSE( CONTROL!$C$32, 6.1005, 6.097) * CHOOSE(CONTROL!$C$15, $D$11, 100%, $F$11)</f>
        <v>6.1005000000000003</v>
      </c>
      <c r="G144" s="8">
        <f>CHOOSE( CONTROL!$C$32, 5.3116, 5.3082) * CHOOSE( CONTROL!$C$15, $D$11, 100%, $F$11)</f>
        <v>5.3116000000000003</v>
      </c>
      <c r="H144" s="4">
        <f>CHOOSE( CONTROL!$C$32, 6.2303, 6.2269) * CHOOSE(CONTROL!$C$15, $D$11, 100%, $F$11)</f>
        <v>6.2302999999999997</v>
      </c>
      <c r="I144" s="8">
        <f>CHOOSE( CONTROL!$C$32, 5.3027, 5.2993) * CHOOSE(CONTROL!$C$15, $D$11, 100%, $F$11)</f>
        <v>5.3026999999999997</v>
      </c>
      <c r="J144" s="4">
        <f>CHOOSE( CONTROL!$C$32, 5.2169, 5.2136) * CHOOSE(CONTROL!$C$15, $D$11, 100%, $F$11)</f>
        <v>5.2168999999999999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CONTROL!$C$32, 5.3074, 5.304) * CHOOSE(CONTROL!$C$15, $D$11, 100%, $F$11)</f>
        <v>5.3074000000000003</v>
      </c>
      <c r="C145" s="8">
        <f>CHOOSE( CONTROL!$C$32, 5.3178, 5.3143) * CHOOSE(CONTROL!$C$15, $D$11, 100%, $F$11)</f>
        <v>5.3178000000000001</v>
      </c>
      <c r="D145" s="8">
        <f>CHOOSE( CONTROL!$C$32, 5.3294, 5.3259) * CHOOSE( CONTROL!$C$15, $D$11, 100%, $F$11)</f>
        <v>5.3293999999999997</v>
      </c>
      <c r="E145" s="12">
        <f>CHOOSE( CONTROL!$C$32, 5.3236, 5.3201) * CHOOSE( CONTROL!$C$15, $D$11, 100%, $F$11)</f>
        <v>5.3235999999999999</v>
      </c>
      <c r="F145" s="4">
        <f>CHOOSE( CONTROL!$C$32, 5.9875, 5.9841) * CHOOSE(CONTROL!$C$15, $D$11, 100%, $F$11)</f>
        <v>5.9874999999999998</v>
      </c>
      <c r="G145" s="8">
        <f>CHOOSE( CONTROL!$C$32, 5.2006, 5.1972) * CHOOSE( CONTROL!$C$15, $D$11, 100%, $F$11)</f>
        <v>5.2005999999999997</v>
      </c>
      <c r="H145" s="4">
        <f>CHOOSE( CONTROL!$C$32, 6.1192, 6.1158) * CHOOSE(CONTROL!$C$15, $D$11, 100%, $F$11)</f>
        <v>6.1192000000000002</v>
      </c>
      <c r="I145" s="8">
        <f>CHOOSE( CONTROL!$C$32, 5.1936, 5.1903) * CHOOSE(CONTROL!$C$15, $D$11, 100%, $F$11)</f>
        <v>5.1936</v>
      </c>
      <c r="J145" s="4">
        <f>CHOOSE( CONTROL!$C$32, 5.1077, 5.1044) * CHOOSE(CONTROL!$C$15, $D$11, 100%, $F$11)</f>
        <v>5.1077000000000004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5.5384 * CHOOSE(CONTROL!$C$15, $D$11, 100%, $F$11)</f>
        <v>5.5384000000000002</v>
      </c>
      <c r="C146" s="8">
        <f>5.5488 * CHOOSE(CONTROL!$C$15, $D$11, 100%, $F$11)</f>
        <v>5.5488</v>
      </c>
      <c r="D146" s="8">
        <f>5.5613 * CHOOSE( CONTROL!$C$15, $D$11, 100%, $F$11)</f>
        <v>5.5613000000000001</v>
      </c>
      <c r="E146" s="12">
        <f>5.5561 * CHOOSE( CONTROL!$C$15, $D$11, 100%, $F$11)</f>
        <v>5.5560999999999998</v>
      </c>
      <c r="F146" s="4">
        <f>6.2185 * CHOOSE(CONTROL!$C$15, $D$11, 100%, $F$11)</f>
        <v>6.2184999999999997</v>
      </c>
      <c r="G146" s="8">
        <f>5.4274 * CHOOSE( CONTROL!$C$15, $D$11, 100%, $F$11)</f>
        <v>5.4273999999999996</v>
      </c>
      <c r="H146" s="4">
        <f>6.3465 * CHOOSE(CONTROL!$C$15, $D$11, 100%, $F$11)</f>
        <v>6.3464999999999998</v>
      </c>
      <c r="I146" s="8">
        <f>5.418 * CHOOSE(CONTROL!$C$15, $D$11, 100%, $F$11)</f>
        <v>5.4180000000000001</v>
      </c>
      <c r="J146" s="4">
        <f>5.3311 * CHOOSE(CONTROL!$C$15, $D$11, 100%, $F$11)</f>
        <v>5.3311000000000002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5.9712 * CHOOSE(CONTROL!$C$15, $D$11, 100%, $F$11)</f>
        <v>5.9711999999999996</v>
      </c>
      <c r="C147" s="8">
        <f>5.9815 * CHOOSE(CONTROL!$C$15, $D$11, 100%, $F$11)</f>
        <v>5.9814999999999996</v>
      </c>
      <c r="D147" s="8">
        <f>5.9665 * CHOOSE( CONTROL!$C$15, $D$11, 100%, $F$11)</f>
        <v>5.9664999999999999</v>
      </c>
      <c r="E147" s="12">
        <f>5.9709 * CHOOSE( CONTROL!$C$15, $D$11, 100%, $F$11)</f>
        <v>5.9709000000000003</v>
      </c>
      <c r="F147" s="4">
        <f>6.6255 * CHOOSE(CONTROL!$C$15, $D$11, 100%, $F$11)</f>
        <v>6.6254999999999997</v>
      </c>
      <c r="G147" s="8">
        <f>5.8626 * CHOOSE( CONTROL!$C$15, $D$11, 100%, $F$11)</f>
        <v>5.8625999999999996</v>
      </c>
      <c r="H147" s="4">
        <f>6.7468 * CHOOSE(CONTROL!$C$15, $D$11, 100%, $F$11)</f>
        <v>6.7468000000000004</v>
      </c>
      <c r="I147" s="8">
        <f>5.8571 * CHOOSE(CONTROL!$C$15, $D$11, 100%, $F$11)</f>
        <v>5.8571</v>
      </c>
      <c r="J147" s="4">
        <f>5.7496 * CHOOSE(CONTROL!$C$15, $D$11, 100%, $F$11)</f>
        <v>5.7496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5.9604 * CHOOSE(CONTROL!$C$15, $D$11, 100%, $F$11)</f>
        <v>5.9603999999999999</v>
      </c>
      <c r="C148" s="8">
        <f>5.9707 * CHOOSE(CONTROL!$C$15, $D$11, 100%, $F$11)</f>
        <v>5.9706999999999999</v>
      </c>
      <c r="D148" s="8">
        <f>5.9573 * CHOOSE( CONTROL!$C$15, $D$11, 100%, $F$11)</f>
        <v>5.9573</v>
      </c>
      <c r="E148" s="12">
        <f>5.9611 * CHOOSE( CONTROL!$C$15, $D$11, 100%, $F$11)</f>
        <v>5.9611000000000001</v>
      </c>
      <c r="F148" s="4">
        <f>6.6147 * CHOOSE(CONTROL!$C$15, $D$11, 100%, $F$11)</f>
        <v>6.6147</v>
      </c>
      <c r="G148" s="8">
        <f>5.8532 * CHOOSE( CONTROL!$C$15, $D$11, 100%, $F$11)</f>
        <v>5.8532000000000002</v>
      </c>
      <c r="H148" s="4">
        <f>6.7362 * CHOOSE(CONTROL!$C$15, $D$11, 100%, $F$11)</f>
        <v>6.7362000000000002</v>
      </c>
      <c r="I148" s="8">
        <f>5.8519 * CHOOSE(CONTROL!$C$15, $D$11, 100%, $F$11)</f>
        <v>5.8518999999999997</v>
      </c>
      <c r="J148" s="4">
        <f>5.7392 * CHOOSE(CONTROL!$C$15, $D$11, 100%, $F$11)</f>
        <v>5.7392000000000003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6.1778 * CHOOSE(CONTROL!$C$15, $D$11, 100%, $F$11)</f>
        <v>6.1778000000000004</v>
      </c>
      <c r="C149" s="8">
        <f>6.1882 * CHOOSE(CONTROL!$C$15, $D$11, 100%, $F$11)</f>
        <v>6.1882000000000001</v>
      </c>
      <c r="D149" s="8">
        <f>6.1866 * CHOOSE( CONTROL!$C$15, $D$11, 100%, $F$11)</f>
        <v>6.1866000000000003</v>
      </c>
      <c r="E149" s="12">
        <f>6.1861 * CHOOSE( CONTROL!$C$15, $D$11, 100%, $F$11)</f>
        <v>6.1860999999999997</v>
      </c>
      <c r="F149" s="4">
        <f>6.8605 * CHOOSE(CONTROL!$C$15, $D$11, 100%, $F$11)</f>
        <v>6.8605</v>
      </c>
      <c r="G149" s="8">
        <f>6.0797 * CHOOSE( CONTROL!$C$15, $D$11, 100%, $F$11)</f>
        <v>6.0796999999999999</v>
      </c>
      <c r="H149" s="4">
        <f>6.9781 * CHOOSE(CONTROL!$C$15, $D$11, 100%, $F$11)</f>
        <v>6.9781000000000004</v>
      </c>
      <c r="I149" s="8">
        <f>6.0611 * CHOOSE(CONTROL!$C$15, $D$11, 100%, $F$11)</f>
        <v>6.0610999999999997</v>
      </c>
      <c r="J149" s="4">
        <f>5.9495 * CHOOSE(CONTROL!$C$15, $D$11, 100%, $F$11)</f>
        <v>5.9494999999999996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5.7801 * CHOOSE(CONTROL!$C$15, $D$11, 100%, $F$11)</f>
        <v>5.7801</v>
      </c>
      <c r="C150" s="8">
        <f>5.7905 * CHOOSE(CONTROL!$C$15, $D$11, 100%, $F$11)</f>
        <v>5.7904999999999998</v>
      </c>
      <c r="D150" s="8">
        <f>5.791 * CHOOSE( CONTROL!$C$15, $D$11, 100%, $F$11)</f>
        <v>5.7910000000000004</v>
      </c>
      <c r="E150" s="12">
        <f>5.7897 * CHOOSE( CONTROL!$C$15, $D$11, 100%, $F$11)</f>
        <v>5.7896999999999998</v>
      </c>
      <c r="F150" s="4">
        <f>6.4551 * CHOOSE(CONTROL!$C$15, $D$11, 100%, $F$11)</f>
        <v>6.4550999999999998</v>
      </c>
      <c r="G150" s="8">
        <f>5.6882 * CHOOSE( CONTROL!$C$15, $D$11, 100%, $F$11)</f>
        <v>5.6882000000000001</v>
      </c>
      <c r="H150" s="4">
        <f>6.5792 * CHOOSE(CONTROL!$C$15, $D$11, 100%, $F$11)</f>
        <v>6.5792000000000002</v>
      </c>
      <c r="I150" s="8">
        <f>5.6653 * CHOOSE(CONTROL!$C$15, $D$11, 100%, $F$11)</f>
        <v>5.6653000000000002</v>
      </c>
      <c r="J150" s="4">
        <f>5.5649 * CHOOSE(CONTROL!$C$15, $D$11, 100%, $F$11)</f>
        <v>5.5648999999999997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28.8002</v>
      </c>
      <c r="R150" s="9"/>
      <c r="S150" s="11"/>
    </row>
    <row r="151" spans="1:19" ht="15.75">
      <c r="A151" s="13">
        <v>46447</v>
      </c>
      <c r="B151" s="8">
        <f>5.6576 * CHOOSE(CONTROL!$C$15, $D$11, 100%, $F$11)</f>
        <v>5.6576000000000004</v>
      </c>
      <c r="C151" s="8">
        <f>5.668 * CHOOSE(CONTROL!$C$15, $D$11, 100%, $F$11)</f>
        <v>5.6680000000000001</v>
      </c>
      <c r="D151" s="8">
        <f>5.6632 * CHOOSE( CONTROL!$C$15, $D$11, 100%, $F$11)</f>
        <v>5.6631999999999998</v>
      </c>
      <c r="E151" s="12">
        <f>5.6638 * CHOOSE( CONTROL!$C$15, $D$11, 100%, $F$11)</f>
        <v>5.6638000000000002</v>
      </c>
      <c r="F151" s="4">
        <f>6.3352 * CHOOSE(CONTROL!$C$15, $D$11, 100%, $F$11)</f>
        <v>6.3352000000000004</v>
      </c>
      <c r="G151" s="8">
        <f>5.5622 * CHOOSE( CONTROL!$C$15, $D$11, 100%, $F$11)</f>
        <v>5.5621999999999998</v>
      </c>
      <c r="H151" s="4">
        <f>6.4612 * CHOOSE(CONTROL!$C$15, $D$11, 100%, $F$11)</f>
        <v>6.4611999999999998</v>
      </c>
      <c r="I151" s="8">
        <f>5.5349 * CHOOSE(CONTROL!$C$15, $D$11, 100%, $F$11)</f>
        <v>5.5349000000000004</v>
      </c>
      <c r="J151" s="4">
        <f>5.4464 * CHOOSE(CONTROL!$C$15, $D$11, 100%, $F$11)</f>
        <v>5.4463999999999997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5.7432 * CHOOSE(CONTROL!$C$15, $D$11, 100%, $F$11)</f>
        <v>5.7431999999999999</v>
      </c>
      <c r="C152" s="8">
        <f>5.7536 * CHOOSE(CONTROL!$C$15, $D$11, 100%, $F$11)</f>
        <v>5.7535999999999996</v>
      </c>
      <c r="D152" s="8">
        <f>5.7649 * CHOOSE( CONTROL!$C$15, $D$11, 100%, $F$11)</f>
        <v>5.7648999999999999</v>
      </c>
      <c r="E152" s="12">
        <f>5.76 * CHOOSE( CONTROL!$C$15, $D$11, 100%, $F$11)</f>
        <v>5.76</v>
      </c>
      <c r="F152" s="4">
        <f>6.4233 * CHOOSE(CONTROL!$C$15, $D$11, 100%, $F$11)</f>
        <v>6.4233000000000002</v>
      </c>
      <c r="G152" s="8">
        <f>5.627 * CHOOSE( CONTROL!$C$15, $D$11, 100%, $F$11)</f>
        <v>5.6269999999999998</v>
      </c>
      <c r="H152" s="4">
        <f>6.548 * CHOOSE(CONTROL!$C$15, $D$11, 100%, $F$11)</f>
        <v>6.548</v>
      </c>
      <c r="I152" s="8">
        <f>5.6101 * CHOOSE(CONTROL!$C$15, $D$11, 100%, $F$11)</f>
        <v>5.6101000000000001</v>
      </c>
      <c r="J152" s="4">
        <f>5.5292 * CHOOSE(CONTROL!$C$15, $D$11, 100%, $F$11)</f>
        <v>5.5292000000000003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CONTROL!$C$32, 5.8991, 5.8956) * CHOOSE(CONTROL!$C$15, $D$11, 100%, $F$11)</f>
        <v>5.8990999999999998</v>
      </c>
      <c r="C153" s="8">
        <f>CHOOSE( CONTROL!$C$32, 5.9094, 5.9059) * CHOOSE(CONTROL!$C$15, $D$11, 100%, $F$11)</f>
        <v>5.9093999999999998</v>
      </c>
      <c r="D153" s="8">
        <f>CHOOSE( CONTROL!$C$32, 5.9202, 5.9167) * CHOOSE( CONTROL!$C$15, $D$11, 100%, $F$11)</f>
        <v>5.9202000000000004</v>
      </c>
      <c r="E153" s="12">
        <f>CHOOSE( CONTROL!$C$32, 5.9147, 5.9112) * CHOOSE( CONTROL!$C$15, $D$11, 100%, $F$11)</f>
        <v>5.9146999999999998</v>
      </c>
      <c r="F153" s="4">
        <f>CHOOSE( CONTROL!$C$32, 6.5792, 6.5757) * CHOOSE(CONTROL!$C$15, $D$11, 100%, $F$11)</f>
        <v>6.5792000000000002</v>
      </c>
      <c r="G153" s="8">
        <f>CHOOSE( CONTROL!$C$32, 5.7815, 5.7781) * CHOOSE( CONTROL!$C$15, $D$11, 100%, $F$11)</f>
        <v>5.7815000000000003</v>
      </c>
      <c r="H153" s="4">
        <f>CHOOSE( CONTROL!$C$32, 6.7013, 6.6978) * CHOOSE(CONTROL!$C$15, $D$11, 100%, $F$11)</f>
        <v>6.7012999999999998</v>
      </c>
      <c r="I153" s="8">
        <f>CHOOSE( CONTROL!$C$32, 5.7624, 5.759) * CHOOSE(CONTROL!$C$15, $D$11, 100%, $F$11)</f>
        <v>5.7624000000000004</v>
      </c>
      <c r="J153" s="4">
        <f>CHOOSE( CONTROL!$C$32, 5.6799, 5.6765) * CHOOSE(CONTROL!$C$15, $D$11, 100%, $F$11)</f>
        <v>5.6798999999999999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CONTROL!$C$32, 5.8047, 5.8012) * CHOOSE(CONTROL!$C$15, $D$11, 100%, $F$11)</f>
        <v>5.8047000000000004</v>
      </c>
      <c r="C154" s="8">
        <f>CHOOSE( CONTROL!$C$32, 5.815, 5.8116) * CHOOSE(CONTROL!$C$15, $D$11, 100%, $F$11)</f>
        <v>5.8150000000000004</v>
      </c>
      <c r="D154" s="8">
        <f>CHOOSE( CONTROL!$C$32, 5.8261, 5.8227) * CHOOSE( CONTROL!$C$15, $D$11, 100%, $F$11)</f>
        <v>5.8261000000000003</v>
      </c>
      <c r="E154" s="12">
        <f>CHOOSE( CONTROL!$C$32, 5.8205, 5.8171) * CHOOSE( CONTROL!$C$15, $D$11, 100%, $F$11)</f>
        <v>5.8205</v>
      </c>
      <c r="F154" s="4">
        <f>CHOOSE( CONTROL!$C$32, 6.4848, 6.4813) * CHOOSE(CONTROL!$C$15, $D$11, 100%, $F$11)</f>
        <v>6.4847999999999999</v>
      </c>
      <c r="G154" s="8">
        <f>CHOOSE( CONTROL!$C$32, 5.6891, 5.6857) * CHOOSE( CONTROL!$C$15, $D$11, 100%, $F$11)</f>
        <v>5.6890999999999998</v>
      </c>
      <c r="H154" s="4">
        <f>CHOOSE( CONTROL!$C$32, 6.6084, 6.605) * CHOOSE(CONTROL!$C$15, $D$11, 100%, $F$11)</f>
        <v>6.6083999999999996</v>
      </c>
      <c r="I154" s="8">
        <f>CHOOSE( CONTROL!$C$32, 5.6724, 5.6691) * CHOOSE(CONTROL!$C$15, $D$11, 100%, $F$11)</f>
        <v>5.6723999999999997</v>
      </c>
      <c r="J154" s="4">
        <f>CHOOSE( CONTROL!$C$32, 5.5886, 5.5852) * CHOOSE(CONTROL!$C$15, $D$11, 100%, $F$11)</f>
        <v>5.5885999999999996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CONTROL!$C$32, 6.0532, 6.0497) * CHOOSE(CONTROL!$C$15, $D$11, 100%, $F$11)</f>
        <v>6.0532000000000004</v>
      </c>
      <c r="C155" s="8">
        <f>CHOOSE( CONTROL!$C$32, 6.0635, 6.0601) * CHOOSE(CONTROL!$C$15, $D$11, 100%, $F$11)</f>
        <v>6.0635000000000003</v>
      </c>
      <c r="D155" s="8">
        <f>CHOOSE( CONTROL!$C$32, 6.0749, 6.0715) * CHOOSE( CONTROL!$C$15, $D$11, 100%, $F$11)</f>
        <v>6.0749000000000004</v>
      </c>
      <c r="E155" s="12">
        <f>CHOOSE( CONTROL!$C$32, 6.0692, 6.0658) * CHOOSE( CONTROL!$C$15, $D$11, 100%, $F$11)</f>
        <v>6.0692000000000004</v>
      </c>
      <c r="F155" s="4">
        <f>CHOOSE( CONTROL!$C$32, 6.7333, 6.7298) * CHOOSE(CONTROL!$C$15, $D$11, 100%, $F$11)</f>
        <v>6.7332999999999998</v>
      </c>
      <c r="G155" s="8">
        <f>CHOOSE( CONTROL!$C$32, 5.934, 5.9306) * CHOOSE( CONTROL!$C$15, $D$11, 100%, $F$11)</f>
        <v>5.9340000000000002</v>
      </c>
      <c r="H155" s="4">
        <f>CHOOSE( CONTROL!$C$32, 6.8529, 6.8495) * CHOOSE(CONTROL!$C$15, $D$11, 100%, $F$11)</f>
        <v>6.8529</v>
      </c>
      <c r="I155" s="8">
        <f>CHOOSE( CONTROL!$C$32, 5.9143, 5.911) * CHOOSE(CONTROL!$C$15, $D$11, 100%, $F$11)</f>
        <v>5.9142999999999999</v>
      </c>
      <c r="J155" s="4">
        <f>CHOOSE( CONTROL!$C$32, 5.8289, 5.8256) * CHOOSE(CONTROL!$C$15, $D$11, 100%, $F$11)</f>
        <v>5.8289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CONTROL!$C$32, 5.5882, 5.5847) * CHOOSE(CONTROL!$C$15, $D$11, 100%, $F$11)</f>
        <v>5.5881999999999996</v>
      </c>
      <c r="C156" s="8">
        <f>CHOOSE( CONTROL!$C$32, 5.5985, 5.5951) * CHOOSE(CONTROL!$C$15, $D$11, 100%, $F$11)</f>
        <v>5.5984999999999996</v>
      </c>
      <c r="D156" s="8">
        <f>CHOOSE( CONTROL!$C$32, 5.6101, 5.6066) * CHOOSE( CONTROL!$C$15, $D$11, 100%, $F$11)</f>
        <v>5.6101000000000001</v>
      </c>
      <c r="E156" s="12">
        <f>CHOOSE( CONTROL!$C$32, 5.6043, 5.6008) * CHOOSE( CONTROL!$C$15, $D$11, 100%, $F$11)</f>
        <v>5.6043000000000003</v>
      </c>
      <c r="F156" s="4">
        <f>CHOOSE( CONTROL!$C$32, 6.2683, 6.2648) * CHOOSE(CONTROL!$C$15, $D$11, 100%, $F$11)</f>
        <v>6.2683</v>
      </c>
      <c r="G156" s="8">
        <f>CHOOSE( CONTROL!$C$32, 5.4768, 5.4734) * CHOOSE( CONTROL!$C$15, $D$11, 100%, $F$11)</f>
        <v>5.4767999999999999</v>
      </c>
      <c r="H156" s="4">
        <f>CHOOSE( CONTROL!$C$32, 6.3954, 6.392) * CHOOSE(CONTROL!$C$15, $D$11, 100%, $F$11)</f>
        <v>6.3954000000000004</v>
      </c>
      <c r="I156" s="8">
        <f>CHOOSE( CONTROL!$C$32, 5.4651, 5.4617) * CHOOSE(CONTROL!$C$15, $D$11, 100%, $F$11)</f>
        <v>5.4650999999999996</v>
      </c>
      <c r="J156" s="4">
        <f>CHOOSE( CONTROL!$C$32, 5.3792, 5.3759) * CHOOSE(CONTROL!$C$15, $D$11, 100%, $F$11)</f>
        <v>5.3792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CONTROL!$C$32, 5.4718, 5.4683) * CHOOSE(CONTROL!$C$15, $D$11, 100%, $F$11)</f>
        <v>5.4718</v>
      </c>
      <c r="C157" s="8">
        <f>CHOOSE( CONTROL!$C$32, 5.4821, 5.4786) * CHOOSE(CONTROL!$C$15, $D$11, 100%, $F$11)</f>
        <v>5.4821</v>
      </c>
      <c r="D157" s="8">
        <f>CHOOSE( CONTROL!$C$32, 5.4937, 5.4902) * CHOOSE( CONTROL!$C$15, $D$11, 100%, $F$11)</f>
        <v>5.4936999999999996</v>
      </c>
      <c r="E157" s="12">
        <f>CHOOSE( CONTROL!$C$32, 5.4879, 5.4844) * CHOOSE( CONTROL!$C$15, $D$11, 100%, $F$11)</f>
        <v>5.4878999999999998</v>
      </c>
      <c r="F157" s="4">
        <f>CHOOSE( CONTROL!$C$32, 6.1519, 6.1484) * CHOOSE(CONTROL!$C$15, $D$11, 100%, $F$11)</f>
        <v>6.1519000000000004</v>
      </c>
      <c r="G157" s="8">
        <f>CHOOSE( CONTROL!$C$32, 5.3623, 5.3589) * CHOOSE( CONTROL!$C$15, $D$11, 100%, $F$11)</f>
        <v>5.3623000000000003</v>
      </c>
      <c r="H157" s="4">
        <f>CHOOSE( CONTROL!$C$32, 6.2809, 6.2775) * CHOOSE(CONTROL!$C$15, $D$11, 100%, $F$11)</f>
        <v>6.2808999999999999</v>
      </c>
      <c r="I157" s="8">
        <f>CHOOSE( CONTROL!$C$32, 5.3526, 5.3493) * CHOOSE(CONTROL!$C$15, $D$11, 100%, $F$11)</f>
        <v>5.3525999999999998</v>
      </c>
      <c r="J157" s="4">
        <f>CHOOSE( CONTROL!$C$32, 5.2666, 5.2633) * CHOOSE(CONTROL!$C$15, $D$11, 100%, $F$11)</f>
        <v>5.2666000000000004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5.7101 * CHOOSE(CONTROL!$C$15, $D$11, 100%, $F$11)</f>
        <v>5.7100999999999997</v>
      </c>
      <c r="C158" s="8">
        <f>5.7204 * CHOOSE(CONTROL!$C$15, $D$11, 100%, $F$11)</f>
        <v>5.7203999999999997</v>
      </c>
      <c r="D158" s="8">
        <f>5.7329 * CHOOSE( CONTROL!$C$15, $D$11, 100%, $F$11)</f>
        <v>5.7328999999999999</v>
      </c>
      <c r="E158" s="12">
        <f>5.7277 * CHOOSE( CONTROL!$C$15, $D$11, 100%, $F$11)</f>
        <v>5.7276999999999996</v>
      </c>
      <c r="F158" s="4">
        <f>6.3902 * CHOOSE(CONTROL!$C$15, $D$11, 100%, $F$11)</f>
        <v>6.3902000000000001</v>
      </c>
      <c r="G158" s="8">
        <f>5.5963 * CHOOSE( CONTROL!$C$15, $D$11, 100%, $F$11)</f>
        <v>5.5963000000000003</v>
      </c>
      <c r="H158" s="4">
        <f>6.5153 * CHOOSE(CONTROL!$C$15, $D$11, 100%, $F$11)</f>
        <v>6.5152999999999999</v>
      </c>
      <c r="I158" s="8">
        <f>5.5841 * CHOOSE(CONTROL!$C$15, $D$11, 100%, $F$11)</f>
        <v>5.5841000000000003</v>
      </c>
      <c r="J158" s="4">
        <f>5.4971 * CHOOSE(CONTROL!$C$15, $D$11, 100%, $F$11)</f>
        <v>5.4970999999999997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6.1563 * CHOOSE(CONTROL!$C$15, $D$11, 100%, $F$11)</f>
        <v>6.1562999999999999</v>
      </c>
      <c r="C159" s="8">
        <f>6.1667 * CHOOSE(CONTROL!$C$15, $D$11, 100%, $F$11)</f>
        <v>6.1666999999999996</v>
      </c>
      <c r="D159" s="8">
        <f>6.1516 * CHOOSE( CONTROL!$C$15, $D$11, 100%, $F$11)</f>
        <v>6.1516000000000002</v>
      </c>
      <c r="E159" s="12">
        <f>6.156 * CHOOSE( CONTROL!$C$15, $D$11, 100%, $F$11)</f>
        <v>6.1559999999999997</v>
      </c>
      <c r="F159" s="4">
        <f>6.8106 * CHOOSE(CONTROL!$C$15, $D$11, 100%, $F$11)</f>
        <v>6.8106</v>
      </c>
      <c r="G159" s="8">
        <f>6.0447 * CHOOSE( CONTROL!$C$15, $D$11, 100%, $F$11)</f>
        <v>6.0446999999999997</v>
      </c>
      <c r="H159" s="4">
        <f>6.9289 * CHOOSE(CONTROL!$C$15, $D$11, 100%, $F$11)</f>
        <v>6.9288999999999996</v>
      </c>
      <c r="I159" s="8">
        <f>6.0362 * CHOOSE(CONTROL!$C$15, $D$11, 100%, $F$11)</f>
        <v>6.0362</v>
      </c>
      <c r="J159" s="4">
        <f>5.9287 * CHOOSE(CONTROL!$C$15, $D$11, 100%, $F$11)</f>
        <v>5.9287000000000001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6.1452 * CHOOSE(CONTROL!$C$15, $D$11, 100%, $F$11)</f>
        <v>6.1452</v>
      </c>
      <c r="C160" s="8">
        <f>6.1555 * CHOOSE(CONTROL!$C$15, $D$11, 100%, $F$11)</f>
        <v>6.1555</v>
      </c>
      <c r="D160" s="8">
        <f>6.1421 * CHOOSE( CONTROL!$C$15, $D$11, 100%, $F$11)</f>
        <v>6.1421000000000001</v>
      </c>
      <c r="E160" s="12">
        <f>6.1459 * CHOOSE( CONTROL!$C$15, $D$11, 100%, $F$11)</f>
        <v>6.1459000000000001</v>
      </c>
      <c r="F160" s="4">
        <f>6.7994 * CHOOSE(CONTROL!$C$15, $D$11, 100%, $F$11)</f>
        <v>6.7994000000000003</v>
      </c>
      <c r="G160" s="8">
        <f>6.035 * CHOOSE( CONTROL!$C$15, $D$11, 100%, $F$11)</f>
        <v>6.0350000000000001</v>
      </c>
      <c r="H160" s="4">
        <f>6.918 * CHOOSE(CONTROL!$C$15, $D$11, 100%, $F$11)</f>
        <v>6.9180000000000001</v>
      </c>
      <c r="I160" s="8">
        <f>6.0306 * CHOOSE(CONTROL!$C$15, $D$11, 100%, $F$11)</f>
        <v>6.0305999999999997</v>
      </c>
      <c r="J160" s="4">
        <f>5.9179 * CHOOSE(CONTROL!$C$15, $D$11, 100%, $F$11)</f>
        <v>5.9179000000000004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6.3745 * CHOOSE(CONTROL!$C$15, $D$11, 100%, $F$11)</f>
        <v>6.3745000000000003</v>
      </c>
      <c r="C161" s="8">
        <f>6.3849 * CHOOSE(CONTROL!$C$15, $D$11, 100%, $F$11)</f>
        <v>6.3849</v>
      </c>
      <c r="D161" s="8">
        <f>6.3833 * CHOOSE( CONTROL!$C$15, $D$11, 100%, $F$11)</f>
        <v>6.3833000000000002</v>
      </c>
      <c r="E161" s="12">
        <f>6.3828 * CHOOSE( CONTROL!$C$15, $D$11, 100%, $F$11)</f>
        <v>6.3827999999999996</v>
      </c>
      <c r="F161" s="4">
        <f>7.0572 * CHOOSE(CONTROL!$C$15, $D$11, 100%, $F$11)</f>
        <v>7.0571999999999999</v>
      </c>
      <c r="G161" s="8">
        <f>6.2732 * CHOOSE( CONTROL!$C$15, $D$11, 100%, $F$11)</f>
        <v>6.2732000000000001</v>
      </c>
      <c r="H161" s="4">
        <f>7.1716 * CHOOSE(CONTROL!$C$15, $D$11, 100%, $F$11)</f>
        <v>7.1715999999999998</v>
      </c>
      <c r="I161" s="8">
        <f>6.2514 * CHOOSE(CONTROL!$C$15, $D$11, 100%, $F$11)</f>
        <v>6.2514000000000003</v>
      </c>
      <c r="J161" s="4">
        <f>6.1397 * CHOOSE(CONTROL!$C$15, $D$11, 100%, $F$11)</f>
        <v>6.1397000000000004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5.9641 * CHOOSE(CONTROL!$C$15, $D$11, 100%, $F$11)</f>
        <v>5.9641000000000002</v>
      </c>
      <c r="C162" s="8">
        <f>5.9745 * CHOOSE(CONTROL!$C$15, $D$11, 100%, $F$11)</f>
        <v>5.9744999999999999</v>
      </c>
      <c r="D162" s="8">
        <f>5.975 * CHOOSE( CONTROL!$C$15, $D$11, 100%, $F$11)</f>
        <v>5.9749999999999996</v>
      </c>
      <c r="E162" s="12">
        <f>5.9737 * CHOOSE( CONTROL!$C$15, $D$11, 100%, $F$11)</f>
        <v>5.9737</v>
      </c>
      <c r="F162" s="4">
        <f>6.639 * CHOOSE(CONTROL!$C$15, $D$11, 100%, $F$11)</f>
        <v>6.6390000000000002</v>
      </c>
      <c r="G162" s="8">
        <f>5.8691 * CHOOSE( CONTROL!$C$15, $D$11, 100%, $F$11)</f>
        <v>5.8691000000000004</v>
      </c>
      <c r="H162" s="4">
        <f>6.7602 * CHOOSE(CONTROL!$C$15, $D$11, 100%, $F$11)</f>
        <v>6.7602000000000002</v>
      </c>
      <c r="I162" s="8">
        <f>5.8433 * CHOOSE(CONTROL!$C$15, $D$11, 100%, $F$11)</f>
        <v>5.8433000000000002</v>
      </c>
      <c r="J162" s="4">
        <f>5.7428 * CHOOSE(CONTROL!$C$15, $D$11, 100%, $F$11)</f>
        <v>5.7427999999999999</v>
      </c>
      <c r="K162" s="4"/>
      <c r="L162" s="9">
        <v>27.415299999999998</v>
      </c>
      <c r="M162" s="9">
        <v>11.285299999999999</v>
      </c>
      <c r="N162" s="9">
        <v>4.6254999999999997</v>
      </c>
      <c r="O162" s="9">
        <v>0.34989999999999999</v>
      </c>
      <c r="P162" s="9">
        <v>1.2093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5.8377 * CHOOSE(CONTROL!$C$15, $D$11, 100%, $F$11)</f>
        <v>5.8376999999999999</v>
      </c>
      <c r="C163" s="8">
        <f>5.848 * CHOOSE(CONTROL!$C$15, $D$11, 100%, $F$11)</f>
        <v>5.8479999999999999</v>
      </c>
      <c r="D163" s="8">
        <f>5.8432 * CHOOSE( CONTROL!$C$15, $D$11, 100%, $F$11)</f>
        <v>5.8432000000000004</v>
      </c>
      <c r="E163" s="12">
        <f>5.8439 * CHOOSE( CONTROL!$C$15, $D$11, 100%, $F$11)</f>
        <v>5.8438999999999997</v>
      </c>
      <c r="F163" s="4">
        <f>6.5152 * CHOOSE(CONTROL!$C$15, $D$11, 100%, $F$11)</f>
        <v>6.5152000000000001</v>
      </c>
      <c r="G163" s="8">
        <f>5.7393 * CHOOSE( CONTROL!$C$15, $D$11, 100%, $F$11)</f>
        <v>5.7393000000000001</v>
      </c>
      <c r="H163" s="4">
        <f>6.6383 * CHOOSE(CONTROL!$C$15, $D$11, 100%, $F$11)</f>
        <v>6.6383000000000001</v>
      </c>
      <c r="I163" s="8">
        <f>5.7091 * CHOOSE(CONTROL!$C$15, $D$11, 100%, $F$11)</f>
        <v>5.7091000000000003</v>
      </c>
      <c r="J163" s="4">
        <f>5.6205 * CHOOSE(CONTROL!$C$15, $D$11, 100%, $F$11)</f>
        <v>5.6204999999999998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5.926 * CHOOSE(CONTROL!$C$15, $D$11, 100%, $F$11)</f>
        <v>5.9260000000000002</v>
      </c>
      <c r="C164" s="8">
        <f>5.9364 * CHOOSE(CONTROL!$C$15, $D$11, 100%, $F$11)</f>
        <v>5.9363999999999999</v>
      </c>
      <c r="D164" s="8">
        <f>5.9477 * CHOOSE( CONTROL!$C$15, $D$11, 100%, $F$11)</f>
        <v>5.9477000000000002</v>
      </c>
      <c r="E164" s="12">
        <f>5.9428 * CHOOSE( CONTROL!$C$15, $D$11, 100%, $F$11)</f>
        <v>5.9428000000000001</v>
      </c>
      <c r="F164" s="4">
        <f>6.6061 * CHOOSE(CONTROL!$C$15, $D$11, 100%, $F$11)</f>
        <v>6.6060999999999996</v>
      </c>
      <c r="G164" s="8">
        <f>5.8069 * CHOOSE( CONTROL!$C$15, $D$11, 100%, $F$11)</f>
        <v>5.8068999999999997</v>
      </c>
      <c r="H164" s="4">
        <f>6.7278 * CHOOSE(CONTROL!$C$15, $D$11, 100%, $F$11)</f>
        <v>6.7278000000000002</v>
      </c>
      <c r="I164" s="8">
        <f>5.7869 * CHOOSE(CONTROL!$C$15, $D$11, 100%, $F$11)</f>
        <v>5.7869000000000002</v>
      </c>
      <c r="J164" s="4">
        <f>5.706 * CHOOSE(CONTROL!$C$15, $D$11, 100%, $F$11)</f>
        <v>5.7060000000000004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CONTROL!$C$32, 6.0867, 6.0832) * CHOOSE(CONTROL!$C$15, $D$11, 100%, $F$11)</f>
        <v>6.0867000000000004</v>
      </c>
      <c r="C165" s="8">
        <f>CHOOSE( CONTROL!$C$32, 6.0971, 6.0936) * CHOOSE(CONTROL!$C$15, $D$11, 100%, $F$11)</f>
        <v>6.0971000000000002</v>
      </c>
      <c r="D165" s="8">
        <f>CHOOSE( CONTROL!$C$32, 6.1079, 6.1044) * CHOOSE( CONTROL!$C$15, $D$11, 100%, $F$11)</f>
        <v>6.1078999999999999</v>
      </c>
      <c r="E165" s="12">
        <f>CHOOSE( CONTROL!$C$32, 6.1024, 6.0989) * CHOOSE( CONTROL!$C$15, $D$11, 100%, $F$11)</f>
        <v>6.1024000000000003</v>
      </c>
      <c r="F165" s="4">
        <f>CHOOSE( CONTROL!$C$32, 6.7668, 6.7634) * CHOOSE(CONTROL!$C$15, $D$11, 100%, $F$11)</f>
        <v>6.7667999999999999</v>
      </c>
      <c r="G165" s="8">
        <f>CHOOSE( CONTROL!$C$32, 5.9661, 5.9627) * CHOOSE( CONTROL!$C$15, $D$11, 100%, $F$11)</f>
        <v>5.9661</v>
      </c>
      <c r="H165" s="4">
        <f>CHOOSE( CONTROL!$C$32, 6.8859, 6.8825) * CHOOSE(CONTROL!$C$15, $D$11, 100%, $F$11)</f>
        <v>6.8859000000000004</v>
      </c>
      <c r="I165" s="8">
        <f>CHOOSE( CONTROL!$C$32, 5.944, 5.9406) * CHOOSE(CONTROL!$C$15, $D$11, 100%, $F$11)</f>
        <v>5.944</v>
      </c>
      <c r="J165" s="4">
        <f>CHOOSE( CONTROL!$C$32, 5.8614, 5.858) * CHOOSE(CONTROL!$C$15, $D$11, 100%, $F$11)</f>
        <v>5.8613999999999997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CONTROL!$C$32, 5.9893, 5.9859) * CHOOSE(CONTROL!$C$15, $D$11, 100%, $F$11)</f>
        <v>5.9893000000000001</v>
      </c>
      <c r="C166" s="8">
        <f>CHOOSE( CONTROL!$C$32, 5.9997, 5.9962) * CHOOSE(CONTROL!$C$15, $D$11, 100%, $F$11)</f>
        <v>5.9996999999999998</v>
      </c>
      <c r="D166" s="8">
        <f>CHOOSE( CONTROL!$C$32, 6.0108, 6.0073) * CHOOSE( CONTROL!$C$15, $D$11, 100%, $F$11)</f>
        <v>6.0107999999999997</v>
      </c>
      <c r="E166" s="12">
        <f>CHOOSE( CONTROL!$C$32, 6.0052, 6.0017) * CHOOSE( CONTROL!$C$15, $D$11, 100%, $F$11)</f>
        <v>6.0052000000000003</v>
      </c>
      <c r="F166" s="4">
        <f>CHOOSE( CONTROL!$C$32, 6.6694, 6.666) * CHOOSE(CONTROL!$C$15, $D$11, 100%, $F$11)</f>
        <v>6.6694000000000004</v>
      </c>
      <c r="G166" s="8">
        <f>CHOOSE( CONTROL!$C$32, 5.8708, 5.8673) * CHOOSE( CONTROL!$C$15, $D$11, 100%, $F$11)</f>
        <v>5.8708</v>
      </c>
      <c r="H166" s="4">
        <f>CHOOSE( CONTROL!$C$32, 6.7901, 6.7866) * CHOOSE(CONTROL!$C$15, $D$11, 100%, $F$11)</f>
        <v>6.7900999999999998</v>
      </c>
      <c r="I166" s="8">
        <f>CHOOSE( CONTROL!$C$32, 5.8511, 5.8477) * CHOOSE(CONTROL!$C$15, $D$11, 100%, $F$11)</f>
        <v>5.8510999999999997</v>
      </c>
      <c r="J166" s="4">
        <f>CHOOSE( CONTROL!$C$32, 5.7672, 5.7638) * CHOOSE(CONTROL!$C$15, $D$11, 100%, $F$11)</f>
        <v>5.7671999999999999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CONTROL!$C$32, 6.2458, 6.2423) * CHOOSE(CONTROL!$C$15, $D$11, 100%, $F$11)</f>
        <v>6.2458</v>
      </c>
      <c r="C167" s="8">
        <f>CHOOSE( CONTROL!$C$32, 6.2561, 6.2527) * CHOOSE(CONTROL!$C$15, $D$11, 100%, $F$11)</f>
        <v>6.2561</v>
      </c>
      <c r="D167" s="8">
        <f>CHOOSE( CONTROL!$C$32, 6.2675, 6.2641) * CHOOSE( CONTROL!$C$15, $D$11, 100%, $F$11)</f>
        <v>6.2675000000000001</v>
      </c>
      <c r="E167" s="12">
        <f>CHOOSE( CONTROL!$C$32, 6.2618, 6.2584) * CHOOSE( CONTROL!$C$15, $D$11, 100%, $F$11)</f>
        <v>6.2618</v>
      </c>
      <c r="F167" s="4">
        <f>CHOOSE( CONTROL!$C$32, 6.9259, 6.9224) * CHOOSE(CONTROL!$C$15, $D$11, 100%, $F$11)</f>
        <v>6.9259000000000004</v>
      </c>
      <c r="G167" s="8">
        <f>CHOOSE( CONTROL!$C$32, 6.1235, 6.1201) * CHOOSE( CONTROL!$C$15, $D$11, 100%, $F$11)</f>
        <v>6.1234999999999999</v>
      </c>
      <c r="H167" s="4">
        <f>CHOOSE( CONTROL!$C$32, 7.0424, 7.039) * CHOOSE(CONTROL!$C$15, $D$11, 100%, $F$11)</f>
        <v>7.0423999999999998</v>
      </c>
      <c r="I167" s="8">
        <f>CHOOSE( CONTROL!$C$32, 6.1007, 6.0973) * CHOOSE(CONTROL!$C$15, $D$11, 100%, $F$11)</f>
        <v>6.1006999999999998</v>
      </c>
      <c r="J167" s="4">
        <f>CHOOSE( CONTROL!$C$32, 6.0152, 6.0118) * CHOOSE(CONTROL!$C$15, $D$11, 100%, $F$11)</f>
        <v>6.0152000000000001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CONTROL!$C$32, 5.7659, 5.7625) * CHOOSE(CONTROL!$C$15, $D$11, 100%, $F$11)</f>
        <v>5.7659000000000002</v>
      </c>
      <c r="C168" s="8">
        <f>CHOOSE( CONTROL!$C$32, 5.7763, 5.7728) * CHOOSE(CONTROL!$C$15, $D$11, 100%, $F$11)</f>
        <v>5.7763</v>
      </c>
      <c r="D168" s="8">
        <f>CHOOSE( CONTROL!$C$32, 5.7878, 5.7843) * CHOOSE( CONTROL!$C$15, $D$11, 100%, $F$11)</f>
        <v>5.7877999999999998</v>
      </c>
      <c r="E168" s="12">
        <f>CHOOSE( CONTROL!$C$32, 5.782, 5.7786) * CHOOSE( CONTROL!$C$15, $D$11, 100%, $F$11)</f>
        <v>5.782</v>
      </c>
      <c r="F168" s="4">
        <f>CHOOSE( CONTROL!$C$32, 6.446, 6.4426) * CHOOSE(CONTROL!$C$15, $D$11, 100%, $F$11)</f>
        <v>6.4459999999999997</v>
      </c>
      <c r="G168" s="8">
        <f>CHOOSE( CONTROL!$C$32, 5.6516, 5.6482) * CHOOSE( CONTROL!$C$15, $D$11, 100%, $F$11)</f>
        <v>5.6516000000000002</v>
      </c>
      <c r="H168" s="4">
        <f>CHOOSE( CONTROL!$C$32, 6.5703, 6.5669) * CHOOSE(CONTROL!$C$15, $D$11, 100%, $F$11)</f>
        <v>6.5702999999999996</v>
      </c>
      <c r="I168" s="8">
        <f>CHOOSE( CONTROL!$C$32, 5.637, 5.6337) * CHOOSE(CONTROL!$C$15, $D$11, 100%, $F$11)</f>
        <v>5.6369999999999996</v>
      </c>
      <c r="J168" s="4">
        <f>CHOOSE( CONTROL!$C$32, 5.5511, 5.5478) * CHOOSE(CONTROL!$C$15, $D$11, 100%, $F$11)</f>
        <v>5.5510999999999999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CONTROL!$C$32, 5.6458, 5.6423) * CHOOSE(CONTROL!$C$15, $D$11, 100%, $F$11)</f>
        <v>5.6458000000000004</v>
      </c>
      <c r="C169" s="8">
        <f>CHOOSE( CONTROL!$C$32, 5.6561, 5.6526) * CHOOSE(CONTROL!$C$15, $D$11, 100%, $F$11)</f>
        <v>5.6561000000000003</v>
      </c>
      <c r="D169" s="8">
        <f>CHOOSE( CONTROL!$C$32, 5.6677, 5.6642) * CHOOSE( CONTROL!$C$15, $D$11, 100%, $F$11)</f>
        <v>5.6677</v>
      </c>
      <c r="E169" s="12">
        <f>CHOOSE( CONTROL!$C$32, 5.6619, 5.6584) * CHOOSE( CONTROL!$C$15, $D$11, 100%, $F$11)</f>
        <v>5.6619000000000002</v>
      </c>
      <c r="F169" s="4">
        <f>CHOOSE( CONTROL!$C$32, 6.3259, 6.3224) * CHOOSE(CONTROL!$C$15, $D$11, 100%, $F$11)</f>
        <v>6.3258999999999999</v>
      </c>
      <c r="G169" s="8">
        <f>CHOOSE( CONTROL!$C$32, 5.5335, 5.53) * CHOOSE( CONTROL!$C$15, $D$11, 100%, $F$11)</f>
        <v>5.5335000000000001</v>
      </c>
      <c r="H169" s="4">
        <f>CHOOSE( CONTROL!$C$32, 6.4521, 6.4486) * CHOOSE(CONTROL!$C$15, $D$11, 100%, $F$11)</f>
        <v>6.4520999999999997</v>
      </c>
      <c r="I169" s="8">
        <f>CHOOSE( CONTROL!$C$32, 5.521, 5.5176) * CHOOSE(CONTROL!$C$15, $D$11, 100%, $F$11)</f>
        <v>5.5209999999999999</v>
      </c>
      <c r="J169" s="4">
        <f>CHOOSE( CONTROL!$C$32, 5.4349, 5.4316) * CHOOSE(CONTROL!$C$15, $D$11, 100%, $F$11)</f>
        <v>5.4348999999999998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5.8918 * CHOOSE(CONTROL!$C$15, $D$11, 100%, $F$11)</f>
        <v>5.8917999999999999</v>
      </c>
      <c r="C170" s="8">
        <f>5.9021 * CHOOSE(CONTROL!$C$15, $D$11, 100%, $F$11)</f>
        <v>5.9020999999999999</v>
      </c>
      <c r="D170" s="8">
        <f>5.9147 * CHOOSE( CONTROL!$C$15, $D$11, 100%, $F$11)</f>
        <v>5.9146999999999998</v>
      </c>
      <c r="E170" s="12">
        <f>5.9094 * CHOOSE( CONTROL!$C$15, $D$11, 100%, $F$11)</f>
        <v>5.9093999999999998</v>
      </c>
      <c r="F170" s="4">
        <f>6.5719 * CHOOSE(CONTROL!$C$15, $D$11, 100%, $F$11)</f>
        <v>6.5719000000000003</v>
      </c>
      <c r="G170" s="8">
        <f>5.7751 * CHOOSE( CONTROL!$C$15, $D$11, 100%, $F$11)</f>
        <v>5.7751000000000001</v>
      </c>
      <c r="H170" s="4">
        <f>6.6941 * CHOOSE(CONTROL!$C$15, $D$11, 100%, $F$11)</f>
        <v>6.6940999999999997</v>
      </c>
      <c r="I170" s="8">
        <f>5.7599 * CHOOSE(CONTROL!$C$15, $D$11, 100%, $F$11)</f>
        <v>5.7599</v>
      </c>
      <c r="J170" s="4">
        <f>5.6728 * CHOOSE(CONTROL!$C$15, $D$11, 100%, $F$11)</f>
        <v>5.6727999999999996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6.3523 * CHOOSE(CONTROL!$C$15, $D$11, 100%, $F$11)</f>
        <v>6.3522999999999996</v>
      </c>
      <c r="C171" s="8">
        <f>6.3627 * CHOOSE(CONTROL!$C$15, $D$11, 100%, $F$11)</f>
        <v>6.3627000000000002</v>
      </c>
      <c r="D171" s="8">
        <f>6.3476 * CHOOSE( CONTROL!$C$15, $D$11, 100%, $F$11)</f>
        <v>6.3475999999999999</v>
      </c>
      <c r="E171" s="12">
        <f>6.352 * CHOOSE( CONTROL!$C$15, $D$11, 100%, $F$11)</f>
        <v>6.3520000000000003</v>
      </c>
      <c r="F171" s="4">
        <f>7.0066 * CHOOSE(CONTROL!$C$15, $D$11, 100%, $F$11)</f>
        <v>7.0065999999999997</v>
      </c>
      <c r="G171" s="8">
        <f>6.2375 * CHOOSE( CONTROL!$C$15, $D$11, 100%, $F$11)</f>
        <v>6.2374999999999998</v>
      </c>
      <c r="H171" s="4">
        <f>7.1217 * CHOOSE(CONTROL!$C$15, $D$11, 100%, $F$11)</f>
        <v>7.1216999999999997</v>
      </c>
      <c r="I171" s="8">
        <f>6.2258 * CHOOSE(CONTROL!$C$15, $D$11, 100%, $F$11)</f>
        <v>6.2257999999999996</v>
      </c>
      <c r="J171" s="4">
        <f>6.1182 * CHOOSE(CONTROL!$C$15, $D$11, 100%, $F$11)</f>
        <v>6.1181999999999999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6.3408 * CHOOSE(CONTROL!$C$15, $D$11, 100%, $F$11)</f>
        <v>6.3407999999999998</v>
      </c>
      <c r="C172" s="8">
        <f>6.3511 * CHOOSE(CONTROL!$C$15, $D$11, 100%, $F$11)</f>
        <v>6.3510999999999997</v>
      </c>
      <c r="D172" s="8">
        <f>6.3377 * CHOOSE( CONTROL!$C$15, $D$11, 100%, $F$11)</f>
        <v>6.3376999999999999</v>
      </c>
      <c r="E172" s="12">
        <f>6.3415 * CHOOSE( CONTROL!$C$15, $D$11, 100%, $F$11)</f>
        <v>6.3414999999999999</v>
      </c>
      <c r="F172" s="4">
        <f>6.9951 * CHOOSE(CONTROL!$C$15, $D$11, 100%, $F$11)</f>
        <v>6.9950999999999999</v>
      </c>
      <c r="G172" s="8">
        <f>6.2274 * CHOOSE( CONTROL!$C$15, $D$11, 100%, $F$11)</f>
        <v>6.2274000000000003</v>
      </c>
      <c r="H172" s="4">
        <f>7.1104 * CHOOSE(CONTROL!$C$15, $D$11, 100%, $F$11)</f>
        <v>7.1104000000000003</v>
      </c>
      <c r="I172" s="8">
        <f>6.2199 * CHOOSE(CONTROL!$C$15, $D$11, 100%, $F$11)</f>
        <v>6.2199</v>
      </c>
      <c r="J172" s="4">
        <f>6.1071 * CHOOSE(CONTROL!$C$15, $D$11, 100%, $F$11)</f>
        <v>6.1071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6.5712 * CHOOSE(CONTROL!$C$15, $D$11, 100%, $F$11)</f>
        <v>6.5712000000000002</v>
      </c>
      <c r="C173" s="8">
        <f>6.5816 * CHOOSE(CONTROL!$C$15, $D$11, 100%, $F$11)</f>
        <v>6.5815999999999999</v>
      </c>
      <c r="D173" s="8">
        <f>6.58 * CHOOSE( CONTROL!$C$15, $D$11, 100%, $F$11)</f>
        <v>6.58</v>
      </c>
      <c r="E173" s="12">
        <f>6.5795 * CHOOSE( CONTROL!$C$15, $D$11, 100%, $F$11)</f>
        <v>6.5795000000000003</v>
      </c>
      <c r="F173" s="4">
        <f>7.2539 * CHOOSE(CONTROL!$C$15, $D$11, 100%, $F$11)</f>
        <v>7.2538999999999998</v>
      </c>
      <c r="G173" s="8">
        <f>6.4667 * CHOOSE( CONTROL!$C$15, $D$11, 100%, $F$11)</f>
        <v>6.4667000000000003</v>
      </c>
      <c r="H173" s="4">
        <f>7.3651 * CHOOSE(CONTROL!$C$15, $D$11, 100%, $F$11)</f>
        <v>7.3651</v>
      </c>
      <c r="I173" s="8">
        <f>6.4417 * CHOOSE(CONTROL!$C$15, $D$11, 100%, $F$11)</f>
        <v>6.4417</v>
      </c>
      <c r="J173" s="4">
        <f>6.3299 * CHOOSE(CONTROL!$C$15, $D$11, 100%, $F$11)</f>
        <v>6.3299000000000003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6.1481 * CHOOSE(CONTROL!$C$15, $D$11, 100%, $F$11)</f>
        <v>6.1481000000000003</v>
      </c>
      <c r="C174" s="8">
        <f>6.1584 * CHOOSE(CONTROL!$C$15, $D$11, 100%, $F$11)</f>
        <v>6.1584000000000003</v>
      </c>
      <c r="D174" s="8">
        <f>6.1589 * CHOOSE( CONTROL!$C$15, $D$11, 100%, $F$11)</f>
        <v>6.1589</v>
      </c>
      <c r="E174" s="12">
        <f>6.1576 * CHOOSE( CONTROL!$C$15, $D$11, 100%, $F$11)</f>
        <v>6.1576000000000004</v>
      </c>
      <c r="F174" s="4">
        <f>6.823 * CHOOSE(CONTROL!$C$15, $D$11, 100%, $F$11)</f>
        <v>6.8230000000000004</v>
      </c>
      <c r="G174" s="8">
        <f>6.0501 * CHOOSE( CONTROL!$C$15, $D$11, 100%, $F$11)</f>
        <v>6.0500999999999996</v>
      </c>
      <c r="H174" s="4">
        <f>6.9412 * CHOOSE(CONTROL!$C$15, $D$11, 100%, $F$11)</f>
        <v>6.9412000000000003</v>
      </c>
      <c r="I174" s="8">
        <f>6.0213 * CHOOSE(CONTROL!$C$15, $D$11, 100%, $F$11)</f>
        <v>6.0213000000000001</v>
      </c>
      <c r="J174" s="4">
        <f>5.9207 * CHOOSE(CONTROL!$C$15, $D$11, 100%, $F$11)</f>
        <v>5.9207000000000001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6.0178 * CHOOSE(CONTROL!$C$15, $D$11, 100%, $F$11)</f>
        <v>6.0178000000000003</v>
      </c>
      <c r="C175" s="8">
        <f>6.0281 * CHOOSE(CONTROL!$C$15, $D$11, 100%, $F$11)</f>
        <v>6.0281000000000002</v>
      </c>
      <c r="D175" s="8">
        <f>6.0233 * CHOOSE( CONTROL!$C$15, $D$11, 100%, $F$11)</f>
        <v>6.0232999999999999</v>
      </c>
      <c r="E175" s="12">
        <f>6.024 * CHOOSE( CONTROL!$C$15, $D$11, 100%, $F$11)</f>
        <v>6.024</v>
      </c>
      <c r="F175" s="4">
        <f>6.6953 * CHOOSE(CONTROL!$C$15, $D$11, 100%, $F$11)</f>
        <v>6.6952999999999996</v>
      </c>
      <c r="G175" s="8">
        <f>5.9165 * CHOOSE( CONTROL!$C$15, $D$11, 100%, $F$11)</f>
        <v>5.9165000000000001</v>
      </c>
      <c r="H175" s="4">
        <f>6.8155 * CHOOSE(CONTROL!$C$15, $D$11, 100%, $F$11)</f>
        <v>6.8155000000000001</v>
      </c>
      <c r="I175" s="8">
        <f>5.8833 * CHOOSE(CONTROL!$C$15, $D$11, 100%, $F$11)</f>
        <v>5.8833000000000002</v>
      </c>
      <c r="J175" s="4">
        <f>5.7947 * CHOOSE(CONTROL!$C$15, $D$11, 100%, $F$11)</f>
        <v>5.7946999999999997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6.1088 * CHOOSE(CONTROL!$C$15, $D$11, 100%, $F$11)</f>
        <v>6.1087999999999996</v>
      </c>
      <c r="C176" s="8">
        <f>6.1192 * CHOOSE(CONTROL!$C$15, $D$11, 100%, $F$11)</f>
        <v>6.1192000000000002</v>
      </c>
      <c r="D176" s="8">
        <f>6.1305 * CHOOSE( CONTROL!$C$15, $D$11, 100%, $F$11)</f>
        <v>6.1304999999999996</v>
      </c>
      <c r="E176" s="12">
        <f>6.1256 * CHOOSE( CONTROL!$C$15, $D$11, 100%, $F$11)</f>
        <v>6.1256000000000004</v>
      </c>
      <c r="F176" s="4">
        <f>6.7889 * CHOOSE(CONTROL!$C$15, $D$11, 100%, $F$11)</f>
        <v>6.7888999999999999</v>
      </c>
      <c r="G176" s="8">
        <f>5.9867 * CHOOSE( CONTROL!$C$15, $D$11, 100%, $F$11)</f>
        <v>5.9866999999999999</v>
      </c>
      <c r="H176" s="4">
        <f>6.9076 * CHOOSE(CONTROL!$C$15, $D$11, 100%, $F$11)</f>
        <v>6.9076000000000004</v>
      </c>
      <c r="I176" s="8">
        <f>5.9638 * CHOOSE(CONTROL!$C$15, $D$11, 100%, $F$11)</f>
        <v>5.9638</v>
      </c>
      <c r="J176" s="4">
        <f>5.8827 * CHOOSE(CONTROL!$C$15, $D$11, 100%, $F$11)</f>
        <v>5.8826999999999998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CONTROL!$C$32, 6.2744, 6.2709) * CHOOSE(CONTROL!$C$15, $D$11, 100%, $F$11)</f>
        <v>6.2744</v>
      </c>
      <c r="C177" s="8">
        <f>CHOOSE( CONTROL!$C$32, 6.2847, 6.2812) * CHOOSE(CONTROL!$C$15, $D$11, 100%, $F$11)</f>
        <v>6.2847</v>
      </c>
      <c r="D177" s="8">
        <f>CHOOSE( CONTROL!$C$32, 6.2955, 6.2921) * CHOOSE( CONTROL!$C$15, $D$11, 100%, $F$11)</f>
        <v>6.2954999999999997</v>
      </c>
      <c r="E177" s="12">
        <f>CHOOSE( CONTROL!$C$32, 6.29, 6.2866) * CHOOSE( CONTROL!$C$15, $D$11, 100%, $F$11)</f>
        <v>6.29</v>
      </c>
      <c r="F177" s="4">
        <f>CHOOSE( CONTROL!$C$32, 6.9545, 6.951) * CHOOSE(CONTROL!$C$15, $D$11, 100%, $F$11)</f>
        <v>6.9545000000000003</v>
      </c>
      <c r="G177" s="8">
        <f>CHOOSE( CONTROL!$C$32, 6.1508, 6.1474) * CHOOSE( CONTROL!$C$15, $D$11, 100%, $F$11)</f>
        <v>6.1508000000000003</v>
      </c>
      <c r="H177" s="4">
        <f>CHOOSE( CONTROL!$C$32, 7.0705, 7.0671) * CHOOSE(CONTROL!$C$15, $D$11, 100%, $F$11)</f>
        <v>7.0705</v>
      </c>
      <c r="I177" s="8">
        <f>CHOOSE( CONTROL!$C$32, 6.1256, 6.1222) * CHOOSE(CONTROL!$C$15, $D$11, 100%, $F$11)</f>
        <v>6.1256000000000004</v>
      </c>
      <c r="J177" s="4">
        <f>CHOOSE( CONTROL!$C$32, 6.0428, 6.0395) * CHOOSE(CONTROL!$C$15, $D$11, 100%, $F$11)</f>
        <v>6.0427999999999997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CONTROL!$C$32, 6.174, 6.1705) * CHOOSE(CONTROL!$C$15, $D$11, 100%, $F$11)</f>
        <v>6.1740000000000004</v>
      </c>
      <c r="C178" s="8">
        <f>CHOOSE( CONTROL!$C$32, 6.1843, 6.1808) * CHOOSE(CONTROL!$C$15, $D$11, 100%, $F$11)</f>
        <v>6.1843000000000004</v>
      </c>
      <c r="D178" s="8">
        <f>CHOOSE( CONTROL!$C$32, 6.1954, 6.1919) * CHOOSE( CONTROL!$C$15, $D$11, 100%, $F$11)</f>
        <v>6.1954000000000002</v>
      </c>
      <c r="E178" s="12">
        <f>CHOOSE( CONTROL!$C$32, 6.1898, 6.1863) * CHOOSE( CONTROL!$C$15, $D$11, 100%, $F$11)</f>
        <v>6.1898</v>
      </c>
      <c r="F178" s="4">
        <f>CHOOSE( CONTROL!$C$32, 6.8541, 6.8506) * CHOOSE(CONTROL!$C$15, $D$11, 100%, $F$11)</f>
        <v>6.8540999999999999</v>
      </c>
      <c r="G178" s="8">
        <f>CHOOSE( CONTROL!$C$32, 6.0524, 6.049) * CHOOSE( CONTROL!$C$15, $D$11, 100%, $F$11)</f>
        <v>6.0523999999999996</v>
      </c>
      <c r="H178" s="4">
        <f>CHOOSE( CONTROL!$C$32, 6.9717, 6.9683) * CHOOSE(CONTROL!$C$15, $D$11, 100%, $F$11)</f>
        <v>6.9717000000000002</v>
      </c>
      <c r="I178" s="8">
        <f>CHOOSE( CONTROL!$C$32, 6.0298, 6.0264) * CHOOSE(CONTROL!$C$15, $D$11, 100%, $F$11)</f>
        <v>6.0297999999999998</v>
      </c>
      <c r="J178" s="4">
        <f>CHOOSE( CONTROL!$C$32, 5.9457, 5.9424) * CHOOSE(CONTROL!$C$15, $D$11, 100%, $F$11)</f>
        <v>5.9457000000000004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CONTROL!$C$32, 6.4384, 6.4349) * CHOOSE(CONTROL!$C$15, $D$11, 100%, $F$11)</f>
        <v>6.4383999999999997</v>
      </c>
      <c r="C179" s="8">
        <f>CHOOSE( CONTROL!$C$32, 6.4487, 6.4452) * CHOOSE(CONTROL!$C$15, $D$11, 100%, $F$11)</f>
        <v>6.4486999999999997</v>
      </c>
      <c r="D179" s="8">
        <f>CHOOSE( CONTROL!$C$32, 6.4601, 6.4566) * CHOOSE( CONTROL!$C$15, $D$11, 100%, $F$11)</f>
        <v>6.4600999999999997</v>
      </c>
      <c r="E179" s="12">
        <f>CHOOSE( CONTROL!$C$32, 6.4544, 6.4509) * CHOOSE( CONTROL!$C$15, $D$11, 100%, $F$11)</f>
        <v>6.4543999999999997</v>
      </c>
      <c r="F179" s="4">
        <f>CHOOSE( CONTROL!$C$32, 7.1185, 7.115) * CHOOSE(CONTROL!$C$15, $D$11, 100%, $F$11)</f>
        <v>7.1185</v>
      </c>
      <c r="G179" s="8">
        <f>CHOOSE( CONTROL!$C$32, 6.313, 6.3096) * CHOOSE( CONTROL!$C$15, $D$11, 100%, $F$11)</f>
        <v>6.3129999999999997</v>
      </c>
      <c r="H179" s="4">
        <f>CHOOSE( CONTROL!$C$32, 7.2318, 7.2284) * CHOOSE(CONTROL!$C$15, $D$11, 100%, $F$11)</f>
        <v>7.2317999999999998</v>
      </c>
      <c r="I179" s="8">
        <f>CHOOSE( CONTROL!$C$32, 6.287, 6.2837) * CHOOSE(CONTROL!$C$15, $D$11, 100%, $F$11)</f>
        <v>6.2869999999999999</v>
      </c>
      <c r="J179" s="4">
        <f>CHOOSE( CONTROL!$C$32, 6.2014, 6.1981) * CHOOSE(CONTROL!$C$15, $D$11, 100%, $F$11)</f>
        <v>6.2013999999999996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CONTROL!$C$32, 5.9437, 5.9402) * CHOOSE(CONTROL!$C$15, $D$11, 100%, $F$11)</f>
        <v>5.9436999999999998</v>
      </c>
      <c r="C180" s="8">
        <f>CHOOSE( CONTROL!$C$32, 5.954, 5.9505) * CHOOSE(CONTROL!$C$15, $D$11, 100%, $F$11)</f>
        <v>5.9539999999999997</v>
      </c>
      <c r="D180" s="8">
        <f>CHOOSE( CONTROL!$C$32, 5.9655, 5.9621) * CHOOSE( CONTROL!$C$15, $D$11, 100%, $F$11)</f>
        <v>5.9654999999999996</v>
      </c>
      <c r="E180" s="12">
        <f>CHOOSE( CONTROL!$C$32, 5.9598, 5.9563) * CHOOSE( CONTROL!$C$15, $D$11, 100%, $F$11)</f>
        <v>5.9598000000000004</v>
      </c>
      <c r="F180" s="4">
        <f>CHOOSE( CONTROL!$C$32, 6.6238, 6.6203) * CHOOSE(CONTROL!$C$15, $D$11, 100%, $F$11)</f>
        <v>6.6238000000000001</v>
      </c>
      <c r="G180" s="8">
        <f>CHOOSE( CONTROL!$C$32, 5.8265, 5.8231) * CHOOSE( CONTROL!$C$15, $D$11, 100%, $F$11)</f>
        <v>5.8265000000000002</v>
      </c>
      <c r="H180" s="4">
        <f>CHOOSE( CONTROL!$C$32, 6.7451, 6.7417) * CHOOSE(CONTROL!$C$15, $D$11, 100%, $F$11)</f>
        <v>6.7450999999999999</v>
      </c>
      <c r="I180" s="8">
        <f>CHOOSE( CONTROL!$C$32, 5.809, 5.8056) * CHOOSE(CONTROL!$C$15, $D$11, 100%, $F$11)</f>
        <v>5.8090000000000002</v>
      </c>
      <c r="J180" s="4">
        <f>CHOOSE( CONTROL!$C$32, 5.723, 5.7196) * CHOOSE(CONTROL!$C$15, $D$11, 100%, $F$11)</f>
        <v>5.7229999999999999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CONTROL!$C$32, 5.8198, 5.8163) * CHOOSE(CONTROL!$C$15, $D$11, 100%, $F$11)</f>
        <v>5.8197999999999999</v>
      </c>
      <c r="C181" s="8">
        <f>CHOOSE( CONTROL!$C$32, 5.8301, 5.8266) * CHOOSE(CONTROL!$C$15, $D$11, 100%, $F$11)</f>
        <v>5.8300999999999998</v>
      </c>
      <c r="D181" s="8">
        <f>CHOOSE( CONTROL!$C$32, 5.8417, 5.8382) * CHOOSE( CONTROL!$C$15, $D$11, 100%, $F$11)</f>
        <v>5.8417000000000003</v>
      </c>
      <c r="E181" s="12">
        <f>CHOOSE( CONTROL!$C$32, 5.8359, 5.8324) * CHOOSE( CONTROL!$C$15, $D$11, 100%, $F$11)</f>
        <v>5.8358999999999996</v>
      </c>
      <c r="F181" s="4">
        <f>CHOOSE( CONTROL!$C$32, 6.4999, 6.4964) * CHOOSE(CONTROL!$C$15, $D$11, 100%, $F$11)</f>
        <v>6.4999000000000002</v>
      </c>
      <c r="G181" s="8">
        <f>CHOOSE( CONTROL!$C$32, 5.7047, 5.7012) * CHOOSE( CONTROL!$C$15, $D$11, 100%, $F$11)</f>
        <v>5.7046999999999999</v>
      </c>
      <c r="H181" s="4">
        <f>CHOOSE( CONTROL!$C$32, 6.6232, 6.6198) * CHOOSE(CONTROL!$C$15, $D$11, 100%, $F$11)</f>
        <v>6.6231999999999998</v>
      </c>
      <c r="I181" s="8">
        <f>CHOOSE( CONTROL!$C$32, 5.6893, 5.686) * CHOOSE(CONTROL!$C$15, $D$11, 100%, $F$11)</f>
        <v>5.6893000000000002</v>
      </c>
      <c r="J181" s="4">
        <f>CHOOSE( CONTROL!$C$32, 5.6032, 5.5998) * CHOOSE(CONTROL!$C$15, $D$11, 100%, $F$11)</f>
        <v>5.6032000000000002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6.0735 * CHOOSE(CONTROL!$C$15, $D$11, 100%, $F$11)</f>
        <v>6.0735000000000001</v>
      </c>
      <c r="C182" s="8">
        <f>6.0839 * CHOOSE(CONTROL!$C$15, $D$11, 100%, $F$11)</f>
        <v>6.0838999999999999</v>
      </c>
      <c r="D182" s="8">
        <f>6.0964 * CHOOSE( CONTROL!$C$15, $D$11, 100%, $F$11)</f>
        <v>6.0964</v>
      </c>
      <c r="E182" s="12">
        <f>6.0912 * CHOOSE( CONTROL!$C$15, $D$11, 100%, $F$11)</f>
        <v>6.0911999999999997</v>
      </c>
      <c r="F182" s="4">
        <f>6.7536 * CHOOSE(CONTROL!$C$15, $D$11, 100%, $F$11)</f>
        <v>6.7535999999999996</v>
      </c>
      <c r="G182" s="8">
        <f>5.9539 * CHOOSE( CONTROL!$C$15, $D$11, 100%, $F$11)</f>
        <v>5.9539</v>
      </c>
      <c r="H182" s="4">
        <f>6.8729 * CHOOSE(CONTROL!$C$15, $D$11, 100%, $F$11)</f>
        <v>6.8728999999999996</v>
      </c>
      <c r="I182" s="8">
        <f>5.9357 * CHOOSE(CONTROL!$C$15, $D$11, 100%, $F$11)</f>
        <v>5.9356999999999998</v>
      </c>
      <c r="J182" s="4">
        <f>5.8486 * CHOOSE(CONTROL!$C$15, $D$11, 100%, $F$11)</f>
        <v>5.8486000000000002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6.5483 * CHOOSE(CONTROL!$C$15, $D$11, 100%, $F$11)</f>
        <v>6.5483000000000002</v>
      </c>
      <c r="C183" s="8">
        <f>6.5587 * CHOOSE(CONTROL!$C$15, $D$11, 100%, $F$11)</f>
        <v>6.5587</v>
      </c>
      <c r="D183" s="8">
        <f>6.5436 * CHOOSE( CONTROL!$C$15, $D$11, 100%, $F$11)</f>
        <v>6.5435999999999996</v>
      </c>
      <c r="E183" s="12">
        <f>6.548 * CHOOSE( CONTROL!$C$15, $D$11, 100%, $F$11)</f>
        <v>6.548</v>
      </c>
      <c r="F183" s="4">
        <f>7.2026 * CHOOSE(CONTROL!$C$15, $D$11, 100%, $F$11)</f>
        <v>7.2026000000000003</v>
      </c>
      <c r="G183" s="8">
        <f>6.4304 * CHOOSE( CONTROL!$C$15, $D$11, 100%, $F$11)</f>
        <v>6.4303999999999997</v>
      </c>
      <c r="H183" s="4">
        <f>7.3146 * CHOOSE(CONTROL!$C$15, $D$11, 100%, $F$11)</f>
        <v>7.3146000000000004</v>
      </c>
      <c r="I183" s="8">
        <f>6.4155 * CHOOSE(CONTROL!$C$15, $D$11, 100%, $F$11)</f>
        <v>6.4154999999999998</v>
      </c>
      <c r="J183" s="4">
        <f>6.3078 * CHOOSE(CONTROL!$C$15, $D$11, 100%, $F$11)</f>
        <v>6.3078000000000003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6.5364 * CHOOSE(CONTROL!$C$15, $D$11, 100%, $F$11)</f>
        <v>6.5364000000000004</v>
      </c>
      <c r="C184" s="8">
        <f>6.5468 * CHOOSE(CONTROL!$C$15, $D$11, 100%, $F$11)</f>
        <v>6.5468000000000002</v>
      </c>
      <c r="D184" s="8">
        <f>6.5334 * CHOOSE( CONTROL!$C$15, $D$11, 100%, $F$11)</f>
        <v>6.5334000000000003</v>
      </c>
      <c r="E184" s="12">
        <f>6.5372 * CHOOSE( CONTROL!$C$15, $D$11, 100%, $F$11)</f>
        <v>6.5372000000000003</v>
      </c>
      <c r="F184" s="4">
        <f>7.1907 * CHOOSE(CONTROL!$C$15, $D$11, 100%, $F$11)</f>
        <v>7.1906999999999996</v>
      </c>
      <c r="G184" s="8">
        <f>6.4199 * CHOOSE( CONTROL!$C$15, $D$11, 100%, $F$11)</f>
        <v>6.4199000000000002</v>
      </c>
      <c r="H184" s="4">
        <f>7.3029 * CHOOSE(CONTROL!$C$15, $D$11, 100%, $F$11)</f>
        <v>7.3029000000000002</v>
      </c>
      <c r="I184" s="8">
        <f>6.4092 * CHOOSE(CONTROL!$C$15, $D$11, 100%, $F$11)</f>
        <v>6.4092000000000002</v>
      </c>
      <c r="J184" s="4">
        <f>6.2963 * CHOOSE(CONTROL!$C$15, $D$11, 100%, $F$11)</f>
        <v>6.2962999999999996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6.7788 * CHOOSE(CONTROL!$C$15, $D$11, 100%, $F$11)</f>
        <v>6.7788000000000004</v>
      </c>
      <c r="C185" s="8">
        <f>6.7892 * CHOOSE(CONTROL!$C$15, $D$11, 100%, $F$11)</f>
        <v>6.7892000000000001</v>
      </c>
      <c r="D185" s="8">
        <f>6.7876 * CHOOSE( CONTROL!$C$15, $D$11, 100%, $F$11)</f>
        <v>6.7876000000000003</v>
      </c>
      <c r="E185" s="12">
        <f>6.7871 * CHOOSE( CONTROL!$C$15, $D$11, 100%, $F$11)</f>
        <v>6.7870999999999997</v>
      </c>
      <c r="F185" s="4">
        <f>7.4615 * CHOOSE(CONTROL!$C$15, $D$11, 100%, $F$11)</f>
        <v>7.4615</v>
      </c>
      <c r="G185" s="8">
        <f>6.6709 * CHOOSE( CONTROL!$C$15, $D$11, 100%, $F$11)</f>
        <v>6.6708999999999996</v>
      </c>
      <c r="H185" s="4">
        <f>7.5693 * CHOOSE(CONTROL!$C$15, $D$11, 100%, $F$11)</f>
        <v>7.5693000000000001</v>
      </c>
      <c r="I185" s="8">
        <f>6.6426 * CHOOSE(CONTROL!$C$15, $D$11, 100%, $F$11)</f>
        <v>6.6425999999999998</v>
      </c>
      <c r="J185" s="4">
        <f>6.5307 * CHOOSE(CONTROL!$C$15, $D$11, 100%, $F$11)</f>
        <v>6.5307000000000004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6.3423 * CHOOSE(CONTROL!$C$15, $D$11, 100%, $F$11)</f>
        <v>6.3422999999999998</v>
      </c>
      <c r="C186" s="8">
        <f>6.3526 * CHOOSE(CONTROL!$C$15, $D$11, 100%, $F$11)</f>
        <v>6.3525999999999998</v>
      </c>
      <c r="D186" s="8">
        <f>6.3531 * CHOOSE( CONTROL!$C$15, $D$11, 100%, $F$11)</f>
        <v>6.3531000000000004</v>
      </c>
      <c r="E186" s="12">
        <f>6.3518 * CHOOSE( CONTROL!$C$15, $D$11, 100%, $F$11)</f>
        <v>6.3517999999999999</v>
      </c>
      <c r="F186" s="4">
        <f>7.0172 * CHOOSE(CONTROL!$C$15, $D$11, 100%, $F$11)</f>
        <v>7.0171999999999999</v>
      </c>
      <c r="G186" s="8">
        <f>6.2412 * CHOOSE( CONTROL!$C$15, $D$11, 100%, $F$11)</f>
        <v>6.2412000000000001</v>
      </c>
      <c r="H186" s="4">
        <f>7.1322 * CHOOSE(CONTROL!$C$15, $D$11, 100%, $F$11)</f>
        <v>7.1322000000000001</v>
      </c>
      <c r="I186" s="8">
        <f>6.2092 * CHOOSE(CONTROL!$C$15, $D$11, 100%, $F$11)</f>
        <v>6.2092000000000001</v>
      </c>
      <c r="J186" s="4">
        <f>6.1085 * CHOOSE(CONTROL!$C$15, $D$11, 100%, $F$11)</f>
        <v>6.1085000000000003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6.2078 * CHOOSE(CONTROL!$C$15, $D$11, 100%, $F$11)</f>
        <v>6.2077999999999998</v>
      </c>
      <c r="C187" s="8">
        <f>6.2182 * CHOOSE(CONTROL!$C$15, $D$11, 100%, $F$11)</f>
        <v>6.2182000000000004</v>
      </c>
      <c r="D187" s="8">
        <f>6.2134 * CHOOSE( CONTROL!$C$15, $D$11, 100%, $F$11)</f>
        <v>6.2134</v>
      </c>
      <c r="E187" s="12">
        <f>6.214 * CHOOSE( CONTROL!$C$15, $D$11, 100%, $F$11)</f>
        <v>6.2140000000000004</v>
      </c>
      <c r="F187" s="4">
        <f>6.8853 * CHOOSE(CONTROL!$C$15, $D$11, 100%, $F$11)</f>
        <v>6.8853</v>
      </c>
      <c r="G187" s="8">
        <f>6.1034 * CHOOSE( CONTROL!$C$15, $D$11, 100%, $F$11)</f>
        <v>6.1033999999999997</v>
      </c>
      <c r="H187" s="4">
        <f>7.0025 * CHOOSE(CONTROL!$C$15, $D$11, 100%, $F$11)</f>
        <v>7.0025000000000004</v>
      </c>
      <c r="I187" s="8">
        <f>6.0672 * CHOOSE(CONTROL!$C$15, $D$11, 100%, $F$11)</f>
        <v>6.0671999999999997</v>
      </c>
      <c r="J187" s="4">
        <f>5.9785 * CHOOSE(CONTROL!$C$15, $D$11, 100%, $F$11)</f>
        <v>5.9785000000000004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6.3018 * CHOOSE(CONTROL!$C$15, $D$11, 100%, $F$11)</f>
        <v>6.3018000000000001</v>
      </c>
      <c r="C188" s="8">
        <f>6.3121 * CHOOSE(CONTROL!$C$15, $D$11, 100%, $F$11)</f>
        <v>6.3121</v>
      </c>
      <c r="D188" s="8">
        <f>6.3234 * CHOOSE( CONTROL!$C$15, $D$11, 100%, $F$11)</f>
        <v>6.3234000000000004</v>
      </c>
      <c r="E188" s="12">
        <f>6.3185 * CHOOSE( CONTROL!$C$15, $D$11, 100%, $F$11)</f>
        <v>6.3185000000000002</v>
      </c>
      <c r="F188" s="4">
        <f>6.9819 * CHOOSE(CONTROL!$C$15, $D$11, 100%, $F$11)</f>
        <v>6.9819000000000004</v>
      </c>
      <c r="G188" s="8">
        <f>6.1765 * CHOOSE( CONTROL!$C$15, $D$11, 100%, $F$11)</f>
        <v>6.1764999999999999</v>
      </c>
      <c r="H188" s="4">
        <f>7.0975 * CHOOSE(CONTROL!$C$15, $D$11, 100%, $F$11)</f>
        <v>7.0975000000000001</v>
      </c>
      <c r="I188" s="8">
        <f>6.1505 * CHOOSE(CONTROL!$C$15, $D$11, 100%, $F$11)</f>
        <v>6.1505000000000001</v>
      </c>
      <c r="J188" s="4">
        <f>6.0693 * CHOOSE(CONTROL!$C$15, $D$11, 100%, $F$11)</f>
        <v>6.0693000000000001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CONTROL!$C$32, 6.4725, 6.469) * CHOOSE(CONTROL!$C$15, $D$11, 100%, $F$11)</f>
        <v>6.4725000000000001</v>
      </c>
      <c r="C189" s="8">
        <f>CHOOSE( CONTROL!$C$32, 6.4828, 6.4793) * CHOOSE(CONTROL!$C$15, $D$11, 100%, $F$11)</f>
        <v>6.4828000000000001</v>
      </c>
      <c r="D189" s="8">
        <f>CHOOSE( CONTROL!$C$32, 6.4936, 6.4902) * CHOOSE( CONTROL!$C$15, $D$11, 100%, $F$11)</f>
        <v>6.4935999999999998</v>
      </c>
      <c r="E189" s="12">
        <f>CHOOSE( CONTROL!$C$32, 6.4881, 6.4847) * CHOOSE( CONTROL!$C$15, $D$11, 100%, $F$11)</f>
        <v>6.4881000000000002</v>
      </c>
      <c r="F189" s="4">
        <f>CHOOSE( CONTROL!$C$32, 7.1526, 7.1491) * CHOOSE(CONTROL!$C$15, $D$11, 100%, $F$11)</f>
        <v>7.1525999999999996</v>
      </c>
      <c r="G189" s="8">
        <f>CHOOSE( CONTROL!$C$32, 6.3456, 6.3422) * CHOOSE( CONTROL!$C$15, $D$11, 100%, $F$11)</f>
        <v>6.3456000000000001</v>
      </c>
      <c r="H189" s="4">
        <f>CHOOSE( CONTROL!$C$32, 7.2654, 7.262) * CHOOSE(CONTROL!$C$15, $D$11, 100%, $F$11)</f>
        <v>7.2653999999999996</v>
      </c>
      <c r="I189" s="8">
        <f>CHOOSE( CONTROL!$C$32, 6.3172, 6.3139) * CHOOSE(CONTROL!$C$15, $D$11, 100%, $F$11)</f>
        <v>6.3171999999999997</v>
      </c>
      <c r="J189" s="4">
        <f>CHOOSE( CONTROL!$C$32, 6.2344, 6.2311) * CHOOSE(CONTROL!$C$15, $D$11, 100%, $F$11)</f>
        <v>6.2343999999999999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CONTROL!$C$32, 6.3689, 6.3654) * CHOOSE(CONTROL!$C$15, $D$11, 100%, $F$11)</f>
        <v>6.3689</v>
      </c>
      <c r="C190" s="8">
        <f>CHOOSE( CONTROL!$C$32, 6.3792, 6.3757) * CHOOSE(CONTROL!$C$15, $D$11, 100%, $F$11)</f>
        <v>6.3792</v>
      </c>
      <c r="D190" s="8">
        <f>CHOOSE( CONTROL!$C$32, 6.3903, 6.3868) * CHOOSE( CONTROL!$C$15, $D$11, 100%, $F$11)</f>
        <v>6.3902999999999999</v>
      </c>
      <c r="E190" s="12">
        <f>CHOOSE( CONTROL!$C$32, 6.3847, 6.3812) * CHOOSE( CONTROL!$C$15, $D$11, 100%, $F$11)</f>
        <v>6.3846999999999996</v>
      </c>
      <c r="F190" s="4">
        <f>CHOOSE( CONTROL!$C$32, 7.049, 7.0455) * CHOOSE(CONTROL!$C$15, $D$11, 100%, $F$11)</f>
        <v>7.0490000000000004</v>
      </c>
      <c r="G190" s="8">
        <f>CHOOSE( CONTROL!$C$32, 6.2442, 6.2407) * CHOOSE( CONTROL!$C$15, $D$11, 100%, $F$11)</f>
        <v>6.2442000000000002</v>
      </c>
      <c r="H190" s="4">
        <f>CHOOSE( CONTROL!$C$32, 7.1635, 7.1601) * CHOOSE(CONTROL!$C$15, $D$11, 100%, $F$11)</f>
        <v>7.1635</v>
      </c>
      <c r="I190" s="8">
        <f>CHOOSE( CONTROL!$C$32, 6.2183, 6.215) * CHOOSE(CONTROL!$C$15, $D$11, 100%, $F$11)</f>
        <v>6.2183000000000002</v>
      </c>
      <c r="J190" s="4">
        <f>CHOOSE( CONTROL!$C$32, 6.1342, 6.1309) * CHOOSE(CONTROL!$C$15, $D$11, 100%, $F$11)</f>
        <v>6.1341999999999999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CONTROL!$C$32, 6.6417, 6.6382) * CHOOSE(CONTROL!$C$15, $D$11, 100%, $F$11)</f>
        <v>6.6417000000000002</v>
      </c>
      <c r="C191" s="8">
        <f>CHOOSE( CONTROL!$C$32, 6.652, 6.6485) * CHOOSE(CONTROL!$C$15, $D$11, 100%, $F$11)</f>
        <v>6.6520000000000001</v>
      </c>
      <c r="D191" s="8">
        <f>CHOOSE( CONTROL!$C$32, 6.6634, 6.6599) * CHOOSE( CONTROL!$C$15, $D$11, 100%, $F$11)</f>
        <v>6.6634000000000002</v>
      </c>
      <c r="E191" s="12">
        <f>CHOOSE( CONTROL!$C$32, 6.6577, 6.6542) * CHOOSE( CONTROL!$C$15, $D$11, 100%, $F$11)</f>
        <v>6.6577000000000002</v>
      </c>
      <c r="F191" s="4">
        <f>CHOOSE( CONTROL!$C$32, 7.3218, 7.3183) * CHOOSE(CONTROL!$C$15, $D$11, 100%, $F$11)</f>
        <v>7.3217999999999996</v>
      </c>
      <c r="G191" s="8">
        <f>CHOOSE( CONTROL!$C$32, 6.513, 6.5096) * CHOOSE( CONTROL!$C$15, $D$11, 100%, $F$11)</f>
        <v>6.5129999999999999</v>
      </c>
      <c r="H191" s="4">
        <f>CHOOSE( CONTROL!$C$32, 7.4318, 7.4284) * CHOOSE(CONTROL!$C$15, $D$11, 100%, $F$11)</f>
        <v>7.4318</v>
      </c>
      <c r="I191" s="8">
        <f>CHOOSE( CONTROL!$C$32, 6.4837, 6.4804) * CHOOSE(CONTROL!$C$15, $D$11, 100%, $F$11)</f>
        <v>6.4836999999999998</v>
      </c>
      <c r="J191" s="4">
        <f>CHOOSE( CONTROL!$C$32, 6.398, 6.3947) * CHOOSE(CONTROL!$C$15, $D$11, 100%, $F$11)</f>
        <v>6.3979999999999997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CONTROL!$C$32, 6.1312, 6.1278) * CHOOSE(CONTROL!$C$15, $D$11, 100%, $F$11)</f>
        <v>6.1311999999999998</v>
      </c>
      <c r="C192" s="8">
        <f>CHOOSE( CONTROL!$C$32, 6.1416, 6.1381) * CHOOSE(CONTROL!$C$15, $D$11, 100%, $F$11)</f>
        <v>6.1416000000000004</v>
      </c>
      <c r="D192" s="8">
        <f>CHOOSE( CONTROL!$C$32, 6.1531, 6.1497) * CHOOSE( CONTROL!$C$15, $D$11, 100%, $F$11)</f>
        <v>6.1531000000000002</v>
      </c>
      <c r="E192" s="12">
        <f>CHOOSE( CONTROL!$C$32, 6.1473, 6.1439) * CHOOSE( CONTROL!$C$15, $D$11, 100%, $F$11)</f>
        <v>6.1473000000000004</v>
      </c>
      <c r="F192" s="4">
        <f>CHOOSE( CONTROL!$C$32, 6.8114, 6.8079) * CHOOSE(CONTROL!$C$15, $D$11, 100%, $F$11)</f>
        <v>6.8113999999999999</v>
      </c>
      <c r="G192" s="8">
        <f>CHOOSE( CONTROL!$C$32, 6.011, 6.0076) * CHOOSE( CONTROL!$C$15, $D$11, 100%, $F$11)</f>
        <v>6.0110000000000001</v>
      </c>
      <c r="H192" s="4">
        <f>CHOOSE( CONTROL!$C$32, 6.9297, 6.9263) * CHOOSE(CONTROL!$C$15, $D$11, 100%, $F$11)</f>
        <v>6.9297000000000004</v>
      </c>
      <c r="I192" s="8">
        <f>CHOOSE( CONTROL!$C$32, 5.9905, 5.9872) * CHOOSE(CONTROL!$C$15, $D$11, 100%, $F$11)</f>
        <v>5.9904999999999999</v>
      </c>
      <c r="J192" s="4">
        <f>CHOOSE( CONTROL!$C$32, 5.9044, 5.9011) * CHOOSE(CONTROL!$C$15, $D$11, 100%, $F$11)</f>
        <v>5.9043999999999999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CONTROL!$C$32, 6.0034, 6) * CHOOSE(CONTROL!$C$15, $D$11, 100%, $F$11)</f>
        <v>6.0034000000000001</v>
      </c>
      <c r="C193" s="8">
        <f>CHOOSE( CONTROL!$C$32, 6.0138, 6.0103) * CHOOSE(CONTROL!$C$15, $D$11, 100%, $F$11)</f>
        <v>6.0137999999999998</v>
      </c>
      <c r="D193" s="8">
        <f>CHOOSE( CONTROL!$C$32, 6.0254, 6.0219) * CHOOSE( CONTROL!$C$15, $D$11, 100%, $F$11)</f>
        <v>6.0254000000000003</v>
      </c>
      <c r="E193" s="12">
        <f>CHOOSE( CONTROL!$C$32, 6.0196, 6.0161) * CHOOSE( CONTROL!$C$15, $D$11, 100%, $F$11)</f>
        <v>6.0195999999999996</v>
      </c>
      <c r="F193" s="4">
        <f>CHOOSE( CONTROL!$C$32, 6.6835, 6.6801) * CHOOSE(CONTROL!$C$15, $D$11, 100%, $F$11)</f>
        <v>6.6835000000000004</v>
      </c>
      <c r="G193" s="8">
        <f>CHOOSE( CONTROL!$C$32, 5.8853, 5.8819) * CHOOSE( CONTROL!$C$15, $D$11, 100%, $F$11)</f>
        <v>5.8853</v>
      </c>
      <c r="H193" s="4">
        <f>CHOOSE( CONTROL!$C$32, 6.8039, 6.8005) * CHOOSE(CONTROL!$C$15, $D$11, 100%, $F$11)</f>
        <v>6.8038999999999996</v>
      </c>
      <c r="I193" s="8">
        <f>CHOOSE( CONTROL!$C$32, 5.8671, 5.8637) * CHOOSE(CONTROL!$C$15, $D$11, 100%, $F$11)</f>
        <v>5.8670999999999998</v>
      </c>
      <c r="J193" s="4">
        <f>CHOOSE( CONTROL!$C$32, 5.7808, 5.7775) * CHOOSE(CONTROL!$C$15, $D$11, 100%, $F$11)</f>
        <v>5.7808000000000002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6.2653 * CHOOSE(CONTROL!$C$15, $D$11, 100%, $F$11)</f>
        <v>6.2652999999999999</v>
      </c>
      <c r="C194" s="8">
        <f>6.2757 * CHOOSE(CONTROL!$C$15, $D$11, 100%, $F$11)</f>
        <v>6.2756999999999996</v>
      </c>
      <c r="D194" s="8">
        <f>6.2882 * CHOOSE( CONTROL!$C$15, $D$11, 100%, $F$11)</f>
        <v>6.2881999999999998</v>
      </c>
      <c r="E194" s="12">
        <f>6.283 * CHOOSE( CONTROL!$C$15, $D$11, 100%, $F$11)</f>
        <v>6.2830000000000004</v>
      </c>
      <c r="F194" s="4">
        <f>6.9455 * CHOOSE(CONTROL!$C$15, $D$11, 100%, $F$11)</f>
        <v>6.9455</v>
      </c>
      <c r="G194" s="8">
        <f>6.1426 * CHOOSE( CONTROL!$C$15, $D$11, 100%, $F$11)</f>
        <v>6.1425999999999998</v>
      </c>
      <c r="H194" s="4">
        <f>7.0616 * CHOOSE(CONTROL!$C$15, $D$11, 100%, $F$11)</f>
        <v>7.0616000000000003</v>
      </c>
      <c r="I194" s="8">
        <f>6.1213 * CHOOSE(CONTROL!$C$15, $D$11, 100%, $F$11)</f>
        <v>6.1212999999999997</v>
      </c>
      <c r="J194" s="4">
        <f>6.0341 * CHOOSE(CONTROL!$C$15, $D$11, 100%, $F$11)</f>
        <v>6.0340999999999996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6.7552 * CHOOSE(CONTROL!$C$15, $D$11, 100%, $F$11)</f>
        <v>6.7552000000000003</v>
      </c>
      <c r="C195" s="8">
        <f>6.7655 * CHOOSE(CONTROL!$C$15, $D$11, 100%, $F$11)</f>
        <v>6.7655000000000003</v>
      </c>
      <c r="D195" s="8">
        <f>6.7505 * CHOOSE( CONTROL!$C$15, $D$11, 100%, $F$11)</f>
        <v>6.7504999999999997</v>
      </c>
      <c r="E195" s="12">
        <f>6.7549 * CHOOSE( CONTROL!$C$15, $D$11, 100%, $F$11)</f>
        <v>6.7549000000000001</v>
      </c>
      <c r="F195" s="4">
        <f>7.4095 * CHOOSE(CONTROL!$C$15, $D$11, 100%, $F$11)</f>
        <v>7.4095000000000004</v>
      </c>
      <c r="G195" s="8">
        <f>6.6339 * CHOOSE( CONTROL!$C$15, $D$11, 100%, $F$11)</f>
        <v>6.6338999999999997</v>
      </c>
      <c r="H195" s="4">
        <f>7.5181 * CHOOSE(CONTROL!$C$15, $D$11, 100%, $F$11)</f>
        <v>7.5180999999999996</v>
      </c>
      <c r="I195" s="8">
        <f>6.6156 * CHOOSE(CONTROL!$C$15, $D$11, 100%, $F$11)</f>
        <v>6.6155999999999997</v>
      </c>
      <c r="J195" s="4">
        <f>6.5078 * CHOOSE(CONTROL!$C$15, $D$11, 100%, $F$11)</f>
        <v>6.5077999999999996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6.743 * CHOOSE(CONTROL!$C$15, $D$11, 100%, $F$11)</f>
        <v>6.7430000000000003</v>
      </c>
      <c r="C196" s="8">
        <f>6.7533 * CHOOSE(CONTROL!$C$15, $D$11, 100%, $F$11)</f>
        <v>6.7533000000000003</v>
      </c>
      <c r="D196" s="8">
        <f>6.7399 * CHOOSE( CONTROL!$C$15, $D$11, 100%, $F$11)</f>
        <v>6.7398999999999996</v>
      </c>
      <c r="E196" s="12">
        <f>6.7437 * CHOOSE( CONTROL!$C$15, $D$11, 100%, $F$11)</f>
        <v>6.7436999999999996</v>
      </c>
      <c r="F196" s="4">
        <f>7.3972 * CHOOSE(CONTROL!$C$15, $D$11, 100%, $F$11)</f>
        <v>7.3971999999999998</v>
      </c>
      <c r="G196" s="8">
        <f>6.6231 * CHOOSE( CONTROL!$C$15, $D$11, 100%, $F$11)</f>
        <v>6.6231</v>
      </c>
      <c r="H196" s="4">
        <f>7.5061 * CHOOSE(CONTROL!$C$15, $D$11, 100%, $F$11)</f>
        <v>7.5061</v>
      </c>
      <c r="I196" s="8">
        <f>6.6091 * CHOOSE(CONTROL!$C$15, $D$11, 100%, $F$11)</f>
        <v>6.6090999999999998</v>
      </c>
      <c r="J196" s="4">
        <f>6.496 * CHOOSE(CONTROL!$C$15, $D$11, 100%, $F$11)</f>
        <v>6.4960000000000004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6.9864 * CHOOSE(CONTROL!$C$15, $D$11, 100%, $F$11)</f>
        <v>6.9863999999999997</v>
      </c>
      <c r="C197" s="8">
        <f>6.9968 * CHOOSE(CONTROL!$C$15, $D$11, 100%, $F$11)</f>
        <v>6.9968000000000004</v>
      </c>
      <c r="D197" s="8">
        <f>6.9952 * CHOOSE( CONTROL!$C$15, $D$11, 100%, $F$11)</f>
        <v>6.9951999999999996</v>
      </c>
      <c r="E197" s="12">
        <f>6.9947 * CHOOSE( CONTROL!$C$15, $D$11, 100%, $F$11)</f>
        <v>6.9946999999999999</v>
      </c>
      <c r="F197" s="4">
        <f>7.6691 * CHOOSE(CONTROL!$C$15, $D$11, 100%, $F$11)</f>
        <v>7.6691000000000003</v>
      </c>
      <c r="G197" s="8">
        <f>6.8752 * CHOOSE( CONTROL!$C$15, $D$11, 100%, $F$11)</f>
        <v>6.8752000000000004</v>
      </c>
      <c r="H197" s="4">
        <f>7.7736 * CHOOSE(CONTROL!$C$15, $D$11, 100%, $F$11)</f>
        <v>7.7736000000000001</v>
      </c>
      <c r="I197" s="8">
        <f>6.8434 * CHOOSE(CONTROL!$C$15, $D$11, 100%, $F$11)</f>
        <v>6.8433999999999999</v>
      </c>
      <c r="J197" s="4">
        <f>6.7315 * CHOOSE(CONTROL!$C$15, $D$11, 100%, $F$11)</f>
        <v>6.7314999999999996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6.5365 * CHOOSE(CONTROL!$C$15, $D$11, 100%, $F$11)</f>
        <v>6.5365000000000002</v>
      </c>
      <c r="C198" s="8">
        <f>6.5468 * CHOOSE(CONTROL!$C$15, $D$11, 100%, $F$11)</f>
        <v>6.5468000000000002</v>
      </c>
      <c r="D198" s="8">
        <f>6.5473 * CHOOSE( CONTROL!$C$15, $D$11, 100%, $F$11)</f>
        <v>6.5472999999999999</v>
      </c>
      <c r="E198" s="12">
        <f>6.546 * CHOOSE( CONTROL!$C$15, $D$11, 100%, $F$11)</f>
        <v>6.5460000000000003</v>
      </c>
      <c r="F198" s="4">
        <f>7.2114 * CHOOSE(CONTROL!$C$15, $D$11, 100%, $F$11)</f>
        <v>7.2114000000000003</v>
      </c>
      <c r="G198" s="8">
        <f>6.4322 * CHOOSE( CONTROL!$C$15, $D$11, 100%, $F$11)</f>
        <v>6.4321999999999999</v>
      </c>
      <c r="H198" s="4">
        <f>7.3233 * CHOOSE(CONTROL!$C$15, $D$11, 100%, $F$11)</f>
        <v>7.3232999999999997</v>
      </c>
      <c r="I198" s="8">
        <f>6.3971 * CHOOSE(CONTROL!$C$15, $D$11, 100%, $F$11)</f>
        <v>6.3971</v>
      </c>
      <c r="J198" s="4">
        <f>6.2963 * CHOOSE(CONTROL!$C$15, $D$11, 100%, $F$11)</f>
        <v>6.2962999999999996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6.3979 * CHOOSE(CONTROL!$C$15, $D$11, 100%, $F$11)</f>
        <v>6.3978999999999999</v>
      </c>
      <c r="C199" s="8">
        <f>6.4082 * CHOOSE(CONTROL!$C$15, $D$11, 100%, $F$11)</f>
        <v>6.4081999999999999</v>
      </c>
      <c r="D199" s="8">
        <f>6.4034 * CHOOSE( CONTROL!$C$15, $D$11, 100%, $F$11)</f>
        <v>6.4034000000000004</v>
      </c>
      <c r="E199" s="12">
        <f>6.4041 * CHOOSE( CONTROL!$C$15, $D$11, 100%, $F$11)</f>
        <v>6.4040999999999997</v>
      </c>
      <c r="F199" s="4">
        <f>7.0754 * CHOOSE(CONTROL!$C$15, $D$11, 100%, $F$11)</f>
        <v>7.0754000000000001</v>
      </c>
      <c r="G199" s="8">
        <f>6.2904 * CHOOSE( CONTROL!$C$15, $D$11, 100%, $F$11)</f>
        <v>6.2904</v>
      </c>
      <c r="H199" s="4">
        <f>7.1895 * CHOOSE(CONTROL!$C$15, $D$11, 100%, $F$11)</f>
        <v>7.1894999999999998</v>
      </c>
      <c r="I199" s="8">
        <f>6.2511 * CHOOSE(CONTROL!$C$15, $D$11, 100%, $F$11)</f>
        <v>6.2511000000000001</v>
      </c>
      <c r="J199" s="4">
        <f>6.1623 * CHOOSE(CONTROL!$C$15, $D$11, 100%, $F$11)</f>
        <v>6.1623000000000001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6.4947 * CHOOSE(CONTROL!$C$15, $D$11, 100%, $F$11)</f>
        <v>6.4946999999999999</v>
      </c>
      <c r="C200" s="8">
        <f>6.5051 * CHOOSE(CONTROL!$C$15, $D$11, 100%, $F$11)</f>
        <v>6.5050999999999997</v>
      </c>
      <c r="D200" s="8">
        <f>6.5163 * CHOOSE( CONTROL!$C$15, $D$11, 100%, $F$11)</f>
        <v>6.5163000000000002</v>
      </c>
      <c r="E200" s="12">
        <f>6.5114 * CHOOSE( CONTROL!$C$15, $D$11, 100%, $F$11)</f>
        <v>6.5114000000000001</v>
      </c>
      <c r="F200" s="4">
        <f>7.1748 * CHOOSE(CONTROL!$C$15, $D$11, 100%, $F$11)</f>
        <v>7.1748000000000003</v>
      </c>
      <c r="G200" s="8">
        <f>6.3663 * CHOOSE( CONTROL!$C$15, $D$11, 100%, $F$11)</f>
        <v>6.3662999999999998</v>
      </c>
      <c r="H200" s="4">
        <f>7.2873 * CHOOSE(CONTROL!$C$15, $D$11, 100%, $F$11)</f>
        <v>7.2873000000000001</v>
      </c>
      <c r="I200" s="8">
        <f>6.3372 * CHOOSE(CONTROL!$C$15, $D$11, 100%, $F$11)</f>
        <v>6.3372000000000002</v>
      </c>
      <c r="J200" s="4">
        <f>6.2559 * CHOOSE(CONTROL!$C$15, $D$11, 100%, $F$11)</f>
        <v>6.2558999999999996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CONTROL!$C$32, 6.6706, 6.6671) * CHOOSE(CONTROL!$C$15, $D$11, 100%, $F$11)</f>
        <v>6.6706000000000003</v>
      </c>
      <c r="C201" s="8">
        <f>CHOOSE( CONTROL!$C$32, 6.6809, 6.6774) * CHOOSE(CONTROL!$C$15, $D$11, 100%, $F$11)</f>
        <v>6.6809000000000003</v>
      </c>
      <c r="D201" s="8">
        <f>CHOOSE( CONTROL!$C$32, 6.6917, 6.6882) * CHOOSE( CONTROL!$C$15, $D$11, 100%, $F$11)</f>
        <v>6.6917</v>
      </c>
      <c r="E201" s="12">
        <f>CHOOSE( CONTROL!$C$32, 6.6862, 6.6827) * CHOOSE( CONTROL!$C$15, $D$11, 100%, $F$11)</f>
        <v>6.6862000000000004</v>
      </c>
      <c r="F201" s="4">
        <f>CHOOSE( CONTROL!$C$32, 7.3507, 7.3472) * CHOOSE(CONTROL!$C$15, $D$11, 100%, $F$11)</f>
        <v>7.3506999999999998</v>
      </c>
      <c r="G201" s="8">
        <f>CHOOSE( CONTROL!$C$32, 6.5405, 6.5371) * CHOOSE( CONTROL!$C$15, $D$11, 100%, $F$11)</f>
        <v>6.5404999999999998</v>
      </c>
      <c r="H201" s="4">
        <f>CHOOSE( CONTROL!$C$32, 7.4603, 7.4569) * CHOOSE(CONTROL!$C$15, $D$11, 100%, $F$11)</f>
        <v>7.4603000000000002</v>
      </c>
      <c r="I201" s="8">
        <f>CHOOSE( CONTROL!$C$32, 6.5089, 6.5055) * CHOOSE(CONTROL!$C$15, $D$11, 100%, $F$11)</f>
        <v>6.5088999999999997</v>
      </c>
      <c r="J201" s="4">
        <f>CHOOSE( CONTROL!$C$32, 6.426, 6.4226) * CHOOSE(CONTROL!$C$15, $D$11, 100%, $F$11)</f>
        <v>6.4260000000000002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CONTROL!$C$32, 6.5638, 6.5603) * CHOOSE(CONTROL!$C$15, $D$11, 100%, $F$11)</f>
        <v>6.5637999999999996</v>
      </c>
      <c r="C202" s="8">
        <f>CHOOSE( CONTROL!$C$32, 6.5741, 6.5706) * CHOOSE(CONTROL!$C$15, $D$11, 100%, $F$11)</f>
        <v>6.5740999999999996</v>
      </c>
      <c r="D202" s="8">
        <f>CHOOSE( CONTROL!$C$32, 6.5852, 6.5817) * CHOOSE( CONTROL!$C$15, $D$11, 100%, $F$11)</f>
        <v>6.5852000000000004</v>
      </c>
      <c r="E202" s="12">
        <f>CHOOSE( CONTROL!$C$32, 6.5796, 6.5761) * CHOOSE( CONTROL!$C$15, $D$11, 100%, $F$11)</f>
        <v>6.5796000000000001</v>
      </c>
      <c r="F202" s="4">
        <f>CHOOSE( CONTROL!$C$32, 7.2439, 7.2404) * CHOOSE(CONTROL!$C$15, $D$11, 100%, $F$11)</f>
        <v>7.2439</v>
      </c>
      <c r="G202" s="8">
        <f>CHOOSE( CONTROL!$C$32, 6.4359, 6.4325) * CHOOSE( CONTROL!$C$15, $D$11, 100%, $F$11)</f>
        <v>6.4359000000000002</v>
      </c>
      <c r="H202" s="4">
        <f>CHOOSE( CONTROL!$C$32, 7.3552, 7.3518) * CHOOSE(CONTROL!$C$15, $D$11, 100%, $F$11)</f>
        <v>7.3552</v>
      </c>
      <c r="I202" s="8">
        <f>CHOOSE( CONTROL!$C$32, 6.4069, 6.4036) * CHOOSE(CONTROL!$C$15, $D$11, 100%, $F$11)</f>
        <v>6.4069000000000003</v>
      </c>
      <c r="J202" s="4">
        <f>CHOOSE( CONTROL!$C$32, 6.3227, 6.3194) * CHOOSE(CONTROL!$C$15, $D$11, 100%, $F$11)</f>
        <v>6.3227000000000002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CONTROL!$C$32, 6.845, 6.8415) * CHOOSE(CONTROL!$C$15, $D$11, 100%, $F$11)</f>
        <v>6.8449999999999998</v>
      </c>
      <c r="C203" s="8">
        <f>CHOOSE( CONTROL!$C$32, 6.8553, 6.8518) * CHOOSE(CONTROL!$C$15, $D$11, 100%, $F$11)</f>
        <v>6.8552999999999997</v>
      </c>
      <c r="D203" s="8">
        <f>CHOOSE( CONTROL!$C$32, 6.8667, 6.8632) * CHOOSE( CONTROL!$C$15, $D$11, 100%, $F$11)</f>
        <v>6.8666999999999998</v>
      </c>
      <c r="E203" s="12">
        <f>CHOOSE( CONTROL!$C$32, 6.861, 6.8575) * CHOOSE( CONTROL!$C$15, $D$11, 100%, $F$11)</f>
        <v>6.8609999999999998</v>
      </c>
      <c r="F203" s="4">
        <f>CHOOSE( CONTROL!$C$32, 7.5251, 7.5216) * CHOOSE(CONTROL!$C$15, $D$11, 100%, $F$11)</f>
        <v>7.5251000000000001</v>
      </c>
      <c r="G203" s="8">
        <f>CHOOSE( CONTROL!$C$32, 6.713, 6.7096) * CHOOSE( CONTROL!$C$15, $D$11, 100%, $F$11)</f>
        <v>6.7130000000000001</v>
      </c>
      <c r="H203" s="4">
        <f>CHOOSE( CONTROL!$C$32, 7.6318, 7.6284) * CHOOSE(CONTROL!$C$15, $D$11, 100%, $F$11)</f>
        <v>7.6318000000000001</v>
      </c>
      <c r="I203" s="8">
        <f>CHOOSE( CONTROL!$C$32, 6.6804, 6.6771) * CHOOSE(CONTROL!$C$15, $D$11, 100%, $F$11)</f>
        <v>6.6803999999999997</v>
      </c>
      <c r="J203" s="4">
        <f>CHOOSE( CONTROL!$C$32, 6.5946, 6.5913) * CHOOSE(CONTROL!$C$15, $D$11, 100%, $F$11)</f>
        <v>6.5945999999999998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CONTROL!$C$32, 6.3188, 6.3154) * CHOOSE(CONTROL!$C$15, $D$11, 100%, $F$11)</f>
        <v>6.3188000000000004</v>
      </c>
      <c r="C204" s="8">
        <f>CHOOSE( CONTROL!$C$32, 6.3292, 6.3257) * CHOOSE(CONTROL!$C$15, $D$11, 100%, $F$11)</f>
        <v>6.3292000000000002</v>
      </c>
      <c r="D204" s="8">
        <f>CHOOSE( CONTROL!$C$32, 6.3407, 6.3373) * CHOOSE( CONTROL!$C$15, $D$11, 100%, $F$11)</f>
        <v>6.3407</v>
      </c>
      <c r="E204" s="12">
        <f>CHOOSE( CONTROL!$C$32, 6.3349, 6.3315) * CHOOSE( CONTROL!$C$15, $D$11, 100%, $F$11)</f>
        <v>6.3349000000000002</v>
      </c>
      <c r="F204" s="4">
        <f>CHOOSE( CONTROL!$C$32, 6.999, 6.9955) * CHOOSE(CONTROL!$C$15, $D$11, 100%, $F$11)</f>
        <v>6.9989999999999997</v>
      </c>
      <c r="G204" s="8">
        <f>CHOOSE( CONTROL!$C$32, 6.1956, 6.1922) * CHOOSE( CONTROL!$C$15, $D$11, 100%, $F$11)</f>
        <v>6.1955999999999998</v>
      </c>
      <c r="H204" s="4">
        <f>CHOOSE( CONTROL!$C$32, 7.1143, 7.1108) * CHOOSE(CONTROL!$C$15, $D$11, 100%, $F$11)</f>
        <v>7.1143000000000001</v>
      </c>
      <c r="I204" s="8">
        <f>CHOOSE( CONTROL!$C$32, 6.172, 6.1687) * CHOOSE(CONTROL!$C$15, $D$11, 100%, $F$11)</f>
        <v>6.1719999999999997</v>
      </c>
      <c r="J204" s="4">
        <f>CHOOSE( CONTROL!$C$32, 6.0858, 6.0825) * CHOOSE(CONTROL!$C$15, $D$11, 100%, $F$11)</f>
        <v>6.0857999999999999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CONTROL!$C$32, 6.1871, 6.1836) * CHOOSE(CONTROL!$C$15, $D$11, 100%, $F$11)</f>
        <v>6.1871</v>
      </c>
      <c r="C205" s="8">
        <f>CHOOSE( CONTROL!$C$32, 6.1974, 6.194) * CHOOSE(CONTROL!$C$15, $D$11, 100%, $F$11)</f>
        <v>6.1974</v>
      </c>
      <c r="D205" s="8">
        <f>CHOOSE( CONTROL!$C$32, 6.209, 6.2055) * CHOOSE( CONTROL!$C$15, $D$11, 100%, $F$11)</f>
        <v>6.2089999999999996</v>
      </c>
      <c r="E205" s="12">
        <f>CHOOSE( CONTROL!$C$32, 6.2032, 6.1997) * CHOOSE( CONTROL!$C$15, $D$11, 100%, $F$11)</f>
        <v>6.2031999999999998</v>
      </c>
      <c r="F205" s="4">
        <f>CHOOSE( CONTROL!$C$32, 6.8672, 6.8637) * CHOOSE(CONTROL!$C$15, $D$11, 100%, $F$11)</f>
        <v>6.8672000000000004</v>
      </c>
      <c r="G205" s="8">
        <f>CHOOSE( CONTROL!$C$32, 6.066, 6.0626) * CHOOSE( CONTROL!$C$15, $D$11, 100%, $F$11)</f>
        <v>6.0659999999999998</v>
      </c>
      <c r="H205" s="4">
        <f>CHOOSE( CONTROL!$C$32, 6.9846, 6.9812) * CHOOSE(CONTROL!$C$15, $D$11, 100%, $F$11)</f>
        <v>6.9846000000000004</v>
      </c>
      <c r="I205" s="8">
        <f>CHOOSE( CONTROL!$C$32, 6.0448, 6.0414) * CHOOSE(CONTROL!$C$15, $D$11, 100%, $F$11)</f>
        <v>6.0448000000000004</v>
      </c>
      <c r="J205" s="4">
        <f>CHOOSE( CONTROL!$C$32, 5.9584, 5.9551) * CHOOSE(CONTROL!$C$15, $D$11, 100%, $F$11)</f>
        <v>5.9584000000000001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30.0258</v>
      </c>
      <c r="R205" s="9"/>
      <c r="S205" s="11"/>
    </row>
    <row r="206" spans="1:19" ht="15.75">
      <c r="A206" s="13">
        <v>48122</v>
      </c>
      <c r="B206" s="8">
        <f>6.4572 * CHOOSE(CONTROL!$C$15, $D$11, 100%, $F$11)</f>
        <v>6.4572000000000003</v>
      </c>
      <c r="C206" s="8">
        <f>6.4675 * CHOOSE(CONTROL!$C$15, $D$11, 100%, $F$11)</f>
        <v>6.4675000000000002</v>
      </c>
      <c r="D206" s="8">
        <f>6.4801 * CHOOSE( CONTROL!$C$15, $D$11, 100%, $F$11)</f>
        <v>6.4801000000000002</v>
      </c>
      <c r="E206" s="12">
        <f>6.4748 * CHOOSE( CONTROL!$C$15, $D$11, 100%, $F$11)</f>
        <v>6.4748000000000001</v>
      </c>
      <c r="F206" s="4">
        <f>7.1373 * CHOOSE(CONTROL!$C$15, $D$11, 100%, $F$11)</f>
        <v>7.1372999999999998</v>
      </c>
      <c r="G206" s="8">
        <f>6.3313 * CHOOSE( CONTROL!$C$15, $D$11, 100%, $F$11)</f>
        <v>6.3312999999999997</v>
      </c>
      <c r="H206" s="4">
        <f>7.2503 * CHOOSE(CONTROL!$C$15, $D$11, 100%, $F$11)</f>
        <v>7.2503000000000002</v>
      </c>
      <c r="I206" s="8">
        <f>6.3069 * CHOOSE(CONTROL!$C$15, $D$11, 100%, $F$11)</f>
        <v>6.3068999999999997</v>
      </c>
      <c r="J206" s="4">
        <f>6.2196 * CHOOSE(CONTROL!$C$15, $D$11, 100%, $F$11)</f>
        <v>6.2195999999999998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6.9621 * CHOOSE(CONTROL!$C$15, $D$11, 100%, $F$11)</f>
        <v>6.9621000000000004</v>
      </c>
      <c r="C207" s="8">
        <f>6.9724 * CHOOSE(CONTROL!$C$15, $D$11, 100%, $F$11)</f>
        <v>6.9724000000000004</v>
      </c>
      <c r="D207" s="8">
        <f>6.9573 * CHOOSE( CONTROL!$C$15, $D$11, 100%, $F$11)</f>
        <v>6.9573</v>
      </c>
      <c r="E207" s="12">
        <f>6.9617 * CHOOSE( CONTROL!$C$15, $D$11, 100%, $F$11)</f>
        <v>6.9617000000000004</v>
      </c>
      <c r="F207" s="4">
        <f>7.6163 * CHOOSE(CONTROL!$C$15, $D$11, 100%, $F$11)</f>
        <v>7.6162999999999998</v>
      </c>
      <c r="G207" s="8">
        <f>6.8375 * CHOOSE( CONTROL!$C$15, $D$11, 100%, $F$11)</f>
        <v>6.8375000000000004</v>
      </c>
      <c r="H207" s="4">
        <f>7.7217 * CHOOSE(CONTROL!$C$15, $D$11, 100%, $F$11)</f>
        <v>7.7217000000000002</v>
      </c>
      <c r="I207" s="8">
        <f>6.8158 * CHOOSE(CONTROL!$C$15, $D$11, 100%, $F$11)</f>
        <v>6.8158000000000003</v>
      </c>
      <c r="J207" s="4">
        <f>6.7079 * CHOOSE(CONTROL!$C$15, $D$11, 100%, $F$11)</f>
        <v>6.7079000000000004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30.0258</v>
      </c>
      <c r="R207" s="9"/>
      <c r="S207" s="11"/>
    </row>
    <row r="208" spans="1:19" ht="15.75">
      <c r="A208" s="13">
        <v>48183</v>
      </c>
      <c r="B208" s="8">
        <f>6.9495 * CHOOSE(CONTROL!$C$15, $D$11, 100%, $F$11)</f>
        <v>6.9494999999999996</v>
      </c>
      <c r="C208" s="8">
        <f>6.9598 * CHOOSE(CONTROL!$C$15, $D$11, 100%, $F$11)</f>
        <v>6.9598000000000004</v>
      </c>
      <c r="D208" s="8">
        <f>6.9464 * CHOOSE( CONTROL!$C$15, $D$11, 100%, $F$11)</f>
        <v>6.9463999999999997</v>
      </c>
      <c r="E208" s="12">
        <f>6.9502 * CHOOSE( CONTROL!$C$15, $D$11, 100%, $F$11)</f>
        <v>6.9501999999999997</v>
      </c>
      <c r="F208" s="4">
        <f>7.6037 * CHOOSE(CONTROL!$C$15, $D$11, 100%, $F$11)</f>
        <v>7.6036999999999999</v>
      </c>
      <c r="G208" s="8">
        <f>6.8263 * CHOOSE( CONTROL!$C$15, $D$11, 100%, $F$11)</f>
        <v>6.8262999999999998</v>
      </c>
      <c r="H208" s="4">
        <f>7.7092 * CHOOSE(CONTROL!$C$15, $D$11, 100%, $F$11)</f>
        <v>7.7092000000000001</v>
      </c>
      <c r="I208" s="8">
        <f>6.8089 * CHOOSE(CONTROL!$C$15, $D$11, 100%, $F$11)</f>
        <v>6.8089000000000004</v>
      </c>
      <c r="J208" s="4">
        <f>6.6957 * CHOOSE(CONTROL!$C$15, $D$11, 100%, $F$11)</f>
        <v>6.6957000000000004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7.205 * CHOOSE(CONTROL!$C$15, $D$11, 100%, $F$11)</f>
        <v>7.2050000000000001</v>
      </c>
      <c r="C209" s="8">
        <f>7.2153 * CHOOSE(CONTROL!$C$15, $D$11, 100%, $F$11)</f>
        <v>7.2153</v>
      </c>
      <c r="D209" s="8">
        <f>7.2138 * CHOOSE( CONTROL!$C$15, $D$11, 100%, $F$11)</f>
        <v>7.2138</v>
      </c>
      <c r="E209" s="12">
        <f>7.2133 * CHOOSE( CONTROL!$C$15, $D$11, 100%, $F$11)</f>
        <v>7.2133000000000003</v>
      </c>
      <c r="F209" s="4">
        <f>7.8877 * CHOOSE(CONTROL!$C$15, $D$11, 100%, $F$11)</f>
        <v>7.8876999999999997</v>
      </c>
      <c r="G209" s="8">
        <f>7.0902 * CHOOSE( CONTROL!$C$15, $D$11, 100%, $F$11)</f>
        <v>7.0902000000000003</v>
      </c>
      <c r="H209" s="4">
        <f>7.9886 * CHOOSE(CONTROL!$C$15, $D$11, 100%, $F$11)</f>
        <v>7.9885999999999999</v>
      </c>
      <c r="I209" s="8">
        <f>7.0549 * CHOOSE(CONTROL!$C$15, $D$11, 100%, $F$11)</f>
        <v>7.0548999999999999</v>
      </c>
      <c r="J209" s="4">
        <f>6.9428 * CHOOSE(CONTROL!$C$15, $D$11, 100%, $F$11)</f>
        <v>6.9428000000000001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30.8704</v>
      </c>
      <c r="R209" s="9"/>
      <c r="S209" s="11"/>
    </row>
    <row r="210" spans="1:19" ht="15.75">
      <c r="A210" s="13">
        <v>48245</v>
      </c>
      <c r="B210" s="8">
        <f>6.7409 * CHOOSE(CONTROL!$C$15, $D$11, 100%, $F$11)</f>
        <v>6.7408999999999999</v>
      </c>
      <c r="C210" s="8">
        <f>6.7512 * CHOOSE(CONTROL!$C$15, $D$11, 100%, $F$11)</f>
        <v>6.7511999999999999</v>
      </c>
      <c r="D210" s="8">
        <f>6.7517 * CHOOSE( CONTROL!$C$15, $D$11, 100%, $F$11)</f>
        <v>6.7516999999999996</v>
      </c>
      <c r="E210" s="12">
        <f>6.7504 * CHOOSE( CONTROL!$C$15, $D$11, 100%, $F$11)</f>
        <v>6.7504</v>
      </c>
      <c r="F210" s="4">
        <f>7.4158 * CHOOSE(CONTROL!$C$15, $D$11, 100%, $F$11)</f>
        <v>7.4157999999999999</v>
      </c>
      <c r="G210" s="8">
        <f>6.6333 * CHOOSE( CONTROL!$C$15, $D$11, 100%, $F$11)</f>
        <v>6.6333000000000002</v>
      </c>
      <c r="H210" s="4">
        <f>7.5244 * CHOOSE(CONTROL!$C$15, $D$11, 100%, $F$11)</f>
        <v>7.5244</v>
      </c>
      <c r="I210" s="8">
        <f>6.5949 * CHOOSE(CONTROL!$C$15, $D$11, 100%, $F$11)</f>
        <v>6.5949</v>
      </c>
      <c r="J210" s="4">
        <f>6.494 * CHOOSE(CONTROL!$C$15, $D$11, 100%, $F$11)</f>
        <v>6.4939999999999998</v>
      </c>
      <c r="K210" s="4"/>
      <c r="L210" s="9">
        <v>27.415299999999998</v>
      </c>
      <c r="M210" s="9">
        <v>11.285299999999999</v>
      </c>
      <c r="N210" s="9">
        <v>4.6254999999999997</v>
      </c>
      <c r="O210" s="9">
        <v>0.34989999999999999</v>
      </c>
      <c r="P210" s="9">
        <v>1.2093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6.5979 * CHOOSE(CONTROL!$C$15, $D$11, 100%, $F$11)</f>
        <v>6.5979000000000001</v>
      </c>
      <c r="C211" s="8">
        <f>6.6083 * CHOOSE(CONTROL!$C$15, $D$11, 100%, $F$11)</f>
        <v>6.6082999999999998</v>
      </c>
      <c r="D211" s="8">
        <f>6.6035 * CHOOSE( CONTROL!$C$15, $D$11, 100%, $F$11)</f>
        <v>6.6035000000000004</v>
      </c>
      <c r="E211" s="12">
        <f>6.6041 * CHOOSE( CONTROL!$C$15, $D$11, 100%, $F$11)</f>
        <v>6.6040999999999999</v>
      </c>
      <c r="F211" s="4">
        <f>7.2755 * CHOOSE(CONTROL!$C$15, $D$11, 100%, $F$11)</f>
        <v>7.2755000000000001</v>
      </c>
      <c r="G211" s="8">
        <f>6.4873 * CHOOSE( CONTROL!$C$15, $D$11, 100%, $F$11)</f>
        <v>6.4873000000000003</v>
      </c>
      <c r="H211" s="4">
        <f>7.3863 * CHOOSE(CONTROL!$C$15, $D$11, 100%, $F$11)</f>
        <v>7.3863000000000003</v>
      </c>
      <c r="I211" s="8">
        <f>6.4447 * CHOOSE(CONTROL!$C$15, $D$11, 100%, $F$11)</f>
        <v>6.4447000000000001</v>
      </c>
      <c r="J211" s="4">
        <f>6.3558 * CHOOSE(CONTROL!$C$15, $D$11, 100%, $F$11)</f>
        <v>6.3558000000000003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30.8704</v>
      </c>
      <c r="R211" s="9"/>
      <c r="S211" s="11"/>
    </row>
    <row r="212" spans="1:19" ht="15.75">
      <c r="A212" s="13">
        <v>48305</v>
      </c>
      <c r="B212" s="8">
        <f>6.6978 * CHOOSE(CONTROL!$C$15, $D$11, 100%, $F$11)</f>
        <v>6.6978</v>
      </c>
      <c r="C212" s="8">
        <f>6.7082 * CHOOSE(CONTROL!$C$15, $D$11, 100%, $F$11)</f>
        <v>6.7081999999999997</v>
      </c>
      <c r="D212" s="8">
        <f>6.7194 * CHOOSE( CONTROL!$C$15, $D$11, 100%, $F$11)</f>
        <v>6.7194000000000003</v>
      </c>
      <c r="E212" s="12">
        <f>6.7145 * CHOOSE( CONTROL!$C$15, $D$11, 100%, $F$11)</f>
        <v>6.7145000000000001</v>
      </c>
      <c r="F212" s="4">
        <f>7.3779 * CHOOSE(CONTROL!$C$15, $D$11, 100%, $F$11)</f>
        <v>7.3779000000000003</v>
      </c>
      <c r="G212" s="8">
        <f>6.5662 * CHOOSE( CONTROL!$C$15, $D$11, 100%, $F$11)</f>
        <v>6.5662000000000003</v>
      </c>
      <c r="H212" s="4">
        <f>7.4871 * CHOOSE(CONTROL!$C$15, $D$11, 100%, $F$11)</f>
        <v>7.4870999999999999</v>
      </c>
      <c r="I212" s="8">
        <f>6.5337 * CHOOSE(CONTROL!$C$15, $D$11, 100%, $F$11)</f>
        <v>6.5336999999999996</v>
      </c>
      <c r="J212" s="4">
        <f>6.4524 * CHOOSE(CONTROL!$C$15, $D$11, 100%, $F$11)</f>
        <v>6.4523999999999999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CONTROL!$C$32, 6.8791, 6.8756) * CHOOSE(CONTROL!$C$15, $D$11, 100%, $F$11)</f>
        <v>6.8791000000000002</v>
      </c>
      <c r="C213" s="8">
        <f>CHOOSE( CONTROL!$C$32, 6.8894, 6.8859) * CHOOSE(CONTROL!$C$15, $D$11, 100%, $F$11)</f>
        <v>6.8894000000000002</v>
      </c>
      <c r="D213" s="8">
        <f>CHOOSE( CONTROL!$C$32, 6.9002, 6.8968) * CHOOSE( CONTROL!$C$15, $D$11, 100%, $F$11)</f>
        <v>6.9001999999999999</v>
      </c>
      <c r="E213" s="12">
        <f>CHOOSE( CONTROL!$C$32, 6.8947, 6.8913) * CHOOSE( CONTROL!$C$15, $D$11, 100%, $F$11)</f>
        <v>6.8947000000000003</v>
      </c>
      <c r="F213" s="4">
        <f>CHOOSE( CONTROL!$C$32, 7.5592, 7.5557) * CHOOSE(CONTROL!$C$15, $D$11, 100%, $F$11)</f>
        <v>7.5591999999999997</v>
      </c>
      <c r="G213" s="8">
        <f>CHOOSE( CONTROL!$C$32, 6.7457, 6.7423) * CHOOSE( CONTROL!$C$15, $D$11, 100%, $F$11)</f>
        <v>6.7457000000000003</v>
      </c>
      <c r="H213" s="4">
        <f>CHOOSE( CONTROL!$C$32, 7.6654, 7.662) * CHOOSE(CONTROL!$C$15, $D$11, 100%, $F$11)</f>
        <v>7.6654</v>
      </c>
      <c r="I213" s="8">
        <f>CHOOSE( CONTROL!$C$32, 6.7106, 6.7073) * CHOOSE(CONTROL!$C$15, $D$11, 100%, $F$11)</f>
        <v>6.7106000000000003</v>
      </c>
      <c r="J213" s="4">
        <f>CHOOSE( CONTROL!$C$32, 6.6276, 6.6243) * CHOOSE(CONTROL!$C$15, $D$11, 100%, $F$11)</f>
        <v>6.6276000000000002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CONTROL!$C$32, 6.7689, 6.7655) * CHOOSE(CONTROL!$C$15, $D$11, 100%, $F$11)</f>
        <v>6.7689000000000004</v>
      </c>
      <c r="C214" s="8">
        <f>CHOOSE( CONTROL!$C$32, 6.7793, 6.7758) * CHOOSE(CONTROL!$C$15, $D$11, 100%, $F$11)</f>
        <v>6.7793000000000001</v>
      </c>
      <c r="D214" s="8">
        <f>CHOOSE( CONTROL!$C$32, 6.7904, 6.7869) * CHOOSE( CONTROL!$C$15, $D$11, 100%, $F$11)</f>
        <v>6.7904</v>
      </c>
      <c r="E214" s="12">
        <f>CHOOSE( CONTROL!$C$32, 6.7848, 6.7813) * CHOOSE( CONTROL!$C$15, $D$11, 100%, $F$11)</f>
        <v>6.7847999999999997</v>
      </c>
      <c r="F214" s="4">
        <f>CHOOSE( CONTROL!$C$32, 7.449, 7.4456) * CHOOSE(CONTROL!$C$15, $D$11, 100%, $F$11)</f>
        <v>7.4489999999999998</v>
      </c>
      <c r="G214" s="8">
        <f>CHOOSE( CONTROL!$C$32, 6.6378, 6.6343) * CHOOSE( CONTROL!$C$15, $D$11, 100%, $F$11)</f>
        <v>6.6378000000000004</v>
      </c>
      <c r="H214" s="4">
        <f>CHOOSE( CONTROL!$C$32, 7.5571, 7.5536) * CHOOSE(CONTROL!$C$15, $D$11, 100%, $F$11)</f>
        <v>7.5571000000000002</v>
      </c>
      <c r="I214" s="8">
        <f>CHOOSE( CONTROL!$C$32, 6.6054, 6.6021) * CHOOSE(CONTROL!$C$15, $D$11, 100%, $F$11)</f>
        <v>6.6054000000000004</v>
      </c>
      <c r="J214" s="4">
        <f>CHOOSE( CONTROL!$C$32, 6.5211, 6.5178) * CHOOSE(CONTROL!$C$15, $D$11, 100%, $F$11)</f>
        <v>6.5210999999999997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CONTROL!$C$32, 7.0589, 7.0555) * CHOOSE(CONTROL!$C$15, $D$11, 100%, $F$11)</f>
        <v>7.0589000000000004</v>
      </c>
      <c r="C215" s="8">
        <f>CHOOSE( CONTROL!$C$32, 7.0693, 7.0658) * CHOOSE(CONTROL!$C$15, $D$11, 100%, $F$11)</f>
        <v>7.0693000000000001</v>
      </c>
      <c r="D215" s="8">
        <f>CHOOSE( CONTROL!$C$32, 7.0807, 7.0772) * CHOOSE( CONTROL!$C$15, $D$11, 100%, $F$11)</f>
        <v>7.0807000000000002</v>
      </c>
      <c r="E215" s="12">
        <f>CHOOSE( CONTROL!$C$32, 7.075, 7.0715) * CHOOSE( CONTROL!$C$15, $D$11, 100%, $F$11)</f>
        <v>7.0750000000000002</v>
      </c>
      <c r="F215" s="4">
        <f>CHOOSE( CONTROL!$C$32, 7.739, 7.7356) * CHOOSE(CONTROL!$C$15, $D$11, 100%, $F$11)</f>
        <v>7.7389999999999999</v>
      </c>
      <c r="G215" s="8">
        <f>CHOOSE( CONTROL!$C$32, 6.9235, 6.9201) * CHOOSE( CONTROL!$C$15, $D$11, 100%, $F$11)</f>
        <v>6.9234999999999998</v>
      </c>
      <c r="H215" s="4">
        <f>CHOOSE( CONTROL!$C$32, 7.8424, 7.839) * CHOOSE(CONTROL!$C$15, $D$11, 100%, $F$11)</f>
        <v>7.8423999999999996</v>
      </c>
      <c r="I215" s="8">
        <f>CHOOSE( CONTROL!$C$32, 6.8875, 6.8841) * CHOOSE(CONTROL!$C$15, $D$11, 100%, $F$11)</f>
        <v>6.8875000000000002</v>
      </c>
      <c r="J215" s="4">
        <f>CHOOSE( CONTROL!$C$32, 6.8016, 6.7982) * CHOOSE(CONTROL!$C$15, $D$11, 100%, $F$11)</f>
        <v>6.8015999999999996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CONTROL!$C$32, 6.5163, 6.5128) * CHOOSE(CONTROL!$C$15, $D$11, 100%, $F$11)</f>
        <v>6.5163000000000002</v>
      </c>
      <c r="C216" s="8">
        <f>CHOOSE( CONTROL!$C$32, 6.5267, 6.5232) * CHOOSE(CONTROL!$C$15, $D$11, 100%, $F$11)</f>
        <v>6.5266999999999999</v>
      </c>
      <c r="D216" s="8">
        <f>CHOOSE( CONTROL!$C$32, 6.5382, 6.5347) * CHOOSE( CONTROL!$C$15, $D$11, 100%, $F$11)</f>
        <v>6.5381999999999998</v>
      </c>
      <c r="E216" s="12">
        <f>CHOOSE( CONTROL!$C$32, 6.5324, 6.5289) * CHOOSE( CONTROL!$C$15, $D$11, 100%, $F$11)</f>
        <v>6.5324</v>
      </c>
      <c r="F216" s="4">
        <f>CHOOSE( CONTROL!$C$32, 7.1964, 7.1929) * CHOOSE(CONTROL!$C$15, $D$11, 100%, $F$11)</f>
        <v>7.1963999999999997</v>
      </c>
      <c r="G216" s="8">
        <f>CHOOSE( CONTROL!$C$32, 6.3899, 6.3865) * CHOOSE( CONTROL!$C$15, $D$11, 100%, $F$11)</f>
        <v>6.3898999999999999</v>
      </c>
      <c r="H216" s="4">
        <f>CHOOSE( CONTROL!$C$32, 7.3085, 7.3051) * CHOOSE(CONTROL!$C$15, $D$11, 100%, $F$11)</f>
        <v>7.3085000000000004</v>
      </c>
      <c r="I216" s="8">
        <f>CHOOSE( CONTROL!$C$32, 6.3631, 6.3597) * CHOOSE(CONTROL!$C$15, $D$11, 100%, $F$11)</f>
        <v>6.3631000000000002</v>
      </c>
      <c r="J216" s="4">
        <f>CHOOSE( CONTROL!$C$32, 6.2768, 6.2735) * CHOOSE(CONTROL!$C$15, $D$11, 100%, $F$11)</f>
        <v>6.2767999999999997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CONTROL!$C$32, 6.3804, 6.377) * CHOOSE(CONTROL!$C$15, $D$11, 100%, $F$11)</f>
        <v>6.3803999999999998</v>
      </c>
      <c r="C217" s="8">
        <f>CHOOSE( CONTROL!$C$32, 6.3908, 6.3873) * CHOOSE(CONTROL!$C$15, $D$11, 100%, $F$11)</f>
        <v>6.3907999999999996</v>
      </c>
      <c r="D217" s="8">
        <f>CHOOSE( CONTROL!$C$32, 6.4024, 6.3989) * CHOOSE( CONTROL!$C$15, $D$11, 100%, $F$11)</f>
        <v>6.4024000000000001</v>
      </c>
      <c r="E217" s="12">
        <f>CHOOSE( CONTROL!$C$32, 6.3966, 6.3931) * CHOOSE( CONTROL!$C$15, $D$11, 100%, $F$11)</f>
        <v>6.3966000000000003</v>
      </c>
      <c r="F217" s="4">
        <f>CHOOSE( CONTROL!$C$32, 7.0605, 7.0571) * CHOOSE(CONTROL!$C$15, $D$11, 100%, $F$11)</f>
        <v>7.0605000000000002</v>
      </c>
      <c r="G217" s="8">
        <f>CHOOSE( CONTROL!$C$32, 6.2562, 6.2528) * CHOOSE( CONTROL!$C$15, $D$11, 100%, $F$11)</f>
        <v>6.2561999999999998</v>
      </c>
      <c r="H217" s="4">
        <f>CHOOSE( CONTROL!$C$32, 7.1748, 7.1714) * CHOOSE(CONTROL!$C$15, $D$11, 100%, $F$11)</f>
        <v>7.1748000000000003</v>
      </c>
      <c r="I217" s="8">
        <f>CHOOSE( CONTROL!$C$32, 6.2318, 6.2285) * CHOOSE(CONTROL!$C$15, $D$11, 100%, $F$11)</f>
        <v>6.2317999999999998</v>
      </c>
      <c r="J217" s="4">
        <f>CHOOSE( CONTROL!$C$32, 6.1454, 6.1421) * CHOOSE(CONTROL!$C$15, $D$11, 100%, $F$11)</f>
        <v>6.1454000000000004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6.6591 * CHOOSE(CONTROL!$C$15, $D$11, 100%, $F$11)</f>
        <v>6.6590999999999996</v>
      </c>
      <c r="C218" s="8">
        <f>6.6694 * CHOOSE(CONTROL!$C$15, $D$11, 100%, $F$11)</f>
        <v>6.6694000000000004</v>
      </c>
      <c r="D218" s="8">
        <f>6.682 * CHOOSE( CONTROL!$C$15, $D$11, 100%, $F$11)</f>
        <v>6.6820000000000004</v>
      </c>
      <c r="E218" s="12">
        <f>6.6767 * CHOOSE( CONTROL!$C$15, $D$11, 100%, $F$11)</f>
        <v>6.6767000000000003</v>
      </c>
      <c r="F218" s="4">
        <f>7.3392 * CHOOSE(CONTROL!$C$15, $D$11, 100%, $F$11)</f>
        <v>7.3391999999999999</v>
      </c>
      <c r="G218" s="8">
        <f>6.53 * CHOOSE( CONTROL!$C$15, $D$11, 100%, $F$11)</f>
        <v>6.53</v>
      </c>
      <c r="H218" s="4">
        <f>7.449 * CHOOSE(CONTROL!$C$15, $D$11, 100%, $F$11)</f>
        <v>7.4489999999999998</v>
      </c>
      <c r="I218" s="8">
        <f>6.5023 * CHOOSE(CONTROL!$C$15, $D$11, 100%, $F$11)</f>
        <v>6.5023</v>
      </c>
      <c r="J218" s="4">
        <f>6.4149 * CHOOSE(CONTROL!$C$15, $D$11, 100%, $F$11)</f>
        <v>6.4149000000000003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30.8704</v>
      </c>
      <c r="R218" s="9"/>
      <c r="S218" s="11"/>
    </row>
    <row r="219" spans="1:19" ht="15.75">
      <c r="A219" s="13">
        <v>48519</v>
      </c>
      <c r="B219" s="8">
        <f>7.1799 * CHOOSE(CONTROL!$C$15, $D$11, 100%, $F$11)</f>
        <v>7.1798999999999999</v>
      </c>
      <c r="C219" s="8">
        <f>7.1902 * CHOOSE(CONTROL!$C$15, $D$11, 100%, $F$11)</f>
        <v>7.1901999999999999</v>
      </c>
      <c r="D219" s="8">
        <f>7.1751 * CHOOSE( CONTROL!$C$15, $D$11, 100%, $F$11)</f>
        <v>7.1750999999999996</v>
      </c>
      <c r="E219" s="12">
        <f>7.1795 * CHOOSE( CONTROL!$C$15, $D$11, 100%, $F$11)</f>
        <v>7.1795</v>
      </c>
      <c r="F219" s="4">
        <f>7.8341 * CHOOSE(CONTROL!$C$15, $D$11, 100%, $F$11)</f>
        <v>7.8341000000000003</v>
      </c>
      <c r="G219" s="8">
        <f>7.0517 * CHOOSE( CONTROL!$C$15, $D$11, 100%, $F$11)</f>
        <v>7.0517000000000003</v>
      </c>
      <c r="H219" s="4">
        <f>7.9359 * CHOOSE(CONTROL!$C$15, $D$11, 100%, $F$11)</f>
        <v>7.9359000000000002</v>
      </c>
      <c r="I219" s="8">
        <f>7.0265 * CHOOSE(CONTROL!$C$15, $D$11, 100%, $F$11)</f>
        <v>7.0265000000000004</v>
      </c>
      <c r="J219" s="4">
        <f>6.9185 * CHOOSE(CONTROL!$C$15, $D$11, 100%, $F$11)</f>
        <v>6.9184999999999999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7.1668 * CHOOSE(CONTROL!$C$15, $D$11, 100%, $F$11)</f>
        <v>7.1668000000000003</v>
      </c>
      <c r="C220" s="8">
        <f>7.1772 * CHOOSE(CONTROL!$C$15, $D$11, 100%, $F$11)</f>
        <v>7.1772</v>
      </c>
      <c r="D220" s="8">
        <f>7.1638 * CHOOSE( CONTROL!$C$15, $D$11, 100%, $F$11)</f>
        <v>7.1638000000000002</v>
      </c>
      <c r="E220" s="12">
        <f>7.1676 * CHOOSE( CONTROL!$C$15, $D$11, 100%, $F$11)</f>
        <v>7.1676000000000002</v>
      </c>
      <c r="F220" s="4">
        <f>7.8211 * CHOOSE(CONTROL!$C$15, $D$11, 100%, $F$11)</f>
        <v>7.8211000000000004</v>
      </c>
      <c r="G220" s="8">
        <f>7.0401 * CHOOSE( CONTROL!$C$15, $D$11, 100%, $F$11)</f>
        <v>7.0400999999999998</v>
      </c>
      <c r="H220" s="4">
        <f>7.9231 * CHOOSE(CONTROL!$C$15, $D$11, 100%, $F$11)</f>
        <v>7.9230999999999998</v>
      </c>
      <c r="I220" s="8">
        <f>7.0192 * CHOOSE(CONTROL!$C$15, $D$11, 100%, $F$11)</f>
        <v>7.0191999999999997</v>
      </c>
      <c r="J220" s="4">
        <f>6.906 * CHOOSE(CONTROL!$C$15, $D$11, 100%, $F$11)</f>
        <v>6.9059999999999997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30.8704</v>
      </c>
      <c r="R220" s="9"/>
      <c r="S220" s="11"/>
    </row>
    <row r="221" spans="1:19" ht="15.75">
      <c r="A221" s="13">
        <v>48580</v>
      </c>
      <c r="B221" s="8">
        <f>7.4235 * CHOOSE(CONTROL!$C$15, $D$11, 100%, $F$11)</f>
        <v>7.4234999999999998</v>
      </c>
      <c r="C221" s="8">
        <f>7.4339 * CHOOSE(CONTROL!$C$15, $D$11, 100%, $F$11)</f>
        <v>7.4339000000000004</v>
      </c>
      <c r="D221" s="8">
        <f>7.4323 * CHOOSE( CONTROL!$C$15, $D$11, 100%, $F$11)</f>
        <v>7.4322999999999997</v>
      </c>
      <c r="E221" s="12">
        <f>7.4318 * CHOOSE( CONTROL!$C$15, $D$11, 100%, $F$11)</f>
        <v>7.4318</v>
      </c>
      <c r="F221" s="4">
        <f>8.1062 * CHOOSE(CONTROL!$C$15, $D$11, 100%, $F$11)</f>
        <v>8.1061999999999994</v>
      </c>
      <c r="G221" s="8">
        <f>7.3052 * CHOOSE( CONTROL!$C$15, $D$11, 100%, $F$11)</f>
        <v>7.3052000000000001</v>
      </c>
      <c r="H221" s="4">
        <f>8.2036 * CHOOSE(CONTROL!$C$15, $D$11, 100%, $F$11)</f>
        <v>8.2035999999999998</v>
      </c>
      <c r="I221" s="8">
        <f>7.2663 * CHOOSE(CONTROL!$C$15, $D$11, 100%, $F$11)</f>
        <v>7.2663000000000002</v>
      </c>
      <c r="J221" s="4">
        <f>7.1542 * CHOOSE(CONTROL!$C$15, $D$11, 100%, $F$11)</f>
        <v>7.1542000000000003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6.9453 * CHOOSE(CONTROL!$C$15, $D$11, 100%, $F$11)</f>
        <v>6.9452999999999996</v>
      </c>
      <c r="C222" s="8">
        <f>6.9556 * CHOOSE(CONTROL!$C$15, $D$11, 100%, $F$11)</f>
        <v>6.9555999999999996</v>
      </c>
      <c r="D222" s="8">
        <f>6.9562 * CHOOSE( CONTROL!$C$15, $D$11, 100%, $F$11)</f>
        <v>6.9561999999999999</v>
      </c>
      <c r="E222" s="12">
        <f>6.9549 * CHOOSE( CONTROL!$C$15, $D$11, 100%, $F$11)</f>
        <v>6.9549000000000003</v>
      </c>
      <c r="F222" s="4">
        <f>7.6202 * CHOOSE(CONTROL!$C$15, $D$11, 100%, $F$11)</f>
        <v>7.6201999999999996</v>
      </c>
      <c r="G222" s="8">
        <f>6.8345 * CHOOSE( CONTROL!$C$15, $D$11, 100%, $F$11)</f>
        <v>6.8345000000000002</v>
      </c>
      <c r="H222" s="4">
        <f>7.7255 * CHOOSE(CONTROL!$C$15, $D$11, 100%, $F$11)</f>
        <v>7.7255000000000003</v>
      </c>
      <c r="I222" s="8">
        <f>6.7927 * CHOOSE(CONTROL!$C$15, $D$11, 100%, $F$11)</f>
        <v>6.7927</v>
      </c>
      <c r="J222" s="4">
        <f>6.6917 * CHOOSE(CONTROL!$C$15, $D$11, 100%, $F$11)</f>
        <v>6.6917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27.7956</v>
      </c>
      <c r="R222" s="9"/>
      <c r="S222" s="11"/>
    </row>
    <row r="223" spans="1:19" ht="15.75">
      <c r="A223" s="13">
        <v>48639</v>
      </c>
      <c r="B223" s="8">
        <f>6.798 * CHOOSE(CONTROL!$C$15, $D$11, 100%, $F$11)</f>
        <v>6.798</v>
      </c>
      <c r="C223" s="8">
        <f>6.8083 * CHOOSE(CONTROL!$C$15, $D$11, 100%, $F$11)</f>
        <v>6.8083</v>
      </c>
      <c r="D223" s="8">
        <f>6.8035 * CHOOSE( CONTROL!$C$15, $D$11, 100%, $F$11)</f>
        <v>6.8034999999999997</v>
      </c>
      <c r="E223" s="12">
        <f>6.8042 * CHOOSE( CONTROL!$C$15, $D$11, 100%, $F$11)</f>
        <v>6.8041999999999998</v>
      </c>
      <c r="F223" s="4">
        <f>7.4755 * CHOOSE(CONTROL!$C$15, $D$11, 100%, $F$11)</f>
        <v>7.4755000000000003</v>
      </c>
      <c r="G223" s="8">
        <f>6.6841 * CHOOSE( CONTROL!$C$15, $D$11, 100%, $F$11)</f>
        <v>6.6840999999999999</v>
      </c>
      <c r="H223" s="4">
        <f>7.5831 * CHOOSE(CONTROL!$C$15, $D$11, 100%, $F$11)</f>
        <v>7.5831</v>
      </c>
      <c r="I223" s="8">
        <f>6.6383 * CHOOSE(CONTROL!$C$15, $D$11, 100%, $F$11)</f>
        <v>6.6383000000000001</v>
      </c>
      <c r="J223" s="4">
        <f>6.5492 * CHOOSE(CONTROL!$C$15, $D$11, 100%, $F$11)</f>
        <v>6.5491999999999999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6.9009 * CHOOSE(CONTROL!$C$15, $D$11, 100%, $F$11)</f>
        <v>6.9009</v>
      </c>
      <c r="C224" s="8">
        <f>6.9113 * CHOOSE(CONTROL!$C$15, $D$11, 100%, $F$11)</f>
        <v>6.9112999999999998</v>
      </c>
      <c r="D224" s="8">
        <f>6.9225 * CHOOSE( CONTROL!$C$15, $D$11, 100%, $F$11)</f>
        <v>6.9225000000000003</v>
      </c>
      <c r="E224" s="12">
        <f>6.9176 * CHOOSE( CONTROL!$C$15, $D$11, 100%, $F$11)</f>
        <v>6.9176000000000002</v>
      </c>
      <c r="F224" s="4">
        <f>7.581 * CHOOSE(CONTROL!$C$15, $D$11, 100%, $F$11)</f>
        <v>7.5810000000000004</v>
      </c>
      <c r="G224" s="8">
        <f>6.766 * CHOOSE( CONTROL!$C$15, $D$11, 100%, $F$11)</f>
        <v>6.766</v>
      </c>
      <c r="H224" s="4">
        <f>7.6869 * CHOOSE(CONTROL!$C$15, $D$11, 100%, $F$11)</f>
        <v>7.6868999999999996</v>
      </c>
      <c r="I224" s="8">
        <f>6.7302 * CHOOSE(CONTROL!$C$15, $D$11, 100%, $F$11)</f>
        <v>6.7302</v>
      </c>
      <c r="J224" s="4">
        <f>6.6488 * CHOOSE(CONTROL!$C$15, $D$11, 100%, $F$11)</f>
        <v>6.6487999999999996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CONTROL!$C$32, 7.0876, 7.0841) * CHOOSE(CONTROL!$C$15, $D$11, 100%, $F$11)</f>
        <v>7.0876000000000001</v>
      </c>
      <c r="C225" s="8">
        <f>CHOOSE( CONTROL!$C$32, 7.0979, 7.0944) * CHOOSE(CONTROL!$C$15, $D$11, 100%, $F$11)</f>
        <v>7.0979000000000001</v>
      </c>
      <c r="D225" s="8">
        <f>CHOOSE( CONTROL!$C$32, 7.1087, 7.1053) * CHOOSE( CONTROL!$C$15, $D$11, 100%, $F$11)</f>
        <v>7.1086999999999998</v>
      </c>
      <c r="E225" s="12">
        <f>CHOOSE( CONTROL!$C$32, 7.1032, 7.0998) * CHOOSE( CONTROL!$C$15, $D$11, 100%, $F$11)</f>
        <v>7.1032000000000002</v>
      </c>
      <c r="F225" s="4">
        <f>CHOOSE( CONTROL!$C$32, 7.7677, 7.7642) * CHOOSE(CONTROL!$C$15, $D$11, 100%, $F$11)</f>
        <v>7.7676999999999996</v>
      </c>
      <c r="G225" s="8">
        <f>CHOOSE( CONTROL!$C$32, 6.9508, 6.9474) * CHOOSE( CONTROL!$C$15, $D$11, 100%, $F$11)</f>
        <v>6.9508000000000001</v>
      </c>
      <c r="H225" s="4">
        <f>CHOOSE( CONTROL!$C$32, 7.8705, 7.8671) * CHOOSE(CONTROL!$C$15, $D$11, 100%, $F$11)</f>
        <v>7.8704999999999998</v>
      </c>
      <c r="I225" s="8">
        <f>CHOOSE( CONTROL!$C$32, 6.9124, 6.909) * CHOOSE(CONTROL!$C$15, $D$11, 100%, $F$11)</f>
        <v>6.9123999999999999</v>
      </c>
      <c r="J225" s="4">
        <f>CHOOSE( CONTROL!$C$32, 6.8293, 6.8259) * CHOOSE(CONTROL!$C$15, $D$11, 100%, $F$11)</f>
        <v>6.8292999999999999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CONTROL!$C$32, 6.9741, 6.9706) * CHOOSE(CONTROL!$C$15, $D$11, 100%, $F$11)</f>
        <v>6.9741</v>
      </c>
      <c r="C226" s="8">
        <f>CHOOSE( CONTROL!$C$32, 6.9844, 6.981) * CHOOSE(CONTROL!$C$15, $D$11, 100%, $F$11)</f>
        <v>6.9843999999999999</v>
      </c>
      <c r="D226" s="8">
        <f>CHOOSE( CONTROL!$C$32, 6.9955, 6.9921) * CHOOSE( CONTROL!$C$15, $D$11, 100%, $F$11)</f>
        <v>6.9954999999999998</v>
      </c>
      <c r="E226" s="12">
        <f>CHOOSE( CONTROL!$C$32, 6.9899, 6.9865) * CHOOSE( CONTROL!$C$15, $D$11, 100%, $F$11)</f>
        <v>6.9898999999999996</v>
      </c>
      <c r="F226" s="4">
        <f>CHOOSE( CONTROL!$C$32, 7.6542, 7.6507) * CHOOSE(CONTROL!$C$15, $D$11, 100%, $F$11)</f>
        <v>7.6542000000000003</v>
      </c>
      <c r="G226" s="8">
        <f>CHOOSE( CONTROL!$C$32, 6.8396, 6.8362) * CHOOSE( CONTROL!$C$15, $D$11, 100%, $F$11)</f>
        <v>6.8395999999999999</v>
      </c>
      <c r="H226" s="4">
        <f>CHOOSE( CONTROL!$C$32, 7.7589, 7.7555) * CHOOSE(CONTROL!$C$15, $D$11, 100%, $F$11)</f>
        <v>7.7588999999999997</v>
      </c>
      <c r="I226" s="8">
        <f>CHOOSE( CONTROL!$C$32, 6.8039, 6.8006) * CHOOSE(CONTROL!$C$15, $D$11, 100%, $F$11)</f>
        <v>6.8038999999999996</v>
      </c>
      <c r="J226" s="4">
        <f>CHOOSE( CONTROL!$C$32, 6.7195, 6.7162) * CHOOSE(CONTROL!$C$15, $D$11, 100%, $F$11)</f>
        <v>6.7195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CONTROL!$C$32, 7.2729, 7.2695) * CHOOSE(CONTROL!$C$15, $D$11, 100%, $F$11)</f>
        <v>7.2728999999999999</v>
      </c>
      <c r="C227" s="8">
        <f>CHOOSE( CONTROL!$C$32, 7.2833, 7.2798) * CHOOSE(CONTROL!$C$15, $D$11, 100%, $F$11)</f>
        <v>7.2832999999999997</v>
      </c>
      <c r="D227" s="8">
        <f>CHOOSE( CONTROL!$C$32, 7.2947, 7.2912) * CHOOSE( CONTROL!$C$15, $D$11, 100%, $F$11)</f>
        <v>7.2946999999999997</v>
      </c>
      <c r="E227" s="12">
        <f>CHOOSE( CONTROL!$C$32, 7.289, 7.2855) * CHOOSE( CONTROL!$C$15, $D$11, 100%, $F$11)</f>
        <v>7.2889999999999997</v>
      </c>
      <c r="F227" s="4">
        <f>CHOOSE( CONTROL!$C$32, 7.953, 7.9496) * CHOOSE(CONTROL!$C$15, $D$11, 100%, $F$11)</f>
        <v>7.9530000000000003</v>
      </c>
      <c r="G227" s="8">
        <f>CHOOSE( CONTROL!$C$32, 7.134, 7.1306) * CHOOSE( CONTROL!$C$15, $D$11, 100%, $F$11)</f>
        <v>7.1340000000000003</v>
      </c>
      <c r="H227" s="4">
        <f>CHOOSE( CONTROL!$C$32, 8.0529, 8.0495) * CHOOSE(CONTROL!$C$15, $D$11, 100%, $F$11)</f>
        <v>8.0528999999999993</v>
      </c>
      <c r="I227" s="8">
        <f>CHOOSE( CONTROL!$C$32, 7.0945, 7.0912) * CHOOSE(CONTROL!$C$15, $D$11, 100%, $F$11)</f>
        <v>7.0945</v>
      </c>
      <c r="J227" s="4">
        <f>CHOOSE( CONTROL!$C$32, 7.0085, 7.0052) * CHOOSE(CONTROL!$C$15, $D$11, 100%, $F$11)</f>
        <v>7.0084999999999997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CONTROL!$C$32, 6.7138, 6.7103) * CHOOSE(CONTROL!$C$15, $D$11, 100%, $F$11)</f>
        <v>6.7138</v>
      </c>
      <c r="C228" s="8">
        <f>CHOOSE( CONTROL!$C$32, 6.7241, 6.7207) * CHOOSE(CONTROL!$C$15, $D$11, 100%, $F$11)</f>
        <v>6.7241</v>
      </c>
      <c r="D228" s="8">
        <f>CHOOSE( CONTROL!$C$32, 6.7357, 6.7322) * CHOOSE( CONTROL!$C$15, $D$11, 100%, $F$11)</f>
        <v>6.7356999999999996</v>
      </c>
      <c r="E228" s="12">
        <f>CHOOSE( CONTROL!$C$32, 6.7299, 6.7264) * CHOOSE( CONTROL!$C$15, $D$11, 100%, $F$11)</f>
        <v>6.7298999999999998</v>
      </c>
      <c r="F228" s="4">
        <f>CHOOSE( CONTROL!$C$32, 7.3939, 7.3904) * CHOOSE(CONTROL!$C$15, $D$11, 100%, $F$11)</f>
        <v>7.3939000000000004</v>
      </c>
      <c r="G228" s="8">
        <f>CHOOSE( CONTROL!$C$32, 6.5841, 6.5807) * CHOOSE( CONTROL!$C$15, $D$11, 100%, $F$11)</f>
        <v>6.5841000000000003</v>
      </c>
      <c r="H228" s="4">
        <f>CHOOSE( CONTROL!$C$32, 7.5028, 7.4994) * CHOOSE(CONTROL!$C$15, $D$11, 100%, $F$11)</f>
        <v>7.5027999999999997</v>
      </c>
      <c r="I228" s="8">
        <f>CHOOSE( CONTROL!$C$32, 6.5542, 6.5508) * CHOOSE(CONTROL!$C$15, $D$11, 100%, $F$11)</f>
        <v>6.5541999999999998</v>
      </c>
      <c r="J228" s="4">
        <f>CHOOSE( CONTROL!$C$32, 6.4678, 6.4644) * CHOOSE(CONTROL!$C$15, $D$11, 100%, $F$11)</f>
        <v>6.4678000000000004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CONTROL!$C$32, 6.5738, 6.5703) * CHOOSE(CONTROL!$C$15, $D$11, 100%, $F$11)</f>
        <v>6.5738000000000003</v>
      </c>
      <c r="C229" s="8">
        <f>CHOOSE( CONTROL!$C$32, 6.5841, 6.5806) * CHOOSE(CONTROL!$C$15, $D$11, 100%, $F$11)</f>
        <v>6.5841000000000003</v>
      </c>
      <c r="D229" s="8">
        <f>CHOOSE( CONTROL!$C$32, 6.5957, 6.5922) * CHOOSE( CONTROL!$C$15, $D$11, 100%, $F$11)</f>
        <v>6.5956999999999999</v>
      </c>
      <c r="E229" s="12">
        <f>CHOOSE( CONTROL!$C$32, 6.5899, 6.5864) * CHOOSE( CONTROL!$C$15, $D$11, 100%, $F$11)</f>
        <v>6.5899000000000001</v>
      </c>
      <c r="F229" s="4">
        <f>CHOOSE( CONTROL!$C$32, 7.2539, 7.2504) * CHOOSE(CONTROL!$C$15, $D$11, 100%, $F$11)</f>
        <v>7.2538999999999998</v>
      </c>
      <c r="G229" s="8">
        <f>CHOOSE( CONTROL!$C$32, 6.4465, 6.443) * CHOOSE( CONTROL!$C$15, $D$11, 100%, $F$11)</f>
        <v>6.4465000000000003</v>
      </c>
      <c r="H229" s="4">
        <f>CHOOSE( CONTROL!$C$32, 7.3651, 7.3616) * CHOOSE(CONTROL!$C$15, $D$11, 100%, $F$11)</f>
        <v>7.3651</v>
      </c>
      <c r="I229" s="8">
        <f>CHOOSE( CONTROL!$C$32, 6.4189, 6.4155) * CHOOSE(CONTROL!$C$15, $D$11, 100%, $F$11)</f>
        <v>6.4188999999999998</v>
      </c>
      <c r="J229" s="4">
        <f>CHOOSE( CONTROL!$C$32, 6.3324, 6.329) * CHOOSE(CONTROL!$C$15, $D$11, 100%, $F$11)</f>
        <v>6.3323999999999998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6.861 * CHOOSE(CONTROL!$C$15, $D$11, 100%, $F$11)</f>
        <v>6.8609999999999998</v>
      </c>
      <c r="C230" s="8">
        <f>6.8714 * CHOOSE(CONTROL!$C$15, $D$11, 100%, $F$11)</f>
        <v>6.8714000000000004</v>
      </c>
      <c r="D230" s="8">
        <f>6.8839 * CHOOSE( CONTROL!$C$15, $D$11, 100%, $F$11)</f>
        <v>6.8838999999999997</v>
      </c>
      <c r="E230" s="12">
        <f>6.8787 * CHOOSE( CONTROL!$C$15, $D$11, 100%, $F$11)</f>
        <v>6.8787000000000003</v>
      </c>
      <c r="F230" s="4">
        <f>7.5411 * CHOOSE(CONTROL!$C$15, $D$11, 100%, $F$11)</f>
        <v>7.5411000000000001</v>
      </c>
      <c r="G230" s="8">
        <f>6.7286 * CHOOSE( CONTROL!$C$15, $D$11, 100%, $F$11)</f>
        <v>6.7286000000000001</v>
      </c>
      <c r="H230" s="4">
        <f>7.6477 * CHOOSE(CONTROL!$C$15, $D$11, 100%, $F$11)</f>
        <v>7.6477000000000004</v>
      </c>
      <c r="I230" s="8">
        <f>6.6977 * CHOOSE(CONTROL!$C$15, $D$11, 100%, $F$11)</f>
        <v>6.6977000000000002</v>
      </c>
      <c r="J230" s="4">
        <f>6.6102 * CHOOSE(CONTROL!$C$15, $D$11, 100%, $F$11)</f>
        <v>6.6101999999999999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7.3976 * CHOOSE(CONTROL!$C$15, $D$11, 100%, $F$11)</f>
        <v>7.3975999999999997</v>
      </c>
      <c r="C231" s="8">
        <f>7.408 * CHOOSE(CONTROL!$C$15, $D$11, 100%, $F$11)</f>
        <v>7.4080000000000004</v>
      </c>
      <c r="D231" s="8">
        <f>7.3929 * CHOOSE( CONTROL!$C$15, $D$11, 100%, $F$11)</f>
        <v>7.3929</v>
      </c>
      <c r="E231" s="12">
        <f>7.3973 * CHOOSE( CONTROL!$C$15, $D$11, 100%, $F$11)</f>
        <v>7.3973000000000004</v>
      </c>
      <c r="F231" s="4">
        <f>8.0519 * CHOOSE(CONTROL!$C$15, $D$11, 100%, $F$11)</f>
        <v>8.0518999999999998</v>
      </c>
      <c r="G231" s="8">
        <f>7.266 * CHOOSE( CONTROL!$C$15, $D$11, 100%, $F$11)</f>
        <v>7.266</v>
      </c>
      <c r="H231" s="4">
        <f>8.1502 * CHOOSE(CONTROL!$C$15, $D$11, 100%, $F$11)</f>
        <v>8.1501999999999999</v>
      </c>
      <c r="I231" s="8">
        <f>7.2372 * CHOOSE(CONTROL!$C$15, $D$11, 100%, $F$11)</f>
        <v>7.2371999999999996</v>
      </c>
      <c r="J231" s="4">
        <f>7.1291 * CHOOSE(CONTROL!$C$15, $D$11, 100%, $F$11)</f>
        <v>7.1291000000000002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7.3842 * CHOOSE(CONTROL!$C$15, $D$11, 100%, $F$11)</f>
        <v>7.3841999999999999</v>
      </c>
      <c r="C232" s="8">
        <f>7.3946 * CHOOSE(CONTROL!$C$15, $D$11, 100%, $F$11)</f>
        <v>7.3945999999999996</v>
      </c>
      <c r="D232" s="8">
        <f>7.3811 * CHOOSE( CONTROL!$C$15, $D$11, 100%, $F$11)</f>
        <v>7.3811</v>
      </c>
      <c r="E232" s="12">
        <f>7.3849 * CHOOSE( CONTROL!$C$15, $D$11, 100%, $F$11)</f>
        <v>7.3849</v>
      </c>
      <c r="F232" s="4">
        <f>8.0385 * CHOOSE(CONTROL!$C$15, $D$11, 100%, $F$11)</f>
        <v>8.0385000000000009</v>
      </c>
      <c r="G232" s="8">
        <f>7.254 * CHOOSE( CONTROL!$C$15, $D$11, 100%, $F$11)</f>
        <v>7.2539999999999996</v>
      </c>
      <c r="H232" s="4">
        <f>8.137 * CHOOSE(CONTROL!$C$15, $D$11, 100%, $F$11)</f>
        <v>8.1370000000000005</v>
      </c>
      <c r="I232" s="8">
        <f>7.2295 * CHOOSE(CONTROL!$C$15, $D$11, 100%, $F$11)</f>
        <v>7.2294999999999998</v>
      </c>
      <c r="J232" s="4">
        <f>7.1162 * CHOOSE(CONTROL!$C$15, $D$11, 100%, $F$11)</f>
        <v>7.1162000000000001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7.5765 * CHOOSE(CONTROL!$C$15, $D$11, 100%, $F$11)</f>
        <v>7.5765000000000002</v>
      </c>
      <c r="C233" s="8">
        <f>7.5868 * CHOOSE(CONTROL!$C$15, $D$11, 100%, $F$11)</f>
        <v>7.5868000000000002</v>
      </c>
      <c r="D233" s="8">
        <f>7.5853 * CHOOSE( CONTROL!$C$15, $D$11, 100%, $F$11)</f>
        <v>7.5853000000000002</v>
      </c>
      <c r="E233" s="12">
        <f>7.5848 * CHOOSE( CONTROL!$C$15, $D$11, 100%, $F$11)</f>
        <v>7.5848000000000004</v>
      </c>
      <c r="F233" s="4">
        <f>8.2592 * CHOOSE(CONTROL!$C$15, $D$11, 100%, $F$11)</f>
        <v>8.2591999999999999</v>
      </c>
      <c r="G233" s="8">
        <f>7.4557 * CHOOSE( CONTROL!$C$15, $D$11, 100%, $F$11)</f>
        <v>7.4557000000000002</v>
      </c>
      <c r="H233" s="4">
        <f>8.3541 * CHOOSE(CONTROL!$C$15, $D$11, 100%, $F$11)</f>
        <v>8.3541000000000007</v>
      </c>
      <c r="I233" s="8">
        <f>7.4144 * CHOOSE(CONTROL!$C$15, $D$11, 100%, $F$11)</f>
        <v>7.4143999999999997</v>
      </c>
      <c r="J233" s="4">
        <f>7.3021 * CHOOSE(CONTROL!$C$15, $D$11, 100%, $F$11)</f>
        <v>7.3021000000000003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30.7105</v>
      </c>
      <c r="R233" s="9"/>
      <c r="S233" s="11"/>
    </row>
    <row r="234" spans="1:19" ht="15.75">
      <c r="A234" s="13">
        <v>48976</v>
      </c>
      <c r="B234" s="8">
        <f>7.0884 * CHOOSE(CONTROL!$C$15, $D$11, 100%, $F$11)</f>
        <v>7.0884</v>
      </c>
      <c r="C234" s="8">
        <f>7.0987 * CHOOSE(CONTROL!$C$15, $D$11, 100%, $F$11)</f>
        <v>7.0987</v>
      </c>
      <c r="D234" s="8">
        <f>7.0992 * CHOOSE( CONTROL!$C$15, $D$11, 100%, $F$11)</f>
        <v>7.0991999999999997</v>
      </c>
      <c r="E234" s="12">
        <f>7.0979 * CHOOSE( CONTROL!$C$15, $D$11, 100%, $F$11)</f>
        <v>7.0979000000000001</v>
      </c>
      <c r="F234" s="4">
        <f>7.7633 * CHOOSE(CONTROL!$C$15, $D$11, 100%, $F$11)</f>
        <v>7.7633000000000001</v>
      </c>
      <c r="G234" s="8">
        <f>6.9752 * CHOOSE( CONTROL!$C$15, $D$11, 100%, $F$11)</f>
        <v>6.9752000000000001</v>
      </c>
      <c r="H234" s="4">
        <f>7.8662 * CHOOSE(CONTROL!$C$15, $D$11, 100%, $F$11)</f>
        <v>7.8662000000000001</v>
      </c>
      <c r="I234" s="8">
        <f>6.9311 * CHOOSE(CONTROL!$C$15, $D$11, 100%, $F$11)</f>
        <v>6.9310999999999998</v>
      </c>
      <c r="J234" s="4">
        <f>6.8301 * CHOOSE(CONTROL!$C$15, $D$11, 100%, $F$11)</f>
        <v>6.8300999999999998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6.938 * CHOOSE(CONTROL!$C$15, $D$11, 100%, $F$11)</f>
        <v>6.9379999999999997</v>
      </c>
      <c r="C235" s="8">
        <f>6.9484 * CHOOSE(CONTROL!$C$15, $D$11, 100%, $F$11)</f>
        <v>6.9484000000000004</v>
      </c>
      <c r="D235" s="8">
        <f>6.9436 * CHOOSE( CONTROL!$C$15, $D$11, 100%, $F$11)</f>
        <v>6.9436</v>
      </c>
      <c r="E235" s="12">
        <f>6.9442 * CHOOSE( CONTROL!$C$15, $D$11, 100%, $F$11)</f>
        <v>6.9442000000000004</v>
      </c>
      <c r="F235" s="4">
        <f>7.6156 * CHOOSE(CONTROL!$C$15, $D$11, 100%, $F$11)</f>
        <v>7.6155999999999997</v>
      </c>
      <c r="G235" s="8">
        <f>6.8219 * CHOOSE( CONTROL!$C$15, $D$11, 100%, $F$11)</f>
        <v>6.8219000000000003</v>
      </c>
      <c r="H235" s="4">
        <f>7.7209 * CHOOSE(CONTROL!$C$15, $D$11, 100%, $F$11)</f>
        <v>7.7209000000000003</v>
      </c>
      <c r="I235" s="8">
        <f>6.7738 * CHOOSE(CONTROL!$C$15, $D$11, 100%, $F$11)</f>
        <v>6.7737999999999996</v>
      </c>
      <c r="J235" s="4">
        <f>6.6847 * CHOOSE(CONTROL!$C$15, $D$11, 100%, $F$11)</f>
        <v>6.6847000000000003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30.7105</v>
      </c>
      <c r="R235" s="9"/>
      <c r="S235" s="11"/>
    </row>
    <row r="236" spans="1:19" ht="15.75">
      <c r="A236" s="13">
        <v>49035</v>
      </c>
      <c r="B236" s="8">
        <f>7.0431 * CHOOSE(CONTROL!$C$15, $D$11, 100%, $F$11)</f>
        <v>7.0430999999999999</v>
      </c>
      <c r="C236" s="8">
        <f>7.0534 * CHOOSE(CONTROL!$C$15, $D$11, 100%, $F$11)</f>
        <v>7.0533999999999999</v>
      </c>
      <c r="D236" s="8">
        <f>7.0647 * CHOOSE( CONTROL!$C$15, $D$11, 100%, $F$11)</f>
        <v>7.0647000000000002</v>
      </c>
      <c r="E236" s="12">
        <f>7.0598 * CHOOSE( CONTROL!$C$15, $D$11, 100%, $F$11)</f>
        <v>7.0598000000000001</v>
      </c>
      <c r="F236" s="4">
        <f>7.7232 * CHOOSE(CONTROL!$C$15, $D$11, 100%, $F$11)</f>
        <v>7.7232000000000003</v>
      </c>
      <c r="G236" s="8">
        <f>6.9058 * CHOOSE( CONTROL!$C$15, $D$11, 100%, $F$11)</f>
        <v>6.9058000000000002</v>
      </c>
      <c r="H236" s="4">
        <f>7.8268 * CHOOSE(CONTROL!$C$15, $D$11, 100%, $F$11)</f>
        <v>7.8268000000000004</v>
      </c>
      <c r="I236" s="8">
        <f>6.8678 * CHOOSE(CONTROL!$C$15, $D$11, 100%, $F$11)</f>
        <v>6.8677999999999999</v>
      </c>
      <c r="J236" s="4">
        <f>6.7863 * CHOOSE(CONTROL!$C$15, $D$11, 100%, $F$11)</f>
        <v>6.7862999999999998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CONTROL!$C$32, 7.2335, 7.2301) * CHOOSE(CONTROL!$C$15, $D$11, 100%, $F$11)</f>
        <v>7.2335000000000003</v>
      </c>
      <c r="C237" s="8">
        <f>CHOOSE( CONTROL!$C$32, 7.2439, 7.2404) * CHOOSE(CONTROL!$C$15, $D$11, 100%, $F$11)</f>
        <v>7.2439</v>
      </c>
      <c r="D237" s="8">
        <f>CHOOSE( CONTROL!$C$32, 7.2547, 7.2512) * CHOOSE( CONTROL!$C$15, $D$11, 100%, $F$11)</f>
        <v>7.2546999999999997</v>
      </c>
      <c r="E237" s="12">
        <f>CHOOSE( CONTROL!$C$32, 7.2492, 7.2457) * CHOOSE( CONTROL!$C$15, $D$11, 100%, $F$11)</f>
        <v>7.2492000000000001</v>
      </c>
      <c r="F237" s="4">
        <f>CHOOSE( CONTROL!$C$32, 7.9136, 7.9102) * CHOOSE(CONTROL!$C$15, $D$11, 100%, $F$11)</f>
        <v>7.9135999999999997</v>
      </c>
      <c r="G237" s="8">
        <f>CHOOSE( CONTROL!$C$32, 7.0944, 7.091) * CHOOSE( CONTROL!$C$15, $D$11, 100%, $F$11)</f>
        <v>7.0944000000000003</v>
      </c>
      <c r="H237" s="4">
        <f>CHOOSE( CONTROL!$C$32, 8.0141, 8.0107) * CHOOSE(CONTROL!$C$15, $D$11, 100%, $F$11)</f>
        <v>8.0140999999999991</v>
      </c>
      <c r="I237" s="8">
        <f>CHOOSE( CONTROL!$C$32, 7.0536, 7.0503) * CHOOSE(CONTROL!$C$15, $D$11, 100%, $F$11)</f>
        <v>7.0536000000000003</v>
      </c>
      <c r="J237" s="4">
        <f>CHOOSE( CONTROL!$C$32, 6.9704, 6.9671) * CHOOSE(CONTROL!$C$15, $D$11, 100%, $F$11)</f>
        <v>6.9703999999999997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CONTROL!$C$32, 7.1177, 7.1142) * CHOOSE(CONTROL!$C$15, $D$11, 100%, $F$11)</f>
        <v>7.1177000000000001</v>
      </c>
      <c r="C238" s="8">
        <f>CHOOSE( CONTROL!$C$32, 7.128, 7.1246) * CHOOSE(CONTROL!$C$15, $D$11, 100%, $F$11)</f>
        <v>7.1280000000000001</v>
      </c>
      <c r="D238" s="8">
        <f>CHOOSE( CONTROL!$C$32, 7.1392, 7.1357) * CHOOSE( CONTROL!$C$15, $D$11, 100%, $F$11)</f>
        <v>7.1391999999999998</v>
      </c>
      <c r="E238" s="12">
        <f>CHOOSE( CONTROL!$C$32, 7.1336, 7.1301) * CHOOSE( CONTROL!$C$15, $D$11, 100%, $F$11)</f>
        <v>7.1336000000000004</v>
      </c>
      <c r="F238" s="4">
        <f>CHOOSE( CONTROL!$C$32, 7.7978, 7.7943) * CHOOSE(CONTROL!$C$15, $D$11, 100%, $F$11)</f>
        <v>7.7977999999999996</v>
      </c>
      <c r="G238" s="8">
        <f>CHOOSE( CONTROL!$C$32, 6.9809, 6.9775) * CHOOSE( CONTROL!$C$15, $D$11, 100%, $F$11)</f>
        <v>6.9809000000000001</v>
      </c>
      <c r="H238" s="4">
        <f>CHOOSE( CONTROL!$C$32, 7.9002, 7.8968) * CHOOSE(CONTROL!$C$15, $D$11, 100%, $F$11)</f>
        <v>7.9001999999999999</v>
      </c>
      <c r="I238" s="8">
        <f>CHOOSE( CONTROL!$C$32, 6.9429, 6.9395) * CHOOSE(CONTROL!$C$15, $D$11, 100%, $F$11)</f>
        <v>6.9428999999999998</v>
      </c>
      <c r="J238" s="4">
        <f>CHOOSE( CONTROL!$C$32, 6.8584, 6.8551) * CHOOSE(CONTROL!$C$15, $D$11, 100%, $F$11)</f>
        <v>6.8583999999999996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CONTROL!$C$32, 7.4227, 7.4192) * CHOOSE(CONTROL!$C$15, $D$11, 100%, $F$11)</f>
        <v>7.4226999999999999</v>
      </c>
      <c r="C239" s="8">
        <f>CHOOSE( CONTROL!$C$32, 7.4331, 7.4296) * CHOOSE(CONTROL!$C$15, $D$11, 100%, $F$11)</f>
        <v>7.4330999999999996</v>
      </c>
      <c r="D239" s="8">
        <f>CHOOSE( CONTROL!$C$32, 7.4445, 7.441) * CHOOSE( CONTROL!$C$15, $D$11, 100%, $F$11)</f>
        <v>7.4444999999999997</v>
      </c>
      <c r="E239" s="12">
        <f>CHOOSE( CONTROL!$C$32, 7.4388, 7.4353) * CHOOSE( CONTROL!$C$15, $D$11, 100%, $F$11)</f>
        <v>7.4387999999999996</v>
      </c>
      <c r="F239" s="4">
        <f>CHOOSE( CONTROL!$C$32, 8.1028, 8.0994) * CHOOSE(CONTROL!$C$15, $D$11, 100%, $F$11)</f>
        <v>8.1028000000000002</v>
      </c>
      <c r="G239" s="8">
        <f>CHOOSE( CONTROL!$C$32, 7.2814, 7.278) * CHOOSE( CONTROL!$C$15, $D$11, 100%, $F$11)</f>
        <v>7.2813999999999997</v>
      </c>
      <c r="H239" s="4">
        <f>CHOOSE( CONTROL!$C$32, 8.2003, 8.1969) * CHOOSE(CONTROL!$C$15, $D$11, 100%, $F$11)</f>
        <v>8.2003000000000004</v>
      </c>
      <c r="I239" s="8">
        <f>CHOOSE( CONTROL!$C$32, 7.2395, 7.2361) * CHOOSE(CONTROL!$C$15, $D$11, 100%, $F$11)</f>
        <v>7.2394999999999996</v>
      </c>
      <c r="J239" s="4">
        <f>CHOOSE( CONTROL!$C$32, 7.1534, 7.15) * CHOOSE(CONTROL!$C$15, $D$11, 100%, $F$11)</f>
        <v>7.1534000000000004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CONTROL!$C$32, 6.852, 6.8485) * CHOOSE(CONTROL!$C$15, $D$11, 100%, $F$11)</f>
        <v>6.8520000000000003</v>
      </c>
      <c r="C240" s="8">
        <f>CHOOSE( CONTROL!$C$32, 6.8624, 6.8589) * CHOOSE(CONTROL!$C$15, $D$11, 100%, $F$11)</f>
        <v>6.8624000000000001</v>
      </c>
      <c r="D240" s="8">
        <f>CHOOSE( CONTROL!$C$32, 6.8739, 6.8704) * CHOOSE( CONTROL!$C$15, $D$11, 100%, $F$11)</f>
        <v>6.8738999999999999</v>
      </c>
      <c r="E240" s="12">
        <f>CHOOSE( CONTROL!$C$32, 6.8681, 6.8646) * CHOOSE( CONTROL!$C$15, $D$11, 100%, $F$11)</f>
        <v>6.8681000000000001</v>
      </c>
      <c r="F240" s="4">
        <f>CHOOSE( CONTROL!$C$32, 7.5321, 7.5286) * CHOOSE(CONTROL!$C$15, $D$11, 100%, $F$11)</f>
        <v>7.5320999999999998</v>
      </c>
      <c r="G240" s="8">
        <f>CHOOSE( CONTROL!$C$32, 6.7201, 6.7167) * CHOOSE( CONTROL!$C$15, $D$11, 100%, $F$11)</f>
        <v>6.7201000000000004</v>
      </c>
      <c r="H240" s="4">
        <f>CHOOSE( CONTROL!$C$32, 7.6388, 7.6354) * CHOOSE(CONTROL!$C$15, $D$11, 100%, $F$11)</f>
        <v>7.6387999999999998</v>
      </c>
      <c r="I240" s="8">
        <f>CHOOSE( CONTROL!$C$32, 6.6879, 6.6846) * CHOOSE(CONTROL!$C$15, $D$11, 100%, $F$11)</f>
        <v>6.6879</v>
      </c>
      <c r="J240" s="4">
        <f>CHOOSE( CONTROL!$C$32, 6.6015, 6.5981) * CHOOSE(CONTROL!$C$15, $D$11, 100%, $F$11)</f>
        <v>6.6014999999999997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CONTROL!$C$32, 6.7091, 6.7056) * CHOOSE(CONTROL!$C$15, $D$11, 100%, $F$11)</f>
        <v>6.7091000000000003</v>
      </c>
      <c r="C241" s="8">
        <f>CHOOSE( CONTROL!$C$32, 6.7194, 6.716) * CHOOSE(CONTROL!$C$15, $D$11, 100%, $F$11)</f>
        <v>6.7194000000000003</v>
      </c>
      <c r="D241" s="8">
        <f>CHOOSE( CONTROL!$C$32, 6.731, 6.7275) * CHOOSE( CONTROL!$C$15, $D$11, 100%, $F$11)</f>
        <v>6.7309999999999999</v>
      </c>
      <c r="E241" s="12">
        <f>CHOOSE( CONTROL!$C$32, 6.7252, 6.7217) * CHOOSE( CONTROL!$C$15, $D$11, 100%, $F$11)</f>
        <v>6.7252000000000001</v>
      </c>
      <c r="F241" s="4">
        <f>CHOOSE( CONTROL!$C$32, 7.3892, 7.3857) * CHOOSE(CONTROL!$C$15, $D$11, 100%, $F$11)</f>
        <v>7.3891999999999998</v>
      </c>
      <c r="G241" s="8">
        <f>CHOOSE( CONTROL!$C$32, 6.5796, 6.5762) * CHOOSE( CONTROL!$C$15, $D$11, 100%, $F$11)</f>
        <v>6.5796000000000001</v>
      </c>
      <c r="H241" s="4">
        <f>CHOOSE( CONTROL!$C$32, 7.4982, 7.4948) * CHOOSE(CONTROL!$C$15, $D$11, 100%, $F$11)</f>
        <v>7.4981999999999998</v>
      </c>
      <c r="I241" s="8">
        <f>CHOOSE( CONTROL!$C$32, 6.5498, 6.5465) * CHOOSE(CONTROL!$C$15, $D$11, 100%, $F$11)</f>
        <v>6.5498000000000003</v>
      </c>
      <c r="J241" s="4">
        <f>CHOOSE( CONTROL!$C$32, 6.4633, 6.4599) * CHOOSE(CONTROL!$C$15, $D$11, 100%, $F$11)</f>
        <v>6.4633000000000003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7.0024 * CHOOSE(CONTROL!$C$15, $D$11, 100%, $F$11)</f>
        <v>7.0023999999999997</v>
      </c>
      <c r="C242" s="8">
        <f>7.0127 * CHOOSE(CONTROL!$C$15, $D$11, 100%, $F$11)</f>
        <v>7.0126999999999997</v>
      </c>
      <c r="D242" s="8">
        <f>7.0252 * CHOOSE( CONTROL!$C$15, $D$11, 100%, $F$11)</f>
        <v>7.0251999999999999</v>
      </c>
      <c r="E242" s="12">
        <f>7.02 * CHOOSE( CONTROL!$C$15, $D$11, 100%, $F$11)</f>
        <v>7.02</v>
      </c>
      <c r="F242" s="4">
        <f>7.6825 * CHOOSE(CONTROL!$C$15, $D$11, 100%, $F$11)</f>
        <v>7.6825000000000001</v>
      </c>
      <c r="G242" s="8">
        <f>6.8677 * CHOOSE( CONTROL!$C$15, $D$11, 100%, $F$11)</f>
        <v>6.8677000000000001</v>
      </c>
      <c r="H242" s="4">
        <f>7.7867 * CHOOSE(CONTROL!$C$15, $D$11, 100%, $F$11)</f>
        <v>7.7866999999999997</v>
      </c>
      <c r="I242" s="8">
        <f>6.8345 * CHOOSE(CONTROL!$C$15, $D$11, 100%, $F$11)</f>
        <v>6.8345000000000002</v>
      </c>
      <c r="J242" s="4">
        <f>6.7469 * CHOOSE(CONTROL!$C$15, $D$11, 100%, $F$11)</f>
        <v>6.7469000000000001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30.7105</v>
      </c>
      <c r="R242" s="9"/>
      <c r="S242" s="11"/>
    </row>
    <row r="243" spans="1:19" ht="15.75">
      <c r="A243" s="13">
        <v>49249</v>
      </c>
      <c r="B243" s="8">
        <f>7.5501 * CHOOSE(CONTROL!$C$15, $D$11, 100%, $F$11)</f>
        <v>7.5500999999999996</v>
      </c>
      <c r="C243" s="8">
        <f>7.5604 * CHOOSE(CONTROL!$C$15, $D$11, 100%, $F$11)</f>
        <v>7.5603999999999996</v>
      </c>
      <c r="D243" s="8">
        <f>7.5453 * CHOOSE( CONTROL!$C$15, $D$11, 100%, $F$11)</f>
        <v>7.5453000000000001</v>
      </c>
      <c r="E243" s="12">
        <f>7.5497 * CHOOSE( CONTROL!$C$15, $D$11, 100%, $F$11)</f>
        <v>7.5496999999999996</v>
      </c>
      <c r="F243" s="4">
        <f>8.2043 * CHOOSE(CONTROL!$C$15, $D$11, 100%, $F$11)</f>
        <v>8.2042999999999999</v>
      </c>
      <c r="G243" s="8">
        <f>7.4159 * CHOOSE( CONTROL!$C$15, $D$11, 100%, $F$11)</f>
        <v>7.4158999999999997</v>
      </c>
      <c r="H243" s="4">
        <f>8.3001 * CHOOSE(CONTROL!$C$15, $D$11, 100%, $F$11)</f>
        <v>8.3001000000000005</v>
      </c>
      <c r="I243" s="8">
        <f>7.3847 * CHOOSE(CONTROL!$C$15, $D$11, 100%, $F$11)</f>
        <v>7.3846999999999996</v>
      </c>
      <c r="J243" s="4">
        <f>7.2766 * CHOOSE(CONTROL!$C$15, $D$11, 100%, $F$11)</f>
        <v>7.2766000000000002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7.5364 * CHOOSE(CONTROL!$C$15, $D$11, 100%, $F$11)</f>
        <v>7.5364000000000004</v>
      </c>
      <c r="C244" s="8">
        <f>7.5467 * CHOOSE(CONTROL!$C$15, $D$11, 100%, $F$11)</f>
        <v>7.5467000000000004</v>
      </c>
      <c r="D244" s="8">
        <f>7.5333 * CHOOSE( CONTROL!$C$15, $D$11, 100%, $F$11)</f>
        <v>7.5332999999999997</v>
      </c>
      <c r="E244" s="12">
        <f>7.5371 * CHOOSE( CONTROL!$C$15, $D$11, 100%, $F$11)</f>
        <v>7.5370999999999997</v>
      </c>
      <c r="F244" s="4">
        <f>8.1906 * CHOOSE(CONTROL!$C$15, $D$11, 100%, $F$11)</f>
        <v>8.1905999999999999</v>
      </c>
      <c r="G244" s="8">
        <f>7.4037 * CHOOSE( CONTROL!$C$15, $D$11, 100%, $F$11)</f>
        <v>7.4036999999999997</v>
      </c>
      <c r="H244" s="4">
        <f>8.2867 * CHOOSE(CONTROL!$C$15, $D$11, 100%, $F$11)</f>
        <v>8.2866999999999997</v>
      </c>
      <c r="I244" s="8">
        <f>7.3768 * CHOOSE(CONTROL!$C$15, $D$11, 100%, $F$11)</f>
        <v>7.3768000000000002</v>
      </c>
      <c r="J244" s="4">
        <f>7.2633 * CHOOSE(CONTROL!$C$15, $D$11, 100%, $F$11)</f>
        <v>7.2633000000000001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30.7105</v>
      </c>
      <c r="R244" s="9"/>
      <c r="S244" s="11"/>
    </row>
    <row r="245" spans="1:19" ht="15.75">
      <c r="A245" s="13">
        <v>49310</v>
      </c>
      <c r="B245" s="8">
        <f>7.7295 * CHOOSE(CONTROL!$C$15, $D$11, 100%, $F$11)</f>
        <v>7.7294999999999998</v>
      </c>
      <c r="C245" s="8">
        <f>7.7398 * CHOOSE(CONTROL!$C$15, $D$11, 100%, $F$11)</f>
        <v>7.7397999999999998</v>
      </c>
      <c r="D245" s="8">
        <f>7.7382 * CHOOSE( CONTROL!$C$15, $D$11, 100%, $F$11)</f>
        <v>7.7382</v>
      </c>
      <c r="E245" s="12">
        <f>7.7377 * CHOOSE( CONTROL!$C$15, $D$11, 100%, $F$11)</f>
        <v>7.7377000000000002</v>
      </c>
      <c r="F245" s="4">
        <f>8.4122 * CHOOSE(CONTROL!$C$15, $D$11, 100%, $F$11)</f>
        <v>8.4122000000000003</v>
      </c>
      <c r="G245" s="8">
        <f>7.6062 * CHOOSE( CONTROL!$C$15, $D$11, 100%, $F$11)</f>
        <v>7.6062000000000003</v>
      </c>
      <c r="H245" s="4">
        <f>8.5046 * CHOOSE(CONTROL!$C$15, $D$11, 100%, $F$11)</f>
        <v>8.5045999999999999</v>
      </c>
      <c r="I245" s="8">
        <f>7.5624 * CHOOSE(CONTROL!$C$15, $D$11, 100%, $F$11)</f>
        <v>7.5624000000000002</v>
      </c>
      <c r="J245" s="4">
        <f>7.4501 * CHOOSE(CONTROL!$C$15, $D$11, 100%, $F$11)</f>
        <v>7.4500999999999999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7.2315 * CHOOSE(CONTROL!$C$15, $D$11, 100%, $F$11)</f>
        <v>7.2314999999999996</v>
      </c>
      <c r="C246" s="8">
        <f>7.2418 * CHOOSE(CONTROL!$C$15, $D$11, 100%, $F$11)</f>
        <v>7.2417999999999996</v>
      </c>
      <c r="D246" s="8">
        <f>7.2423 * CHOOSE( CONTROL!$C$15, $D$11, 100%, $F$11)</f>
        <v>7.2423000000000002</v>
      </c>
      <c r="E246" s="12">
        <f>7.241 * CHOOSE( CONTROL!$C$15, $D$11, 100%, $F$11)</f>
        <v>7.2409999999999997</v>
      </c>
      <c r="F246" s="4">
        <f>7.9064 * CHOOSE(CONTROL!$C$15, $D$11, 100%, $F$11)</f>
        <v>7.9063999999999997</v>
      </c>
      <c r="G246" s="8">
        <f>7.116 * CHOOSE( CONTROL!$C$15, $D$11, 100%, $F$11)</f>
        <v>7.1159999999999997</v>
      </c>
      <c r="H246" s="4">
        <f>8.007 * CHOOSE(CONTROL!$C$15, $D$11, 100%, $F$11)</f>
        <v>8.0069999999999997</v>
      </c>
      <c r="I246" s="8">
        <f>7.0696 * CHOOSE(CONTROL!$C$15, $D$11, 100%, $F$11)</f>
        <v>7.0696000000000003</v>
      </c>
      <c r="J246" s="4">
        <f>6.9684 * CHOOSE(CONTROL!$C$15, $D$11, 100%, $F$11)</f>
        <v>6.9683999999999999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27.6797</v>
      </c>
      <c r="R246" s="9"/>
      <c r="S246" s="11"/>
    </row>
    <row r="247" spans="1:19" ht="15.75">
      <c r="A247" s="13">
        <v>49369</v>
      </c>
      <c r="B247" s="8">
        <f>7.0781 * CHOOSE(CONTROL!$C$15, $D$11, 100%, $F$11)</f>
        <v>7.0781000000000001</v>
      </c>
      <c r="C247" s="8">
        <f>7.0884 * CHOOSE(CONTROL!$C$15, $D$11, 100%, $F$11)</f>
        <v>7.0884</v>
      </c>
      <c r="D247" s="8">
        <f>7.0836 * CHOOSE( CONTROL!$C$15, $D$11, 100%, $F$11)</f>
        <v>7.0835999999999997</v>
      </c>
      <c r="E247" s="12">
        <f>7.0843 * CHOOSE( CONTROL!$C$15, $D$11, 100%, $F$11)</f>
        <v>7.0842999999999998</v>
      </c>
      <c r="F247" s="4">
        <f>7.7556 * CHOOSE(CONTROL!$C$15, $D$11, 100%, $F$11)</f>
        <v>7.7556000000000003</v>
      </c>
      <c r="G247" s="8">
        <f>6.9596 * CHOOSE( CONTROL!$C$15, $D$11, 100%, $F$11)</f>
        <v>6.9596</v>
      </c>
      <c r="H247" s="4">
        <f>7.8587 * CHOOSE(CONTROL!$C$15, $D$11, 100%, $F$11)</f>
        <v>7.8586999999999998</v>
      </c>
      <c r="I247" s="8">
        <f>6.9093 * CHOOSE(CONTROL!$C$15, $D$11, 100%, $F$11)</f>
        <v>6.9093</v>
      </c>
      <c r="J247" s="4">
        <f>6.8201 * CHOOSE(CONTROL!$C$15, $D$11, 100%, $F$11)</f>
        <v>6.8201000000000001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7.1853 * CHOOSE(CONTROL!$C$15, $D$11, 100%, $F$11)</f>
        <v>7.1852999999999998</v>
      </c>
      <c r="C248" s="8">
        <f>7.1956 * CHOOSE(CONTROL!$C$15, $D$11, 100%, $F$11)</f>
        <v>7.1955999999999998</v>
      </c>
      <c r="D248" s="8">
        <f>7.2069 * CHOOSE( CONTROL!$C$15, $D$11, 100%, $F$11)</f>
        <v>7.2069000000000001</v>
      </c>
      <c r="E248" s="12">
        <f>7.202 * CHOOSE( CONTROL!$C$15, $D$11, 100%, $F$11)</f>
        <v>7.202</v>
      </c>
      <c r="F248" s="4">
        <f>7.8654 * CHOOSE(CONTROL!$C$15, $D$11, 100%, $F$11)</f>
        <v>7.8654000000000002</v>
      </c>
      <c r="G248" s="8">
        <f>7.0457 * CHOOSE( CONTROL!$C$15, $D$11, 100%, $F$11)</f>
        <v>7.0457000000000001</v>
      </c>
      <c r="H248" s="4">
        <f>7.9666 * CHOOSE(CONTROL!$C$15, $D$11, 100%, $F$11)</f>
        <v>7.9665999999999997</v>
      </c>
      <c r="I248" s="8">
        <f>7.0053 * CHOOSE(CONTROL!$C$15, $D$11, 100%, $F$11)</f>
        <v>7.0053000000000001</v>
      </c>
      <c r="J248" s="4">
        <f>6.9238 * CHOOSE(CONTROL!$C$15, $D$11, 100%, $F$11)</f>
        <v>6.9238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CONTROL!$C$32, 7.3795, 7.376) * CHOOSE(CONTROL!$C$15, $D$11, 100%, $F$11)</f>
        <v>7.3795000000000002</v>
      </c>
      <c r="C249" s="8">
        <f>CHOOSE( CONTROL!$C$32, 7.3898, 7.3864) * CHOOSE(CONTROL!$C$15, $D$11, 100%, $F$11)</f>
        <v>7.3898000000000001</v>
      </c>
      <c r="D249" s="8">
        <f>CHOOSE( CONTROL!$C$32, 7.4007, 7.3972) * CHOOSE( CONTROL!$C$15, $D$11, 100%, $F$11)</f>
        <v>7.4006999999999996</v>
      </c>
      <c r="E249" s="12">
        <f>CHOOSE( CONTROL!$C$32, 7.3952, 7.3917) * CHOOSE( CONTROL!$C$15, $D$11, 100%, $F$11)</f>
        <v>7.3952</v>
      </c>
      <c r="F249" s="4">
        <f>CHOOSE( CONTROL!$C$32, 8.0596, 8.0561) * CHOOSE(CONTROL!$C$15, $D$11, 100%, $F$11)</f>
        <v>8.0595999999999997</v>
      </c>
      <c r="G249" s="8">
        <f>CHOOSE( CONTROL!$C$32, 7.238, 7.2346) * CHOOSE( CONTROL!$C$15, $D$11, 100%, $F$11)</f>
        <v>7.2380000000000004</v>
      </c>
      <c r="H249" s="4">
        <f>CHOOSE( CONTROL!$C$32, 8.1577, 8.1543) * CHOOSE(CONTROL!$C$15, $D$11, 100%, $F$11)</f>
        <v>8.1577000000000002</v>
      </c>
      <c r="I249" s="8">
        <f>CHOOSE( CONTROL!$C$32, 7.1948, 7.1915) * CHOOSE(CONTROL!$C$15, $D$11, 100%, $F$11)</f>
        <v>7.1947999999999999</v>
      </c>
      <c r="J249" s="4">
        <f>CHOOSE( CONTROL!$C$32, 7.1116, 7.1082) * CHOOSE(CONTROL!$C$15, $D$11, 100%, $F$11)</f>
        <v>7.1116000000000001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CONTROL!$C$32, 7.2613, 7.2578) * CHOOSE(CONTROL!$C$15, $D$11, 100%, $F$11)</f>
        <v>7.2613000000000003</v>
      </c>
      <c r="C250" s="8">
        <f>CHOOSE( CONTROL!$C$32, 7.2717, 7.2682) * CHOOSE(CONTROL!$C$15, $D$11, 100%, $F$11)</f>
        <v>7.2717000000000001</v>
      </c>
      <c r="D250" s="8">
        <f>CHOOSE( CONTROL!$C$32, 7.2828, 7.2793) * CHOOSE( CONTROL!$C$15, $D$11, 100%, $F$11)</f>
        <v>7.2827999999999999</v>
      </c>
      <c r="E250" s="12">
        <f>CHOOSE( CONTROL!$C$32, 7.2772, 7.2737) * CHOOSE( CONTROL!$C$15, $D$11, 100%, $F$11)</f>
        <v>7.2771999999999997</v>
      </c>
      <c r="F250" s="4">
        <f>CHOOSE( CONTROL!$C$32, 7.9414, 7.938) * CHOOSE(CONTROL!$C$15, $D$11, 100%, $F$11)</f>
        <v>7.9413999999999998</v>
      </c>
      <c r="G250" s="8">
        <f>CHOOSE( CONTROL!$C$32, 7.1222, 7.1188) * CHOOSE( CONTROL!$C$15, $D$11, 100%, $F$11)</f>
        <v>7.1222000000000003</v>
      </c>
      <c r="H250" s="4">
        <f>CHOOSE( CONTROL!$C$32, 8.0415, 8.0381) * CHOOSE(CONTROL!$C$15, $D$11, 100%, $F$11)</f>
        <v>8.0414999999999992</v>
      </c>
      <c r="I250" s="8">
        <f>CHOOSE( CONTROL!$C$32, 7.0819, 7.0785) * CHOOSE(CONTROL!$C$15, $D$11, 100%, $F$11)</f>
        <v>7.0819000000000001</v>
      </c>
      <c r="J250" s="4">
        <f>CHOOSE( CONTROL!$C$32, 6.9973, 6.994) * CHOOSE(CONTROL!$C$15, $D$11, 100%, $F$11)</f>
        <v>6.9973000000000001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CONTROL!$C$32, 7.5725, 7.569) * CHOOSE(CONTROL!$C$15, $D$11, 100%, $F$11)</f>
        <v>7.5724999999999998</v>
      </c>
      <c r="C251" s="8">
        <f>CHOOSE( CONTROL!$C$32, 7.5829, 7.5794) * CHOOSE(CONTROL!$C$15, $D$11, 100%, $F$11)</f>
        <v>7.5829000000000004</v>
      </c>
      <c r="D251" s="8">
        <f>CHOOSE( CONTROL!$C$32, 7.5943, 7.5908) * CHOOSE( CONTROL!$C$15, $D$11, 100%, $F$11)</f>
        <v>7.5942999999999996</v>
      </c>
      <c r="E251" s="12">
        <f>CHOOSE( CONTROL!$C$32, 7.5886, 7.5851) * CHOOSE( CONTROL!$C$15, $D$11, 100%, $F$11)</f>
        <v>7.5885999999999996</v>
      </c>
      <c r="F251" s="4">
        <f>CHOOSE( CONTROL!$C$32, 8.2526, 8.2491) * CHOOSE(CONTROL!$C$15, $D$11, 100%, $F$11)</f>
        <v>8.2525999999999993</v>
      </c>
      <c r="G251" s="8">
        <f>CHOOSE( CONTROL!$C$32, 7.4288, 7.4254) * CHOOSE( CONTROL!$C$15, $D$11, 100%, $F$11)</f>
        <v>7.4287999999999998</v>
      </c>
      <c r="H251" s="4">
        <f>CHOOSE( CONTROL!$C$32, 8.3476, 8.3442) * CHOOSE(CONTROL!$C$15, $D$11, 100%, $F$11)</f>
        <v>8.3475999999999999</v>
      </c>
      <c r="I251" s="8">
        <f>CHOOSE( CONTROL!$C$32, 7.3844, 7.381) * CHOOSE(CONTROL!$C$15, $D$11, 100%, $F$11)</f>
        <v>7.3844000000000003</v>
      </c>
      <c r="J251" s="4">
        <f>CHOOSE( CONTROL!$C$32, 7.2983, 7.2949) * CHOOSE(CONTROL!$C$15, $D$11, 100%, $F$11)</f>
        <v>7.2983000000000002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CONTROL!$C$32, 6.9902, 6.9868) * CHOOSE(CONTROL!$C$15, $D$11, 100%, $F$11)</f>
        <v>6.9901999999999997</v>
      </c>
      <c r="C252" s="8">
        <f>CHOOSE( CONTROL!$C$32, 7.0006, 6.9971) * CHOOSE(CONTROL!$C$15, $D$11, 100%, $F$11)</f>
        <v>7.0006000000000004</v>
      </c>
      <c r="D252" s="8">
        <f>CHOOSE( CONTROL!$C$32, 7.0121, 7.0086) * CHOOSE( CONTROL!$C$15, $D$11, 100%, $F$11)</f>
        <v>7.0121000000000002</v>
      </c>
      <c r="E252" s="12">
        <f>CHOOSE( CONTROL!$C$32, 7.0063, 7.0029) * CHOOSE( CONTROL!$C$15, $D$11, 100%, $F$11)</f>
        <v>7.0063000000000004</v>
      </c>
      <c r="F252" s="4">
        <f>CHOOSE( CONTROL!$C$32, 7.6703, 7.6669) * CHOOSE(CONTROL!$C$15, $D$11, 100%, $F$11)</f>
        <v>7.6703000000000001</v>
      </c>
      <c r="G252" s="8">
        <f>CHOOSE( CONTROL!$C$32, 6.8561, 6.8527) * CHOOSE( CONTROL!$C$15, $D$11, 100%, $F$11)</f>
        <v>6.8560999999999996</v>
      </c>
      <c r="H252" s="4">
        <f>CHOOSE( CONTROL!$C$32, 7.7748, 7.7714) * CHOOSE(CONTROL!$C$15, $D$11, 100%, $F$11)</f>
        <v>7.7747999999999999</v>
      </c>
      <c r="I252" s="8">
        <f>CHOOSE( CONTROL!$C$32, 6.8217, 6.8183) * CHOOSE(CONTROL!$C$15, $D$11, 100%, $F$11)</f>
        <v>6.8216999999999999</v>
      </c>
      <c r="J252" s="4">
        <f>CHOOSE( CONTROL!$C$32, 6.7352, 6.7318) * CHOOSE(CONTROL!$C$15, $D$11, 100%, $F$11)</f>
        <v>6.7351999999999999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CONTROL!$C$32, 6.8444, 6.841) * CHOOSE(CONTROL!$C$15, $D$11, 100%, $F$11)</f>
        <v>6.8444000000000003</v>
      </c>
      <c r="C253" s="8">
        <f>CHOOSE( CONTROL!$C$32, 6.8548, 6.8513) * CHOOSE(CONTROL!$C$15, $D$11, 100%, $F$11)</f>
        <v>6.8548</v>
      </c>
      <c r="D253" s="8">
        <f>CHOOSE( CONTROL!$C$32, 6.8664, 6.8629) * CHOOSE( CONTROL!$C$15, $D$11, 100%, $F$11)</f>
        <v>6.8663999999999996</v>
      </c>
      <c r="E253" s="12">
        <f>CHOOSE( CONTROL!$C$32, 6.8606, 6.8571) * CHOOSE( CONTROL!$C$15, $D$11, 100%, $F$11)</f>
        <v>6.8605999999999998</v>
      </c>
      <c r="F253" s="4">
        <f>CHOOSE( CONTROL!$C$32, 7.5245, 7.5211) * CHOOSE(CONTROL!$C$15, $D$11, 100%, $F$11)</f>
        <v>7.5244999999999997</v>
      </c>
      <c r="G253" s="8">
        <f>CHOOSE( CONTROL!$C$32, 6.7127, 6.7093) * CHOOSE( CONTROL!$C$15, $D$11, 100%, $F$11)</f>
        <v>6.7126999999999999</v>
      </c>
      <c r="H253" s="4">
        <f>CHOOSE( CONTROL!$C$32, 7.6313, 7.6279) * CHOOSE(CONTROL!$C$15, $D$11, 100%, $F$11)</f>
        <v>7.6313000000000004</v>
      </c>
      <c r="I253" s="8">
        <f>CHOOSE( CONTROL!$C$32, 6.6808, 6.6774) * CHOOSE(CONTROL!$C$15, $D$11, 100%, $F$11)</f>
        <v>6.6807999999999996</v>
      </c>
      <c r="J253" s="4">
        <f>CHOOSE( CONTROL!$C$32, 6.5941, 6.5908) * CHOOSE(CONTROL!$C$15, $D$11, 100%, $F$11)</f>
        <v>6.5941000000000001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29.6568</v>
      </c>
      <c r="R253" s="9"/>
      <c r="S253" s="11"/>
    </row>
    <row r="254" spans="1:19" ht="15.75">
      <c r="A254" s="14">
        <v>49583</v>
      </c>
      <c r="B254" s="8">
        <f>7.1437 * CHOOSE(CONTROL!$C$15, $D$11, 100%, $F$11)</f>
        <v>7.1436999999999999</v>
      </c>
      <c r="C254" s="8">
        <f>7.154 * CHOOSE(CONTROL!$C$15, $D$11, 100%, $F$11)</f>
        <v>7.1539999999999999</v>
      </c>
      <c r="D254" s="8">
        <f>7.1666 * CHOOSE( CONTROL!$C$15, $D$11, 100%, $F$11)</f>
        <v>7.1665999999999999</v>
      </c>
      <c r="E254" s="12">
        <f>7.1613 * CHOOSE( CONTROL!$C$15, $D$11, 100%, $F$11)</f>
        <v>7.1612999999999998</v>
      </c>
      <c r="F254" s="4">
        <f>7.8238 * CHOOSE(CONTROL!$C$15, $D$11, 100%, $F$11)</f>
        <v>7.8238000000000003</v>
      </c>
      <c r="G254" s="8">
        <f>7.0067 * CHOOSE( CONTROL!$C$15, $D$11, 100%, $F$11)</f>
        <v>7.0067000000000004</v>
      </c>
      <c r="H254" s="4">
        <f>7.9258 * CHOOSE(CONTROL!$C$15, $D$11, 100%, $F$11)</f>
        <v>7.9257999999999997</v>
      </c>
      <c r="I254" s="8">
        <f>6.9712 * CHOOSE(CONTROL!$C$15, $D$11, 100%, $F$11)</f>
        <v>6.9711999999999996</v>
      </c>
      <c r="J254" s="4">
        <f>6.8836 * CHOOSE(CONTROL!$C$15, $D$11, 100%, $F$11)</f>
        <v>6.8836000000000004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7.7025 * CHOOSE(CONTROL!$C$15, $D$11, 100%, $F$11)</f>
        <v>7.7024999999999997</v>
      </c>
      <c r="C255" s="8">
        <f>7.7129 * CHOOSE(CONTROL!$C$15, $D$11, 100%, $F$11)</f>
        <v>7.7129000000000003</v>
      </c>
      <c r="D255" s="8">
        <f>7.6978 * CHOOSE( CONTROL!$C$15, $D$11, 100%, $F$11)</f>
        <v>7.6978</v>
      </c>
      <c r="E255" s="12">
        <f>7.7022 * CHOOSE( CONTROL!$C$15, $D$11, 100%, $F$11)</f>
        <v>7.7022000000000004</v>
      </c>
      <c r="F255" s="4">
        <f>8.3568 * CHOOSE(CONTROL!$C$15, $D$11, 100%, $F$11)</f>
        <v>8.3567999999999998</v>
      </c>
      <c r="G255" s="8">
        <f>7.5659 * CHOOSE( CONTROL!$C$15, $D$11, 100%, $F$11)</f>
        <v>7.5659000000000001</v>
      </c>
      <c r="H255" s="4">
        <f>8.4501 * CHOOSE(CONTROL!$C$15, $D$11, 100%, $F$11)</f>
        <v>8.4501000000000008</v>
      </c>
      <c r="I255" s="8">
        <f>7.5322 * CHOOSE(CONTROL!$C$15, $D$11, 100%, $F$11)</f>
        <v>7.5321999999999996</v>
      </c>
      <c r="J255" s="4">
        <f>7.424 * CHOOSE(CONTROL!$C$15, $D$11, 100%, $F$11)</f>
        <v>7.4240000000000004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29.6568</v>
      </c>
      <c r="R255" s="9"/>
      <c r="S255" s="11"/>
    </row>
    <row r="256" spans="1:19" ht="15.75">
      <c r="A256" s="14">
        <v>49644</v>
      </c>
      <c r="B256" s="8">
        <f>7.6886 * CHOOSE(CONTROL!$C$15, $D$11, 100%, $F$11)</f>
        <v>7.6886000000000001</v>
      </c>
      <c r="C256" s="8">
        <f>7.6989 * CHOOSE(CONTROL!$C$15, $D$11, 100%, $F$11)</f>
        <v>7.6989000000000001</v>
      </c>
      <c r="D256" s="8">
        <f>7.6855 * CHOOSE( CONTROL!$C$15, $D$11, 100%, $F$11)</f>
        <v>7.6855000000000002</v>
      </c>
      <c r="E256" s="12">
        <f>7.6893 * CHOOSE( CONTROL!$C$15, $D$11, 100%, $F$11)</f>
        <v>7.6893000000000002</v>
      </c>
      <c r="F256" s="4">
        <f>8.3428 * CHOOSE(CONTROL!$C$15, $D$11, 100%, $F$11)</f>
        <v>8.3428000000000004</v>
      </c>
      <c r="G256" s="8">
        <f>7.5534 * CHOOSE( CONTROL!$C$15, $D$11, 100%, $F$11)</f>
        <v>7.5533999999999999</v>
      </c>
      <c r="H256" s="4">
        <f>8.4364 * CHOOSE(CONTROL!$C$15, $D$11, 100%, $F$11)</f>
        <v>8.4364000000000008</v>
      </c>
      <c r="I256" s="8">
        <f>7.524 * CHOOSE(CONTROL!$C$15, $D$11, 100%, $F$11)</f>
        <v>7.524</v>
      </c>
      <c r="J256" s="4">
        <f>7.4105 * CHOOSE(CONTROL!$C$15, $D$11, 100%, $F$11)</f>
        <v>7.4104999999999999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7.9814 * CHOOSE(CONTROL!$C$15, $D$11, 100%, $F$11)</f>
        <v>7.9813999999999998</v>
      </c>
      <c r="C257" s="8">
        <f>7.9918 * CHOOSE(CONTROL!$C$15, $D$11, 100%, $F$11)</f>
        <v>7.9917999999999996</v>
      </c>
      <c r="D257" s="8">
        <f>7.9902 * CHOOSE( CONTROL!$C$15, $D$11, 100%, $F$11)</f>
        <v>7.9901999999999997</v>
      </c>
      <c r="E257" s="12">
        <f>7.9897 * CHOOSE( CONTROL!$C$15, $D$11, 100%, $F$11)</f>
        <v>7.9897</v>
      </c>
      <c r="F257" s="4">
        <f>8.6641 * CHOOSE(CONTROL!$C$15, $D$11, 100%, $F$11)</f>
        <v>8.6640999999999995</v>
      </c>
      <c r="G257" s="8">
        <f>7.8541 * CHOOSE( CONTROL!$C$15, $D$11, 100%, $F$11)</f>
        <v>7.8540999999999999</v>
      </c>
      <c r="H257" s="4">
        <f>8.7525 * CHOOSE(CONTROL!$C$15, $D$11, 100%, $F$11)</f>
        <v>8.7524999999999995</v>
      </c>
      <c r="I257" s="8">
        <f>7.8062 * CHOOSE(CONTROL!$C$15, $D$11, 100%, $F$11)</f>
        <v>7.8061999999999996</v>
      </c>
      <c r="J257" s="4">
        <f>7.6937 * CHOOSE(CONTROL!$C$15, $D$11, 100%, $F$11)</f>
        <v>7.6936999999999998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7.4671 * CHOOSE(CONTROL!$C$15, $D$11, 100%, $F$11)</f>
        <v>7.4671000000000003</v>
      </c>
      <c r="C258" s="8">
        <f>7.4774 * CHOOSE(CONTROL!$C$15, $D$11, 100%, $F$11)</f>
        <v>7.4774000000000003</v>
      </c>
      <c r="D258" s="8">
        <f>7.478 * CHOOSE( CONTROL!$C$15, $D$11, 100%, $F$11)</f>
        <v>7.4779999999999998</v>
      </c>
      <c r="E258" s="12">
        <f>7.4767 * CHOOSE( CONTROL!$C$15, $D$11, 100%, $F$11)</f>
        <v>7.4767000000000001</v>
      </c>
      <c r="F258" s="4">
        <f>8.142 * CHOOSE(CONTROL!$C$15, $D$11, 100%, $F$11)</f>
        <v>8.1419999999999995</v>
      </c>
      <c r="G258" s="8">
        <f>7.3478 * CHOOSE( CONTROL!$C$15, $D$11, 100%, $F$11)</f>
        <v>7.3478000000000003</v>
      </c>
      <c r="H258" s="4">
        <f>8.2389 * CHOOSE(CONTROL!$C$15, $D$11, 100%, $F$11)</f>
        <v>8.2388999999999992</v>
      </c>
      <c r="I258" s="8">
        <f>7.2976 * CHOOSE(CONTROL!$C$15, $D$11, 100%, $F$11)</f>
        <v>7.2976000000000001</v>
      </c>
      <c r="J258" s="4">
        <f>7.1963 * CHOOSE(CONTROL!$C$15, $D$11, 100%, $F$11)</f>
        <v>7.1962999999999999</v>
      </c>
      <c r="K258" s="4"/>
      <c r="L258" s="9">
        <v>27.415299999999998</v>
      </c>
      <c r="M258" s="9">
        <v>11.285299999999999</v>
      </c>
      <c r="N258" s="9">
        <v>4.6254999999999997</v>
      </c>
      <c r="O258" s="9">
        <v>0.34989999999999999</v>
      </c>
      <c r="P258" s="9">
        <v>1.2093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7.3087 * CHOOSE(CONTROL!$C$15, $D$11, 100%, $F$11)</f>
        <v>7.3087</v>
      </c>
      <c r="C259" s="8">
        <f>7.319 * CHOOSE(CONTROL!$C$15, $D$11, 100%, $F$11)</f>
        <v>7.319</v>
      </c>
      <c r="D259" s="8">
        <f>7.3142 * CHOOSE( CONTROL!$C$15, $D$11, 100%, $F$11)</f>
        <v>7.3141999999999996</v>
      </c>
      <c r="E259" s="12">
        <f>7.3149 * CHOOSE( CONTROL!$C$15, $D$11, 100%, $F$11)</f>
        <v>7.3148999999999997</v>
      </c>
      <c r="F259" s="4">
        <f>7.9862 * CHOOSE(CONTROL!$C$15, $D$11, 100%, $F$11)</f>
        <v>7.9862000000000002</v>
      </c>
      <c r="G259" s="8">
        <f>7.1865 * CHOOSE( CONTROL!$C$15, $D$11, 100%, $F$11)</f>
        <v>7.1864999999999997</v>
      </c>
      <c r="H259" s="4">
        <f>8.0856 * CHOOSE(CONTROL!$C$15, $D$11, 100%, $F$11)</f>
        <v>8.0855999999999995</v>
      </c>
      <c r="I259" s="8">
        <f>7.1324 * CHOOSE(CONTROL!$C$15, $D$11, 100%, $F$11)</f>
        <v>7.1323999999999996</v>
      </c>
      <c r="J259" s="4">
        <f>7.0431 * CHOOSE(CONTROL!$C$15, $D$11, 100%, $F$11)</f>
        <v>7.0430999999999999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7.4194 * CHOOSE(CONTROL!$C$15, $D$11, 100%, $F$11)</f>
        <v>7.4194000000000004</v>
      </c>
      <c r="C260" s="8">
        <f>7.4297 * CHOOSE(CONTROL!$C$15, $D$11, 100%, $F$11)</f>
        <v>7.4297000000000004</v>
      </c>
      <c r="D260" s="8">
        <f>7.441 * CHOOSE( CONTROL!$C$15, $D$11, 100%, $F$11)</f>
        <v>7.4409999999999998</v>
      </c>
      <c r="E260" s="12">
        <f>7.4361 * CHOOSE( CONTROL!$C$15, $D$11, 100%, $F$11)</f>
        <v>7.4360999999999997</v>
      </c>
      <c r="F260" s="4">
        <f>8.0995 * CHOOSE(CONTROL!$C$15, $D$11, 100%, $F$11)</f>
        <v>8.0995000000000008</v>
      </c>
      <c r="G260" s="8">
        <f>7.2761 * CHOOSE( CONTROL!$C$15, $D$11, 100%, $F$11)</f>
        <v>7.2760999999999996</v>
      </c>
      <c r="H260" s="4">
        <f>8.197 * CHOOSE(CONTROL!$C$15, $D$11, 100%, $F$11)</f>
        <v>8.1969999999999992</v>
      </c>
      <c r="I260" s="8">
        <f>7.2319 * CHOOSE(CONTROL!$C$15, $D$11, 100%, $F$11)</f>
        <v>7.2319000000000004</v>
      </c>
      <c r="J260" s="4">
        <f>7.1502 * CHOOSE(CONTROL!$C$15, $D$11, 100%, $F$11)</f>
        <v>7.1501999999999999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CONTROL!$C$32, 7.6199, 7.6164) * CHOOSE(CONTROL!$C$15, $D$11, 100%, $F$11)</f>
        <v>7.6199000000000003</v>
      </c>
      <c r="C261" s="8">
        <f>CHOOSE( CONTROL!$C$32, 7.6302, 7.6267) * CHOOSE(CONTROL!$C$15, $D$11, 100%, $F$11)</f>
        <v>7.6302000000000003</v>
      </c>
      <c r="D261" s="8">
        <f>CHOOSE( CONTROL!$C$32, 7.641, 7.6376) * CHOOSE( CONTROL!$C$15, $D$11, 100%, $F$11)</f>
        <v>7.641</v>
      </c>
      <c r="E261" s="12">
        <f>CHOOSE( CONTROL!$C$32, 7.6355, 7.6321) * CHOOSE( CONTROL!$C$15, $D$11, 100%, $F$11)</f>
        <v>7.6355000000000004</v>
      </c>
      <c r="F261" s="4">
        <f>CHOOSE( CONTROL!$C$32, 8.3, 8.2965) * CHOOSE(CONTROL!$C$15, $D$11, 100%, $F$11)</f>
        <v>8.3000000000000007</v>
      </c>
      <c r="G261" s="8">
        <f>CHOOSE( CONTROL!$C$32, 7.4745, 7.4711) * CHOOSE( CONTROL!$C$15, $D$11, 100%, $F$11)</f>
        <v>7.4744999999999999</v>
      </c>
      <c r="H261" s="4">
        <f>CHOOSE( CONTROL!$C$32, 8.3942, 8.3908) * CHOOSE(CONTROL!$C$15, $D$11, 100%, $F$11)</f>
        <v>8.3941999999999997</v>
      </c>
      <c r="I261" s="8">
        <f>CHOOSE( CONTROL!$C$32, 7.4274, 7.4241) * CHOOSE(CONTROL!$C$15, $D$11, 100%, $F$11)</f>
        <v>7.4273999999999996</v>
      </c>
      <c r="J261" s="4">
        <f>CHOOSE( CONTROL!$C$32, 7.3441, 7.3407) * CHOOSE(CONTROL!$C$15, $D$11, 100%, $F$11)</f>
        <v>7.3441000000000001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CONTROL!$C$32, 7.4978, 7.4944) * CHOOSE(CONTROL!$C$15, $D$11, 100%, $F$11)</f>
        <v>7.4977999999999998</v>
      </c>
      <c r="C262" s="8">
        <f>CHOOSE( CONTROL!$C$32, 7.5082, 7.5047) * CHOOSE(CONTROL!$C$15, $D$11, 100%, $F$11)</f>
        <v>7.5082000000000004</v>
      </c>
      <c r="D262" s="8">
        <f>CHOOSE( CONTROL!$C$32, 7.5193, 7.5158) * CHOOSE( CONTROL!$C$15, $D$11, 100%, $F$11)</f>
        <v>7.5193000000000003</v>
      </c>
      <c r="E262" s="12">
        <f>CHOOSE( CONTROL!$C$32, 7.5137, 7.5102) * CHOOSE( CONTROL!$C$15, $D$11, 100%, $F$11)</f>
        <v>7.5137</v>
      </c>
      <c r="F262" s="4">
        <f>CHOOSE( CONTROL!$C$32, 8.1779, 8.1745) * CHOOSE(CONTROL!$C$15, $D$11, 100%, $F$11)</f>
        <v>8.1778999999999993</v>
      </c>
      <c r="G262" s="8">
        <f>CHOOSE( CONTROL!$C$32, 7.3549, 7.3514) * CHOOSE( CONTROL!$C$15, $D$11, 100%, $F$11)</f>
        <v>7.3548999999999998</v>
      </c>
      <c r="H262" s="4">
        <f>CHOOSE( CONTROL!$C$32, 8.2742, 8.2708) * CHOOSE(CONTROL!$C$15, $D$11, 100%, $F$11)</f>
        <v>8.2742000000000004</v>
      </c>
      <c r="I262" s="8">
        <f>CHOOSE( CONTROL!$C$32, 7.3107, 7.3073) * CHOOSE(CONTROL!$C$15, $D$11, 100%, $F$11)</f>
        <v>7.3106999999999998</v>
      </c>
      <c r="J262" s="4">
        <f>CHOOSE( CONTROL!$C$32, 7.226, 7.2227) * CHOOSE(CONTROL!$C$15, $D$11, 100%, $F$11)</f>
        <v>7.226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CONTROL!$C$32, 7.8192, 7.8157) * CHOOSE(CONTROL!$C$15, $D$11, 100%, $F$11)</f>
        <v>7.8192000000000004</v>
      </c>
      <c r="C263" s="8">
        <f>CHOOSE( CONTROL!$C$32, 7.8295, 7.8261) * CHOOSE(CONTROL!$C$15, $D$11, 100%, $F$11)</f>
        <v>7.8295000000000003</v>
      </c>
      <c r="D263" s="8">
        <f>CHOOSE( CONTROL!$C$32, 7.8409, 7.8375) * CHOOSE( CONTROL!$C$15, $D$11, 100%, $F$11)</f>
        <v>7.8409000000000004</v>
      </c>
      <c r="E263" s="12">
        <f>CHOOSE( CONTROL!$C$32, 7.8352, 7.8318) * CHOOSE( CONTROL!$C$15, $D$11, 100%, $F$11)</f>
        <v>7.8352000000000004</v>
      </c>
      <c r="F263" s="4">
        <f>CHOOSE( CONTROL!$C$32, 8.4993, 8.4958) * CHOOSE(CONTROL!$C$15, $D$11, 100%, $F$11)</f>
        <v>8.4992999999999999</v>
      </c>
      <c r="G263" s="8">
        <f>CHOOSE( CONTROL!$C$32, 7.6715, 7.6681) * CHOOSE( CONTROL!$C$15, $D$11, 100%, $F$11)</f>
        <v>7.6715</v>
      </c>
      <c r="H263" s="4">
        <f>CHOOSE( CONTROL!$C$32, 8.5903, 8.5869) * CHOOSE(CONTROL!$C$15, $D$11, 100%, $F$11)</f>
        <v>8.5902999999999992</v>
      </c>
      <c r="I263" s="8">
        <f>CHOOSE( CONTROL!$C$32, 7.6231, 7.6197) * CHOOSE(CONTROL!$C$15, $D$11, 100%, $F$11)</f>
        <v>7.6231</v>
      </c>
      <c r="J263" s="4">
        <f>CHOOSE( CONTROL!$C$32, 7.5368, 7.5335) * CHOOSE(CONTROL!$C$15, $D$11, 100%, $F$11)</f>
        <v>7.5368000000000004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CONTROL!$C$32, 7.2179, 7.2144) * CHOOSE(CONTROL!$C$15, $D$11, 100%, $F$11)</f>
        <v>7.2179000000000002</v>
      </c>
      <c r="C264" s="8">
        <f>CHOOSE( CONTROL!$C$32, 7.2282, 7.2248) * CHOOSE(CONTROL!$C$15, $D$11, 100%, $F$11)</f>
        <v>7.2282000000000002</v>
      </c>
      <c r="D264" s="8">
        <f>CHOOSE( CONTROL!$C$32, 7.2398, 7.2363) * CHOOSE( CONTROL!$C$15, $D$11, 100%, $F$11)</f>
        <v>7.2397999999999998</v>
      </c>
      <c r="E264" s="12">
        <f>CHOOSE( CONTROL!$C$32, 7.234, 7.2305) * CHOOSE( CONTROL!$C$15, $D$11, 100%, $F$11)</f>
        <v>7.234</v>
      </c>
      <c r="F264" s="4">
        <f>CHOOSE( CONTROL!$C$32, 7.898, 7.8945) * CHOOSE(CONTROL!$C$15, $D$11, 100%, $F$11)</f>
        <v>7.8979999999999997</v>
      </c>
      <c r="G264" s="8">
        <f>CHOOSE( CONTROL!$C$32, 7.0801, 7.0767) * CHOOSE( CONTROL!$C$15, $D$11, 100%, $F$11)</f>
        <v>7.0800999999999998</v>
      </c>
      <c r="H264" s="4">
        <f>CHOOSE( CONTROL!$C$32, 7.9988, 7.9953) * CHOOSE(CONTROL!$C$15, $D$11, 100%, $F$11)</f>
        <v>7.9988000000000001</v>
      </c>
      <c r="I264" s="8">
        <f>CHOOSE( CONTROL!$C$32, 7.0419, 7.0386) * CHOOSE(CONTROL!$C$15, $D$11, 100%, $F$11)</f>
        <v>7.0419</v>
      </c>
      <c r="J264" s="4">
        <f>CHOOSE( CONTROL!$C$32, 6.9553, 6.952) * CHOOSE(CONTROL!$C$15, $D$11, 100%, $F$11)</f>
        <v>6.9553000000000003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CONTROL!$C$32, 7.0673, 7.0638) * CHOOSE(CONTROL!$C$15, $D$11, 100%, $F$11)</f>
        <v>7.0673000000000004</v>
      </c>
      <c r="C265" s="8">
        <f>CHOOSE( CONTROL!$C$32, 7.0777, 7.0742) * CHOOSE(CONTROL!$C$15, $D$11, 100%, $F$11)</f>
        <v>7.0777000000000001</v>
      </c>
      <c r="D265" s="8">
        <f>CHOOSE( CONTROL!$C$32, 7.0892, 7.0858) * CHOOSE( CONTROL!$C$15, $D$11, 100%, $F$11)</f>
        <v>7.0891999999999999</v>
      </c>
      <c r="E265" s="12">
        <f>CHOOSE( CONTROL!$C$32, 7.0834, 7.08) * CHOOSE( CONTROL!$C$15, $D$11, 100%, $F$11)</f>
        <v>7.0834000000000001</v>
      </c>
      <c r="F265" s="4">
        <f>CHOOSE( CONTROL!$C$32, 7.7474, 7.7439) * CHOOSE(CONTROL!$C$15, $D$11, 100%, $F$11)</f>
        <v>7.7473999999999998</v>
      </c>
      <c r="G265" s="8">
        <f>CHOOSE( CONTROL!$C$32, 6.932, 6.9286) * CHOOSE( CONTROL!$C$15, $D$11, 100%, $F$11)</f>
        <v>6.9320000000000004</v>
      </c>
      <c r="H265" s="4">
        <f>CHOOSE( CONTROL!$C$32, 7.8506, 7.8472) * CHOOSE(CONTROL!$C$15, $D$11, 100%, $F$11)</f>
        <v>7.8506</v>
      </c>
      <c r="I265" s="8">
        <f>CHOOSE( CONTROL!$C$32, 6.8964, 6.8931) * CHOOSE(CONTROL!$C$15, $D$11, 100%, $F$11)</f>
        <v>6.8963999999999999</v>
      </c>
      <c r="J265" s="4">
        <f>CHOOSE( CONTROL!$C$32, 6.8097, 6.8063) * CHOOSE(CONTROL!$C$15, $D$11, 100%, $F$11)</f>
        <v>6.8097000000000003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7.3765 * CHOOSE(CONTROL!$C$15, $D$11, 100%, $F$11)</f>
        <v>7.3765000000000001</v>
      </c>
      <c r="C266" s="8">
        <f>7.3868 * CHOOSE(CONTROL!$C$15, $D$11, 100%, $F$11)</f>
        <v>7.3868</v>
      </c>
      <c r="D266" s="8">
        <f>7.3994 * CHOOSE( CONTROL!$C$15, $D$11, 100%, $F$11)</f>
        <v>7.3994</v>
      </c>
      <c r="E266" s="12">
        <f>7.3941 * CHOOSE( CONTROL!$C$15, $D$11, 100%, $F$11)</f>
        <v>7.3940999999999999</v>
      </c>
      <c r="F266" s="4">
        <f>8.0566 * CHOOSE(CONTROL!$C$15, $D$11, 100%, $F$11)</f>
        <v>8.0565999999999995</v>
      </c>
      <c r="G266" s="8">
        <f>7.2357 * CHOOSE( CONTROL!$C$15, $D$11, 100%, $F$11)</f>
        <v>7.2356999999999996</v>
      </c>
      <c r="H266" s="4">
        <f>8.1548 * CHOOSE(CONTROL!$C$15, $D$11, 100%, $F$11)</f>
        <v>8.1547999999999998</v>
      </c>
      <c r="I266" s="8">
        <f>7.1965 * CHOOSE(CONTROL!$C$15, $D$11, 100%, $F$11)</f>
        <v>7.1965000000000003</v>
      </c>
      <c r="J266" s="4">
        <f>7.1087 * CHOOSE(CONTROL!$C$15, $D$11, 100%, $F$11)</f>
        <v>7.1086999999999998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7.9536 * CHOOSE(CONTROL!$C$15, $D$11, 100%, $F$11)</f>
        <v>7.9535999999999998</v>
      </c>
      <c r="C267" s="8">
        <f>7.9639 * CHOOSE(CONTROL!$C$15, $D$11, 100%, $F$11)</f>
        <v>7.9638999999999998</v>
      </c>
      <c r="D267" s="8">
        <f>7.9488 * CHOOSE( CONTROL!$C$15, $D$11, 100%, $F$11)</f>
        <v>7.9488000000000003</v>
      </c>
      <c r="E267" s="12">
        <f>7.9532 * CHOOSE( CONTROL!$C$15, $D$11, 100%, $F$11)</f>
        <v>7.9531999999999998</v>
      </c>
      <c r="F267" s="4">
        <f>8.6078 * CHOOSE(CONTROL!$C$15, $D$11, 100%, $F$11)</f>
        <v>8.6077999999999992</v>
      </c>
      <c r="G267" s="8">
        <f>7.8129 * CHOOSE( CONTROL!$C$15, $D$11, 100%, $F$11)</f>
        <v>7.8129</v>
      </c>
      <c r="H267" s="4">
        <f>8.6971 * CHOOSE(CONTROL!$C$15, $D$11, 100%, $F$11)</f>
        <v>8.6971000000000007</v>
      </c>
      <c r="I267" s="8">
        <f>7.7752 * CHOOSE(CONTROL!$C$15, $D$11, 100%, $F$11)</f>
        <v>7.7751999999999999</v>
      </c>
      <c r="J267" s="4">
        <f>7.6668 * CHOOSE(CONTROL!$C$15, $D$11, 100%, $F$11)</f>
        <v>7.6668000000000003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7.9392 * CHOOSE(CONTROL!$C$15, $D$11, 100%, $F$11)</f>
        <v>7.9391999999999996</v>
      </c>
      <c r="C268" s="8">
        <f>7.9495 * CHOOSE(CONTROL!$C$15, $D$11, 100%, $F$11)</f>
        <v>7.9494999999999996</v>
      </c>
      <c r="D268" s="8">
        <f>7.9361 * CHOOSE( CONTROL!$C$15, $D$11, 100%, $F$11)</f>
        <v>7.9360999999999997</v>
      </c>
      <c r="E268" s="12">
        <f>7.9399 * CHOOSE( CONTROL!$C$15, $D$11, 100%, $F$11)</f>
        <v>7.9398999999999997</v>
      </c>
      <c r="F268" s="4">
        <f>8.5934 * CHOOSE(CONTROL!$C$15, $D$11, 100%, $F$11)</f>
        <v>8.5934000000000008</v>
      </c>
      <c r="G268" s="8">
        <f>7.7999 * CHOOSE( CONTROL!$C$15, $D$11, 100%, $F$11)</f>
        <v>7.7999000000000001</v>
      </c>
      <c r="H268" s="4">
        <f>8.6829 * CHOOSE(CONTROL!$C$15, $D$11, 100%, $F$11)</f>
        <v>8.6829000000000001</v>
      </c>
      <c r="I268" s="8">
        <f>7.7665 * CHOOSE(CONTROL!$C$15, $D$11, 100%, $F$11)</f>
        <v>7.7664999999999997</v>
      </c>
      <c r="J268" s="4">
        <f>7.6528 * CHOOSE(CONTROL!$C$15, $D$11, 100%, $F$11)</f>
        <v>7.6528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8.2416 * CHOOSE(CONTROL!$C$15, $D$11, 100%, $F$11)</f>
        <v>8.2416</v>
      </c>
      <c r="C269" s="8">
        <f>8.2519 * CHOOSE(CONTROL!$C$15, $D$11, 100%, $F$11)</f>
        <v>8.2518999999999991</v>
      </c>
      <c r="D269" s="8">
        <f>8.2504 * CHOOSE( CONTROL!$C$15, $D$11, 100%, $F$11)</f>
        <v>8.2504000000000008</v>
      </c>
      <c r="E269" s="12">
        <f>8.2499 * CHOOSE( CONTROL!$C$15, $D$11, 100%, $F$11)</f>
        <v>8.2499000000000002</v>
      </c>
      <c r="F269" s="4">
        <f>8.9243 * CHOOSE(CONTROL!$C$15, $D$11, 100%, $F$11)</f>
        <v>8.9243000000000006</v>
      </c>
      <c r="G269" s="8">
        <f>8.11 * CHOOSE( CONTROL!$C$15, $D$11, 100%, $F$11)</f>
        <v>8.11</v>
      </c>
      <c r="H269" s="4">
        <f>9.0084 * CHOOSE(CONTROL!$C$15, $D$11, 100%, $F$11)</f>
        <v>9.0084</v>
      </c>
      <c r="I269" s="8">
        <f>8.0579 * CHOOSE(CONTROL!$C$15, $D$11, 100%, $F$11)</f>
        <v>8.0579000000000001</v>
      </c>
      <c r="J269" s="4">
        <f>7.9453 * CHOOSE(CONTROL!$C$15, $D$11, 100%, $F$11)</f>
        <v>7.9452999999999996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30.5152</v>
      </c>
      <c r="R269" s="9"/>
      <c r="S269" s="11"/>
    </row>
    <row r="270" spans="1:19" ht="15.75">
      <c r="A270" s="14">
        <v>50072</v>
      </c>
      <c r="B270" s="8">
        <f>7.7105 * CHOOSE(CONTROL!$C$15, $D$11, 100%, $F$11)</f>
        <v>7.7104999999999997</v>
      </c>
      <c r="C270" s="8">
        <f>7.7208 * CHOOSE(CONTROL!$C$15, $D$11, 100%, $F$11)</f>
        <v>7.7207999999999997</v>
      </c>
      <c r="D270" s="8">
        <f>7.7213 * CHOOSE( CONTROL!$C$15, $D$11, 100%, $F$11)</f>
        <v>7.7213000000000003</v>
      </c>
      <c r="E270" s="12">
        <f>7.72 * CHOOSE( CONTROL!$C$15, $D$11, 100%, $F$11)</f>
        <v>7.72</v>
      </c>
      <c r="F270" s="4">
        <f>8.3854 * CHOOSE(CONTROL!$C$15, $D$11, 100%, $F$11)</f>
        <v>8.3854000000000006</v>
      </c>
      <c r="G270" s="8">
        <f>7.5873 * CHOOSE( CONTROL!$C$15, $D$11, 100%, $F$11)</f>
        <v>7.5872999999999999</v>
      </c>
      <c r="H270" s="4">
        <f>8.4783 * CHOOSE(CONTROL!$C$15, $D$11, 100%, $F$11)</f>
        <v>8.4783000000000008</v>
      </c>
      <c r="I270" s="8">
        <f>7.533 * CHOOSE(CONTROL!$C$15, $D$11, 100%, $F$11)</f>
        <v>7.5330000000000004</v>
      </c>
      <c r="J270" s="4">
        <f>7.4317 * CHOOSE(CONTROL!$C$15, $D$11, 100%, $F$11)</f>
        <v>7.4317000000000002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7.5469 * CHOOSE(CONTROL!$C$15, $D$11, 100%, $F$11)</f>
        <v>7.5468999999999999</v>
      </c>
      <c r="C271" s="8">
        <f>7.5572 * CHOOSE(CONTROL!$C$15, $D$11, 100%, $F$11)</f>
        <v>7.5571999999999999</v>
      </c>
      <c r="D271" s="8">
        <f>7.5524 * CHOOSE( CONTROL!$C$15, $D$11, 100%, $F$11)</f>
        <v>7.5523999999999996</v>
      </c>
      <c r="E271" s="12">
        <f>7.5531 * CHOOSE( CONTROL!$C$15, $D$11, 100%, $F$11)</f>
        <v>7.5530999999999997</v>
      </c>
      <c r="F271" s="4">
        <f>8.2244 * CHOOSE(CONTROL!$C$15, $D$11, 100%, $F$11)</f>
        <v>8.2243999999999993</v>
      </c>
      <c r="G271" s="8">
        <f>7.4209 * CHOOSE( CONTROL!$C$15, $D$11, 100%, $F$11)</f>
        <v>7.4208999999999996</v>
      </c>
      <c r="H271" s="4">
        <f>8.3199 * CHOOSE(CONTROL!$C$15, $D$11, 100%, $F$11)</f>
        <v>8.3199000000000005</v>
      </c>
      <c r="I271" s="8">
        <f>7.3629 * CHOOSE(CONTROL!$C$15, $D$11, 100%, $F$11)</f>
        <v>7.3628999999999998</v>
      </c>
      <c r="J271" s="4">
        <f>7.2735 * CHOOSE(CONTROL!$C$15, $D$11, 100%, $F$11)</f>
        <v>7.2735000000000003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30.5152</v>
      </c>
      <c r="R271" s="9"/>
      <c r="S271" s="11"/>
    </row>
    <row r="272" spans="1:19" ht="15.75">
      <c r="A272" s="14">
        <v>50131</v>
      </c>
      <c r="B272" s="8">
        <f>7.6612 * CHOOSE(CONTROL!$C$15, $D$11, 100%, $F$11)</f>
        <v>7.6612</v>
      </c>
      <c r="C272" s="8">
        <f>7.6715 * CHOOSE(CONTROL!$C$15, $D$11, 100%, $F$11)</f>
        <v>7.6715</v>
      </c>
      <c r="D272" s="8">
        <f>7.6828 * CHOOSE( CONTROL!$C$15, $D$11, 100%, $F$11)</f>
        <v>7.6828000000000003</v>
      </c>
      <c r="E272" s="12">
        <f>7.6779 * CHOOSE( CONTROL!$C$15, $D$11, 100%, $F$11)</f>
        <v>7.6779000000000002</v>
      </c>
      <c r="F272" s="4">
        <f>8.3413 * CHOOSE(CONTROL!$C$15, $D$11, 100%, $F$11)</f>
        <v>8.3413000000000004</v>
      </c>
      <c r="G272" s="8">
        <f>7.5139 * CHOOSE( CONTROL!$C$15, $D$11, 100%, $F$11)</f>
        <v>7.5138999999999996</v>
      </c>
      <c r="H272" s="4">
        <f>8.4349 * CHOOSE(CONTROL!$C$15, $D$11, 100%, $F$11)</f>
        <v>8.4349000000000007</v>
      </c>
      <c r="I272" s="8">
        <f>7.4659 * CHOOSE(CONTROL!$C$15, $D$11, 100%, $F$11)</f>
        <v>7.4659000000000004</v>
      </c>
      <c r="J272" s="4">
        <f>7.384 * CHOOSE(CONTROL!$C$15, $D$11, 100%, $F$11)</f>
        <v>7.3840000000000003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CONTROL!$C$32, 7.8681, 7.8646) * CHOOSE(CONTROL!$C$15, $D$11, 100%, $F$11)</f>
        <v>7.8681000000000001</v>
      </c>
      <c r="C273" s="8">
        <f>CHOOSE( CONTROL!$C$32, 7.8784, 7.875) * CHOOSE(CONTROL!$C$15, $D$11, 100%, $F$11)</f>
        <v>7.8784000000000001</v>
      </c>
      <c r="D273" s="8">
        <f>CHOOSE( CONTROL!$C$32, 7.8893, 7.8858) * CHOOSE( CONTROL!$C$15, $D$11, 100%, $F$11)</f>
        <v>7.8893000000000004</v>
      </c>
      <c r="E273" s="12">
        <f>CHOOSE( CONTROL!$C$32, 7.8838, 7.8803) * CHOOSE( CONTROL!$C$15, $D$11, 100%, $F$11)</f>
        <v>7.8837999999999999</v>
      </c>
      <c r="F273" s="4">
        <f>CHOOSE( CONTROL!$C$32, 8.5482, 8.5447) * CHOOSE(CONTROL!$C$15, $D$11, 100%, $F$11)</f>
        <v>8.5481999999999996</v>
      </c>
      <c r="G273" s="8">
        <f>CHOOSE( CONTROL!$C$32, 7.7187, 7.7153) * CHOOSE( CONTROL!$C$15, $D$11, 100%, $F$11)</f>
        <v>7.7187000000000001</v>
      </c>
      <c r="H273" s="4">
        <f>CHOOSE( CONTROL!$C$32, 8.6385, 8.635) * CHOOSE(CONTROL!$C$15, $D$11, 100%, $F$11)</f>
        <v>8.6385000000000005</v>
      </c>
      <c r="I273" s="8">
        <f>CHOOSE( CONTROL!$C$32, 7.6676, 7.6643) * CHOOSE(CONTROL!$C$15, $D$11, 100%, $F$11)</f>
        <v>7.6676000000000002</v>
      </c>
      <c r="J273" s="4">
        <f>CHOOSE( CONTROL!$C$32, 7.5841, 7.5808) * CHOOSE(CONTROL!$C$15, $D$11, 100%, $F$11)</f>
        <v>7.5841000000000003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CONTROL!$C$32, 7.7421, 7.7386) * CHOOSE(CONTROL!$C$15, $D$11, 100%, $F$11)</f>
        <v>7.7420999999999998</v>
      </c>
      <c r="C274" s="8">
        <f>CHOOSE( CONTROL!$C$32, 7.7524, 7.7489) * CHOOSE(CONTROL!$C$15, $D$11, 100%, $F$11)</f>
        <v>7.7523999999999997</v>
      </c>
      <c r="D274" s="8">
        <f>CHOOSE( CONTROL!$C$32, 7.7635, 7.76) * CHOOSE( CONTROL!$C$15, $D$11, 100%, $F$11)</f>
        <v>7.7634999999999996</v>
      </c>
      <c r="E274" s="12">
        <f>CHOOSE( CONTROL!$C$32, 7.7579, 7.7544) * CHOOSE( CONTROL!$C$15, $D$11, 100%, $F$11)</f>
        <v>7.7579000000000002</v>
      </c>
      <c r="F274" s="4">
        <f>CHOOSE( CONTROL!$C$32, 8.4222, 8.4187) * CHOOSE(CONTROL!$C$15, $D$11, 100%, $F$11)</f>
        <v>8.4222000000000001</v>
      </c>
      <c r="G274" s="8">
        <f>CHOOSE( CONTROL!$C$32, 7.5951, 7.5917) * CHOOSE( CONTROL!$C$15, $D$11, 100%, $F$11)</f>
        <v>7.5951000000000004</v>
      </c>
      <c r="H274" s="4">
        <f>CHOOSE( CONTROL!$C$32, 8.5145, 8.511) * CHOOSE(CONTROL!$C$15, $D$11, 100%, $F$11)</f>
        <v>8.5145</v>
      </c>
      <c r="I274" s="8">
        <f>CHOOSE( CONTROL!$C$32, 7.547, 7.5437) * CHOOSE(CONTROL!$C$15, $D$11, 100%, $F$11)</f>
        <v>7.5469999999999997</v>
      </c>
      <c r="J274" s="4">
        <f>CHOOSE( CONTROL!$C$32, 7.4623, 7.4589) * CHOOSE(CONTROL!$C$15, $D$11, 100%, $F$11)</f>
        <v>7.4622999999999999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CONTROL!$C$32, 8.074, 8.0705) * CHOOSE(CONTROL!$C$15, $D$11, 100%, $F$11)</f>
        <v>8.0739999999999998</v>
      </c>
      <c r="C275" s="8">
        <f>CHOOSE( CONTROL!$C$32, 8.0843, 8.0808) * CHOOSE(CONTROL!$C$15, $D$11, 100%, $F$11)</f>
        <v>8.0843000000000007</v>
      </c>
      <c r="D275" s="8">
        <f>CHOOSE( CONTROL!$C$32, 8.0957, 8.0922) * CHOOSE( CONTROL!$C$15, $D$11, 100%, $F$11)</f>
        <v>8.0957000000000008</v>
      </c>
      <c r="E275" s="12">
        <f>CHOOSE( CONTROL!$C$32, 8.09, 8.0865) * CHOOSE( CONTROL!$C$15, $D$11, 100%, $F$11)</f>
        <v>8.09</v>
      </c>
      <c r="F275" s="4">
        <f>CHOOSE( CONTROL!$C$32, 8.7541, 8.7506) * CHOOSE(CONTROL!$C$15, $D$11, 100%, $F$11)</f>
        <v>8.7540999999999993</v>
      </c>
      <c r="G275" s="8">
        <f>CHOOSE( CONTROL!$C$32, 7.9221, 7.9187) * CHOOSE( CONTROL!$C$15, $D$11, 100%, $F$11)</f>
        <v>7.9221000000000004</v>
      </c>
      <c r="H275" s="4">
        <f>CHOOSE( CONTROL!$C$32, 8.841, 8.8376) * CHOOSE(CONTROL!$C$15, $D$11, 100%, $F$11)</f>
        <v>8.8409999999999993</v>
      </c>
      <c r="I275" s="8">
        <f>CHOOSE( CONTROL!$C$32, 7.8696, 7.8662) * CHOOSE(CONTROL!$C$15, $D$11, 100%, $F$11)</f>
        <v>7.8696000000000002</v>
      </c>
      <c r="J275" s="4">
        <f>CHOOSE( CONTROL!$C$32, 7.7832, 7.7799) * CHOOSE(CONTROL!$C$15, $D$11, 100%, $F$11)</f>
        <v>7.7831999999999999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CONTROL!$C$32, 7.453, 7.4495) * CHOOSE(CONTROL!$C$15, $D$11, 100%, $F$11)</f>
        <v>7.4530000000000003</v>
      </c>
      <c r="C276" s="8">
        <f>CHOOSE( CONTROL!$C$32, 7.4633, 7.4598) * CHOOSE(CONTROL!$C$15, $D$11, 100%, $F$11)</f>
        <v>7.4633000000000003</v>
      </c>
      <c r="D276" s="8">
        <f>CHOOSE( CONTROL!$C$32, 7.4749, 7.4714) * CHOOSE( CONTROL!$C$15, $D$11, 100%, $F$11)</f>
        <v>7.4748999999999999</v>
      </c>
      <c r="E276" s="12">
        <f>CHOOSE( CONTROL!$C$32, 7.4691, 7.4656) * CHOOSE( CONTROL!$C$15, $D$11, 100%, $F$11)</f>
        <v>7.4691000000000001</v>
      </c>
      <c r="F276" s="4">
        <f>CHOOSE( CONTROL!$C$32, 8.1331, 8.1296) * CHOOSE(CONTROL!$C$15, $D$11, 100%, $F$11)</f>
        <v>8.1331000000000007</v>
      </c>
      <c r="G276" s="8">
        <f>CHOOSE( CONTROL!$C$32, 7.3114, 7.308) * CHOOSE( CONTROL!$C$15, $D$11, 100%, $F$11)</f>
        <v>7.3113999999999999</v>
      </c>
      <c r="H276" s="4">
        <f>CHOOSE( CONTROL!$C$32, 8.23, 8.2266) * CHOOSE(CONTROL!$C$15, $D$11, 100%, $F$11)</f>
        <v>8.23</v>
      </c>
      <c r="I276" s="8">
        <f>CHOOSE( CONTROL!$C$32, 7.2694, 7.266) * CHOOSE(CONTROL!$C$15, $D$11, 100%, $F$11)</f>
        <v>7.2694000000000001</v>
      </c>
      <c r="J276" s="4">
        <f>CHOOSE( CONTROL!$C$32, 7.1827, 7.1793) * CHOOSE(CONTROL!$C$15, $D$11, 100%, $F$11)</f>
        <v>7.1826999999999996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CONTROL!$C$32, 7.2975, 7.294) * CHOOSE(CONTROL!$C$15, $D$11, 100%, $F$11)</f>
        <v>7.2975000000000003</v>
      </c>
      <c r="C277" s="8">
        <f>CHOOSE( CONTROL!$C$32, 7.3078, 7.3043) * CHOOSE(CONTROL!$C$15, $D$11, 100%, $F$11)</f>
        <v>7.3078000000000003</v>
      </c>
      <c r="D277" s="8">
        <f>CHOOSE( CONTROL!$C$32, 7.3194, 7.3159) * CHOOSE( CONTROL!$C$15, $D$11, 100%, $F$11)</f>
        <v>7.3193999999999999</v>
      </c>
      <c r="E277" s="12">
        <f>CHOOSE( CONTROL!$C$32, 7.3136, 7.3101) * CHOOSE( CONTROL!$C$15, $D$11, 100%, $F$11)</f>
        <v>7.3136000000000001</v>
      </c>
      <c r="F277" s="4">
        <f>CHOOSE( CONTROL!$C$32, 7.9776, 7.9741) * CHOOSE(CONTROL!$C$15, $D$11, 100%, $F$11)</f>
        <v>7.9775999999999998</v>
      </c>
      <c r="G277" s="8">
        <f>CHOOSE( CONTROL!$C$32, 7.1585, 7.155) * CHOOSE( CONTROL!$C$15, $D$11, 100%, $F$11)</f>
        <v>7.1585000000000001</v>
      </c>
      <c r="H277" s="4">
        <f>CHOOSE( CONTROL!$C$32, 8.0771, 8.0736) * CHOOSE(CONTROL!$C$15, $D$11, 100%, $F$11)</f>
        <v>8.0770999999999997</v>
      </c>
      <c r="I277" s="8">
        <f>CHOOSE( CONTROL!$C$32, 7.1191, 7.1158) * CHOOSE(CONTROL!$C$15, $D$11, 100%, $F$11)</f>
        <v>7.1191000000000004</v>
      </c>
      <c r="J277" s="4">
        <f>CHOOSE( CONTROL!$C$32, 7.0323, 7.0289) * CHOOSE(CONTROL!$C$15, $D$11, 100%, $F$11)</f>
        <v>7.0323000000000002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7.6169 * CHOOSE(CONTROL!$C$15, $D$11, 100%, $F$11)</f>
        <v>7.6169000000000002</v>
      </c>
      <c r="C278" s="8">
        <f>7.6272 * CHOOSE(CONTROL!$C$15, $D$11, 100%, $F$11)</f>
        <v>7.6272000000000002</v>
      </c>
      <c r="D278" s="8">
        <f>7.6398 * CHOOSE( CONTROL!$C$15, $D$11, 100%, $F$11)</f>
        <v>7.6398000000000001</v>
      </c>
      <c r="E278" s="12">
        <f>7.6345 * CHOOSE( CONTROL!$C$15, $D$11, 100%, $F$11)</f>
        <v>7.6345000000000001</v>
      </c>
      <c r="F278" s="4">
        <f>8.297 * CHOOSE(CONTROL!$C$15, $D$11, 100%, $F$11)</f>
        <v>8.2970000000000006</v>
      </c>
      <c r="G278" s="8">
        <f>7.4722 * CHOOSE( CONTROL!$C$15, $D$11, 100%, $F$11)</f>
        <v>7.4722</v>
      </c>
      <c r="H278" s="4">
        <f>8.3913 * CHOOSE(CONTROL!$C$15, $D$11, 100%, $F$11)</f>
        <v>8.3912999999999993</v>
      </c>
      <c r="I278" s="8">
        <f>7.4291 * CHOOSE(CONTROL!$C$15, $D$11, 100%, $F$11)</f>
        <v>7.4291</v>
      </c>
      <c r="J278" s="4">
        <f>7.3412 * CHOOSE(CONTROL!$C$15, $D$11, 100%, $F$11)</f>
        <v>7.3411999999999997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30.5152</v>
      </c>
      <c r="R278" s="9"/>
      <c r="S278" s="11"/>
    </row>
    <row r="279" spans="1:19" ht="15.75">
      <c r="A279" s="14">
        <v>50345</v>
      </c>
      <c r="B279" s="8">
        <f>8.2128 * CHOOSE(CONTROL!$C$15, $D$11, 100%, $F$11)</f>
        <v>8.2127999999999997</v>
      </c>
      <c r="C279" s="8">
        <f>8.2232 * CHOOSE(CONTROL!$C$15, $D$11, 100%, $F$11)</f>
        <v>8.2232000000000003</v>
      </c>
      <c r="D279" s="8">
        <f>8.2081 * CHOOSE( CONTROL!$C$15, $D$11, 100%, $F$11)</f>
        <v>8.2081</v>
      </c>
      <c r="E279" s="12">
        <f>8.2125 * CHOOSE( CONTROL!$C$15, $D$11, 100%, $F$11)</f>
        <v>8.2125000000000004</v>
      </c>
      <c r="F279" s="4">
        <f>8.8671 * CHOOSE(CONTROL!$C$15, $D$11, 100%, $F$11)</f>
        <v>8.8671000000000006</v>
      </c>
      <c r="G279" s="8">
        <f>8.068 * CHOOSE( CONTROL!$C$15, $D$11, 100%, $F$11)</f>
        <v>8.0679999999999996</v>
      </c>
      <c r="H279" s="4">
        <f>8.9522 * CHOOSE(CONTROL!$C$15, $D$11, 100%, $F$11)</f>
        <v>8.9521999999999995</v>
      </c>
      <c r="I279" s="8">
        <f>8.026 * CHOOSE(CONTROL!$C$15, $D$11, 100%, $F$11)</f>
        <v>8.0259999999999998</v>
      </c>
      <c r="J279" s="4">
        <f>7.9175 * CHOOSE(CONTROL!$C$15, $D$11, 100%, $F$11)</f>
        <v>7.9175000000000004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8.1979 * CHOOSE(CONTROL!$C$15, $D$11, 100%, $F$11)</f>
        <v>8.1979000000000006</v>
      </c>
      <c r="C280" s="8">
        <f>8.2083 * CHOOSE(CONTROL!$C$15, $D$11, 100%, $F$11)</f>
        <v>8.2082999999999995</v>
      </c>
      <c r="D280" s="8">
        <f>8.1948 * CHOOSE( CONTROL!$C$15, $D$11, 100%, $F$11)</f>
        <v>8.1948000000000008</v>
      </c>
      <c r="E280" s="12">
        <f>8.1986 * CHOOSE( CONTROL!$C$15, $D$11, 100%, $F$11)</f>
        <v>8.1986000000000008</v>
      </c>
      <c r="F280" s="4">
        <f>8.8522 * CHOOSE(CONTROL!$C$15, $D$11, 100%, $F$11)</f>
        <v>8.8521999999999998</v>
      </c>
      <c r="G280" s="8">
        <f>8.0545 * CHOOSE( CONTROL!$C$15, $D$11, 100%, $F$11)</f>
        <v>8.0545000000000009</v>
      </c>
      <c r="H280" s="4">
        <f>8.9375 * CHOOSE(CONTROL!$C$15, $D$11, 100%, $F$11)</f>
        <v>8.9375</v>
      </c>
      <c r="I280" s="8">
        <f>8.0169 * CHOOSE(CONTROL!$C$15, $D$11, 100%, $F$11)</f>
        <v>8.0168999999999997</v>
      </c>
      <c r="J280" s="4">
        <f>7.9031 * CHOOSE(CONTROL!$C$15, $D$11, 100%, $F$11)</f>
        <v>7.9031000000000002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30.5152</v>
      </c>
      <c r="R280" s="9"/>
      <c r="S280" s="11"/>
    </row>
    <row r="281" spans="1:19" ht="15.75">
      <c r="A281" s="13">
        <v>50436</v>
      </c>
      <c r="B281" s="8">
        <f>8.5103 * CHOOSE(CONTROL!$C$15, $D$11, 100%, $F$11)</f>
        <v>8.5103000000000009</v>
      </c>
      <c r="C281" s="8">
        <f>8.5206 * CHOOSE(CONTROL!$C$15, $D$11, 100%, $F$11)</f>
        <v>8.5206</v>
      </c>
      <c r="D281" s="8">
        <f>8.519 * CHOOSE( CONTROL!$C$15, $D$11, 100%, $F$11)</f>
        <v>8.5190000000000001</v>
      </c>
      <c r="E281" s="12">
        <f>8.5185 * CHOOSE( CONTROL!$C$15, $D$11, 100%, $F$11)</f>
        <v>8.5184999999999995</v>
      </c>
      <c r="F281" s="4">
        <f>9.193 * CHOOSE(CONTROL!$C$15, $D$11, 100%, $F$11)</f>
        <v>9.1929999999999996</v>
      </c>
      <c r="G281" s="8">
        <f>8.3744 * CHOOSE( CONTROL!$C$15, $D$11, 100%, $F$11)</f>
        <v>8.3743999999999996</v>
      </c>
      <c r="H281" s="4">
        <f>9.2728 * CHOOSE(CONTROL!$C$15, $D$11, 100%, $F$11)</f>
        <v>9.2728000000000002</v>
      </c>
      <c r="I281" s="8">
        <f>8.3179 * CHOOSE(CONTROL!$C$15, $D$11, 100%, $F$11)</f>
        <v>8.3178999999999998</v>
      </c>
      <c r="J281" s="4">
        <f>8.2052 * CHOOSE(CONTROL!$C$15, $D$11, 100%, $F$11)</f>
        <v>8.2051999999999996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7.9618 * CHOOSE(CONTROL!$C$15, $D$11, 100%, $F$11)</f>
        <v>7.9618000000000002</v>
      </c>
      <c r="C282" s="8">
        <f>7.9721 * CHOOSE(CONTROL!$C$15, $D$11, 100%, $F$11)</f>
        <v>7.9721000000000002</v>
      </c>
      <c r="D282" s="8">
        <f>7.9726 * CHOOSE( CONTROL!$C$15, $D$11, 100%, $F$11)</f>
        <v>7.9725999999999999</v>
      </c>
      <c r="E282" s="12">
        <f>7.9713 * CHOOSE( CONTROL!$C$15, $D$11, 100%, $F$11)</f>
        <v>7.9713000000000003</v>
      </c>
      <c r="F282" s="4">
        <f>8.6367 * CHOOSE(CONTROL!$C$15, $D$11, 100%, $F$11)</f>
        <v>8.6366999999999994</v>
      </c>
      <c r="G282" s="8">
        <f>7.8345 * CHOOSE( CONTROL!$C$15, $D$11, 100%, $F$11)</f>
        <v>7.8345000000000002</v>
      </c>
      <c r="H282" s="4">
        <f>8.7255 * CHOOSE(CONTROL!$C$15, $D$11, 100%, $F$11)</f>
        <v>8.7255000000000003</v>
      </c>
      <c r="I282" s="8">
        <f>7.7762 * CHOOSE(CONTROL!$C$15, $D$11, 100%, $F$11)</f>
        <v>7.7762000000000002</v>
      </c>
      <c r="J282" s="4">
        <f>7.6747 * CHOOSE(CONTROL!$C$15, $D$11, 100%, $F$11)</f>
        <v>7.6746999999999996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7.7928 * CHOOSE(CONTROL!$C$15, $D$11, 100%, $F$11)</f>
        <v>7.7927999999999997</v>
      </c>
      <c r="C283" s="8">
        <f>7.8032 * CHOOSE(CONTROL!$C$15, $D$11, 100%, $F$11)</f>
        <v>7.8032000000000004</v>
      </c>
      <c r="D283" s="8">
        <f>7.7984 * CHOOSE( CONTROL!$C$15, $D$11, 100%, $F$11)</f>
        <v>7.7984</v>
      </c>
      <c r="E283" s="12">
        <f>7.799 * CHOOSE( CONTROL!$C$15, $D$11, 100%, $F$11)</f>
        <v>7.7990000000000004</v>
      </c>
      <c r="F283" s="4">
        <f>8.4704 * CHOOSE(CONTROL!$C$15, $D$11, 100%, $F$11)</f>
        <v>8.4703999999999997</v>
      </c>
      <c r="G283" s="8">
        <f>7.6628 * CHOOSE( CONTROL!$C$15, $D$11, 100%, $F$11)</f>
        <v>7.6627999999999998</v>
      </c>
      <c r="H283" s="4">
        <f>8.5619 * CHOOSE(CONTROL!$C$15, $D$11, 100%, $F$11)</f>
        <v>8.5618999999999996</v>
      </c>
      <c r="I283" s="8">
        <f>7.6009 * CHOOSE(CONTROL!$C$15, $D$11, 100%, $F$11)</f>
        <v>7.6009000000000002</v>
      </c>
      <c r="J283" s="4">
        <f>7.5113 * CHOOSE(CONTROL!$C$15, $D$11, 100%, $F$11)</f>
        <v>7.5113000000000003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7.9109 * CHOOSE(CONTROL!$C$15, $D$11, 100%, $F$11)</f>
        <v>7.9108999999999998</v>
      </c>
      <c r="C284" s="8">
        <f>7.9212 * CHOOSE(CONTROL!$C$15, $D$11, 100%, $F$11)</f>
        <v>7.9211999999999998</v>
      </c>
      <c r="D284" s="8">
        <f>7.9325 * CHOOSE( CONTROL!$C$15, $D$11, 100%, $F$11)</f>
        <v>7.9325000000000001</v>
      </c>
      <c r="E284" s="12">
        <f>7.9276 * CHOOSE( CONTROL!$C$15, $D$11, 100%, $F$11)</f>
        <v>7.9276</v>
      </c>
      <c r="F284" s="4">
        <f>8.591 * CHOOSE(CONTROL!$C$15, $D$11, 100%, $F$11)</f>
        <v>8.5909999999999993</v>
      </c>
      <c r="G284" s="8">
        <f>7.7596 * CHOOSE( CONTROL!$C$15, $D$11, 100%, $F$11)</f>
        <v>7.7595999999999998</v>
      </c>
      <c r="H284" s="4">
        <f>8.6805 * CHOOSE(CONTROL!$C$15, $D$11, 100%, $F$11)</f>
        <v>8.6805000000000003</v>
      </c>
      <c r="I284" s="8">
        <f>7.7075 * CHOOSE(CONTROL!$C$15, $D$11, 100%, $F$11)</f>
        <v>7.7074999999999996</v>
      </c>
      <c r="J284" s="4">
        <f>7.6255 * CHOOSE(CONTROL!$C$15, $D$11, 100%, $F$11)</f>
        <v>7.6254999999999997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CONTROL!$C$32, 8.1245, 8.121) * CHOOSE(CONTROL!$C$15, $D$11, 100%, $F$11)</f>
        <v>8.1244999999999994</v>
      </c>
      <c r="C285" s="8">
        <f>CHOOSE( CONTROL!$C$32, 8.1348, 8.1313) * CHOOSE(CONTROL!$C$15, $D$11, 100%, $F$11)</f>
        <v>8.1348000000000003</v>
      </c>
      <c r="D285" s="8">
        <f>CHOOSE( CONTROL!$C$32, 8.1456, 8.1421) * CHOOSE( CONTROL!$C$15, $D$11, 100%, $F$11)</f>
        <v>8.1456</v>
      </c>
      <c r="E285" s="12">
        <f>CHOOSE( CONTROL!$C$32, 8.1401, 8.1366) * CHOOSE( CONTROL!$C$15, $D$11, 100%, $F$11)</f>
        <v>8.1401000000000003</v>
      </c>
      <c r="F285" s="4">
        <f>CHOOSE( CONTROL!$C$32, 8.8046, 8.8011) * CHOOSE(CONTROL!$C$15, $D$11, 100%, $F$11)</f>
        <v>8.8046000000000006</v>
      </c>
      <c r="G285" s="8">
        <f>CHOOSE( CONTROL!$C$32, 7.9709, 7.9675) * CHOOSE( CONTROL!$C$15, $D$11, 100%, $F$11)</f>
        <v>7.9709000000000003</v>
      </c>
      <c r="H285" s="4">
        <f>CHOOSE( CONTROL!$C$32, 8.8907, 8.8872) * CHOOSE(CONTROL!$C$15, $D$11, 100%, $F$11)</f>
        <v>8.8907000000000007</v>
      </c>
      <c r="I285" s="8">
        <f>CHOOSE( CONTROL!$C$32, 7.9157, 7.9123) * CHOOSE(CONTROL!$C$15, $D$11, 100%, $F$11)</f>
        <v>7.9157000000000002</v>
      </c>
      <c r="J285" s="4">
        <f>CHOOSE( CONTROL!$C$32, 7.8321, 7.8287) * CHOOSE(CONTROL!$C$15, $D$11, 100%, $F$11)</f>
        <v>7.8320999999999996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CONTROL!$C$32, 7.9943, 7.9908) * CHOOSE(CONTROL!$C$15, $D$11, 100%, $F$11)</f>
        <v>7.9943</v>
      </c>
      <c r="C286" s="8">
        <f>CHOOSE( CONTROL!$C$32, 8.0046, 8.0012) * CHOOSE(CONTROL!$C$15, $D$11, 100%, $F$11)</f>
        <v>8.0045999999999999</v>
      </c>
      <c r="D286" s="8">
        <f>CHOOSE( CONTROL!$C$32, 8.0157, 8.0123) * CHOOSE( CONTROL!$C$15, $D$11, 100%, $F$11)</f>
        <v>8.0157000000000007</v>
      </c>
      <c r="E286" s="12">
        <f>CHOOSE( CONTROL!$C$32, 8.0101, 8.0067) * CHOOSE( CONTROL!$C$15, $D$11, 100%, $F$11)</f>
        <v>8.0100999999999996</v>
      </c>
      <c r="F286" s="4">
        <f>CHOOSE( CONTROL!$C$32, 8.6744, 8.6709) * CHOOSE(CONTROL!$C$15, $D$11, 100%, $F$11)</f>
        <v>8.6744000000000003</v>
      </c>
      <c r="G286" s="8">
        <f>CHOOSE( CONTROL!$C$32, 7.8433, 7.8399) * CHOOSE( CONTROL!$C$15, $D$11, 100%, $F$11)</f>
        <v>7.8433000000000002</v>
      </c>
      <c r="H286" s="4">
        <f>CHOOSE( CONTROL!$C$32, 8.7626, 8.7592) * CHOOSE(CONTROL!$C$15, $D$11, 100%, $F$11)</f>
        <v>8.7626000000000008</v>
      </c>
      <c r="I286" s="8">
        <f>CHOOSE( CONTROL!$C$32, 7.7911, 7.7877) * CHOOSE(CONTROL!$C$15, $D$11, 100%, $F$11)</f>
        <v>7.7911000000000001</v>
      </c>
      <c r="J286" s="4">
        <f>CHOOSE( CONTROL!$C$32, 7.7062, 7.7028) * CHOOSE(CONTROL!$C$15, $D$11, 100%, $F$11)</f>
        <v>7.7061999999999999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CONTROL!$C$32, 8.337, 8.3336) * CHOOSE(CONTROL!$C$15, $D$11, 100%, $F$11)</f>
        <v>8.3369999999999997</v>
      </c>
      <c r="C287" s="8">
        <f>CHOOSE( CONTROL!$C$32, 8.3474, 8.3439) * CHOOSE(CONTROL!$C$15, $D$11, 100%, $F$11)</f>
        <v>8.3474000000000004</v>
      </c>
      <c r="D287" s="8">
        <f>CHOOSE( CONTROL!$C$32, 8.3588, 8.3553) * CHOOSE( CONTROL!$C$15, $D$11, 100%, $F$11)</f>
        <v>8.3588000000000005</v>
      </c>
      <c r="E287" s="12">
        <f>CHOOSE( CONTROL!$C$32, 8.3531, 8.3496) * CHOOSE( CONTROL!$C$15, $D$11, 100%, $F$11)</f>
        <v>8.3530999999999995</v>
      </c>
      <c r="F287" s="4">
        <f>CHOOSE( CONTROL!$C$32, 9.0171, 9.0137) * CHOOSE(CONTROL!$C$15, $D$11, 100%, $F$11)</f>
        <v>9.0170999999999992</v>
      </c>
      <c r="G287" s="8">
        <f>CHOOSE( CONTROL!$C$32, 8.1809, 8.1775) * CHOOSE( CONTROL!$C$15, $D$11, 100%, $F$11)</f>
        <v>8.1808999999999994</v>
      </c>
      <c r="H287" s="4">
        <f>CHOOSE( CONTROL!$C$32, 9.0998, 9.0964) * CHOOSE(CONTROL!$C$15, $D$11, 100%, $F$11)</f>
        <v>9.0998000000000001</v>
      </c>
      <c r="I287" s="8">
        <f>CHOOSE( CONTROL!$C$32, 8.1241, 8.1208) * CHOOSE(CONTROL!$C$15, $D$11, 100%, $F$11)</f>
        <v>8.1241000000000003</v>
      </c>
      <c r="J287" s="4">
        <f>CHOOSE( CONTROL!$C$32, 8.0376, 8.0343) * CHOOSE(CONTROL!$C$15, $D$11, 100%, $F$11)</f>
        <v>8.0375999999999994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CONTROL!$C$32, 7.6958, 7.6923) * CHOOSE(CONTROL!$C$15, $D$11, 100%, $F$11)</f>
        <v>7.6958000000000002</v>
      </c>
      <c r="C288" s="8">
        <f>CHOOSE( CONTROL!$C$32, 7.7061, 7.7026) * CHOOSE(CONTROL!$C$15, $D$11, 100%, $F$11)</f>
        <v>7.7061000000000002</v>
      </c>
      <c r="D288" s="8">
        <f>CHOOSE( CONTROL!$C$32, 7.7176, 7.7142) * CHOOSE( CONTROL!$C$15, $D$11, 100%, $F$11)</f>
        <v>7.7176</v>
      </c>
      <c r="E288" s="12">
        <f>CHOOSE( CONTROL!$C$32, 7.7119, 7.7084) * CHOOSE( CONTROL!$C$15, $D$11, 100%, $F$11)</f>
        <v>7.7119</v>
      </c>
      <c r="F288" s="4">
        <f>CHOOSE( CONTROL!$C$32, 8.3759, 8.3724) * CHOOSE(CONTROL!$C$15, $D$11, 100%, $F$11)</f>
        <v>8.3758999999999997</v>
      </c>
      <c r="G288" s="8">
        <f>CHOOSE( CONTROL!$C$32, 7.5502, 7.5468) * CHOOSE( CONTROL!$C$15, $D$11, 100%, $F$11)</f>
        <v>7.5502000000000002</v>
      </c>
      <c r="H288" s="4">
        <f>CHOOSE( CONTROL!$C$32, 8.4689, 8.4655) * CHOOSE(CONTROL!$C$15, $D$11, 100%, $F$11)</f>
        <v>8.4688999999999997</v>
      </c>
      <c r="I288" s="8">
        <f>CHOOSE( CONTROL!$C$32, 7.5043, 7.501) * CHOOSE(CONTROL!$C$15, $D$11, 100%, $F$11)</f>
        <v>7.5042999999999997</v>
      </c>
      <c r="J288" s="4">
        <f>CHOOSE( CONTROL!$C$32, 7.4175, 7.4141) * CHOOSE(CONTROL!$C$15, $D$11, 100%, $F$11)</f>
        <v>7.4175000000000004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CONTROL!$C$32, 7.5352, 7.5317) * CHOOSE(CONTROL!$C$15, $D$11, 100%, $F$11)</f>
        <v>7.5351999999999997</v>
      </c>
      <c r="C289" s="8">
        <f>CHOOSE( CONTROL!$C$32, 7.5455, 7.542) * CHOOSE(CONTROL!$C$15, $D$11, 100%, $F$11)</f>
        <v>7.5454999999999997</v>
      </c>
      <c r="D289" s="8">
        <f>CHOOSE( CONTROL!$C$32, 7.5571, 7.5536) * CHOOSE( CONTROL!$C$15, $D$11, 100%, $F$11)</f>
        <v>7.5571000000000002</v>
      </c>
      <c r="E289" s="12">
        <f>CHOOSE( CONTROL!$C$32, 7.5513, 7.5478) * CHOOSE( CONTROL!$C$15, $D$11, 100%, $F$11)</f>
        <v>7.5513000000000003</v>
      </c>
      <c r="F289" s="4">
        <f>CHOOSE( CONTROL!$C$32, 8.2153, 8.2118) * CHOOSE(CONTROL!$C$15, $D$11, 100%, $F$11)</f>
        <v>8.2152999999999992</v>
      </c>
      <c r="G289" s="8">
        <f>CHOOSE( CONTROL!$C$32, 7.3923, 7.3889) * CHOOSE( CONTROL!$C$15, $D$11, 100%, $F$11)</f>
        <v>7.3922999999999996</v>
      </c>
      <c r="H289" s="4">
        <f>CHOOSE( CONTROL!$C$32, 8.3109, 8.3075) * CHOOSE(CONTROL!$C$15, $D$11, 100%, $F$11)</f>
        <v>8.3109000000000002</v>
      </c>
      <c r="I289" s="8">
        <f>CHOOSE( CONTROL!$C$32, 7.3491, 7.3458) * CHOOSE(CONTROL!$C$15, $D$11, 100%, $F$11)</f>
        <v>7.3491</v>
      </c>
      <c r="J289" s="4">
        <f>CHOOSE( CONTROL!$C$32, 7.2622, 7.2588) * CHOOSE(CONTROL!$C$15, $D$11, 100%, $F$11)</f>
        <v>7.2622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29.4696</v>
      </c>
      <c r="R289" s="9"/>
      <c r="S289" s="11"/>
    </row>
    <row r="290" spans="1:19" ht="15.75">
      <c r="A290" s="13">
        <v>50709</v>
      </c>
      <c r="B290" s="8">
        <f>7.8651 * CHOOSE(CONTROL!$C$15, $D$11, 100%, $F$11)</f>
        <v>7.8651</v>
      </c>
      <c r="C290" s="8">
        <f>7.8755 * CHOOSE(CONTROL!$C$15, $D$11, 100%, $F$11)</f>
        <v>7.8754999999999997</v>
      </c>
      <c r="D290" s="8">
        <f>7.888 * CHOOSE( CONTROL!$C$15, $D$11, 100%, $F$11)</f>
        <v>7.8879999999999999</v>
      </c>
      <c r="E290" s="12">
        <f>7.8828 * CHOOSE( CONTROL!$C$15, $D$11, 100%, $F$11)</f>
        <v>7.8827999999999996</v>
      </c>
      <c r="F290" s="4">
        <f>8.5452 * CHOOSE(CONTROL!$C$15, $D$11, 100%, $F$11)</f>
        <v>8.5451999999999995</v>
      </c>
      <c r="G290" s="8">
        <f>7.7165 * CHOOSE( CONTROL!$C$15, $D$11, 100%, $F$11)</f>
        <v>7.7164999999999999</v>
      </c>
      <c r="H290" s="4">
        <f>8.6355 * CHOOSE(CONTROL!$C$15, $D$11, 100%, $F$11)</f>
        <v>8.6355000000000004</v>
      </c>
      <c r="I290" s="8">
        <f>7.6693 * CHOOSE(CONTROL!$C$15, $D$11, 100%, $F$11)</f>
        <v>7.6692999999999998</v>
      </c>
      <c r="J290" s="4">
        <f>7.5813 * CHOOSE(CONTROL!$C$15, $D$11, 100%, $F$11)</f>
        <v>7.5812999999999997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8.4806 * CHOOSE(CONTROL!$C$15, $D$11, 100%, $F$11)</f>
        <v>8.4806000000000008</v>
      </c>
      <c r="C291" s="8">
        <f>8.4909 * CHOOSE(CONTROL!$C$15, $D$11, 100%, $F$11)</f>
        <v>8.4908999999999999</v>
      </c>
      <c r="D291" s="8">
        <f>8.4758 * CHOOSE( CONTROL!$C$15, $D$11, 100%, $F$11)</f>
        <v>8.4757999999999996</v>
      </c>
      <c r="E291" s="12">
        <f>8.4802 * CHOOSE( CONTROL!$C$15, $D$11, 100%, $F$11)</f>
        <v>8.4802</v>
      </c>
      <c r="F291" s="4">
        <f>9.1348 * CHOOSE(CONTROL!$C$15, $D$11, 100%, $F$11)</f>
        <v>9.1348000000000003</v>
      </c>
      <c r="G291" s="8">
        <f>8.3314 * CHOOSE( CONTROL!$C$15, $D$11, 100%, $F$11)</f>
        <v>8.3314000000000004</v>
      </c>
      <c r="H291" s="4">
        <f>9.2156 * CHOOSE(CONTROL!$C$15, $D$11, 100%, $F$11)</f>
        <v>9.2156000000000002</v>
      </c>
      <c r="I291" s="8">
        <f>8.2851 * CHOOSE(CONTROL!$C$15, $D$11, 100%, $F$11)</f>
        <v>8.2850999999999999</v>
      </c>
      <c r="J291" s="4">
        <f>8.1765 * CHOOSE(CONTROL!$C$15, $D$11, 100%, $F$11)</f>
        <v>8.1765000000000008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29.4696</v>
      </c>
      <c r="R291" s="9"/>
      <c r="S291" s="11"/>
    </row>
    <row r="292" spans="1:19" ht="15.75">
      <c r="A292" s="13">
        <v>50770</v>
      </c>
      <c r="B292" s="8">
        <f>8.4652 * CHOOSE(CONTROL!$C$15, $D$11, 100%, $F$11)</f>
        <v>8.4651999999999994</v>
      </c>
      <c r="C292" s="8">
        <f>8.4755 * CHOOSE(CONTROL!$C$15, $D$11, 100%, $F$11)</f>
        <v>8.4755000000000003</v>
      </c>
      <c r="D292" s="8">
        <f>8.4621 * CHOOSE( CONTROL!$C$15, $D$11, 100%, $F$11)</f>
        <v>8.4620999999999995</v>
      </c>
      <c r="E292" s="12">
        <f>8.4659 * CHOOSE( CONTROL!$C$15, $D$11, 100%, $F$11)</f>
        <v>8.4658999999999995</v>
      </c>
      <c r="F292" s="4">
        <f>9.1195 * CHOOSE(CONTROL!$C$15, $D$11, 100%, $F$11)</f>
        <v>9.1195000000000004</v>
      </c>
      <c r="G292" s="8">
        <f>8.3175 * CHOOSE( CONTROL!$C$15, $D$11, 100%, $F$11)</f>
        <v>8.3175000000000008</v>
      </c>
      <c r="H292" s="4">
        <f>9.2005 * CHOOSE(CONTROL!$C$15, $D$11, 100%, $F$11)</f>
        <v>9.2004999999999999</v>
      </c>
      <c r="I292" s="8">
        <f>8.2755 * CHOOSE(CONTROL!$C$15, $D$11, 100%, $F$11)</f>
        <v>8.2754999999999992</v>
      </c>
      <c r="J292" s="4">
        <f>8.1616 * CHOOSE(CONTROL!$C$15, $D$11, 100%, $F$11)</f>
        <v>8.1616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8.7877 * CHOOSE(CONTROL!$C$15, $D$11, 100%, $F$11)</f>
        <v>8.7876999999999992</v>
      </c>
      <c r="C293" s="8">
        <f>8.7981 * CHOOSE(CONTROL!$C$15, $D$11, 100%, $F$11)</f>
        <v>8.7980999999999998</v>
      </c>
      <c r="D293" s="8">
        <f>8.7965 * CHOOSE( CONTROL!$C$15, $D$11, 100%, $F$11)</f>
        <v>8.7965</v>
      </c>
      <c r="E293" s="12">
        <f>8.796 * CHOOSE( CONTROL!$C$15, $D$11, 100%, $F$11)</f>
        <v>8.7959999999999994</v>
      </c>
      <c r="F293" s="4">
        <f>9.4704 * CHOOSE(CONTROL!$C$15, $D$11, 100%, $F$11)</f>
        <v>9.4703999999999997</v>
      </c>
      <c r="G293" s="8">
        <f>8.6473 * CHOOSE( CONTROL!$C$15, $D$11, 100%, $F$11)</f>
        <v>8.6472999999999995</v>
      </c>
      <c r="H293" s="4">
        <f>9.5458 * CHOOSE(CONTROL!$C$15, $D$11, 100%, $F$11)</f>
        <v>9.5457999999999998</v>
      </c>
      <c r="I293" s="8">
        <f>8.5863 * CHOOSE(CONTROL!$C$15, $D$11, 100%, $F$11)</f>
        <v>8.5862999999999996</v>
      </c>
      <c r="J293" s="4">
        <f>8.4735 * CHOOSE(CONTROL!$C$15, $D$11, 100%, $F$11)</f>
        <v>8.4734999999999996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8.2213 * CHOOSE(CONTROL!$C$15, $D$11, 100%, $F$11)</f>
        <v>8.2212999999999994</v>
      </c>
      <c r="C294" s="8">
        <f>8.2316 * CHOOSE(CONTROL!$C$15, $D$11, 100%, $F$11)</f>
        <v>8.2316000000000003</v>
      </c>
      <c r="D294" s="8">
        <f>8.2322 * CHOOSE( CONTROL!$C$15, $D$11, 100%, $F$11)</f>
        <v>8.2322000000000006</v>
      </c>
      <c r="E294" s="12">
        <f>8.2309 * CHOOSE( CONTROL!$C$15, $D$11, 100%, $F$11)</f>
        <v>8.2309000000000001</v>
      </c>
      <c r="F294" s="4">
        <f>8.8962 * CHOOSE(CONTROL!$C$15, $D$11, 100%, $F$11)</f>
        <v>8.8962000000000003</v>
      </c>
      <c r="G294" s="8">
        <f>8.0898 * CHOOSE( CONTROL!$C$15, $D$11, 100%, $F$11)</f>
        <v>8.0898000000000003</v>
      </c>
      <c r="H294" s="4">
        <f>8.9809 * CHOOSE(CONTROL!$C$15, $D$11, 100%, $F$11)</f>
        <v>8.9809000000000001</v>
      </c>
      <c r="I294" s="8">
        <f>8.0273 * CHOOSE(CONTROL!$C$15, $D$11, 100%, $F$11)</f>
        <v>8.0273000000000003</v>
      </c>
      <c r="J294" s="4">
        <f>7.9257 * CHOOSE(CONTROL!$C$15, $D$11, 100%, $F$11)</f>
        <v>7.9257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8.0468 * CHOOSE(CONTROL!$C$15, $D$11, 100%, $F$11)</f>
        <v>8.0467999999999993</v>
      </c>
      <c r="C295" s="8">
        <f>8.0572 * CHOOSE(CONTROL!$C$15, $D$11, 100%, $F$11)</f>
        <v>8.0571999999999999</v>
      </c>
      <c r="D295" s="8">
        <f>8.0524 * CHOOSE( CONTROL!$C$15, $D$11, 100%, $F$11)</f>
        <v>8.0524000000000004</v>
      </c>
      <c r="E295" s="12">
        <f>8.053 * CHOOSE( CONTROL!$C$15, $D$11, 100%, $F$11)</f>
        <v>8.0530000000000008</v>
      </c>
      <c r="F295" s="4">
        <f>8.7244 * CHOOSE(CONTROL!$C$15, $D$11, 100%, $F$11)</f>
        <v>8.7243999999999993</v>
      </c>
      <c r="G295" s="8">
        <f>7.9127 * CHOOSE( CONTROL!$C$15, $D$11, 100%, $F$11)</f>
        <v>7.9127000000000001</v>
      </c>
      <c r="H295" s="4">
        <f>8.8118 * CHOOSE(CONTROL!$C$15, $D$11, 100%, $F$11)</f>
        <v>8.8117999999999999</v>
      </c>
      <c r="I295" s="8">
        <f>7.8467 * CHOOSE(CONTROL!$C$15, $D$11, 100%, $F$11)</f>
        <v>7.8467000000000002</v>
      </c>
      <c r="J295" s="4">
        <f>7.757 * CHOOSE(CONTROL!$C$15, $D$11, 100%, $F$11)</f>
        <v>7.7569999999999997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8.1688 * CHOOSE(CONTROL!$C$15, $D$11, 100%, $F$11)</f>
        <v>8.1687999999999992</v>
      </c>
      <c r="C296" s="8">
        <f>8.1791 * CHOOSE(CONTROL!$C$15, $D$11, 100%, $F$11)</f>
        <v>8.1791</v>
      </c>
      <c r="D296" s="8">
        <f>8.1904 * CHOOSE( CONTROL!$C$15, $D$11, 100%, $F$11)</f>
        <v>8.1904000000000003</v>
      </c>
      <c r="E296" s="12">
        <f>8.1855 * CHOOSE( CONTROL!$C$15, $D$11, 100%, $F$11)</f>
        <v>8.1854999999999993</v>
      </c>
      <c r="F296" s="4">
        <f>8.8489 * CHOOSE(CONTROL!$C$15, $D$11, 100%, $F$11)</f>
        <v>8.8489000000000004</v>
      </c>
      <c r="G296" s="8">
        <f>8.0133 * CHOOSE( CONTROL!$C$15, $D$11, 100%, $F$11)</f>
        <v>8.0132999999999992</v>
      </c>
      <c r="H296" s="4">
        <f>8.9342 * CHOOSE(CONTROL!$C$15, $D$11, 100%, $F$11)</f>
        <v>8.9342000000000006</v>
      </c>
      <c r="I296" s="8">
        <f>7.957 * CHOOSE(CONTROL!$C$15, $D$11, 100%, $F$11)</f>
        <v>7.9569999999999999</v>
      </c>
      <c r="J296" s="4">
        <f>7.8749 * CHOOSE(CONTROL!$C$15, $D$11, 100%, $F$11)</f>
        <v>7.8749000000000002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CONTROL!$C$32, 8.3892, 8.3857) * CHOOSE(CONTROL!$C$15, $D$11, 100%, $F$11)</f>
        <v>8.3892000000000007</v>
      </c>
      <c r="C297" s="8">
        <f>CHOOSE( CONTROL!$C$32, 8.3995, 8.3961) * CHOOSE(CONTROL!$C$15, $D$11, 100%, $F$11)</f>
        <v>8.3994999999999997</v>
      </c>
      <c r="D297" s="8">
        <f>CHOOSE( CONTROL!$C$32, 8.4104, 8.4069) * CHOOSE( CONTROL!$C$15, $D$11, 100%, $F$11)</f>
        <v>8.4103999999999992</v>
      </c>
      <c r="E297" s="12">
        <f>CHOOSE( CONTROL!$C$32, 8.4049, 8.4014) * CHOOSE( CONTROL!$C$15, $D$11, 100%, $F$11)</f>
        <v>8.4048999999999996</v>
      </c>
      <c r="F297" s="4">
        <f>CHOOSE( CONTROL!$C$32, 9.0693, 9.0658) * CHOOSE(CONTROL!$C$15, $D$11, 100%, $F$11)</f>
        <v>9.0693000000000001</v>
      </c>
      <c r="G297" s="8">
        <f>CHOOSE( CONTROL!$C$32, 8.2314, 8.228) * CHOOSE( CONTROL!$C$15, $D$11, 100%, $F$11)</f>
        <v>8.2314000000000007</v>
      </c>
      <c r="H297" s="4">
        <f>CHOOSE( CONTROL!$C$32, 9.1511, 9.1477) * CHOOSE(CONTROL!$C$15, $D$11, 100%, $F$11)</f>
        <v>9.1510999999999996</v>
      </c>
      <c r="I297" s="8">
        <f>CHOOSE( CONTROL!$C$32, 8.1718, 8.1685) * CHOOSE(CONTROL!$C$15, $D$11, 100%, $F$11)</f>
        <v>8.1717999999999993</v>
      </c>
      <c r="J297" s="4">
        <f>CHOOSE( CONTROL!$C$32, 8.0881, 8.0847) * CHOOSE(CONTROL!$C$15, $D$11, 100%, $F$11)</f>
        <v>8.0881000000000007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CONTROL!$C$32, 8.2548, 8.2513) * CHOOSE(CONTROL!$C$15, $D$11, 100%, $F$11)</f>
        <v>8.2547999999999995</v>
      </c>
      <c r="C298" s="8">
        <f>CHOOSE( CONTROL!$C$32, 8.2651, 8.2617) * CHOOSE(CONTROL!$C$15, $D$11, 100%, $F$11)</f>
        <v>8.2651000000000003</v>
      </c>
      <c r="D298" s="8">
        <f>CHOOSE( CONTROL!$C$32, 8.2762, 8.2728) * CHOOSE( CONTROL!$C$15, $D$11, 100%, $F$11)</f>
        <v>8.2761999999999993</v>
      </c>
      <c r="E298" s="12">
        <f>CHOOSE( CONTROL!$C$32, 8.2706, 8.2672) * CHOOSE( CONTROL!$C$15, $D$11, 100%, $F$11)</f>
        <v>8.2706</v>
      </c>
      <c r="F298" s="4">
        <f>CHOOSE( CONTROL!$C$32, 8.9349, 8.9314) * CHOOSE(CONTROL!$C$15, $D$11, 100%, $F$11)</f>
        <v>8.9349000000000007</v>
      </c>
      <c r="G298" s="8">
        <f>CHOOSE( CONTROL!$C$32, 8.0996, 8.0962) * CHOOSE( CONTROL!$C$15, $D$11, 100%, $F$11)</f>
        <v>8.0996000000000006</v>
      </c>
      <c r="H298" s="4">
        <f>CHOOSE( CONTROL!$C$32, 9.0189, 9.0155) * CHOOSE(CONTROL!$C$15, $D$11, 100%, $F$11)</f>
        <v>9.0189000000000004</v>
      </c>
      <c r="I298" s="8">
        <f>CHOOSE( CONTROL!$C$32, 8.0431, 8.0398) * CHOOSE(CONTROL!$C$15, $D$11, 100%, $F$11)</f>
        <v>8.0431000000000008</v>
      </c>
      <c r="J298" s="4">
        <f>CHOOSE( CONTROL!$C$32, 7.9581, 7.9547) * CHOOSE(CONTROL!$C$15, $D$11, 100%, $F$11)</f>
        <v>7.9581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CONTROL!$C$32, 8.6087, 8.6053) * CHOOSE(CONTROL!$C$15, $D$11, 100%, $F$11)</f>
        <v>8.6087000000000007</v>
      </c>
      <c r="C299" s="8">
        <f>CHOOSE( CONTROL!$C$32, 8.6191, 8.6156) * CHOOSE(CONTROL!$C$15, $D$11, 100%, $F$11)</f>
        <v>8.6190999999999995</v>
      </c>
      <c r="D299" s="8">
        <f>CHOOSE( CONTROL!$C$32, 8.6305, 8.627) * CHOOSE( CONTROL!$C$15, $D$11, 100%, $F$11)</f>
        <v>8.6304999999999996</v>
      </c>
      <c r="E299" s="12">
        <f>CHOOSE( CONTROL!$C$32, 8.6248, 8.6213) * CHOOSE( CONTROL!$C$15, $D$11, 100%, $F$11)</f>
        <v>8.6248000000000005</v>
      </c>
      <c r="F299" s="4">
        <f>CHOOSE( CONTROL!$C$32, 9.2888, 9.2854) * CHOOSE(CONTROL!$C$15, $D$11, 100%, $F$11)</f>
        <v>9.2888000000000002</v>
      </c>
      <c r="G299" s="8">
        <f>CHOOSE( CONTROL!$C$32, 8.4482, 8.4448) * CHOOSE( CONTROL!$C$15, $D$11, 100%, $F$11)</f>
        <v>8.4481999999999999</v>
      </c>
      <c r="H299" s="4">
        <f>CHOOSE( CONTROL!$C$32, 9.3671, 9.3637) * CHOOSE(CONTROL!$C$15, $D$11, 100%, $F$11)</f>
        <v>9.3671000000000006</v>
      </c>
      <c r="I299" s="8">
        <f>CHOOSE( CONTROL!$C$32, 8.387, 8.3837) * CHOOSE(CONTROL!$C$15, $D$11, 100%, $F$11)</f>
        <v>8.3870000000000005</v>
      </c>
      <c r="J299" s="4">
        <f>CHOOSE( CONTROL!$C$32, 8.3004, 8.297) * CHOOSE(CONTROL!$C$15, $D$11, 100%, $F$11)</f>
        <v>8.3003999999999998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CONTROL!$C$32, 7.9465, 7.943) * CHOOSE(CONTROL!$C$15, $D$11, 100%, $F$11)</f>
        <v>7.9465000000000003</v>
      </c>
      <c r="C300" s="8">
        <f>CHOOSE( CONTROL!$C$32, 7.9568, 7.9533) * CHOOSE(CONTROL!$C$15, $D$11, 100%, $F$11)</f>
        <v>7.9568000000000003</v>
      </c>
      <c r="D300" s="8">
        <f>CHOOSE( CONTROL!$C$32, 7.9683, 7.9649) * CHOOSE( CONTROL!$C$15, $D$11, 100%, $F$11)</f>
        <v>7.9683000000000002</v>
      </c>
      <c r="E300" s="12">
        <f>CHOOSE( CONTROL!$C$32, 7.9626, 7.9591) * CHOOSE( CONTROL!$C$15, $D$11, 100%, $F$11)</f>
        <v>7.9626000000000001</v>
      </c>
      <c r="F300" s="4">
        <f>CHOOSE( CONTROL!$C$32, 8.6266, 8.6231) * CHOOSE(CONTROL!$C$15, $D$11, 100%, $F$11)</f>
        <v>8.6265999999999998</v>
      </c>
      <c r="G300" s="8">
        <f>CHOOSE( CONTROL!$C$32, 7.7969, 7.7935) * CHOOSE( CONTROL!$C$15, $D$11, 100%, $F$11)</f>
        <v>7.7968999999999999</v>
      </c>
      <c r="H300" s="4">
        <f>CHOOSE( CONTROL!$C$32, 8.7155, 8.7121) * CHOOSE(CONTROL!$C$15, $D$11, 100%, $F$11)</f>
        <v>8.7155000000000005</v>
      </c>
      <c r="I300" s="8">
        <f>CHOOSE( CONTROL!$C$32, 7.7469, 7.7435) * CHOOSE(CONTROL!$C$15, $D$11, 100%, $F$11)</f>
        <v>7.7469000000000001</v>
      </c>
      <c r="J300" s="4">
        <f>CHOOSE( CONTROL!$C$32, 7.6599, 7.6566) * CHOOSE(CONTROL!$C$15, $D$11, 100%, $F$11)</f>
        <v>7.6599000000000004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CONTROL!$C$32, 7.7806, 7.7772) * CHOOSE(CONTROL!$C$15, $D$11, 100%, $F$11)</f>
        <v>7.7805999999999997</v>
      </c>
      <c r="C301" s="8">
        <f>CHOOSE( CONTROL!$C$32, 7.791, 7.7875) * CHOOSE(CONTROL!$C$15, $D$11, 100%, $F$11)</f>
        <v>7.7910000000000004</v>
      </c>
      <c r="D301" s="8">
        <f>CHOOSE( CONTROL!$C$32, 7.8026, 7.7991) * CHOOSE( CONTROL!$C$15, $D$11, 100%, $F$11)</f>
        <v>7.8026</v>
      </c>
      <c r="E301" s="12">
        <f>CHOOSE( CONTROL!$C$32, 7.7968, 7.7933) * CHOOSE( CONTROL!$C$15, $D$11, 100%, $F$11)</f>
        <v>7.7968000000000002</v>
      </c>
      <c r="F301" s="4">
        <f>CHOOSE( CONTROL!$C$32, 8.4607, 8.4573) * CHOOSE(CONTROL!$C$15, $D$11, 100%, $F$11)</f>
        <v>8.4606999999999992</v>
      </c>
      <c r="G301" s="8">
        <f>CHOOSE( CONTROL!$C$32, 7.6338, 7.6304) * CHOOSE( CONTROL!$C$15, $D$11, 100%, $F$11)</f>
        <v>7.6337999999999999</v>
      </c>
      <c r="H301" s="4">
        <f>CHOOSE( CONTROL!$C$32, 8.5524, 8.549) * CHOOSE(CONTROL!$C$15, $D$11, 100%, $F$11)</f>
        <v>8.5524000000000004</v>
      </c>
      <c r="I301" s="8">
        <f>CHOOSE( CONTROL!$C$32, 7.5866, 7.5833) * CHOOSE(CONTROL!$C$15, $D$11, 100%, $F$11)</f>
        <v>7.5865999999999998</v>
      </c>
      <c r="J301" s="4">
        <f>CHOOSE( CONTROL!$C$32, 7.4995, 7.4962) * CHOOSE(CONTROL!$C$15, $D$11, 100%, $F$11)</f>
        <v>7.4995000000000003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8.1215 * CHOOSE(CONTROL!$C$15, $D$11, 100%, $F$11)</f>
        <v>8.1214999999999993</v>
      </c>
      <c r="C302" s="8">
        <f>8.1318 * CHOOSE(CONTROL!$C$15, $D$11, 100%, $F$11)</f>
        <v>8.1318000000000001</v>
      </c>
      <c r="D302" s="8">
        <f>8.1444 * CHOOSE( CONTROL!$C$15, $D$11, 100%, $F$11)</f>
        <v>8.1443999999999992</v>
      </c>
      <c r="E302" s="12">
        <f>8.1391 * CHOOSE( CONTROL!$C$15, $D$11, 100%, $F$11)</f>
        <v>8.1390999999999991</v>
      </c>
      <c r="F302" s="4">
        <f>8.8016 * CHOOSE(CONTROL!$C$15, $D$11, 100%, $F$11)</f>
        <v>8.8016000000000005</v>
      </c>
      <c r="G302" s="8">
        <f>7.9687 * CHOOSE( CONTROL!$C$15, $D$11, 100%, $F$11)</f>
        <v>7.9687000000000001</v>
      </c>
      <c r="H302" s="4">
        <f>8.8877 * CHOOSE(CONTROL!$C$15, $D$11, 100%, $F$11)</f>
        <v>8.8877000000000006</v>
      </c>
      <c r="I302" s="8">
        <f>7.9173 * CHOOSE(CONTROL!$C$15, $D$11, 100%, $F$11)</f>
        <v>7.9173</v>
      </c>
      <c r="J302" s="4">
        <f>7.8292 * CHOOSE(CONTROL!$C$15, $D$11, 100%, $F$11)</f>
        <v>7.8292000000000002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8.7571 * CHOOSE(CONTROL!$C$15, $D$11, 100%, $F$11)</f>
        <v>8.7570999999999994</v>
      </c>
      <c r="C303" s="8">
        <f>8.7674 * CHOOSE(CONTROL!$C$15, $D$11, 100%, $F$11)</f>
        <v>8.7674000000000003</v>
      </c>
      <c r="D303" s="8">
        <f>8.7523 * CHOOSE( CONTROL!$C$15, $D$11, 100%, $F$11)</f>
        <v>8.7523</v>
      </c>
      <c r="E303" s="12">
        <f>8.7567 * CHOOSE( CONTROL!$C$15, $D$11, 100%, $F$11)</f>
        <v>8.7567000000000004</v>
      </c>
      <c r="F303" s="4">
        <f>9.4113 * CHOOSE(CONTROL!$C$15, $D$11, 100%, $F$11)</f>
        <v>9.4113000000000007</v>
      </c>
      <c r="G303" s="8">
        <f>8.6034 * CHOOSE( CONTROL!$C$15, $D$11, 100%, $F$11)</f>
        <v>8.6034000000000006</v>
      </c>
      <c r="H303" s="4">
        <f>9.4876 * CHOOSE(CONTROL!$C$15, $D$11, 100%, $F$11)</f>
        <v>9.4876000000000005</v>
      </c>
      <c r="I303" s="8">
        <f>8.5526 * CHOOSE(CONTROL!$C$15, $D$11, 100%, $F$11)</f>
        <v>8.5526</v>
      </c>
      <c r="J303" s="4">
        <f>8.4439 * CHOOSE(CONTROL!$C$15, $D$11, 100%, $F$11)</f>
        <v>8.4438999999999993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8.7412 * CHOOSE(CONTROL!$C$15, $D$11, 100%, $F$11)</f>
        <v>8.7411999999999992</v>
      </c>
      <c r="C304" s="8">
        <f>8.7515 * CHOOSE(CONTROL!$C$15, $D$11, 100%, $F$11)</f>
        <v>8.7515000000000001</v>
      </c>
      <c r="D304" s="8">
        <f>8.7381 * CHOOSE( CONTROL!$C$15, $D$11, 100%, $F$11)</f>
        <v>8.7380999999999993</v>
      </c>
      <c r="E304" s="12">
        <f>8.7419 * CHOOSE( CONTROL!$C$15, $D$11, 100%, $F$11)</f>
        <v>8.7418999999999993</v>
      </c>
      <c r="F304" s="4">
        <f>9.3954 * CHOOSE(CONTROL!$C$15, $D$11, 100%, $F$11)</f>
        <v>9.3954000000000004</v>
      </c>
      <c r="G304" s="8">
        <f>8.589 * CHOOSE( CONTROL!$C$15, $D$11, 100%, $F$11)</f>
        <v>8.5890000000000004</v>
      </c>
      <c r="H304" s="4">
        <f>9.472 * CHOOSE(CONTROL!$C$15, $D$11, 100%, $F$11)</f>
        <v>9.4719999999999995</v>
      </c>
      <c r="I304" s="8">
        <f>8.5425 * CHOOSE(CONTROL!$C$15, $D$11, 100%, $F$11)</f>
        <v>8.5425000000000004</v>
      </c>
      <c r="J304" s="4">
        <f>8.4285 * CHOOSE(CONTROL!$C$15, $D$11, 100%, $F$11)</f>
        <v>8.4284999999999997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9.0743 * CHOOSE(CONTROL!$C$15, $D$11, 100%, $F$11)</f>
        <v>9.0742999999999991</v>
      </c>
      <c r="C305" s="8">
        <f>9.0846 * CHOOSE(CONTROL!$C$15, $D$11, 100%, $F$11)</f>
        <v>9.0846</v>
      </c>
      <c r="D305" s="8">
        <f>9.083 * CHOOSE( CONTROL!$C$15, $D$11, 100%, $F$11)</f>
        <v>9.0830000000000002</v>
      </c>
      <c r="E305" s="12">
        <f>9.0825 * CHOOSE( CONTROL!$C$15, $D$11, 100%, $F$11)</f>
        <v>9.0824999999999996</v>
      </c>
      <c r="F305" s="4">
        <f>9.757 * CHOOSE(CONTROL!$C$15, $D$11, 100%, $F$11)</f>
        <v>9.7569999999999997</v>
      </c>
      <c r="G305" s="8">
        <f>8.9292 * CHOOSE( CONTROL!$C$15, $D$11, 100%, $F$11)</f>
        <v>8.9291999999999998</v>
      </c>
      <c r="H305" s="4">
        <f>9.8277 * CHOOSE(CONTROL!$C$15, $D$11, 100%, $F$11)</f>
        <v>9.8277000000000001</v>
      </c>
      <c r="I305" s="8">
        <f>8.8636 * CHOOSE(CONTROL!$C$15, $D$11, 100%, $F$11)</f>
        <v>8.8635999999999999</v>
      </c>
      <c r="J305" s="4">
        <f>8.7506 * CHOOSE(CONTROL!$C$15, $D$11, 100%, $F$11)</f>
        <v>8.7506000000000004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30.3217</v>
      </c>
      <c r="R305" s="9"/>
      <c r="S305" s="11"/>
    </row>
    <row r="306" spans="1:19" ht="15.75">
      <c r="A306" s="13">
        <v>51194</v>
      </c>
      <c r="B306" s="8">
        <f>8.4893 * CHOOSE(CONTROL!$C$15, $D$11, 100%, $F$11)</f>
        <v>8.4893000000000001</v>
      </c>
      <c r="C306" s="8">
        <f>8.4997 * CHOOSE(CONTROL!$C$15, $D$11, 100%, $F$11)</f>
        <v>8.4997000000000007</v>
      </c>
      <c r="D306" s="8">
        <f>8.5002 * CHOOSE( CONTROL!$C$15, $D$11, 100%, $F$11)</f>
        <v>8.5001999999999995</v>
      </c>
      <c r="E306" s="12">
        <f>8.4989 * CHOOSE( CONTROL!$C$15, $D$11, 100%, $F$11)</f>
        <v>8.4989000000000008</v>
      </c>
      <c r="F306" s="4">
        <f>9.1643 * CHOOSE(CONTROL!$C$15, $D$11, 100%, $F$11)</f>
        <v>9.1643000000000008</v>
      </c>
      <c r="G306" s="8">
        <f>8.3535 * CHOOSE( CONTROL!$C$15, $D$11, 100%, $F$11)</f>
        <v>8.3535000000000004</v>
      </c>
      <c r="H306" s="4">
        <f>9.2445 * CHOOSE(CONTROL!$C$15, $D$11, 100%, $F$11)</f>
        <v>9.2445000000000004</v>
      </c>
      <c r="I306" s="8">
        <f>8.2867 * CHOOSE(CONTROL!$C$15, $D$11, 100%, $F$11)</f>
        <v>8.2866999999999997</v>
      </c>
      <c r="J306" s="4">
        <f>8.1849 * CHOOSE(CONTROL!$C$15, $D$11, 100%, $F$11)</f>
        <v>8.1849000000000007</v>
      </c>
      <c r="K306" s="4"/>
      <c r="L306" s="9">
        <v>27.415299999999998</v>
      </c>
      <c r="M306" s="9">
        <v>11.285299999999999</v>
      </c>
      <c r="N306" s="9">
        <v>4.6254999999999997</v>
      </c>
      <c r="O306" s="9">
        <v>0.34989999999999999</v>
      </c>
      <c r="P306" s="9">
        <v>1.2093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8.3092 * CHOOSE(CONTROL!$C$15, $D$11, 100%, $F$11)</f>
        <v>8.3092000000000006</v>
      </c>
      <c r="C307" s="8">
        <f>8.3195 * CHOOSE(CONTROL!$C$15, $D$11, 100%, $F$11)</f>
        <v>8.3194999999999997</v>
      </c>
      <c r="D307" s="8">
        <f>8.3147 * CHOOSE( CONTROL!$C$15, $D$11, 100%, $F$11)</f>
        <v>8.3147000000000002</v>
      </c>
      <c r="E307" s="12">
        <f>8.3154 * CHOOSE( CONTROL!$C$15, $D$11, 100%, $F$11)</f>
        <v>8.3154000000000003</v>
      </c>
      <c r="F307" s="4">
        <f>8.9867 * CHOOSE(CONTROL!$C$15, $D$11, 100%, $F$11)</f>
        <v>8.9867000000000008</v>
      </c>
      <c r="G307" s="8">
        <f>8.1708 * CHOOSE( CONTROL!$C$15, $D$11, 100%, $F$11)</f>
        <v>8.1707999999999998</v>
      </c>
      <c r="H307" s="4">
        <f>9.0698 * CHOOSE(CONTROL!$C$15, $D$11, 100%, $F$11)</f>
        <v>9.0698000000000008</v>
      </c>
      <c r="I307" s="8">
        <f>8.1005 * CHOOSE(CONTROL!$C$15, $D$11, 100%, $F$11)</f>
        <v>8.1005000000000003</v>
      </c>
      <c r="J307" s="4">
        <f>8.0107 * CHOOSE(CONTROL!$C$15, $D$11, 100%, $F$11)</f>
        <v>8.0106999999999999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30.3217</v>
      </c>
      <c r="R307" s="9"/>
      <c r="S307" s="11"/>
    </row>
    <row r="308" spans="1:19" ht="15.75">
      <c r="A308" s="13">
        <v>51256</v>
      </c>
      <c r="B308" s="8">
        <f>8.4351 * CHOOSE(CONTROL!$C$15, $D$11, 100%, $F$11)</f>
        <v>8.4351000000000003</v>
      </c>
      <c r="C308" s="8">
        <f>8.4454 * CHOOSE(CONTROL!$C$15, $D$11, 100%, $F$11)</f>
        <v>8.4453999999999994</v>
      </c>
      <c r="D308" s="8">
        <f>8.4567 * CHOOSE( CONTROL!$C$15, $D$11, 100%, $F$11)</f>
        <v>8.4566999999999997</v>
      </c>
      <c r="E308" s="12">
        <f>8.4518 * CHOOSE( CONTROL!$C$15, $D$11, 100%, $F$11)</f>
        <v>8.4518000000000004</v>
      </c>
      <c r="F308" s="4">
        <f>9.1152 * CHOOSE(CONTROL!$C$15, $D$11, 100%, $F$11)</f>
        <v>9.1151999999999997</v>
      </c>
      <c r="G308" s="8">
        <f>8.2753 * CHOOSE( CONTROL!$C$15, $D$11, 100%, $F$11)</f>
        <v>8.2752999999999997</v>
      </c>
      <c r="H308" s="4">
        <f>9.1962 * CHOOSE(CONTROL!$C$15, $D$11, 100%, $F$11)</f>
        <v>9.1961999999999993</v>
      </c>
      <c r="I308" s="8">
        <f>8.2146 * CHOOSE(CONTROL!$C$15, $D$11, 100%, $F$11)</f>
        <v>8.2146000000000008</v>
      </c>
      <c r="J308" s="4">
        <f>8.1324 * CHOOSE(CONTROL!$C$15, $D$11, 100%, $F$11)</f>
        <v>8.1324000000000005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CONTROL!$C$32, 8.6626, 8.6591) * CHOOSE(CONTROL!$C$15, $D$11, 100%, $F$11)</f>
        <v>8.6625999999999994</v>
      </c>
      <c r="C309" s="8">
        <f>CHOOSE( CONTROL!$C$32, 8.6729, 8.6695) * CHOOSE(CONTROL!$C$15, $D$11, 100%, $F$11)</f>
        <v>8.6729000000000003</v>
      </c>
      <c r="D309" s="8">
        <f>CHOOSE( CONTROL!$C$32, 8.6837, 8.6803) * CHOOSE( CONTROL!$C$15, $D$11, 100%, $F$11)</f>
        <v>8.6837</v>
      </c>
      <c r="E309" s="12">
        <f>CHOOSE( CONTROL!$C$32, 8.6782, 8.6748) * CHOOSE( CONTROL!$C$15, $D$11, 100%, $F$11)</f>
        <v>8.6782000000000004</v>
      </c>
      <c r="F309" s="4">
        <f>CHOOSE( CONTROL!$C$32, 9.3427, 9.3392) * CHOOSE(CONTROL!$C$15, $D$11, 100%, $F$11)</f>
        <v>9.3427000000000007</v>
      </c>
      <c r="G309" s="8">
        <f>CHOOSE( CONTROL!$C$32, 8.5003, 8.4969) * CHOOSE( CONTROL!$C$15, $D$11, 100%, $F$11)</f>
        <v>8.5002999999999993</v>
      </c>
      <c r="H309" s="4">
        <f>CHOOSE( CONTROL!$C$32, 9.4201, 9.4167) * CHOOSE(CONTROL!$C$15, $D$11, 100%, $F$11)</f>
        <v>9.4200999999999997</v>
      </c>
      <c r="I309" s="8">
        <f>CHOOSE( CONTROL!$C$32, 8.4363, 8.433) * CHOOSE(CONTROL!$C$15, $D$11, 100%, $F$11)</f>
        <v>8.4362999999999992</v>
      </c>
      <c r="J309" s="4">
        <f>CHOOSE( CONTROL!$C$32, 8.3525, 8.3491) * CHOOSE(CONTROL!$C$15, $D$11, 100%, $F$11)</f>
        <v>8.3524999999999991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CONTROL!$C$32, 8.5238, 8.5203) * CHOOSE(CONTROL!$C$15, $D$11, 100%, $F$11)</f>
        <v>8.5237999999999996</v>
      </c>
      <c r="C310" s="8">
        <f>CHOOSE( CONTROL!$C$32, 8.5341, 8.5307) * CHOOSE(CONTROL!$C$15, $D$11, 100%, $F$11)</f>
        <v>8.5341000000000005</v>
      </c>
      <c r="D310" s="8">
        <f>CHOOSE( CONTROL!$C$32, 8.5452, 8.5418) * CHOOSE( CONTROL!$C$15, $D$11, 100%, $F$11)</f>
        <v>8.5451999999999995</v>
      </c>
      <c r="E310" s="12">
        <f>CHOOSE( CONTROL!$C$32, 8.5396, 8.5362) * CHOOSE( CONTROL!$C$15, $D$11, 100%, $F$11)</f>
        <v>8.5396000000000001</v>
      </c>
      <c r="F310" s="4">
        <f>CHOOSE( CONTROL!$C$32, 9.2039, 9.2004) * CHOOSE(CONTROL!$C$15, $D$11, 100%, $F$11)</f>
        <v>9.2039000000000009</v>
      </c>
      <c r="G310" s="8">
        <f>CHOOSE( CONTROL!$C$32, 8.3642, 8.3608) * CHOOSE( CONTROL!$C$15, $D$11, 100%, $F$11)</f>
        <v>8.3642000000000003</v>
      </c>
      <c r="H310" s="4">
        <f>CHOOSE( CONTROL!$C$32, 9.2835, 9.2801) * CHOOSE(CONTROL!$C$15, $D$11, 100%, $F$11)</f>
        <v>9.2835000000000001</v>
      </c>
      <c r="I310" s="8">
        <f>CHOOSE( CONTROL!$C$32, 8.3034, 8.3) * CHOOSE(CONTROL!$C$15, $D$11, 100%, $F$11)</f>
        <v>8.3033999999999999</v>
      </c>
      <c r="J310" s="4">
        <f>CHOOSE( CONTROL!$C$32, 8.2183, 8.2149) * CHOOSE(CONTROL!$C$15, $D$11, 100%, $F$11)</f>
        <v>8.2182999999999993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CONTROL!$C$32, 8.8893, 8.8858) * CHOOSE(CONTROL!$C$15, $D$11, 100%, $F$11)</f>
        <v>8.8893000000000004</v>
      </c>
      <c r="C311" s="8">
        <f>CHOOSE( CONTROL!$C$32, 8.8996, 8.8962) * CHOOSE(CONTROL!$C$15, $D$11, 100%, $F$11)</f>
        <v>8.8995999999999995</v>
      </c>
      <c r="D311" s="8">
        <f>CHOOSE( CONTROL!$C$32, 8.911, 8.9076) * CHOOSE( CONTROL!$C$15, $D$11, 100%, $F$11)</f>
        <v>8.9109999999999996</v>
      </c>
      <c r="E311" s="12">
        <f>CHOOSE( CONTROL!$C$32, 8.9053, 8.9019) * CHOOSE( CONTROL!$C$15, $D$11, 100%, $F$11)</f>
        <v>8.9053000000000004</v>
      </c>
      <c r="F311" s="4">
        <f>CHOOSE( CONTROL!$C$32, 9.5694, 9.5659) * CHOOSE(CONTROL!$C$15, $D$11, 100%, $F$11)</f>
        <v>9.5693999999999999</v>
      </c>
      <c r="G311" s="8">
        <f>CHOOSE( CONTROL!$C$32, 8.7243, 8.7209) * CHOOSE( CONTROL!$C$15, $D$11, 100%, $F$11)</f>
        <v>8.7242999999999995</v>
      </c>
      <c r="H311" s="4">
        <f>CHOOSE( CONTROL!$C$32, 9.6431, 9.6397) * CHOOSE(CONTROL!$C$15, $D$11, 100%, $F$11)</f>
        <v>9.6431000000000004</v>
      </c>
      <c r="I311" s="8">
        <f>CHOOSE( CONTROL!$C$32, 8.6585, 8.6551) * CHOOSE(CONTROL!$C$15, $D$11, 100%, $F$11)</f>
        <v>8.6585000000000001</v>
      </c>
      <c r="J311" s="4">
        <f>CHOOSE( CONTROL!$C$32, 8.5717, 8.5684) * CHOOSE(CONTROL!$C$15, $D$11, 100%, $F$11)</f>
        <v>8.5716999999999999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CONTROL!$C$32, 8.2054, 8.2019) * CHOOSE(CONTROL!$C$15, $D$11, 100%, $F$11)</f>
        <v>8.2053999999999991</v>
      </c>
      <c r="C312" s="8">
        <f>CHOOSE( CONTROL!$C$32, 8.2157, 8.2123) * CHOOSE(CONTROL!$C$15, $D$11, 100%, $F$11)</f>
        <v>8.2157</v>
      </c>
      <c r="D312" s="8">
        <f>CHOOSE( CONTROL!$C$32, 8.2273, 8.2238) * CHOOSE( CONTROL!$C$15, $D$11, 100%, $F$11)</f>
        <v>8.2272999999999996</v>
      </c>
      <c r="E312" s="12">
        <f>CHOOSE( CONTROL!$C$32, 8.2215, 8.218) * CHOOSE( CONTROL!$C$15, $D$11, 100%, $F$11)</f>
        <v>8.2215000000000007</v>
      </c>
      <c r="F312" s="4">
        <f>CHOOSE( CONTROL!$C$32, 8.8855, 8.882) * CHOOSE(CONTROL!$C$15, $D$11, 100%, $F$11)</f>
        <v>8.8855000000000004</v>
      </c>
      <c r="G312" s="8">
        <f>CHOOSE( CONTROL!$C$32, 8.0516, 8.0482) * CHOOSE( CONTROL!$C$15, $D$11, 100%, $F$11)</f>
        <v>8.0516000000000005</v>
      </c>
      <c r="H312" s="4">
        <f>CHOOSE( CONTROL!$C$32, 8.9703, 8.9669) * CHOOSE(CONTROL!$C$15, $D$11, 100%, $F$11)</f>
        <v>8.9702999999999999</v>
      </c>
      <c r="I312" s="8">
        <f>CHOOSE( CONTROL!$C$32, 7.9974, 7.9941) * CHOOSE(CONTROL!$C$15, $D$11, 100%, $F$11)</f>
        <v>7.9973999999999998</v>
      </c>
      <c r="J312" s="4">
        <f>CHOOSE( CONTROL!$C$32, 7.9103, 7.907) * CHOOSE(CONTROL!$C$15, $D$11, 100%, $F$11)</f>
        <v>7.9103000000000003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CONTROL!$C$32, 8.0341, 8.0307) * CHOOSE(CONTROL!$C$15, $D$11, 100%, $F$11)</f>
        <v>8.0341000000000005</v>
      </c>
      <c r="C313" s="8">
        <f>CHOOSE( CONTROL!$C$32, 8.0445, 8.041) * CHOOSE(CONTROL!$C$15, $D$11, 100%, $F$11)</f>
        <v>8.0444999999999993</v>
      </c>
      <c r="D313" s="8">
        <f>CHOOSE( CONTROL!$C$32, 8.056, 8.0526) * CHOOSE( CONTROL!$C$15, $D$11, 100%, $F$11)</f>
        <v>8.0559999999999992</v>
      </c>
      <c r="E313" s="12">
        <f>CHOOSE( CONTROL!$C$32, 8.0502, 8.0468) * CHOOSE( CONTROL!$C$15, $D$11, 100%, $F$11)</f>
        <v>8.0502000000000002</v>
      </c>
      <c r="F313" s="4">
        <f>CHOOSE( CONTROL!$C$32, 8.7142, 8.7108) * CHOOSE(CONTROL!$C$15, $D$11, 100%, $F$11)</f>
        <v>8.7141999999999999</v>
      </c>
      <c r="G313" s="8">
        <f>CHOOSE( CONTROL!$C$32, 7.8832, 7.8798) * CHOOSE( CONTROL!$C$15, $D$11, 100%, $F$11)</f>
        <v>7.8832000000000004</v>
      </c>
      <c r="H313" s="4">
        <f>CHOOSE( CONTROL!$C$32, 8.8018, 8.7984) * CHOOSE(CONTROL!$C$15, $D$11, 100%, $F$11)</f>
        <v>8.8018000000000001</v>
      </c>
      <c r="I313" s="8">
        <f>CHOOSE( CONTROL!$C$32, 7.8319, 7.8286) * CHOOSE(CONTROL!$C$15, $D$11, 100%, $F$11)</f>
        <v>7.8319000000000001</v>
      </c>
      <c r="J313" s="4">
        <f>CHOOSE( CONTROL!$C$32, 7.7447, 7.7413) * CHOOSE(CONTROL!$C$15, $D$11, 100%, $F$11)</f>
        <v>7.7446999999999999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8.3862 * CHOOSE(CONTROL!$C$15, $D$11, 100%, $F$11)</f>
        <v>8.3862000000000005</v>
      </c>
      <c r="C314" s="8">
        <f>8.3966 * CHOOSE(CONTROL!$C$15, $D$11, 100%, $F$11)</f>
        <v>8.3965999999999994</v>
      </c>
      <c r="D314" s="8">
        <f>8.4091 * CHOOSE( CONTROL!$C$15, $D$11, 100%, $F$11)</f>
        <v>8.4091000000000005</v>
      </c>
      <c r="E314" s="12">
        <f>8.4039 * CHOOSE( CONTROL!$C$15, $D$11, 100%, $F$11)</f>
        <v>8.4039000000000001</v>
      </c>
      <c r="F314" s="4">
        <f>9.0664 * CHOOSE(CONTROL!$C$15, $D$11, 100%, $F$11)</f>
        <v>9.0663999999999998</v>
      </c>
      <c r="G314" s="8">
        <f>8.2292 * CHOOSE( CONTROL!$C$15, $D$11, 100%, $F$11)</f>
        <v>8.2292000000000005</v>
      </c>
      <c r="H314" s="4">
        <f>9.1482 * CHOOSE(CONTROL!$C$15, $D$11, 100%, $F$11)</f>
        <v>9.1481999999999992</v>
      </c>
      <c r="I314" s="8">
        <f>8.1735 * CHOOSE(CONTROL!$C$15, $D$11, 100%, $F$11)</f>
        <v>8.1735000000000007</v>
      </c>
      <c r="J314" s="4">
        <f>8.0852 * CHOOSE(CONTROL!$C$15, $D$11, 100%, $F$11)</f>
        <v>8.0852000000000004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30.3217</v>
      </c>
      <c r="R314" s="9"/>
      <c r="S314" s="11"/>
    </row>
    <row r="315" spans="1:19" ht="15.75">
      <c r="A315" s="13">
        <v>51470</v>
      </c>
      <c r="B315" s="8">
        <f>9.0426 * CHOOSE(CONTROL!$C$15, $D$11, 100%, $F$11)</f>
        <v>9.0426000000000002</v>
      </c>
      <c r="C315" s="8">
        <f>9.0529 * CHOOSE(CONTROL!$C$15, $D$11, 100%, $F$11)</f>
        <v>9.0528999999999993</v>
      </c>
      <c r="D315" s="8">
        <f>9.0379 * CHOOSE( CONTROL!$C$15, $D$11, 100%, $F$11)</f>
        <v>9.0379000000000005</v>
      </c>
      <c r="E315" s="12">
        <f>9.0423 * CHOOSE( CONTROL!$C$15, $D$11, 100%, $F$11)</f>
        <v>9.0422999999999991</v>
      </c>
      <c r="F315" s="4">
        <f>9.6969 * CHOOSE(CONTROL!$C$15, $D$11, 100%, $F$11)</f>
        <v>9.6968999999999994</v>
      </c>
      <c r="G315" s="8">
        <f>8.8843 * CHOOSE( CONTROL!$C$15, $D$11, 100%, $F$11)</f>
        <v>8.8842999999999996</v>
      </c>
      <c r="H315" s="4">
        <f>9.7685 * CHOOSE(CONTROL!$C$15, $D$11, 100%, $F$11)</f>
        <v>9.7684999999999995</v>
      </c>
      <c r="I315" s="8">
        <f>8.8289 * CHOOSE(CONTROL!$C$15, $D$11, 100%, $F$11)</f>
        <v>8.8289000000000009</v>
      </c>
      <c r="J315" s="4">
        <f>8.72 * CHOOSE(CONTROL!$C$15, $D$11, 100%, $F$11)</f>
        <v>8.7200000000000006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9.0262 * CHOOSE(CONTROL!$C$15, $D$11, 100%, $F$11)</f>
        <v>9.0261999999999993</v>
      </c>
      <c r="C316" s="8">
        <f>9.0365 * CHOOSE(CONTROL!$C$15, $D$11, 100%, $F$11)</f>
        <v>9.0365000000000002</v>
      </c>
      <c r="D316" s="8">
        <f>9.0231 * CHOOSE( CONTROL!$C$15, $D$11, 100%, $F$11)</f>
        <v>9.0230999999999995</v>
      </c>
      <c r="E316" s="12">
        <f>9.0269 * CHOOSE( CONTROL!$C$15, $D$11, 100%, $F$11)</f>
        <v>9.0268999999999995</v>
      </c>
      <c r="F316" s="4">
        <f>9.6805 * CHOOSE(CONTROL!$C$15, $D$11, 100%, $F$11)</f>
        <v>9.6805000000000003</v>
      </c>
      <c r="G316" s="8">
        <f>8.8694 * CHOOSE( CONTROL!$C$15, $D$11, 100%, $F$11)</f>
        <v>8.8694000000000006</v>
      </c>
      <c r="H316" s="4">
        <f>9.7524 * CHOOSE(CONTROL!$C$15, $D$11, 100%, $F$11)</f>
        <v>9.7523999999999997</v>
      </c>
      <c r="I316" s="8">
        <f>8.8183 * CHOOSE(CONTROL!$C$15, $D$11, 100%, $F$11)</f>
        <v>8.8183000000000007</v>
      </c>
      <c r="J316" s="4">
        <f>8.7041 * CHOOSE(CONTROL!$C$15, $D$11, 100%, $F$11)</f>
        <v>8.7041000000000004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30.3217</v>
      </c>
      <c r="R316" s="9"/>
      <c r="S316" s="11"/>
    </row>
    <row r="317" spans="1:19" ht="15.75">
      <c r="A317" s="13">
        <v>51532</v>
      </c>
      <c r="B317" s="8">
        <f>9.3702 * CHOOSE(CONTROL!$C$15, $D$11, 100%, $F$11)</f>
        <v>9.3702000000000005</v>
      </c>
      <c r="C317" s="8">
        <f>9.3805 * CHOOSE(CONTROL!$C$15, $D$11, 100%, $F$11)</f>
        <v>9.3804999999999996</v>
      </c>
      <c r="D317" s="8">
        <f>9.379 * CHOOSE( CONTROL!$C$15, $D$11, 100%, $F$11)</f>
        <v>9.3789999999999996</v>
      </c>
      <c r="E317" s="12">
        <f>9.3785 * CHOOSE( CONTROL!$C$15, $D$11, 100%, $F$11)</f>
        <v>9.3785000000000007</v>
      </c>
      <c r="F317" s="4">
        <f>10.0529 * CHOOSE(CONTROL!$C$15, $D$11, 100%, $F$11)</f>
        <v>10.052899999999999</v>
      </c>
      <c r="G317" s="8">
        <f>9.2204 * CHOOSE( CONTROL!$C$15, $D$11, 100%, $F$11)</f>
        <v>9.2203999999999997</v>
      </c>
      <c r="H317" s="4">
        <f>10.1188 * CHOOSE(CONTROL!$C$15, $D$11, 100%, $F$11)</f>
        <v>10.1188</v>
      </c>
      <c r="I317" s="8">
        <f>9.1499 * CHOOSE(CONTROL!$C$15, $D$11, 100%, $F$11)</f>
        <v>9.1499000000000006</v>
      </c>
      <c r="J317" s="4">
        <f>9.0368 * CHOOSE(CONTROL!$C$15, $D$11, 100%, $F$11)</f>
        <v>9.0367999999999995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8.7661 * CHOOSE(CONTROL!$C$15, $D$11, 100%, $F$11)</f>
        <v>8.7660999999999998</v>
      </c>
      <c r="C318" s="8">
        <f>8.7764 * CHOOSE(CONTROL!$C$15, $D$11, 100%, $F$11)</f>
        <v>8.7764000000000006</v>
      </c>
      <c r="D318" s="8">
        <f>8.777 * CHOOSE( CONTROL!$C$15, $D$11, 100%, $F$11)</f>
        <v>8.7769999999999992</v>
      </c>
      <c r="E318" s="12">
        <f>8.7757 * CHOOSE( CONTROL!$C$15, $D$11, 100%, $F$11)</f>
        <v>8.7757000000000005</v>
      </c>
      <c r="F318" s="4">
        <f>9.441 * CHOOSE(CONTROL!$C$15, $D$11, 100%, $F$11)</f>
        <v>9.4410000000000007</v>
      </c>
      <c r="G318" s="8">
        <f>8.6258 * CHOOSE( CONTROL!$C$15, $D$11, 100%, $F$11)</f>
        <v>8.6257999999999999</v>
      </c>
      <c r="H318" s="4">
        <f>9.5168 * CHOOSE(CONTROL!$C$15, $D$11, 100%, $F$11)</f>
        <v>9.5167999999999999</v>
      </c>
      <c r="I318" s="8">
        <f>8.5545 * CHOOSE(CONTROL!$C$15, $D$11, 100%, $F$11)</f>
        <v>8.5545000000000009</v>
      </c>
      <c r="J318" s="4">
        <f>8.4526 * CHOOSE(CONTROL!$C$15, $D$11, 100%, $F$11)</f>
        <v>8.4526000000000003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8.58 * CHOOSE(CONTROL!$C$15, $D$11, 100%, $F$11)</f>
        <v>8.58</v>
      </c>
      <c r="C319" s="8">
        <f>8.5904 * CHOOSE(CONTROL!$C$15, $D$11, 100%, $F$11)</f>
        <v>8.5904000000000007</v>
      </c>
      <c r="D319" s="8">
        <f>8.5856 * CHOOSE( CONTROL!$C$15, $D$11, 100%, $F$11)</f>
        <v>8.5855999999999995</v>
      </c>
      <c r="E319" s="12">
        <f>8.5862 * CHOOSE( CONTROL!$C$15, $D$11, 100%, $F$11)</f>
        <v>8.5861999999999998</v>
      </c>
      <c r="F319" s="4">
        <f>9.2576 * CHOOSE(CONTROL!$C$15, $D$11, 100%, $F$11)</f>
        <v>9.2576000000000001</v>
      </c>
      <c r="G319" s="8">
        <f>8.4373 * CHOOSE( CONTROL!$C$15, $D$11, 100%, $F$11)</f>
        <v>8.4373000000000005</v>
      </c>
      <c r="H319" s="4">
        <f>9.3363 * CHOOSE(CONTROL!$C$15, $D$11, 100%, $F$11)</f>
        <v>9.3362999999999996</v>
      </c>
      <c r="I319" s="8">
        <f>8.3626 * CHOOSE(CONTROL!$C$15, $D$11, 100%, $F$11)</f>
        <v>8.3626000000000005</v>
      </c>
      <c r="J319" s="4">
        <f>8.2727 * CHOOSE(CONTROL!$C$15, $D$11, 100%, $F$11)</f>
        <v>8.2727000000000004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8.7101 * CHOOSE(CONTROL!$C$15, $D$11, 100%, $F$11)</f>
        <v>8.7101000000000006</v>
      </c>
      <c r="C320" s="8">
        <f>8.7204 * CHOOSE(CONTROL!$C$15, $D$11, 100%, $F$11)</f>
        <v>8.7203999999999997</v>
      </c>
      <c r="D320" s="8">
        <f>8.7317 * CHOOSE( CONTROL!$C$15, $D$11, 100%, $F$11)</f>
        <v>8.7317</v>
      </c>
      <c r="E320" s="12">
        <f>8.7268 * CHOOSE( CONTROL!$C$15, $D$11, 100%, $F$11)</f>
        <v>8.7268000000000008</v>
      </c>
      <c r="F320" s="4">
        <f>9.3902 * CHOOSE(CONTROL!$C$15, $D$11, 100%, $F$11)</f>
        <v>9.3902000000000001</v>
      </c>
      <c r="G320" s="8">
        <f>8.5459 * CHOOSE( CONTROL!$C$15, $D$11, 100%, $F$11)</f>
        <v>8.5458999999999996</v>
      </c>
      <c r="H320" s="4">
        <f>9.4668 * CHOOSE(CONTROL!$C$15, $D$11, 100%, $F$11)</f>
        <v>9.4667999999999992</v>
      </c>
      <c r="I320" s="8">
        <f>8.4807 * CHOOSE(CONTROL!$C$15, $D$11, 100%, $F$11)</f>
        <v>8.4807000000000006</v>
      </c>
      <c r="J320" s="4">
        <f>8.3984 * CHOOSE(CONTROL!$C$15, $D$11, 100%, $F$11)</f>
        <v>8.3984000000000005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CONTROL!$C$32, 8.9449, 8.9415) * CHOOSE(CONTROL!$C$15, $D$11, 100%, $F$11)</f>
        <v>8.9449000000000005</v>
      </c>
      <c r="C321" s="8">
        <f>CHOOSE( CONTROL!$C$32, 8.9553, 8.9518) * CHOOSE(CONTROL!$C$15, $D$11, 100%, $F$11)</f>
        <v>8.9552999999999994</v>
      </c>
      <c r="D321" s="8">
        <f>CHOOSE( CONTROL!$C$32, 8.9661, 8.9626) * CHOOSE( CONTROL!$C$15, $D$11, 100%, $F$11)</f>
        <v>8.9661000000000008</v>
      </c>
      <c r="E321" s="12">
        <f>CHOOSE( CONTROL!$C$32, 8.9606, 8.9571) * CHOOSE( CONTROL!$C$15, $D$11, 100%, $F$11)</f>
        <v>8.9605999999999995</v>
      </c>
      <c r="F321" s="4">
        <f>CHOOSE( CONTROL!$C$32, 9.625, 9.6216) * CHOOSE(CONTROL!$C$15, $D$11, 100%, $F$11)</f>
        <v>9.625</v>
      </c>
      <c r="G321" s="8">
        <f>CHOOSE( CONTROL!$C$32, 8.7781, 8.7747) * CHOOSE( CONTROL!$C$15, $D$11, 100%, $F$11)</f>
        <v>8.7781000000000002</v>
      </c>
      <c r="H321" s="4">
        <f>CHOOSE( CONTROL!$C$32, 9.6979, 9.6944) * CHOOSE(CONTROL!$C$15, $D$11, 100%, $F$11)</f>
        <v>9.6979000000000006</v>
      </c>
      <c r="I321" s="8">
        <f>CHOOSE( CONTROL!$C$32, 8.7095, 8.7062) * CHOOSE(CONTROL!$C$15, $D$11, 100%, $F$11)</f>
        <v>8.7095000000000002</v>
      </c>
      <c r="J321" s="4">
        <f>CHOOSE( CONTROL!$C$32, 8.6255, 8.6222) * CHOOSE(CONTROL!$C$15, $D$11, 100%, $F$11)</f>
        <v>8.6255000000000006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CONTROL!$C$32, 8.8016, 8.7981) * CHOOSE(CONTROL!$C$15, $D$11, 100%, $F$11)</f>
        <v>8.8016000000000005</v>
      </c>
      <c r="C322" s="8">
        <f>CHOOSE( CONTROL!$C$32, 8.8119, 8.8085) * CHOOSE(CONTROL!$C$15, $D$11, 100%, $F$11)</f>
        <v>8.8118999999999996</v>
      </c>
      <c r="D322" s="8">
        <f>CHOOSE( CONTROL!$C$32, 8.823, 8.8196) * CHOOSE( CONTROL!$C$15, $D$11, 100%, $F$11)</f>
        <v>8.8230000000000004</v>
      </c>
      <c r="E322" s="12">
        <f>CHOOSE( CONTROL!$C$32, 8.8174, 8.814) * CHOOSE( CONTROL!$C$15, $D$11, 100%, $F$11)</f>
        <v>8.8173999999999992</v>
      </c>
      <c r="F322" s="4">
        <f>CHOOSE( CONTROL!$C$32, 9.4817, 9.4782) * CHOOSE(CONTROL!$C$15, $D$11, 100%, $F$11)</f>
        <v>9.4817</v>
      </c>
      <c r="G322" s="8">
        <f>CHOOSE( CONTROL!$C$32, 8.6375, 8.6341) * CHOOSE( CONTROL!$C$15, $D$11, 100%, $F$11)</f>
        <v>8.6374999999999993</v>
      </c>
      <c r="H322" s="4">
        <f>CHOOSE( CONTROL!$C$32, 9.5568, 9.5534) * CHOOSE(CONTROL!$C$15, $D$11, 100%, $F$11)</f>
        <v>9.5568000000000008</v>
      </c>
      <c r="I322" s="8">
        <f>CHOOSE( CONTROL!$C$32, 8.5722, 8.5688) * CHOOSE(CONTROL!$C$15, $D$11, 100%, $F$11)</f>
        <v>8.5722000000000005</v>
      </c>
      <c r="J322" s="4">
        <f>CHOOSE( CONTROL!$C$32, 8.4869, 8.4835) * CHOOSE(CONTROL!$C$15, $D$11, 100%, $F$11)</f>
        <v>8.4869000000000003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CONTROL!$C$32, 9.1791, 9.1756) * CHOOSE(CONTROL!$C$15, $D$11, 100%, $F$11)</f>
        <v>9.1791</v>
      </c>
      <c r="C323" s="8">
        <f>CHOOSE( CONTROL!$C$32, 9.1894, 9.1859) * CHOOSE(CONTROL!$C$15, $D$11, 100%, $F$11)</f>
        <v>9.1893999999999991</v>
      </c>
      <c r="D323" s="8">
        <f>CHOOSE( CONTROL!$C$32, 9.2008, 9.1973) * CHOOSE( CONTROL!$C$15, $D$11, 100%, $F$11)</f>
        <v>9.2007999999999992</v>
      </c>
      <c r="E323" s="12">
        <f>CHOOSE( CONTROL!$C$32, 9.1951, 9.1916) * CHOOSE( CONTROL!$C$15, $D$11, 100%, $F$11)</f>
        <v>9.1951000000000001</v>
      </c>
      <c r="F323" s="4">
        <f>CHOOSE( CONTROL!$C$32, 9.8592, 9.8557) * CHOOSE(CONTROL!$C$15, $D$11, 100%, $F$11)</f>
        <v>9.8591999999999995</v>
      </c>
      <c r="G323" s="8">
        <f>CHOOSE( CONTROL!$C$32, 9.0093, 9.0059) * CHOOSE( CONTROL!$C$15, $D$11, 100%, $F$11)</f>
        <v>9.0092999999999996</v>
      </c>
      <c r="H323" s="4">
        <f>CHOOSE( CONTROL!$C$32, 9.9282, 9.9248) * CHOOSE(CONTROL!$C$15, $D$11, 100%, $F$11)</f>
        <v>9.9282000000000004</v>
      </c>
      <c r="I323" s="8">
        <f>CHOOSE( CONTROL!$C$32, 8.9389, 8.9355) * CHOOSE(CONTROL!$C$15, $D$11, 100%, $F$11)</f>
        <v>8.9389000000000003</v>
      </c>
      <c r="J323" s="4">
        <f>CHOOSE( CONTROL!$C$32, 8.852, 8.8486) * CHOOSE(CONTROL!$C$15, $D$11, 100%, $F$11)</f>
        <v>8.8520000000000003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CONTROL!$C$32, 8.4728, 8.4693) * CHOOSE(CONTROL!$C$15, $D$11, 100%, $F$11)</f>
        <v>8.4727999999999994</v>
      </c>
      <c r="C324" s="8">
        <f>CHOOSE( CONTROL!$C$32, 8.4831, 8.4796) * CHOOSE(CONTROL!$C$15, $D$11, 100%, $F$11)</f>
        <v>8.4831000000000003</v>
      </c>
      <c r="D324" s="8">
        <f>CHOOSE( CONTROL!$C$32, 8.4946, 8.4912) * CHOOSE( CONTROL!$C$15, $D$11, 100%, $F$11)</f>
        <v>8.4946000000000002</v>
      </c>
      <c r="E324" s="12">
        <f>CHOOSE( CONTROL!$C$32, 8.4889, 8.4854) * CHOOSE( CONTROL!$C$15, $D$11, 100%, $F$11)</f>
        <v>8.4888999999999992</v>
      </c>
      <c r="F324" s="4">
        <f>CHOOSE( CONTROL!$C$32, 9.1529, 9.1494) * CHOOSE(CONTROL!$C$15, $D$11, 100%, $F$11)</f>
        <v>9.1529000000000007</v>
      </c>
      <c r="G324" s="8">
        <f>CHOOSE( CONTROL!$C$32, 8.3147, 8.3113) * CHOOSE( CONTROL!$C$15, $D$11, 100%, $F$11)</f>
        <v>8.3147000000000002</v>
      </c>
      <c r="H324" s="4">
        <f>CHOOSE( CONTROL!$C$32, 9.2333, 9.2299) * CHOOSE(CONTROL!$C$15, $D$11, 100%, $F$11)</f>
        <v>9.2332999999999998</v>
      </c>
      <c r="I324" s="8">
        <f>CHOOSE( CONTROL!$C$32, 8.2561, 8.2528) * CHOOSE(CONTROL!$C$15, $D$11, 100%, $F$11)</f>
        <v>8.2561</v>
      </c>
      <c r="J324" s="4">
        <f>CHOOSE( CONTROL!$C$32, 8.1689, 8.1656) * CHOOSE(CONTROL!$C$15, $D$11, 100%, $F$11)</f>
        <v>8.1689000000000007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CONTROL!$C$32, 8.2959, 8.2924) * CHOOSE(CONTROL!$C$15, $D$11, 100%, $F$11)</f>
        <v>8.2958999999999996</v>
      </c>
      <c r="C325" s="8">
        <f>CHOOSE( CONTROL!$C$32, 8.3062, 8.3028) * CHOOSE(CONTROL!$C$15, $D$11, 100%, $F$11)</f>
        <v>8.3062000000000005</v>
      </c>
      <c r="D325" s="8">
        <f>CHOOSE( CONTROL!$C$32, 8.3178, 8.3144) * CHOOSE( CONTROL!$C$15, $D$11, 100%, $F$11)</f>
        <v>8.3178000000000001</v>
      </c>
      <c r="E325" s="12">
        <f>CHOOSE( CONTROL!$C$32, 8.312, 8.3086) * CHOOSE( CONTROL!$C$15, $D$11, 100%, $F$11)</f>
        <v>8.3119999999999994</v>
      </c>
      <c r="F325" s="4">
        <f>CHOOSE( CONTROL!$C$32, 8.976, 8.9725) * CHOOSE(CONTROL!$C$15, $D$11, 100%, $F$11)</f>
        <v>8.9760000000000009</v>
      </c>
      <c r="G325" s="8">
        <f>CHOOSE( CONTROL!$C$32, 8.1407, 8.1373) * CHOOSE( CONTROL!$C$15, $D$11, 100%, $F$11)</f>
        <v>8.1407000000000007</v>
      </c>
      <c r="H325" s="4">
        <f>CHOOSE( CONTROL!$C$32, 9.0593, 9.0559) * CHOOSE(CONTROL!$C$15, $D$11, 100%, $F$11)</f>
        <v>9.0593000000000004</v>
      </c>
      <c r="I325" s="8">
        <f>CHOOSE( CONTROL!$C$32, 8.0852, 8.0819) * CHOOSE(CONTROL!$C$15, $D$11, 100%, $F$11)</f>
        <v>8.0852000000000004</v>
      </c>
      <c r="J325" s="4">
        <f>CHOOSE( CONTROL!$C$32, 7.9979, 7.9945) * CHOOSE(CONTROL!$C$15, $D$11, 100%, $F$11)</f>
        <v>7.9978999999999996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8.6597 * CHOOSE(CONTROL!$C$15, $D$11, 100%, $F$11)</f>
        <v>8.6597000000000008</v>
      </c>
      <c r="C326" s="8">
        <f>8.67 * CHOOSE(CONTROL!$C$15, $D$11, 100%, $F$11)</f>
        <v>8.67</v>
      </c>
      <c r="D326" s="8">
        <f>8.6825 * CHOOSE( CONTROL!$C$15, $D$11, 100%, $F$11)</f>
        <v>8.6824999999999992</v>
      </c>
      <c r="E326" s="12">
        <f>8.6773 * CHOOSE( CONTROL!$C$15, $D$11, 100%, $F$11)</f>
        <v>8.6773000000000007</v>
      </c>
      <c r="F326" s="4">
        <f>9.3398 * CHOOSE(CONTROL!$C$15, $D$11, 100%, $F$11)</f>
        <v>9.3398000000000003</v>
      </c>
      <c r="G326" s="8">
        <f>8.4982 * CHOOSE( CONTROL!$C$15, $D$11, 100%, $F$11)</f>
        <v>8.4982000000000006</v>
      </c>
      <c r="H326" s="4">
        <f>9.4172 * CHOOSE(CONTROL!$C$15, $D$11, 100%, $F$11)</f>
        <v>9.4171999999999993</v>
      </c>
      <c r="I326" s="8">
        <f>8.438 * CHOOSE(CONTROL!$C$15, $D$11, 100%, $F$11)</f>
        <v>8.4380000000000006</v>
      </c>
      <c r="J326" s="4">
        <f>8.3497 * CHOOSE(CONTROL!$C$15, $D$11, 100%, $F$11)</f>
        <v>8.3497000000000003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9.3375 * CHOOSE(CONTROL!$C$15, $D$11, 100%, $F$11)</f>
        <v>9.3375000000000004</v>
      </c>
      <c r="C327" s="8">
        <f>9.3478 * CHOOSE(CONTROL!$C$15, $D$11, 100%, $F$11)</f>
        <v>9.3477999999999994</v>
      </c>
      <c r="D327" s="8">
        <f>9.3328 * CHOOSE( CONTROL!$C$15, $D$11, 100%, $F$11)</f>
        <v>9.3328000000000007</v>
      </c>
      <c r="E327" s="12">
        <f>9.3372 * CHOOSE( CONTROL!$C$15, $D$11, 100%, $F$11)</f>
        <v>9.3371999999999993</v>
      </c>
      <c r="F327" s="4">
        <f>9.9917 * CHOOSE(CONTROL!$C$15, $D$11, 100%, $F$11)</f>
        <v>9.9916999999999998</v>
      </c>
      <c r="G327" s="8">
        <f>9.1744 * CHOOSE( CONTROL!$C$15, $D$11, 100%, $F$11)</f>
        <v>9.1744000000000003</v>
      </c>
      <c r="H327" s="4">
        <f>10.0586 * CHOOSE(CONTROL!$C$15, $D$11, 100%, $F$11)</f>
        <v>10.0586</v>
      </c>
      <c r="I327" s="8">
        <f>9.1142 * CHOOSE(CONTROL!$C$15, $D$11, 100%, $F$11)</f>
        <v>9.1142000000000003</v>
      </c>
      <c r="J327" s="4">
        <f>9.0052 * CHOOSE(CONTROL!$C$15, $D$11, 100%, $F$11)</f>
        <v>9.0052000000000003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9.3206 * CHOOSE(CONTROL!$C$15, $D$11, 100%, $F$11)</f>
        <v>9.3206000000000007</v>
      </c>
      <c r="C328" s="8">
        <f>9.3309 * CHOOSE(CONTROL!$C$15, $D$11, 100%, $F$11)</f>
        <v>9.3308999999999997</v>
      </c>
      <c r="D328" s="8">
        <f>9.3175 * CHOOSE( CONTROL!$C$15, $D$11, 100%, $F$11)</f>
        <v>9.3175000000000008</v>
      </c>
      <c r="E328" s="12">
        <f>9.3213 * CHOOSE( CONTROL!$C$15, $D$11, 100%, $F$11)</f>
        <v>9.3213000000000008</v>
      </c>
      <c r="F328" s="4">
        <f>9.9748 * CHOOSE(CONTROL!$C$15, $D$11, 100%, $F$11)</f>
        <v>9.9748000000000001</v>
      </c>
      <c r="G328" s="8">
        <f>9.159 * CHOOSE( CONTROL!$C$15, $D$11, 100%, $F$11)</f>
        <v>9.1590000000000007</v>
      </c>
      <c r="H328" s="4">
        <f>10.042 * CHOOSE(CONTROL!$C$15, $D$11, 100%, $F$11)</f>
        <v>10.042</v>
      </c>
      <c r="I328" s="8">
        <f>9.1031 * CHOOSE(CONTROL!$C$15, $D$11, 100%, $F$11)</f>
        <v>9.1030999999999995</v>
      </c>
      <c r="J328" s="4">
        <f>8.9888 * CHOOSE(CONTROL!$C$15, $D$11, 100%, $F$11)</f>
        <v>8.9887999999999995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9.6758 * CHOOSE(CONTROL!$C$15, $D$11, 100%, $F$11)</f>
        <v>9.6758000000000006</v>
      </c>
      <c r="C329" s="8">
        <f>9.6861 * CHOOSE(CONTROL!$C$15, $D$11, 100%, $F$11)</f>
        <v>9.6860999999999997</v>
      </c>
      <c r="D329" s="8">
        <f>9.6846 * CHOOSE( CONTROL!$C$15, $D$11, 100%, $F$11)</f>
        <v>9.6845999999999997</v>
      </c>
      <c r="E329" s="12">
        <f>9.6841 * CHOOSE( CONTROL!$C$15, $D$11, 100%, $F$11)</f>
        <v>9.6841000000000008</v>
      </c>
      <c r="F329" s="4">
        <f>10.3585 * CHOOSE(CONTROL!$C$15, $D$11, 100%, $F$11)</f>
        <v>10.358499999999999</v>
      </c>
      <c r="G329" s="8">
        <f>9.521 * CHOOSE( CONTROL!$C$15, $D$11, 100%, $F$11)</f>
        <v>9.5210000000000008</v>
      </c>
      <c r="H329" s="4">
        <f>10.4194 * CHOOSE(CONTROL!$C$15, $D$11, 100%, $F$11)</f>
        <v>10.4194</v>
      </c>
      <c r="I329" s="8">
        <f>9.4456 * CHOOSE(CONTROL!$C$15, $D$11, 100%, $F$11)</f>
        <v>9.4456000000000007</v>
      </c>
      <c r="J329" s="4">
        <f>9.3323 * CHOOSE(CONTROL!$C$15, $D$11, 100%, $F$11)</f>
        <v>9.3323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9.0519 * CHOOSE(CONTROL!$C$15, $D$11, 100%, $F$11)</f>
        <v>9.0518999999999998</v>
      </c>
      <c r="C330" s="8">
        <f>9.0623 * CHOOSE(CONTROL!$C$15, $D$11, 100%, $F$11)</f>
        <v>9.0623000000000005</v>
      </c>
      <c r="D330" s="8">
        <f>9.0628 * CHOOSE( CONTROL!$C$15, $D$11, 100%, $F$11)</f>
        <v>9.0627999999999993</v>
      </c>
      <c r="E330" s="12">
        <f>9.0615 * CHOOSE( CONTROL!$C$15, $D$11, 100%, $F$11)</f>
        <v>9.0615000000000006</v>
      </c>
      <c r="F330" s="4">
        <f>9.7269 * CHOOSE(CONTROL!$C$15, $D$11, 100%, $F$11)</f>
        <v>9.7269000000000005</v>
      </c>
      <c r="G330" s="8">
        <f>8.907 * CHOOSE( CONTROL!$C$15, $D$11, 100%, $F$11)</f>
        <v>8.907</v>
      </c>
      <c r="H330" s="4">
        <f>9.7981 * CHOOSE(CONTROL!$C$15, $D$11, 100%, $F$11)</f>
        <v>9.7980999999999998</v>
      </c>
      <c r="I330" s="8">
        <f>8.831 * CHOOSE(CONTROL!$C$15, $D$11, 100%, $F$11)</f>
        <v>8.8309999999999995</v>
      </c>
      <c r="J330" s="4">
        <f>8.729 * CHOOSE(CONTROL!$C$15, $D$11, 100%, $F$11)</f>
        <v>8.7289999999999992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8.8598 * CHOOSE(CONTROL!$C$15, $D$11, 100%, $F$11)</f>
        <v>8.8597999999999999</v>
      </c>
      <c r="C331" s="8">
        <f>8.8701 * CHOOSE(CONTROL!$C$15, $D$11, 100%, $F$11)</f>
        <v>8.8701000000000008</v>
      </c>
      <c r="D331" s="8">
        <f>8.8653 * CHOOSE( CONTROL!$C$15, $D$11, 100%, $F$11)</f>
        <v>8.8652999999999995</v>
      </c>
      <c r="E331" s="12">
        <f>8.866 * CHOOSE( CONTROL!$C$15, $D$11, 100%, $F$11)</f>
        <v>8.8659999999999997</v>
      </c>
      <c r="F331" s="4">
        <f>9.5373 * CHOOSE(CONTROL!$C$15, $D$11, 100%, $F$11)</f>
        <v>9.5373000000000001</v>
      </c>
      <c r="G331" s="8">
        <f>8.7125 * CHOOSE( CONTROL!$C$15, $D$11, 100%, $F$11)</f>
        <v>8.7125000000000004</v>
      </c>
      <c r="H331" s="4">
        <f>9.6116 * CHOOSE(CONTROL!$C$15, $D$11, 100%, $F$11)</f>
        <v>9.6115999999999993</v>
      </c>
      <c r="I331" s="8">
        <f>8.6333 * CHOOSE(CONTROL!$C$15, $D$11, 100%, $F$11)</f>
        <v>8.6333000000000002</v>
      </c>
      <c r="J331" s="4">
        <f>8.5432 * CHOOSE(CONTROL!$C$15, $D$11, 100%, $F$11)</f>
        <v>8.5432000000000006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8.9941 * CHOOSE(CONTROL!$C$15, $D$11, 100%, $F$11)</f>
        <v>8.9940999999999995</v>
      </c>
      <c r="C332" s="8">
        <f>9.0044 * CHOOSE(CONTROL!$C$15, $D$11, 100%, $F$11)</f>
        <v>9.0044000000000004</v>
      </c>
      <c r="D332" s="8">
        <f>9.0157 * CHOOSE( CONTROL!$C$15, $D$11, 100%, $F$11)</f>
        <v>9.0157000000000007</v>
      </c>
      <c r="E332" s="12">
        <f>9.0108 * CHOOSE( CONTROL!$C$15, $D$11, 100%, $F$11)</f>
        <v>9.0107999999999997</v>
      </c>
      <c r="F332" s="4">
        <f>9.6742 * CHOOSE(CONTROL!$C$15, $D$11, 100%, $F$11)</f>
        <v>9.6742000000000008</v>
      </c>
      <c r="G332" s="8">
        <f>8.8253 * CHOOSE( CONTROL!$C$15, $D$11, 100%, $F$11)</f>
        <v>8.8253000000000004</v>
      </c>
      <c r="H332" s="4">
        <f>9.7462 * CHOOSE(CONTROL!$C$15, $D$11, 100%, $F$11)</f>
        <v>9.7462</v>
      </c>
      <c r="I332" s="8">
        <f>8.7555 * CHOOSE(CONTROL!$C$15, $D$11, 100%, $F$11)</f>
        <v>8.7554999999999996</v>
      </c>
      <c r="J332" s="4">
        <f>8.6731 * CHOOSE(CONTROL!$C$15, $D$11, 100%, $F$11)</f>
        <v>8.6730999999999998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CONTROL!$C$32, 9.2365, 9.233) * CHOOSE(CONTROL!$C$15, $D$11, 100%, $F$11)</f>
        <v>9.2364999999999995</v>
      </c>
      <c r="C333" s="8">
        <f>CHOOSE( CONTROL!$C$32, 9.2468, 9.2434) * CHOOSE(CONTROL!$C$15, $D$11, 100%, $F$11)</f>
        <v>9.2468000000000004</v>
      </c>
      <c r="D333" s="8">
        <f>CHOOSE( CONTROL!$C$32, 9.2577, 9.2542) * CHOOSE( CONTROL!$C$15, $D$11, 100%, $F$11)</f>
        <v>9.2576999999999998</v>
      </c>
      <c r="E333" s="12">
        <f>CHOOSE( CONTROL!$C$32, 9.2522, 9.2487) * CHOOSE( CONTROL!$C$15, $D$11, 100%, $F$11)</f>
        <v>9.2522000000000002</v>
      </c>
      <c r="F333" s="4">
        <f>CHOOSE( CONTROL!$C$32, 9.9166, 9.9131) * CHOOSE(CONTROL!$C$15, $D$11, 100%, $F$11)</f>
        <v>9.9166000000000007</v>
      </c>
      <c r="G333" s="8">
        <f>CHOOSE( CONTROL!$C$32, 9.065, 9.0616) * CHOOSE( CONTROL!$C$15, $D$11, 100%, $F$11)</f>
        <v>9.0649999999999995</v>
      </c>
      <c r="H333" s="4">
        <f>CHOOSE( CONTROL!$C$32, 9.9847, 9.9813) * CHOOSE(CONTROL!$C$15, $D$11, 100%, $F$11)</f>
        <v>9.9847000000000001</v>
      </c>
      <c r="I333" s="8">
        <f>CHOOSE( CONTROL!$C$32, 8.9917, 8.9883) * CHOOSE(CONTROL!$C$15, $D$11, 100%, $F$11)</f>
        <v>8.9916999999999998</v>
      </c>
      <c r="J333" s="4">
        <f>CHOOSE( CONTROL!$C$32, 8.9075, 8.9042) * CHOOSE(CONTROL!$C$15, $D$11, 100%, $F$11)</f>
        <v>8.9075000000000006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CONTROL!$C$32, 9.0885, 9.085) * CHOOSE(CONTROL!$C$15, $D$11, 100%, $F$11)</f>
        <v>9.0884999999999998</v>
      </c>
      <c r="C334" s="8">
        <f>CHOOSE( CONTROL!$C$32, 9.0988, 9.0953) * CHOOSE(CONTROL!$C$15, $D$11, 100%, $F$11)</f>
        <v>9.0988000000000007</v>
      </c>
      <c r="D334" s="8">
        <f>CHOOSE( CONTROL!$C$32, 9.1099, 9.1064) * CHOOSE( CONTROL!$C$15, $D$11, 100%, $F$11)</f>
        <v>9.1098999999999997</v>
      </c>
      <c r="E334" s="12">
        <f>CHOOSE( CONTROL!$C$32, 9.1043, 9.1008) * CHOOSE( CONTROL!$C$15, $D$11, 100%, $F$11)</f>
        <v>9.1043000000000003</v>
      </c>
      <c r="F334" s="4">
        <f>CHOOSE( CONTROL!$C$32, 9.7686, 9.7651) * CHOOSE(CONTROL!$C$15, $D$11, 100%, $F$11)</f>
        <v>9.7685999999999993</v>
      </c>
      <c r="G334" s="8">
        <f>CHOOSE( CONTROL!$C$32, 8.9198, 8.9163) * CHOOSE( CONTROL!$C$15, $D$11, 100%, $F$11)</f>
        <v>8.9198000000000004</v>
      </c>
      <c r="H334" s="4">
        <f>CHOOSE( CONTROL!$C$32, 9.8391, 9.8357) * CHOOSE(CONTROL!$C$15, $D$11, 100%, $F$11)</f>
        <v>9.8391000000000002</v>
      </c>
      <c r="I334" s="8">
        <f>CHOOSE( CONTROL!$C$32, 8.8498, 8.8464) * CHOOSE(CONTROL!$C$15, $D$11, 100%, $F$11)</f>
        <v>8.8498000000000001</v>
      </c>
      <c r="J334" s="4">
        <f>CHOOSE( CONTROL!$C$32, 8.7644, 8.761) * CHOOSE(CONTROL!$C$15, $D$11, 100%, $F$11)</f>
        <v>8.7644000000000002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CONTROL!$C$32, 9.4783, 9.4748) * CHOOSE(CONTROL!$C$15, $D$11, 100%, $F$11)</f>
        <v>9.4783000000000008</v>
      </c>
      <c r="C335" s="8">
        <f>CHOOSE( CONTROL!$C$32, 9.4886, 9.4851) * CHOOSE(CONTROL!$C$15, $D$11, 100%, $F$11)</f>
        <v>9.4885999999999999</v>
      </c>
      <c r="D335" s="8">
        <f>CHOOSE( CONTROL!$C$32, 9.5, 9.4965) * CHOOSE( CONTROL!$C$15, $D$11, 100%, $F$11)</f>
        <v>9.5</v>
      </c>
      <c r="E335" s="12">
        <f>CHOOSE( CONTROL!$C$32, 9.4943, 9.4908) * CHOOSE( CONTROL!$C$15, $D$11, 100%, $F$11)</f>
        <v>9.4943000000000008</v>
      </c>
      <c r="F335" s="4">
        <f>CHOOSE( CONTROL!$C$32, 10.1584, 10.1549) * CHOOSE(CONTROL!$C$15, $D$11, 100%, $F$11)</f>
        <v>10.1584</v>
      </c>
      <c r="G335" s="8">
        <f>CHOOSE( CONTROL!$C$32, 9.3037, 9.3003) * CHOOSE( CONTROL!$C$15, $D$11, 100%, $F$11)</f>
        <v>9.3036999999999992</v>
      </c>
      <c r="H335" s="4">
        <f>CHOOSE( CONTROL!$C$32, 10.2226, 10.2192) * CHOOSE(CONTROL!$C$15, $D$11, 100%, $F$11)</f>
        <v>10.2226</v>
      </c>
      <c r="I335" s="8">
        <f>CHOOSE( CONTROL!$C$32, 9.2284, 9.225) * CHOOSE(CONTROL!$C$15, $D$11, 100%, $F$11)</f>
        <v>9.2284000000000006</v>
      </c>
      <c r="J335" s="4">
        <f>CHOOSE( CONTROL!$C$32, 9.1413, 9.138) * CHOOSE(CONTROL!$C$15, $D$11, 100%, $F$11)</f>
        <v>9.1412999999999993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CONTROL!$C$32, 8.7489, 8.7454) * CHOOSE(CONTROL!$C$15, $D$11, 100%, $F$11)</f>
        <v>8.7489000000000008</v>
      </c>
      <c r="C336" s="8">
        <f>CHOOSE( CONTROL!$C$32, 8.7592, 8.7558) * CHOOSE(CONTROL!$C$15, $D$11, 100%, $F$11)</f>
        <v>8.7591999999999999</v>
      </c>
      <c r="D336" s="8">
        <f>CHOOSE( CONTROL!$C$32, 8.7708, 8.7673) * CHOOSE( CONTROL!$C$15, $D$11, 100%, $F$11)</f>
        <v>8.7707999999999995</v>
      </c>
      <c r="E336" s="12">
        <f>CHOOSE( CONTROL!$C$32, 8.765, 8.7615) * CHOOSE( CONTROL!$C$15, $D$11, 100%, $F$11)</f>
        <v>8.7650000000000006</v>
      </c>
      <c r="F336" s="4">
        <f>CHOOSE( CONTROL!$C$32, 9.429, 9.4255) * CHOOSE(CONTROL!$C$15, $D$11, 100%, $F$11)</f>
        <v>9.4290000000000003</v>
      </c>
      <c r="G336" s="8">
        <f>CHOOSE( CONTROL!$C$32, 8.5863, 8.5829) * CHOOSE( CONTROL!$C$15, $D$11, 100%, $F$11)</f>
        <v>8.5862999999999996</v>
      </c>
      <c r="H336" s="4">
        <f>CHOOSE( CONTROL!$C$32, 9.505, 9.5016) * CHOOSE(CONTROL!$C$15, $D$11, 100%, $F$11)</f>
        <v>9.5050000000000008</v>
      </c>
      <c r="I336" s="8">
        <f>CHOOSE( CONTROL!$C$32, 8.5233, 8.52) * CHOOSE(CONTROL!$C$15, $D$11, 100%, $F$11)</f>
        <v>8.5233000000000008</v>
      </c>
      <c r="J336" s="4">
        <f>CHOOSE( CONTROL!$C$32, 8.436, 8.4326) * CHOOSE(CONTROL!$C$15, $D$11, 100%, $F$11)</f>
        <v>8.4359999999999999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CONTROL!$C$32, 8.5663, 8.5628) * CHOOSE(CONTROL!$C$15, $D$11, 100%, $F$11)</f>
        <v>8.5663</v>
      </c>
      <c r="C337" s="8">
        <f>CHOOSE( CONTROL!$C$32, 8.5766, 8.5731) * CHOOSE(CONTROL!$C$15, $D$11, 100%, $F$11)</f>
        <v>8.5765999999999991</v>
      </c>
      <c r="D337" s="8">
        <f>CHOOSE( CONTROL!$C$32, 8.5882, 8.5847) * CHOOSE( CONTROL!$C$15, $D$11, 100%, $F$11)</f>
        <v>8.5882000000000005</v>
      </c>
      <c r="E337" s="12">
        <f>CHOOSE( CONTROL!$C$32, 8.5824, 8.5789) * CHOOSE( CONTROL!$C$15, $D$11, 100%, $F$11)</f>
        <v>8.5823999999999998</v>
      </c>
      <c r="F337" s="4">
        <f>CHOOSE( CONTROL!$C$32, 9.2464, 9.2429) * CHOOSE(CONTROL!$C$15, $D$11, 100%, $F$11)</f>
        <v>9.2463999999999995</v>
      </c>
      <c r="G337" s="8">
        <f>CHOOSE( CONTROL!$C$32, 8.4067, 8.4033) * CHOOSE( CONTROL!$C$15, $D$11, 100%, $F$11)</f>
        <v>8.4067000000000007</v>
      </c>
      <c r="H337" s="4">
        <f>CHOOSE( CONTROL!$C$32, 9.3253, 9.3219) * CHOOSE(CONTROL!$C$15, $D$11, 100%, $F$11)</f>
        <v>9.3253000000000004</v>
      </c>
      <c r="I337" s="8">
        <f>CHOOSE( CONTROL!$C$32, 8.3468, 8.3434) * CHOOSE(CONTROL!$C$15, $D$11, 100%, $F$11)</f>
        <v>8.3468</v>
      </c>
      <c r="J337" s="4">
        <f>CHOOSE( CONTROL!$C$32, 8.2593, 8.256) * CHOOSE(CONTROL!$C$15, $D$11, 100%, $F$11)</f>
        <v>8.2592999999999996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8.942 * CHOOSE(CONTROL!$C$15, $D$11, 100%, $F$11)</f>
        <v>8.9420000000000002</v>
      </c>
      <c r="C338" s="8">
        <f>8.9524 * CHOOSE(CONTROL!$C$15, $D$11, 100%, $F$11)</f>
        <v>8.9524000000000008</v>
      </c>
      <c r="D338" s="8">
        <f>8.9649 * CHOOSE( CONTROL!$C$15, $D$11, 100%, $F$11)</f>
        <v>8.9649000000000001</v>
      </c>
      <c r="E338" s="12">
        <f>8.9597 * CHOOSE( CONTROL!$C$15, $D$11, 100%, $F$11)</f>
        <v>8.9596999999999998</v>
      </c>
      <c r="F338" s="4">
        <f>9.6221 * CHOOSE(CONTROL!$C$15, $D$11, 100%, $F$11)</f>
        <v>9.6220999999999997</v>
      </c>
      <c r="G338" s="8">
        <f>8.776 * CHOOSE( CONTROL!$C$15, $D$11, 100%, $F$11)</f>
        <v>8.7759999999999998</v>
      </c>
      <c r="H338" s="4">
        <f>9.695 * CHOOSE(CONTROL!$C$15, $D$11, 100%, $F$11)</f>
        <v>9.6950000000000003</v>
      </c>
      <c r="I338" s="8">
        <f>8.7112 * CHOOSE(CONTROL!$C$15, $D$11, 100%, $F$11)</f>
        <v>8.7111999999999998</v>
      </c>
      <c r="J338" s="4">
        <f>8.6227 * CHOOSE(CONTROL!$C$15, $D$11, 100%, $F$11)</f>
        <v>8.6227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9.642 * CHOOSE(CONTROL!$C$15, $D$11, 100%, $F$11)</f>
        <v>9.6419999999999995</v>
      </c>
      <c r="C339" s="8">
        <f>9.6523 * CHOOSE(CONTROL!$C$15, $D$11, 100%, $F$11)</f>
        <v>9.6523000000000003</v>
      </c>
      <c r="D339" s="8">
        <f>9.6373 * CHOOSE( CONTROL!$C$15, $D$11, 100%, $F$11)</f>
        <v>9.6372999999999998</v>
      </c>
      <c r="E339" s="12">
        <f>9.6417 * CHOOSE( CONTROL!$C$15, $D$11, 100%, $F$11)</f>
        <v>9.6417000000000002</v>
      </c>
      <c r="F339" s="4">
        <f>10.2963 * CHOOSE(CONTROL!$C$15, $D$11, 100%, $F$11)</f>
        <v>10.2963</v>
      </c>
      <c r="G339" s="8">
        <f>9.474 * CHOOSE( CONTROL!$C$15, $D$11, 100%, $F$11)</f>
        <v>9.4740000000000002</v>
      </c>
      <c r="H339" s="4">
        <f>10.3582 * CHOOSE(CONTROL!$C$15, $D$11, 100%, $F$11)</f>
        <v>10.3582</v>
      </c>
      <c r="I339" s="8">
        <f>9.4089 * CHOOSE(CONTROL!$C$15, $D$11, 100%, $F$11)</f>
        <v>9.4088999999999992</v>
      </c>
      <c r="J339" s="4">
        <f>9.2997 * CHOOSE(CONTROL!$C$15, $D$11, 100%, $F$11)</f>
        <v>9.2996999999999996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9.6245 * CHOOSE(CONTROL!$C$15, $D$11, 100%, $F$11)</f>
        <v>9.6244999999999994</v>
      </c>
      <c r="C340" s="8">
        <f>9.6349 * CHOOSE(CONTROL!$C$15, $D$11, 100%, $F$11)</f>
        <v>9.6349</v>
      </c>
      <c r="D340" s="8">
        <f>9.6214 * CHOOSE( CONTROL!$C$15, $D$11, 100%, $F$11)</f>
        <v>9.6213999999999995</v>
      </c>
      <c r="E340" s="12">
        <f>9.6252 * CHOOSE( CONTROL!$C$15, $D$11, 100%, $F$11)</f>
        <v>9.6251999999999995</v>
      </c>
      <c r="F340" s="4">
        <f>10.2788 * CHOOSE(CONTROL!$C$15, $D$11, 100%, $F$11)</f>
        <v>10.2788</v>
      </c>
      <c r="G340" s="8">
        <f>9.458 * CHOOSE( CONTROL!$C$15, $D$11, 100%, $F$11)</f>
        <v>9.4580000000000002</v>
      </c>
      <c r="H340" s="4">
        <f>10.341 * CHOOSE(CONTROL!$C$15, $D$11, 100%, $F$11)</f>
        <v>10.340999999999999</v>
      </c>
      <c r="I340" s="8">
        <f>9.3972 * CHOOSE(CONTROL!$C$15, $D$11, 100%, $F$11)</f>
        <v>9.3971999999999998</v>
      </c>
      <c r="J340" s="4">
        <f>9.2828 * CHOOSE(CONTROL!$C$15, $D$11, 100%, $F$11)</f>
        <v>9.2827999999999999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9.9914 * CHOOSE(CONTROL!$C$15, $D$11, 100%, $F$11)</f>
        <v>9.9914000000000005</v>
      </c>
      <c r="C341" s="8">
        <f>10.0017 * CHOOSE(CONTROL!$C$15, $D$11, 100%, $F$11)</f>
        <v>10.0017</v>
      </c>
      <c r="D341" s="8">
        <f>10.0001 * CHOOSE( CONTROL!$C$15, $D$11, 100%, $F$11)</f>
        <v>10.0001</v>
      </c>
      <c r="E341" s="12">
        <f>9.9996 * CHOOSE( CONTROL!$C$15, $D$11, 100%, $F$11)</f>
        <v>9.9995999999999992</v>
      </c>
      <c r="F341" s="4">
        <f>10.6741 * CHOOSE(CONTROL!$C$15, $D$11, 100%, $F$11)</f>
        <v>10.674099999999999</v>
      </c>
      <c r="G341" s="8">
        <f>9.8315 * CHOOSE( CONTROL!$C$15, $D$11, 100%, $F$11)</f>
        <v>9.8315000000000001</v>
      </c>
      <c r="H341" s="4">
        <f>10.7299 * CHOOSE(CONTROL!$C$15, $D$11, 100%, $F$11)</f>
        <v>10.729900000000001</v>
      </c>
      <c r="I341" s="8">
        <f>9.751 * CHOOSE(CONTROL!$C$15, $D$11, 100%, $F$11)</f>
        <v>9.7509999999999994</v>
      </c>
      <c r="J341" s="4">
        <f>9.6375 * CHOOSE(CONTROL!$C$15, $D$11, 100%, $F$11)</f>
        <v>9.6374999999999993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20.5288</v>
      </c>
      <c r="R341" s="9"/>
      <c r="S341" s="11"/>
    </row>
    <row r="342" spans="1:19" ht="15.75">
      <c r="A342" s="13">
        <v>52290</v>
      </c>
      <c r="B342" s="8">
        <f>9.3471 * CHOOSE(CONTROL!$C$15, $D$11, 100%, $F$11)</f>
        <v>9.3470999999999993</v>
      </c>
      <c r="C342" s="8">
        <f>9.3575 * CHOOSE(CONTROL!$C$15, $D$11, 100%, $F$11)</f>
        <v>9.3574999999999999</v>
      </c>
      <c r="D342" s="8">
        <f>9.358 * CHOOSE( CONTROL!$C$15, $D$11, 100%, $F$11)</f>
        <v>9.3580000000000005</v>
      </c>
      <c r="E342" s="12">
        <f>9.3567 * CHOOSE( CONTROL!$C$15, $D$11, 100%, $F$11)</f>
        <v>9.3567</v>
      </c>
      <c r="F342" s="4">
        <f>10.0221 * CHOOSE(CONTROL!$C$15, $D$11, 100%, $F$11)</f>
        <v>10.0221</v>
      </c>
      <c r="G342" s="8">
        <f>9.1974 * CHOOSE( CONTROL!$C$15, $D$11, 100%, $F$11)</f>
        <v>9.1974</v>
      </c>
      <c r="H342" s="4">
        <f>10.0885 * CHOOSE(CONTROL!$C$15, $D$11, 100%, $F$11)</f>
        <v>10.0885</v>
      </c>
      <c r="I342" s="8">
        <f>9.1167 * CHOOSE(CONTROL!$C$15, $D$11, 100%, $F$11)</f>
        <v>9.1166999999999998</v>
      </c>
      <c r="J342" s="4">
        <f>9.0145 * CHOOSE(CONTROL!$C$15, $D$11, 100%, $F$11)</f>
        <v>9.0145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9.1487 * CHOOSE(CONTROL!$C$15, $D$11, 100%, $F$11)</f>
        <v>9.1486999999999998</v>
      </c>
      <c r="C343" s="8">
        <f>9.159 * CHOOSE(CONTROL!$C$15, $D$11, 100%, $F$11)</f>
        <v>9.1590000000000007</v>
      </c>
      <c r="D343" s="8">
        <f>9.1542 * CHOOSE( CONTROL!$C$15, $D$11, 100%, $F$11)</f>
        <v>9.1541999999999994</v>
      </c>
      <c r="E343" s="12">
        <f>9.1549 * CHOOSE( CONTROL!$C$15, $D$11, 100%, $F$11)</f>
        <v>9.1548999999999996</v>
      </c>
      <c r="F343" s="4">
        <f>9.8262 * CHOOSE(CONTROL!$C$15, $D$11, 100%, $F$11)</f>
        <v>9.8262</v>
      </c>
      <c r="G343" s="8">
        <f>8.9968 * CHOOSE( CONTROL!$C$15, $D$11, 100%, $F$11)</f>
        <v>8.9968000000000004</v>
      </c>
      <c r="H343" s="4">
        <f>9.8958 * CHOOSE(CONTROL!$C$15, $D$11, 100%, $F$11)</f>
        <v>9.8957999999999995</v>
      </c>
      <c r="I343" s="8">
        <f>8.9128 * CHOOSE(CONTROL!$C$15, $D$11, 100%, $F$11)</f>
        <v>8.9128000000000007</v>
      </c>
      <c r="J343" s="4">
        <f>8.8226 * CHOOSE(CONTROL!$C$15, $D$11, 100%, $F$11)</f>
        <v>8.8225999999999996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20.5288</v>
      </c>
      <c r="R343" s="9"/>
      <c r="S343" s="11"/>
    </row>
    <row r="344" spans="1:19" ht="15.75">
      <c r="A344" s="13">
        <v>52351</v>
      </c>
      <c r="B344" s="8">
        <f>9.2874 * CHOOSE(CONTROL!$C$15, $D$11, 100%, $F$11)</f>
        <v>9.2873999999999999</v>
      </c>
      <c r="C344" s="8">
        <f>9.2977 * CHOOSE(CONTROL!$C$15, $D$11, 100%, $F$11)</f>
        <v>9.2977000000000007</v>
      </c>
      <c r="D344" s="8">
        <f>9.309 * CHOOSE( CONTROL!$C$15, $D$11, 100%, $F$11)</f>
        <v>9.3089999999999993</v>
      </c>
      <c r="E344" s="12">
        <f>9.3041 * CHOOSE( CONTROL!$C$15, $D$11, 100%, $F$11)</f>
        <v>9.3041</v>
      </c>
      <c r="F344" s="4">
        <f>9.9675 * CHOOSE(CONTROL!$C$15, $D$11, 100%, $F$11)</f>
        <v>9.9674999999999994</v>
      </c>
      <c r="G344" s="8">
        <f>9.1138 * CHOOSE( CONTROL!$C$15, $D$11, 100%, $F$11)</f>
        <v>9.1137999999999995</v>
      </c>
      <c r="H344" s="4">
        <f>10.0347 * CHOOSE(CONTROL!$C$15, $D$11, 100%, $F$11)</f>
        <v>10.034700000000001</v>
      </c>
      <c r="I344" s="8">
        <f>9.0393 * CHOOSE(CONTROL!$C$15, $D$11, 100%, $F$11)</f>
        <v>9.0393000000000008</v>
      </c>
      <c r="J344" s="4">
        <f>8.9567 * CHOOSE(CONTROL!$C$15, $D$11, 100%, $F$11)</f>
        <v>8.9566999999999997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CONTROL!$C$32, 9.5376, 9.5341) * CHOOSE(CONTROL!$C$15, $D$11, 100%, $F$11)</f>
        <v>9.5375999999999994</v>
      </c>
      <c r="C345" s="8">
        <f>CHOOSE( CONTROL!$C$32, 9.5479, 9.5445) * CHOOSE(CONTROL!$C$15, $D$11, 100%, $F$11)</f>
        <v>9.5479000000000003</v>
      </c>
      <c r="D345" s="8">
        <f>CHOOSE( CONTROL!$C$32, 9.5588, 9.5553) * CHOOSE( CONTROL!$C$15, $D$11, 100%, $F$11)</f>
        <v>9.5587999999999997</v>
      </c>
      <c r="E345" s="12">
        <f>CHOOSE( CONTROL!$C$32, 9.5533, 9.5498) * CHOOSE( CONTROL!$C$15, $D$11, 100%, $F$11)</f>
        <v>9.5533000000000001</v>
      </c>
      <c r="F345" s="4">
        <f>CHOOSE( CONTROL!$C$32, 10.2177, 10.2142) * CHOOSE(CONTROL!$C$15, $D$11, 100%, $F$11)</f>
        <v>10.217700000000001</v>
      </c>
      <c r="G345" s="8">
        <f>CHOOSE( CONTROL!$C$32, 9.3612, 9.3578) * CHOOSE( CONTROL!$C$15, $D$11, 100%, $F$11)</f>
        <v>9.3612000000000002</v>
      </c>
      <c r="H345" s="4">
        <f>CHOOSE( CONTROL!$C$32, 10.2809, 10.2775) * CHOOSE(CONTROL!$C$15, $D$11, 100%, $F$11)</f>
        <v>10.280900000000001</v>
      </c>
      <c r="I345" s="8">
        <f>CHOOSE( CONTROL!$C$32, 9.283, 9.2796) * CHOOSE(CONTROL!$C$15, $D$11, 100%, $F$11)</f>
        <v>9.2829999999999995</v>
      </c>
      <c r="J345" s="4">
        <f>CHOOSE( CONTROL!$C$32, 9.1987, 9.1953) * CHOOSE(CONTROL!$C$15, $D$11, 100%, $F$11)</f>
        <v>9.1987000000000005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CONTROL!$C$32, 9.3847, 9.3813) * CHOOSE(CONTROL!$C$15, $D$11, 100%, $F$11)</f>
        <v>9.3847000000000005</v>
      </c>
      <c r="C346" s="8">
        <f>CHOOSE( CONTROL!$C$32, 9.3951, 9.3916) * CHOOSE(CONTROL!$C$15, $D$11, 100%, $F$11)</f>
        <v>9.3950999999999993</v>
      </c>
      <c r="D346" s="8">
        <f>CHOOSE( CONTROL!$C$32, 9.4062, 9.4027) * CHOOSE( CONTROL!$C$15, $D$11, 100%, $F$11)</f>
        <v>9.4062000000000001</v>
      </c>
      <c r="E346" s="12">
        <f>CHOOSE( CONTROL!$C$32, 9.4006, 9.3971) * CHOOSE( CONTROL!$C$15, $D$11, 100%, $F$11)</f>
        <v>9.4006000000000007</v>
      </c>
      <c r="F346" s="4">
        <f>CHOOSE( CONTROL!$C$32, 10.0648, 10.0614) * CHOOSE(CONTROL!$C$15, $D$11, 100%, $F$11)</f>
        <v>10.0648</v>
      </c>
      <c r="G346" s="8">
        <f>CHOOSE( CONTROL!$C$32, 9.2112, 9.2078) * CHOOSE( CONTROL!$C$15, $D$11, 100%, $F$11)</f>
        <v>9.2111999999999998</v>
      </c>
      <c r="H346" s="4">
        <f>CHOOSE( CONTROL!$C$32, 10.1305, 10.1271) * CHOOSE(CONTROL!$C$15, $D$11, 100%, $F$11)</f>
        <v>10.1305</v>
      </c>
      <c r="I346" s="8">
        <f>CHOOSE( CONTROL!$C$32, 9.1364, 9.1331) * CHOOSE(CONTROL!$C$15, $D$11, 100%, $F$11)</f>
        <v>9.1364000000000001</v>
      </c>
      <c r="J346" s="4">
        <f>CHOOSE( CONTROL!$C$32, 9.0509, 9.0475) * CHOOSE(CONTROL!$C$15, $D$11, 100%, $F$11)</f>
        <v>9.0509000000000004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CONTROL!$C$32, 9.7873, 9.7838) * CHOOSE(CONTROL!$C$15, $D$11, 100%, $F$11)</f>
        <v>9.7873000000000001</v>
      </c>
      <c r="C347" s="8">
        <f>CHOOSE( CONTROL!$C$32, 9.7976, 9.7942) * CHOOSE(CONTROL!$C$15, $D$11, 100%, $F$11)</f>
        <v>9.7975999999999992</v>
      </c>
      <c r="D347" s="8">
        <f>CHOOSE( CONTROL!$C$32, 9.809, 9.8056) * CHOOSE( CONTROL!$C$15, $D$11, 100%, $F$11)</f>
        <v>9.8089999999999993</v>
      </c>
      <c r="E347" s="12">
        <f>CHOOSE( CONTROL!$C$32, 9.8033, 9.7999) * CHOOSE( CONTROL!$C$15, $D$11, 100%, $F$11)</f>
        <v>9.8033000000000001</v>
      </c>
      <c r="F347" s="4">
        <f>CHOOSE( CONTROL!$C$32, 10.4674, 10.4639) * CHOOSE(CONTROL!$C$15, $D$11, 100%, $F$11)</f>
        <v>10.4674</v>
      </c>
      <c r="G347" s="8">
        <f>CHOOSE( CONTROL!$C$32, 9.6077, 9.6043) * CHOOSE( CONTROL!$C$15, $D$11, 100%, $F$11)</f>
        <v>9.6076999999999995</v>
      </c>
      <c r="H347" s="4">
        <f>CHOOSE( CONTROL!$C$32, 10.5266, 10.5232) * CHOOSE(CONTROL!$C$15, $D$11, 100%, $F$11)</f>
        <v>10.5266</v>
      </c>
      <c r="I347" s="8">
        <f>CHOOSE( CONTROL!$C$32, 9.5274, 9.524) * CHOOSE(CONTROL!$C$15, $D$11, 100%, $F$11)</f>
        <v>9.5274000000000001</v>
      </c>
      <c r="J347" s="4">
        <f>CHOOSE( CONTROL!$C$32, 9.4402, 9.4368) * CHOOSE(CONTROL!$C$15, $D$11, 100%, $F$11)</f>
        <v>9.4402000000000008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CONTROL!$C$32, 9.0341, 9.0306) * CHOOSE(CONTROL!$C$15, $D$11, 100%, $F$11)</f>
        <v>9.0341000000000005</v>
      </c>
      <c r="C348" s="8">
        <f>CHOOSE( CONTROL!$C$32, 9.0444, 9.0409) * CHOOSE(CONTROL!$C$15, $D$11, 100%, $F$11)</f>
        <v>9.0443999999999996</v>
      </c>
      <c r="D348" s="8">
        <f>CHOOSE( CONTROL!$C$32, 9.0559, 9.0525) * CHOOSE( CONTROL!$C$15, $D$11, 100%, $F$11)</f>
        <v>9.0558999999999994</v>
      </c>
      <c r="E348" s="12">
        <f>CHOOSE( CONTROL!$C$32, 9.0502, 9.0467) * CHOOSE( CONTROL!$C$15, $D$11, 100%, $F$11)</f>
        <v>9.0502000000000002</v>
      </c>
      <c r="F348" s="4">
        <f>CHOOSE( CONTROL!$C$32, 9.7142, 9.7107) * CHOOSE(CONTROL!$C$15, $D$11, 100%, $F$11)</f>
        <v>9.7141999999999999</v>
      </c>
      <c r="G348" s="8">
        <f>CHOOSE( CONTROL!$C$32, 8.8669, 8.8635) * CHOOSE( CONTROL!$C$15, $D$11, 100%, $F$11)</f>
        <v>8.8668999999999993</v>
      </c>
      <c r="H348" s="4">
        <f>CHOOSE( CONTROL!$C$32, 9.7855, 9.7821) * CHOOSE(CONTROL!$C$15, $D$11, 100%, $F$11)</f>
        <v>9.7855000000000008</v>
      </c>
      <c r="I348" s="8">
        <f>CHOOSE( CONTROL!$C$32, 8.7992, 8.7959) * CHOOSE(CONTROL!$C$15, $D$11, 100%, $F$11)</f>
        <v>8.7992000000000008</v>
      </c>
      <c r="J348" s="4">
        <f>CHOOSE( CONTROL!$C$32, 8.7117, 8.7084) * CHOOSE(CONTROL!$C$15, $D$11, 100%, $F$11)</f>
        <v>8.7117000000000004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CONTROL!$C$32, 8.8454, 8.842) * CHOOSE(CONTROL!$C$15, $D$11, 100%, $F$11)</f>
        <v>8.8453999999999997</v>
      </c>
      <c r="C349" s="8">
        <f>CHOOSE( CONTROL!$C$32, 8.8558, 8.8523) * CHOOSE(CONTROL!$C$15, $D$11, 100%, $F$11)</f>
        <v>8.8558000000000003</v>
      </c>
      <c r="D349" s="8">
        <f>CHOOSE( CONTROL!$C$32, 8.8674, 8.8639) * CHOOSE( CONTROL!$C$15, $D$11, 100%, $F$11)</f>
        <v>8.8673999999999999</v>
      </c>
      <c r="E349" s="12">
        <f>CHOOSE( CONTROL!$C$32, 8.8616, 8.8581) * CHOOSE( CONTROL!$C$15, $D$11, 100%, $F$11)</f>
        <v>8.8615999999999993</v>
      </c>
      <c r="F349" s="4">
        <f>CHOOSE( CONTROL!$C$32, 9.5255, 9.5221) * CHOOSE(CONTROL!$C$15, $D$11, 100%, $F$11)</f>
        <v>9.5254999999999992</v>
      </c>
      <c r="G349" s="8">
        <f>CHOOSE( CONTROL!$C$32, 8.6814, 8.678) * CHOOSE( CONTROL!$C$15, $D$11, 100%, $F$11)</f>
        <v>8.6814</v>
      </c>
      <c r="H349" s="4">
        <f>CHOOSE( CONTROL!$C$32, 9.6, 9.5966) * CHOOSE(CONTROL!$C$15, $D$11, 100%, $F$11)</f>
        <v>9.6</v>
      </c>
      <c r="I349" s="8">
        <f>CHOOSE( CONTROL!$C$32, 8.6169, 8.6136) * CHOOSE(CONTROL!$C$15, $D$11, 100%, $F$11)</f>
        <v>8.6168999999999993</v>
      </c>
      <c r="J349" s="4">
        <f>CHOOSE( CONTROL!$C$32, 8.5293, 8.526) * CHOOSE(CONTROL!$C$15, $D$11, 100%, $F$11)</f>
        <v>8.5292999999999992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9.2336 * CHOOSE(CONTROL!$C$15, $D$11, 100%, $F$11)</f>
        <v>9.2335999999999991</v>
      </c>
      <c r="C350" s="8">
        <f>9.2439 * CHOOSE(CONTROL!$C$15, $D$11, 100%, $F$11)</f>
        <v>9.2439</v>
      </c>
      <c r="D350" s="8">
        <f>9.2565 * CHOOSE( CONTROL!$C$15, $D$11, 100%, $F$11)</f>
        <v>9.2565000000000008</v>
      </c>
      <c r="E350" s="12">
        <f>9.2512 * CHOOSE( CONTROL!$C$15, $D$11, 100%, $F$11)</f>
        <v>9.2512000000000008</v>
      </c>
      <c r="F350" s="4">
        <f>9.9137 * CHOOSE(CONTROL!$C$15, $D$11, 100%, $F$11)</f>
        <v>9.9137000000000004</v>
      </c>
      <c r="G350" s="8">
        <f>9.0628 * CHOOSE( CONTROL!$C$15, $D$11, 100%, $F$11)</f>
        <v>9.0627999999999993</v>
      </c>
      <c r="H350" s="4">
        <f>9.9819 * CHOOSE(CONTROL!$C$15, $D$11, 100%, $F$11)</f>
        <v>9.9818999999999996</v>
      </c>
      <c r="I350" s="8">
        <f>8.9934 * CHOOSE(CONTROL!$C$15, $D$11, 100%, $F$11)</f>
        <v>8.9933999999999994</v>
      </c>
      <c r="J350" s="4">
        <f>8.9047 * CHOOSE(CONTROL!$C$15, $D$11, 100%, $F$11)</f>
        <v>8.9047000000000001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20.5288</v>
      </c>
      <c r="R350" s="9"/>
      <c r="S350" s="11"/>
    </row>
    <row r="351" spans="1:19" ht="15.75">
      <c r="A351" s="13">
        <v>52565</v>
      </c>
      <c r="B351" s="8">
        <f>9.9565 * CHOOSE(CONTROL!$C$15, $D$11, 100%, $F$11)</f>
        <v>9.9565000000000001</v>
      </c>
      <c r="C351" s="8">
        <f>9.9668 * CHOOSE(CONTROL!$C$15, $D$11, 100%, $F$11)</f>
        <v>9.9667999999999992</v>
      </c>
      <c r="D351" s="8">
        <f>9.9518 * CHOOSE( CONTROL!$C$15, $D$11, 100%, $F$11)</f>
        <v>9.9518000000000004</v>
      </c>
      <c r="E351" s="12">
        <f>9.9562 * CHOOSE( CONTROL!$C$15, $D$11, 100%, $F$11)</f>
        <v>9.9562000000000008</v>
      </c>
      <c r="F351" s="4">
        <f>10.6107 * CHOOSE(CONTROL!$C$15, $D$11, 100%, $F$11)</f>
        <v>10.6107</v>
      </c>
      <c r="G351" s="8">
        <f>9.7834 * CHOOSE( CONTROL!$C$15, $D$11, 100%, $F$11)</f>
        <v>9.7834000000000003</v>
      </c>
      <c r="H351" s="4">
        <f>10.6676 * CHOOSE(CONTROL!$C$15, $D$11, 100%, $F$11)</f>
        <v>10.6676</v>
      </c>
      <c r="I351" s="8">
        <f>9.7131 * CHOOSE(CONTROL!$C$15, $D$11, 100%, $F$11)</f>
        <v>9.7131000000000007</v>
      </c>
      <c r="J351" s="4">
        <f>9.6038 * CHOOSE(CONTROL!$C$15, $D$11, 100%, $F$11)</f>
        <v>9.6037999999999997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9.9384 * CHOOSE(CONTROL!$C$15, $D$11, 100%, $F$11)</f>
        <v>9.9383999999999997</v>
      </c>
      <c r="C352" s="8">
        <f>9.9488 * CHOOSE(CONTROL!$C$15, $D$11, 100%, $F$11)</f>
        <v>9.9488000000000003</v>
      </c>
      <c r="D352" s="8">
        <f>9.9353 * CHOOSE( CONTROL!$C$15, $D$11, 100%, $F$11)</f>
        <v>9.9352999999999998</v>
      </c>
      <c r="E352" s="12">
        <f>9.9391 * CHOOSE( CONTROL!$C$15, $D$11, 100%, $F$11)</f>
        <v>9.9390999999999998</v>
      </c>
      <c r="F352" s="4">
        <f>10.5927 * CHOOSE(CONTROL!$C$15, $D$11, 100%, $F$11)</f>
        <v>10.592700000000001</v>
      </c>
      <c r="G352" s="8">
        <f>9.7669 * CHOOSE( CONTROL!$C$15, $D$11, 100%, $F$11)</f>
        <v>9.7668999999999997</v>
      </c>
      <c r="H352" s="4">
        <f>10.6499 * CHOOSE(CONTROL!$C$15, $D$11, 100%, $F$11)</f>
        <v>10.649900000000001</v>
      </c>
      <c r="I352" s="8">
        <f>9.7009 * CHOOSE(CONTROL!$C$15, $D$11, 100%, $F$11)</f>
        <v>9.7009000000000007</v>
      </c>
      <c r="J352" s="4">
        <f>9.5863 * CHOOSE(CONTROL!$C$15, $D$11, 100%, $F$11)</f>
        <v>9.5862999999999996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20.5288</v>
      </c>
      <c r="R352" s="9"/>
      <c r="S352" s="11"/>
    </row>
    <row r="353" spans="1:19" ht="15.75">
      <c r="A353" s="13">
        <v>52627</v>
      </c>
      <c r="B353" s="8">
        <f>10.3173 * CHOOSE(CONTROL!$C$15, $D$11, 100%, $F$11)</f>
        <v>10.317299999999999</v>
      </c>
      <c r="C353" s="8">
        <f>10.3276 * CHOOSE(CONTROL!$C$15, $D$11, 100%, $F$11)</f>
        <v>10.3276</v>
      </c>
      <c r="D353" s="8">
        <f>10.326 * CHOOSE( CONTROL!$C$15, $D$11, 100%, $F$11)</f>
        <v>10.326000000000001</v>
      </c>
      <c r="E353" s="12">
        <f>10.3255 * CHOOSE( CONTROL!$C$15, $D$11, 100%, $F$11)</f>
        <v>10.3255</v>
      </c>
      <c r="F353" s="4">
        <f>11 * CHOOSE(CONTROL!$C$15, $D$11, 100%, $F$11)</f>
        <v>11</v>
      </c>
      <c r="G353" s="8">
        <f>10.1521 * CHOOSE( CONTROL!$C$15, $D$11, 100%, $F$11)</f>
        <v>10.152100000000001</v>
      </c>
      <c r="H353" s="4">
        <f>11.0506 * CHOOSE(CONTROL!$C$15, $D$11, 100%, $F$11)</f>
        <v>11.050599999999999</v>
      </c>
      <c r="I353" s="8">
        <f>10.0663 * CHOOSE(CONTROL!$C$15, $D$11, 100%, $F$11)</f>
        <v>10.0663</v>
      </c>
      <c r="J353" s="4">
        <f>9.9527 * CHOOSE(CONTROL!$C$15, $D$11, 100%, $F$11)</f>
        <v>9.9527000000000001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20.4619</v>
      </c>
      <c r="R353" s="9"/>
      <c r="S353" s="11"/>
    </row>
    <row r="354" spans="1:19" ht="15.75">
      <c r="A354" s="13">
        <v>52655</v>
      </c>
      <c r="B354" s="8">
        <f>9.652 * CHOOSE(CONTROL!$C$15, $D$11, 100%, $F$11)</f>
        <v>9.6519999999999992</v>
      </c>
      <c r="C354" s="8">
        <f>9.6623 * CHOOSE(CONTROL!$C$15, $D$11, 100%, $F$11)</f>
        <v>9.6623000000000001</v>
      </c>
      <c r="D354" s="8">
        <f>9.6628 * CHOOSE( CONTROL!$C$15, $D$11, 100%, $F$11)</f>
        <v>9.6628000000000007</v>
      </c>
      <c r="E354" s="12">
        <f>9.6615 * CHOOSE( CONTROL!$C$15, $D$11, 100%, $F$11)</f>
        <v>9.6615000000000002</v>
      </c>
      <c r="F354" s="4">
        <f>10.3269 * CHOOSE(CONTROL!$C$15, $D$11, 100%, $F$11)</f>
        <v>10.3269</v>
      </c>
      <c r="G354" s="8">
        <f>9.4973 * CHOOSE( CONTROL!$C$15, $D$11, 100%, $F$11)</f>
        <v>9.4972999999999992</v>
      </c>
      <c r="H354" s="4">
        <f>10.3884 * CHOOSE(CONTROL!$C$15, $D$11, 100%, $F$11)</f>
        <v>10.388400000000001</v>
      </c>
      <c r="I354" s="8">
        <f>9.4116 * CHOOSE(CONTROL!$C$15, $D$11, 100%, $F$11)</f>
        <v>9.4116</v>
      </c>
      <c r="J354" s="4">
        <f>9.3093 * CHOOSE(CONTROL!$C$15, $D$11, 100%, $F$11)</f>
        <v>9.3093000000000004</v>
      </c>
      <c r="K354" s="4"/>
      <c r="L354" s="9">
        <v>27.415299999999998</v>
      </c>
      <c r="M354" s="9">
        <v>11.285299999999999</v>
      </c>
      <c r="N354" s="9">
        <v>4.6254999999999997</v>
      </c>
      <c r="O354" s="9">
        <v>0.34989999999999999</v>
      </c>
      <c r="P354" s="9">
        <v>1.2093</v>
      </c>
      <c r="Q354" s="9">
        <v>19.1417</v>
      </c>
      <c r="R354" s="9"/>
      <c r="S354" s="11"/>
    </row>
    <row r="355" spans="1:19" ht="15.75">
      <c r="A355" s="13">
        <v>52687</v>
      </c>
      <c r="B355" s="8">
        <f>9.447 * CHOOSE(CONTROL!$C$15, $D$11, 100%, $F$11)</f>
        <v>9.4469999999999992</v>
      </c>
      <c r="C355" s="8">
        <f>9.4574 * CHOOSE(CONTROL!$C$15, $D$11, 100%, $F$11)</f>
        <v>9.4573999999999998</v>
      </c>
      <c r="D355" s="8">
        <f>9.4526 * CHOOSE( CONTROL!$C$15, $D$11, 100%, $F$11)</f>
        <v>9.4526000000000003</v>
      </c>
      <c r="E355" s="12">
        <f>9.4532 * CHOOSE( CONTROL!$C$15, $D$11, 100%, $F$11)</f>
        <v>9.4532000000000007</v>
      </c>
      <c r="F355" s="4">
        <f>10.1246 * CHOOSE(CONTROL!$C$15, $D$11, 100%, $F$11)</f>
        <v>10.124599999999999</v>
      </c>
      <c r="G355" s="8">
        <f>9.2903 * CHOOSE( CONTROL!$C$15, $D$11, 100%, $F$11)</f>
        <v>9.2903000000000002</v>
      </c>
      <c r="H355" s="4">
        <f>10.1893 * CHOOSE(CONTROL!$C$15, $D$11, 100%, $F$11)</f>
        <v>10.189299999999999</v>
      </c>
      <c r="I355" s="8">
        <f>9.2015 * CHOOSE(CONTROL!$C$15, $D$11, 100%, $F$11)</f>
        <v>9.2014999999999993</v>
      </c>
      <c r="J355" s="4">
        <f>9.1111 * CHOOSE(CONTROL!$C$15, $D$11, 100%, $F$11)</f>
        <v>9.1111000000000004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20.4619</v>
      </c>
      <c r="R355" s="9"/>
      <c r="S355" s="11"/>
    </row>
    <row r="356" spans="1:19" ht="15.75">
      <c r="A356" s="13">
        <v>52717</v>
      </c>
      <c r="B356" s="8">
        <f>9.5902 * CHOOSE(CONTROL!$C$15, $D$11, 100%, $F$11)</f>
        <v>9.5901999999999994</v>
      </c>
      <c r="C356" s="8">
        <f>9.6006 * CHOOSE(CONTROL!$C$15, $D$11, 100%, $F$11)</f>
        <v>9.6006</v>
      </c>
      <c r="D356" s="8">
        <f>9.6119 * CHOOSE( CONTROL!$C$15, $D$11, 100%, $F$11)</f>
        <v>9.6119000000000003</v>
      </c>
      <c r="E356" s="12">
        <f>9.607 * CHOOSE( CONTROL!$C$15, $D$11, 100%, $F$11)</f>
        <v>9.6069999999999993</v>
      </c>
      <c r="F356" s="4">
        <f>10.2703 * CHOOSE(CONTROL!$C$15, $D$11, 100%, $F$11)</f>
        <v>10.270300000000001</v>
      </c>
      <c r="G356" s="8">
        <f>9.4118 * CHOOSE( CONTROL!$C$15, $D$11, 100%, $F$11)</f>
        <v>9.4117999999999995</v>
      </c>
      <c r="H356" s="4">
        <f>10.3327 * CHOOSE(CONTROL!$C$15, $D$11, 100%, $F$11)</f>
        <v>10.332700000000001</v>
      </c>
      <c r="I356" s="8">
        <f>9.3324 * CHOOSE(CONTROL!$C$15, $D$11, 100%, $F$11)</f>
        <v>9.3323999999999998</v>
      </c>
      <c r="J356" s="4">
        <f>9.2496 * CHOOSE(CONTROL!$C$15, $D$11, 100%, $F$11)</f>
        <v>9.2495999999999992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CONTROL!$C$32, 9.8486, 9.8451) * CHOOSE(CONTROL!$C$15, $D$11, 100%, $F$11)</f>
        <v>9.8485999999999994</v>
      </c>
      <c r="C357" s="8">
        <f>CHOOSE( CONTROL!$C$32, 9.8589, 9.8554) * CHOOSE(CONTROL!$C$15, $D$11, 100%, $F$11)</f>
        <v>9.8589000000000002</v>
      </c>
      <c r="D357" s="8">
        <f>CHOOSE( CONTROL!$C$32, 9.8697, 9.8662) * CHOOSE( CONTROL!$C$15, $D$11, 100%, $F$11)</f>
        <v>9.8696999999999999</v>
      </c>
      <c r="E357" s="12">
        <f>CHOOSE( CONTROL!$C$32, 9.8642, 9.8607) * CHOOSE( CONTROL!$C$15, $D$11, 100%, $F$11)</f>
        <v>9.8642000000000003</v>
      </c>
      <c r="F357" s="4">
        <f>CHOOSE( CONTROL!$C$32, 10.5287, 10.5252) * CHOOSE(CONTROL!$C$15, $D$11, 100%, $F$11)</f>
        <v>10.528700000000001</v>
      </c>
      <c r="G357" s="8">
        <f>CHOOSE( CONTROL!$C$32, 9.6671, 9.6637) * CHOOSE( CONTROL!$C$15, $D$11, 100%, $F$11)</f>
        <v>9.6670999999999996</v>
      </c>
      <c r="H357" s="4">
        <f>CHOOSE( CONTROL!$C$32, 10.5869, 10.5835) * CHOOSE(CONTROL!$C$15, $D$11, 100%, $F$11)</f>
        <v>10.5869</v>
      </c>
      <c r="I357" s="8">
        <f>CHOOSE( CONTROL!$C$32, 9.5839, 9.5805) * CHOOSE(CONTROL!$C$15, $D$11, 100%, $F$11)</f>
        <v>9.5838999999999999</v>
      </c>
      <c r="J357" s="4">
        <f>CHOOSE( CONTROL!$C$32, 9.4994, 9.4961) * CHOOSE(CONTROL!$C$15, $D$11, 100%, $F$11)</f>
        <v>9.4993999999999996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CONTROL!$C$32, 9.6907, 9.6872) * CHOOSE(CONTROL!$C$15, $D$11, 100%, $F$11)</f>
        <v>9.6906999999999996</v>
      </c>
      <c r="C358" s="8">
        <f>CHOOSE( CONTROL!$C$32, 9.701, 9.6976) * CHOOSE(CONTROL!$C$15, $D$11, 100%, $F$11)</f>
        <v>9.7010000000000005</v>
      </c>
      <c r="D358" s="8">
        <f>CHOOSE( CONTROL!$C$32, 9.7121, 9.7087) * CHOOSE( CONTROL!$C$15, $D$11, 100%, $F$11)</f>
        <v>9.7120999999999995</v>
      </c>
      <c r="E358" s="12">
        <f>CHOOSE( CONTROL!$C$32, 9.7065, 9.7031) * CHOOSE( CONTROL!$C$15, $D$11, 100%, $F$11)</f>
        <v>9.7065000000000001</v>
      </c>
      <c r="F358" s="4">
        <f>CHOOSE( CONTROL!$C$32, 10.3708, 10.3673) * CHOOSE(CONTROL!$C$15, $D$11, 100%, $F$11)</f>
        <v>10.370799999999999</v>
      </c>
      <c r="G358" s="8">
        <f>CHOOSE( CONTROL!$C$32, 9.5122, 9.5088) * CHOOSE( CONTROL!$C$15, $D$11, 100%, $F$11)</f>
        <v>9.5122</v>
      </c>
      <c r="H358" s="4">
        <f>CHOOSE( CONTROL!$C$32, 10.4316, 10.4281) * CHOOSE(CONTROL!$C$15, $D$11, 100%, $F$11)</f>
        <v>10.4316</v>
      </c>
      <c r="I358" s="8">
        <f>CHOOSE( CONTROL!$C$32, 9.4325, 9.4291) * CHOOSE(CONTROL!$C$15, $D$11, 100%, $F$11)</f>
        <v>9.4324999999999992</v>
      </c>
      <c r="J358" s="4">
        <f>CHOOSE( CONTROL!$C$32, 9.3468, 9.3434) * CHOOSE(CONTROL!$C$15, $D$11, 100%, $F$11)</f>
        <v>9.3468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CONTROL!$C$32, 10.1064, 10.1029) * CHOOSE(CONTROL!$C$15, $D$11, 100%, $F$11)</f>
        <v>10.106400000000001</v>
      </c>
      <c r="C359" s="8">
        <f>CHOOSE( CONTROL!$C$32, 10.1168, 10.1133) * CHOOSE(CONTROL!$C$15, $D$11, 100%, $F$11)</f>
        <v>10.1168</v>
      </c>
      <c r="D359" s="8">
        <f>CHOOSE( CONTROL!$C$32, 10.1282, 10.1247) * CHOOSE( CONTROL!$C$15, $D$11, 100%, $F$11)</f>
        <v>10.1282</v>
      </c>
      <c r="E359" s="12">
        <f>CHOOSE( CONTROL!$C$32, 10.1225, 10.119) * CHOOSE( CONTROL!$C$15, $D$11, 100%, $F$11)</f>
        <v>10.1225</v>
      </c>
      <c r="F359" s="4">
        <f>CHOOSE( CONTROL!$C$32, 10.7865, 10.783) * CHOOSE(CONTROL!$C$15, $D$11, 100%, $F$11)</f>
        <v>10.7865</v>
      </c>
      <c r="G359" s="8">
        <f>CHOOSE( CONTROL!$C$32, 9.9217, 9.9183) * CHOOSE( CONTROL!$C$15, $D$11, 100%, $F$11)</f>
        <v>9.9216999999999995</v>
      </c>
      <c r="H359" s="4">
        <f>CHOOSE( CONTROL!$C$32, 10.8406, 10.8371) * CHOOSE(CONTROL!$C$15, $D$11, 100%, $F$11)</f>
        <v>10.8406</v>
      </c>
      <c r="I359" s="8">
        <f>CHOOSE( CONTROL!$C$32, 9.8362, 9.8328) * CHOOSE(CONTROL!$C$15, $D$11, 100%, $F$11)</f>
        <v>9.8361999999999998</v>
      </c>
      <c r="J359" s="4">
        <f>CHOOSE( CONTROL!$C$32, 9.7488, 9.7454) * CHOOSE(CONTROL!$C$15, $D$11, 100%, $F$11)</f>
        <v>9.7487999999999992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CONTROL!$C$32, 9.3285, 9.3251) * CHOOSE(CONTROL!$C$15, $D$11, 100%, $F$11)</f>
        <v>9.3285</v>
      </c>
      <c r="C360" s="8">
        <f>CHOOSE( CONTROL!$C$32, 9.3389, 9.3354) * CHOOSE(CONTROL!$C$15, $D$11, 100%, $F$11)</f>
        <v>9.3389000000000006</v>
      </c>
      <c r="D360" s="8">
        <f>CHOOSE( CONTROL!$C$32, 9.3504, 9.3469) * CHOOSE( CONTROL!$C$15, $D$11, 100%, $F$11)</f>
        <v>9.3504000000000005</v>
      </c>
      <c r="E360" s="12">
        <f>CHOOSE( CONTROL!$C$32, 9.3446, 9.3412) * CHOOSE( CONTROL!$C$15, $D$11, 100%, $F$11)</f>
        <v>9.3445999999999998</v>
      </c>
      <c r="F360" s="4">
        <f>CHOOSE( CONTROL!$C$32, 10.0086, 10.0052) * CHOOSE(CONTROL!$C$15, $D$11, 100%, $F$11)</f>
        <v>10.008599999999999</v>
      </c>
      <c r="G360" s="8">
        <f>CHOOSE( CONTROL!$C$32, 9.1566, 9.1532) * CHOOSE( CONTROL!$C$15, $D$11, 100%, $F$11)</f>
        <v>9.1565999999999992</v>
      </c>
      <c r="H360" s="4">
        <f>CHOOSE( CONTROL!$C$32, 10.0753, 10.0719) * CHOOSE(CONTROL!$C$15, $D$11, 100%, $F$11)</f>
        <v>10.0753</v>
      </c>
      <c r="I360" s="8">
        <f>CHOOSE( CONTROL!$C$32, 9.0842, 9.0808) * CHOOSE(CONTROL!$C$15, $D$11, 100%, $F$11)</f>
        <v>9.0841999999999992</v>
      </c>
      <c r="J360" s="4">
        <f>CHOOSE( CONTROL!$C$32, 8.9965, 8.9932) * CHOOSE(CONTROL!$C$15, $D$11, 100%, $F$11)</f>
        <v>8.9964999999999993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CONTROL!$C$32, 9.1338, 9.1303) * CHOOSE(CONTROL!$C$15, $D$11, 100%, $F$11)</f>
        <v>9.1338000000000008</v>
      </c>
      <c r="C361" s="8">
        <f>CHOOSE( CONTROL!$C$32, 9.1441, 9.1406) * CHOOSE(CONTROL!$C$15, $D$11, 100%, $F$11)</f>
        <v>9.1440999999999999</v>
      </c>
      <c r="D361" s="8">
        <f>CHOOSE( CONTROL!$C$32, 9.1557, 9.1522) * CHOOSE( CONTROL!$C$15, $D$11, 100%, $F$11)</f>
        <v>9.1556999999999995</v>
      </c>
      <c r="E361" s="12">
        <f>CHOOSE( CONTROL!$C$32, 9.1499, 9.1464) * CHOOSE( CONTROL!$C$15, $D$11, 100%, $F$11)</f>
        <v>9.1499000000000006</v>
      </c>
      <c r="F361" s="4">
        <f>CHOOSE( CONTROL!$C$32, 9.8139, 9.8104) * CHOOSE(CONTROL!$C$15, $D$11, 100%, $F$11)</f>
        <v>9.8139000000000003</v>
      </c>
      <c r="G361" s="8">
        <f>CHOOSE( CONTROL!$C$32, 8.965, 8.9616) * CHOOSE( CONTROL!$C$15, $D$11, 100%, $F$11)</f>
        <v>8.9649999999999999</v>
      </c>
      <c r="H361" s="4">
        <f>CHOOSE( CONTROL!$C$32, 9.8836, 9.8802) * CHOOSE(CONTROL!$C$15, $D$11, 100%, $F$11)</f>
        <v>9.8835999999999995</v>
      </c>
      <c r="I361" s="8">
        <f>CHOOSE( CONTROL!$C$32, 8.8959, 8.8925) * CHOOSE(CONTROL!$C$15, $D$11, 100%, $F$11)</f>
        <v>8.8958999999999993</v>
      </c>
      <c r="J361" s="4">
        <f>CHOOSE( CONTROL!$C$32, 8.8081, 8.8048) * CHOOSE(CONTROL!$C$15, $D$11, 100%, $F$11)</f>
        <v>8.8080999999999996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19.8018</v>
      </c>
      <c r="R361" s="9"/>
      <c r="S361" s="11"/>
    </row>
    <row r="362" spans="1:19" ht="15.75">
      <c r="A362" s="13">
        <v>52901</v>
      </c>
      <c r="B362" s="8">
        <f>9.5347 * CHOOSE(CONTROL!$C$15, $D$11, 100%, $F$11)</f>
        <v>9.5347000000000008</v>
      </c>
      <c r="C362" s="8">
        <f>9.5451 * CHOOSE(CONTROL!$C$15, $D$11, 100%, $F$11)</f>
        <v>9.5450999999999997</v>
      </c>
      <c r="D362" s="8">
        <f>9.5576 * CHOOSE( CONTROL!$C$15, $D$11, 100%, $F$11)</f>
        <v>9.5576000000000008</v>
      </c>
      <c r="E362" s="12">
        <f>9.5524 * CHOOSE( CONTROL!$C$15, $D$11, 100%, $F$11)</f>
        <v>9.5524000000000004</v>
      </c>
      <c r="F362" s="4">
        <f>10.2148 * CHOOSE(CONTROL!$C$15, $D$11, 100%, $F$11)</f>
        <v>10.2148</v>
      </c>
      <c r="G362" s="8">
        <f>9.3591 * CHOOSE( CONTROL!$C$15, $D$11, 100%, $F$11)</f>
        <v>9.3590999999999998</v>
      </c>
      <c r="H362" s="4">
        <f>10.2781 * CHOOSE(CONTROL!$C$15, $D$11, 100%, $F$11)</f>
        <v>10.2781</v>
      </c>
      <c r="I362" s="8">
        <f>9.2847 * CHOOSE(CONTROL!$C$15, $D$11, 100%, $F$11)</f>
        <v>9.2847000000000008</v>
      </c>
      <c r="J362" s="4">
        <f>9.1959 * CHOOSE(CONTROL!$C$15, $D$11, 100%, $F$11)</f>
        <v>9.1959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20.4619</v>
      </c>
      <c r="R362" s="9"/>
      <c r="S362" s="11"/>
    </row>
    <row r="363" spans="1:19" ht="15.75">
      <c r="A363" s="13">
        <v>52931</v>
      </c>
      <c r="B363" s="8">
        <f>10.2813 * CHOOSE(CONTROL!$C$15, $D$11, 100%, $F$11)</f>
        <v>10.2813</v>
      </c>
      <c r="C363" s="8">
        <f>10.2916 * CHOOSE(CONTROL!$C$15, $D$11, 100%, $F$11)</f>
        <v>10.291600000000001</v>
      </c>
      <c r="D363" s="8">
        <f>10.2765 * CHOOSE( CONTROL!$C$15, $D$11, 100%, $F$11)</f>
        <v>10.2765</v>
      </c>
      <c r="E363" s="12">
        <f>10.2809 * CHOOSE( CONTROL!$C$15, $D$11, 100%, $F$11)</f>
        <v>10.280900000000001</v>
      </c>
      <c r="F363" s="4">
        <f>10.9355 * CHOOSE(CONTROL!$C$15, $D$11, 100%, $F$11)</f>
        <v>10.935499999999999</v>
      </c>
      <c r="G363" s="8">
        <f>10.1029 * CHOOSE( CONTROL!$C$15, $D$11, 100%, $F$11)</f>
        <v>10.1029</v>
      </c>
      <c r="H363" s="4">
        <f>10.9871 * CHOOSE(CONTROL!$C$15, $D$11, 100%, $F$11)</f>
        <v>10.9871</v>
      </c>
      <c r="I363" s="8">
        <f>10.0274 * CHOOSE(CONTROL!$C$15, $D$11, 100%, $F$11)</f>
        <v>10.0274</v>
      </c>
      <c r="J363" s="4">
        <f>9.9179 * CHOOSE(CONTROL!$C$15, $D$11, 100%, $F$11)</f>
        <v>9.9178999999999995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19.8018</v>
      </c>
      <c r="R363" s="9"/>
      <c r="S363" s="11"/>
    </row>
    <row r="364" spans="1:19" ht="15.75">
      <c r="A364" s="13">
        <v>52962</v>
      </c>
      <c r="B364" s="8">
        <f>10.2626 * CHOOSE(CONTROL!$C$15, $D$11, 100%, $F$11)</f>
        <v>10.262600000000001</v>
      </c>
      <c r="C364" s="8">
        <f>10.2729 * CHOOSE(CONTROL!$C$15, $D$11, 100%, $F$11)</f>
        <v>10.2729</v>
      </c>
      <c r="D364" s="8">
        <f>10.2595 * CHOOSE( CONTROL!$C$15, $D$11, 100%, $F$11)</f>
        <v>10.259499999999999</v>
      </c>
      <c r="E364" s="12">
        <f>10.2633 * CHOOSE( CONTROL!$C$15, $D$11, 100%, $F$11)</f>
        <v>10.263299999999999</v>
      </c>
      <c r="F364" s="4">
        <f>10.9169 * CHOOSE(CONTROL!$C$15, $D$11, 100%, $F$11)</f>
        <v>10.9169</v>
      </c>
      <c r="G364" s="8">
        <f>10.0858 * CHOOSE( CONTROL!$C$15, $D$11, 100%, $F$11)</f>
        <v>10.085800000000001</v>
      </c>
      <c r="H364" s="4">
        <f>10.9688 * CHOOSE(CONTROL!$C$15, $D$11, 100%, $F$11)</f>
        <v>10.9688</v>
      </c>
      <c r="I364" s="8">
        <f>10.0146 * CHOOSE(CONTROL!$C$15, $D$11, 100%, $F$11)</f>
        <v>10.0146</v>
      </c>
      <c r="J364" s="4">
        <f>9.8999 * CHOOSE(CONTROL!$C$15, $D$11, 100%, $F$11)</f>
        <v>9.8999000000000006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20.4619</v>
      </c>
      <c r="R364" s="9"/>
      <c r="S364" s="11"/>
    </row>
    <row r="365" spans="1:19" ht="15.75">
      <c r="A365" s="13">
        <v>52993</v>
      </c>
      <c r="B365" s="8">
        <f>10.6538 * CHOOSE(CONTROL!$C$15, $D$11, 100%, $F$11)</f>
        <v>10.6538</v>
      </c>
      <c r="C365" s="8">
        <f>10.6642 * CHOOSE(CONTROL!$C$15, $D$11, 100%, $F$11)</f>
        <v>10.664199999999999</v>
      </c>
      <c r="D365" s="8">
        <f>10.6626 * CHOOSE( CONTROL!$C$15, $D$11, 100%, $F$11)</f>
        <v>10.662599999999999</v>
      </c>
      <c r="E365" s="12">
        <f>10.6621 * CHOOSE( CONTROL!$C$15, $D$11, 100%, $F$11)</f>
        <v>10.662100000000001</v>
      </c>
      <c r="F365" s="4">
        <f>11.3365 * CHOOSE(CONTROL!$C$15, $D$11, 100%, $F$11)</f>
        <v>11.336499999999999</v>
      </c>
      <c r="G365" s="8">
        <f>10.4833 * CHOOSE( CONTROL!$C$15, $D$11, 100%, $F$11)</f>
        <v>10.4833</v>
      </c>
      <c r="H365" s="4">
        <f>11.3817 * CHOOSE(CONTROL!$C$15, $D$11, 100%, $F$11)</f>
        <v>11.3817</v>
      </c>
      <c r="I365" s="8">
        <f>10.3919 * CHOOSE(CONTROL!$C$15, $D$11, 100%, $F$11)</f>
        <v>10.3919</v>
      </c>
      <c r="J365" s="4">
        <f>10.2782 * CHOOSE(CONTROL!$C$15, $D$11, 100%, $F$11)</f>
        <v>10.2782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9.9668 * CHOOSE(CONTROL!$C$15, $D$11, 100%, $F$11)</f>
        <v>9.9667999999999992</v>
      </c>
      <c r="C366" s="8">
        <f>9.9771 * CHOOSE(CONTROL!$C$15, $D$11, 100%, $F$11)</f>
        <v>9.9771000000000001</v>
      </c>
      <c r="D366" s="8">
        <f>9.9776 * CHOOSE( CONTROL!$C$15, $D$11, 100%, $F$11)</f>
        <v>9.9776000000000007</v>
      </c>
      <c r="E366" s="12">
        <f>9.9763 * CHOOSE( CONTROL!$C$15, $D$11, 100%, $F$11)</f>
        <v>9.9763000000000002</v>
      </c>
      <c r="F366" s="4">
        <f>10.6417 * CHOOSE(CONTROL!$C$15, $D$11, 100%, $F$11)</f>
        <v>10.6417</v>
      </c>
      <c r="G366" s="8">
        <f>9.8071 * CHOOSE( CONTROL!$C$15, $D$11, 100%, $F$11)</f>
        <v>9.8071000000000002</v>
      </c>
      <c r="H366" s="4">
        <f>10.6981 * CHOOSE(CONTROL!$C$15, $D$11, 100%, $F$11)</f>
        <v>10.6981</v>
      </c>
      <c r="I366" s="8">
        <f>9.7162 * CHOOSE(CONTROL!$C$15, $D$11, 100%, $F$11)</f>
        <v>9.7162000000000006</v>
      </c>
      <c r="J366" s="4">
        <f>9.6138 * CHOOSE(CONTROL!$C$15, $D$11, 100%, $F$11)</f>
        <v>9.6137999999999995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9.7551 * CHOOSE(CONTROL!$C$15, $D$11, 100%, $F$11)</f>
        <v>9.7551000000000005</v>
      </c>
      <c r="C367" s="8">
        <f>9.7655 * CHOOSE(CONTROL!$C$15, $D$11, 100%, $F$11)</f>
        <v>9.7654999999999994</v>
      </c>
      <c r="D367" s="8">
        <f>9.7607 * CHOOSE( CONTROL!$C$15, $D$11, 100%, $F$11)</f>
        <v>9.7606999999999999</v>
      </c>
      <c r="E367" s="12">
        <f>9.7613 * CHOOSE( CONTROL!$C$15, $D$11, 100%, $F$11)</f>
        <v>9.7613000000000003</v>
      </c>
      <c r="F367" s="4">
        <f>10.4327 * CHOOSE(CONTROL!$C$15, $D$11, 100%, $F$11)</f>
        <v>10.432700000000001</v>
      </c>
      <c r="G367" s="8">
        <f>9.5934 * CHOOSE( CONTROL!$C$15, $D$11, 100%, $F$11)</f>
        <v>9.5934000000000008</v>
      </c>
      <c r="H367" s="4">
        <f>10.4924 * CHOOSE(CONTROL!$C$15, $D$11, 100%, $F$11)</f>
        <v>10.4924</v>
      </c>
      <c r="I367" s="8">
        <f>9.4996 * CHOOSE(CONTROL!$C$15, $D$11, 100%, $F$11)</f>
        <v>9.4995999999999992</v>
      </c>
      <c r="J367" s="4">
        <f>9.4091 * CHOOSE(CONTROL!$C$15, $D$11, 100%, $F$11)</f>
        <v>9.4091000000000005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9.903 * CHOOSE(CONTROL!$C$15, $D$11, 100%, $F$11)</f>
        <v>9.9030000000000005</v>
      </c>
      <c r="C368" s="8">
        <f>9.9134 * CHOOSE(CONTROL!$C$15, $D$11, 100%, $F$11)</f>
        <v>9.9133999999999993</v>
      </c>
      <c r="D368" s="8">
        <f>9.9247 * CHOOSE( CONTROL!$C$15, $D$11, 100%, $F$11)</f>
        <v>9.9246999999999996</v>
      </c>
      <c r="E368" s="12">
        <f>9.9198 * CHOOSE( CONTROL!$C$15, $D$11, 100%, $F$11)</f>
        <v>9.9198000000000004</v>
      </c>
      <c r="F368" s="4">
        <f>10.5831 * CHOOSE(CONTROL!$C$15, $D$11, 100%, $F$11)</f>
        <v>10.5831</v>
      </c>
      <c r="G368" s="8">
        <f>9.7195 * CHOOSE( CONTROL!$C$15, $D$11, 100%, $F$11)</f>
        <v>9.7195</v>
      </c>
      <c r="H368" s="4">
        <f>10.6405 * CHOOSE(CONTROL!$C$15, $D$11, 100%, $F$11)</f>
        <v>10.640499999999999</v>
      </c>
      <c r="I368" s="8">
        <f>9.635 * CHOOSE(CONTROL!$C$15, $D$11, 100%, $F$11)</f>
        <v>9.6349999999999998</v>
      </c>
      <c r="J368" s="4">
        <f>9.5521 * CHOOSE(CONTROL!$C$15, $D$11, 100%, $F$11)</f>
        <v>9.5520999999999994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CONTROL!$C$32, 10.1697, 10.1662) * CHOOSE(CONTROL!$C$15, $D$11, 100%, $F$11)</f>
        <v>10.169700000000001</v>
      </c>
      <c r="C369" s="8">
        <f>CHOOSE( CONTROL!$C$32, 10.18, 10.1765) * CHOOSE(CONTROL!$C$15, $D$11, 100%, $F$11)</f>
        <v>10.18</v>
      </c>
      <c r="D369" s="8">
        <f>CHOOSE( CONTROL!$C$32, 10.1908, 10.1874) * CHOOSE( CONTROL!$C$15, $D$11, 100%, $F$11)</f>
        <v>10.190799999999999</v>
      </c>
      <c r="E369" s="12">
        <f>CHOOSE( CONTROL!$C$32, 10.1853, 10.1819) * CHOOSE( CONTROL!$C$15, $D$11, 100%, $F$11)</f>
        <v>10.1853</v>
      </c>
      <c r="F369" s="4">
        <f>CHOOSE( CONTROL!$C$32, 10.8498, 10.8463) * CHOOSE(CONTROL!$C$15, $D$11, 100%, $F$11)</f>
        <v>10.8498</v>
      </c>
      <c r="G369" s="8">
        <f>CHOOSE( CONTROL!$C$32, 9.9831, 9.9796) * CHOOSE( CONTROL!$C$15, $D$11, 100%, $F$11)</f>
        <v>9.9831000000000003</v>
      </c>
      <c r="H369" s="4">
        <f>CHOOSE( CONTROL!$C$32, 10.9028, 10.8994) * CHOOSE(CONTROL!$C$15, $D$11, 100%, $F$11)</f>
        <v>10.902799999999999</v>
      </c>
      <c r="I369" s="8">
        <f>CHOOSE( CONTROL!$C$32, 9.8946, 9.8912) * CHOOSE(CONTROL!$C$15, $D$11, 100%, $F$11)</f>
        <v>9.8946000000000005</v>
      </c>
      <c r="J369" s="4">
        <f>CHOOSE( CONTROL!$C$32, 9.81, 9.8066) * CHOOSE(CONTROL!$C$15, $D$11, 100%, $F$11)</f>
        <v>9.81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CONTROL!$C$32, 10.0066, 10.0032) * CHOOSE(CONTROL!$C$15, $D$11, 100%, $F$11)</f>
        <v>10.006600000000001</v>
      </c>
      <c r="C370" s="8">
        <f>CHOOSE( CONTROL!$C$32, 10.017, 10.0135) * CHOOSE(CONTROL!$C$15, $D$11, 100%, $F$11)</f>
        <v>10.016999999999999</v>
      </c>
      <c r="D370" s="8">
        <f>CHOOSE( CONTROL!$C$32, 10.0281, 10.0246) * CHOOSE( CONTROL!$C$15, $D$11, 100%, $F$11)</f>
        <v>10.0281</v>
      </c>
      <c r="E370" s="12">
        <f>CHOOSE( CONTROL!$C$32, 10.0225, 10.019) * CHOOSE( CONTROL!$C$15, $D$11, 100%, $F$11)</f>
        <v>10.022500000000001</v>
      </c>
      <c r="F370" s="4">
        <f>CHOOSE( CONTROL!$C$32, 10.6867, 10.6833) * CHOOSE(CONTROL!$C$15, $D$11, 100%, $F$11)</f>
        <v>10.6867</v>
      </c>
      <c r="G370" s="8">
        <f>CHOOSE( CONTROL!$C$32, 9.8231, 9.8197) * CHOOSE( CONTROL!$C$15, $D$11, 100%, $F$11)</f>
        <v>9.8231000000000002</v>
      </c>
      <c r="H370" s="4">
        <f>CHOOSE( CONTROL!$C$32, 10.7424, 10.739) * CHOOSE(CONTROL!$C$15, $D$11, 100%, $F$11)</f>
        <v>10.7424</v>
      </c>
      <c r="I370" s="8">
        <f>CHOOSE( CONTROL!$C$32, 9.7382, 9.7348) * CHOOSE(CONTROL!$C$15, $D$11, 100%, $F$11)</f>
        <v>9.7382000000000009</v>
      </c>
      <c r="J370" s="4">
        <f>CHOOSE( CONTROL!$C$32, 9.6523, 9.649) * CHOOSE(CONTROL!$C$15, $D$11, 100%, $F$11)</f>
        <v>9.6523000000000003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CONTROL!$C$32, 10.436, 10.4325) * CHOOSE(CONTROL!$C$15, $D$11, 100%, $F$11)</f>
        <v>10.436</v>
      </c>
      <c r="C371" s="8">
        <f>CHOOSE( CONTROL!$C$32, 10.4463, 10.4428) * CHOOSE(CONTROL!$C$15, $D$11, 100%, $F$11)</f>
        <v>10.446300000000001</v>
      </c>
      <c r="D371" s="8">
        <f>CHOOSE( CONTROL!$C$32, 10.4577, 10.4542) * CHOOSE( CONTROL!$C$15, $D$11, 100%, $F$11)</f>
        <v>10.457700000000001</v>
      </c>
      <c r="E371" s="12">
        <f>CHOOSE( CONTROL!$C$32, 10.452, 10.4485) * CHOOSE( CONTROL!$C$15, $D$11, 100%, $F$11)</f>
        <v>10.452</v>
      </c>
      <c r="F371" s="4">
        <f>CHOOSE( CONTROL!$C$32, 11.1161, 11.1126) * CHOOSE(CONTROL!$C$15, $D$11, 100%, $F$11)</f>
        <v>11.116099999999999</v>
      </c>
      <c r="G371" s="8">
        <f>CHOOSE( CONTROL!$C$32, 10.2459, 10.2425) * CHOOSE( CONTROL!$C$15, $D$11, 100%, $F$11)</f>
        <v>10.245900000000001</v>
      </c>
      <c r="H371" s="4">
        <f>CHOOSE( CONTROL!$C$32, 11.1648, 11.1614) * CHOOSE(CONTROL!$C$15, $D$11, 100%, $F$11)</f>
        <v>11.1648</v>
      </c>
      <c r="I371" s="8">
        <f>CHOOSE( CONTROL!$C$32, 10.155, 10.1517) * CHOOSE(CONTROL!$C$15, $D$11, 100%, $F$11)</f>
        <v>10.154999999999999</v>
      </c>
      <c r="J371" s="4">
        <f>CHOOSE( CONTROL!$C$32, 10.0675, 10.0642) * CHOOSE(CONTROL!$C$15, $D$11, 100%, $F$11)</f>
        <v>10.067500000000001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CONTROL!$C$32, 9.6327, 9.6292) * CHOOSE(CONTROL!$C$15, $D$11, 100%, $F$11)</f>
        <v>9.6326999999999998</v>
      </c>
      <c r="C372" s="8">
        <f>CHOOSE( CONTROL!$C$32, 9.643, 9.6395) * CHOOSE(CONTROL!$C$15, $D$11, 100%, $F$11)</f>
        <v>9.6430000000000007</v>
      </c>
      <c r="D372" s="8">
        <f>CHOOSE( CONTROL!$C$32, 9.6545, 9.6511) * CHOOSE( CONTROL!$C$15, $D$11, 100%, $F$11)</f>
        <v>9.6545000000000005</v>
      </c>
      <c r="E372" s="12">
        <f>CHOOSE( CONTROL!$C$32, 9.6488, 9.6453) * CHOOSE( CONTROL!$C$15, $D$11, 100%, $F$11)</f>
        <v>9.6487999999999996</v>
      </c>
      <c r="F372" s="4">
        <f>CHOOSE( CONTROL!$C$32, 10.3128, 10.3093) * CHOOSE(CONTROL!$C$15, $D$11, 100%, $F$11)</f>
        <v>10.312799999999999</v>
      </c>
      <c r="G372" s="8">
        <f>CHOOSE( CONTROL!$C$32, 9.4558, 9.4524) * CHOOSE( CONTROL!$C$15, $D$11, 100%, $F$11)</f>
        <v>9.4558</v>
      </c>
      <c r="H372" s="4">
        <f>CHOOSE( CONTROL!$C$32, 10.3745, 10.371) * CHOOSE(CONTROL!$C$15, $D$11, 100%, $F$11)</f>
        <v>10.374499999999999</v>
      </c>
      <c r="I372" s="8">
        <f>CHOOSE( CONTROL!$C$32, 9.3784, 9.3751) * CHOOSE(CONTROL!$C$15, $D$11, 100%, $F$11)</f>
        <v>9.3783999999999992</v>
      </c>
      <c r="J372" s="4">
        <f>CHOOSE( CONTROL!$C$32, 9.2906, 9.2873) * CHOOSE(CONTROL!$C$15, $D$11, 100%, $F$11)</f>
        <v>9.2905999999999995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CONTROL!$C$32, 9.4315, 9.428) * CHOOSE(CONTROL!$C$15, $D$11, 100%, $F$11)</f>
        <v>9.4314999999999998</v>
      </c>
      <c r="C373" s="8">
        <f>CHOOSE( CONTROL!$C$32, 9.4418, 9.4384) * CHOOSE(CONTROL!$C$15, $D$11, 100%, $F$11)</f>
        <v>9.4418000000000006</v>
      </c>
      <c r="D373" s="8">
        <f>CHOOSE( CONTROL!$C$32, 9.4534, 9.4499) * CHOOSE( CONTROL!$C$15, $D$11, 100%, $F$11)</f>
        <v>9.4534000000000002</v>
      </c>
      <c r="E373" s="12">
        <f>CHOOSE( CONTROL!$C$32, 9.4476, 9.4441) * CHOOSE( CONTROL!$C$15, $D$11, 100%, $F$11)</f>
        <v>9.4475999999999996</v>
      </c>
      <c r="F373" s="4">
        <f>CHOOSE( CONTROL!$C$32, 10.1116, 10.1081) * CHOOSE(CONTROL!$C$15, $D$11, 100%, $F$11)</f>
        <v>10.111599999999999</v>
      </c>
      <c r="G373" s="8">
        <f>CHOOSE( CONTROL!$C$32, 9.258, 9.2545) * CHOOSE( CONTROL!$C$15, $D$11, 100%, $F$11)</f>
        <v>9.2579999999999991</v>
      </c>
      <c r="H373" s="4">
        <f>CHOOSE( CONTROL!$C$32, 10.1766, 10.1731) * CHOOSE(CONTROL!$C$15, $D$11, 100%, $F$11)</f>
        <v>10.176600000000001</v>
      </c>
      <c r="I373" s="8">
        <f>CHOOSE( CONTROL!$C$32, 9.184, 9.1806) * CHOOSE(CONTROL!$C$15, $D$11, 100%, $F$11)</f>
        <v>9.1839999999999993</v>
      </c>
      <c r="J373" s="4">
        <f>CHOOSE( CONTROL!$C$32, 9.0961, 9.0927) * CHOOSE(CONTROL!$C$15, $D$11, 100%, $F$11)</f>
        <v>9.0960999999999999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9.8457 * CHOOSE(CONTROL!$C$15, $D$11, 100%, $F$11)</f>
        <v>9.8457000000000008</v>
      </c>
      <c r="C374" s="8">
        <f>9.856 * CHOOSE(CONTROL!$C$15, $D$11, 100%, $F$11)</f>
        <v>9.8559999999999999</v>
      </c>
      <c r="D374" s="8">
        <f>9.8686 * CHOOSE( CONTROL!$C$15, $D$11, 100%, $F$11)</f>
        <v>9.8686000000000007</v>
      </c>
      <c r="E374" s="12">
        <f>9.8633 * CHOOSE( CONTROL!$C$15, $D$11, 100%, $F$11)</f>
        <v>9.8633000000000006</v>
      </c>
      <c r="F374" s="4">
        <f>10.5258 * CHOOSE(CONTROL!$C$15, $D$11, 100%, $F$11)</f>
        <v>10.5258</v>
      </c>
      <c r="G374" s="8">
        <f>9.665 * CHOOSE( CONTROL!$C$15, $D$11, 100%, $F$11)</f>
        <v>9.6649999999999991</v>
      </c>
      <c r="H374" s="4">
        <f>10.5841 * CHOOSE(CONTROL!$C$15, $D$11, 100%, $F$11)</f>
        <v>10.584099999999999</v>
      </c>
      <c r="I374" s="8">
        <f>9.5856 * CHOOSE(CONTROL!$C$15, $D$11, 100%, $F$11)</f>
        <v>9.5855999999999995</v>
      </c>
      <c r="J374" s="4">
        <f>9.4967 * CHOOSE(CONTROL!$C$15, $D$11, 100%, $F$11)</f>
        <v>9.4967000000000006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10.6166 * CHOOSE(CONTROL!$C$15, $D$11, 100%, $F$11)</f>
        <v>10.6166</v>
      </c>
      <c r="C375" s="8">
        <f>10.627 * CHOOSE(CONTROL!$C$15, $D$11, 100%, $F$11)</f>
        <v>10.627000000000001</v>
      </c>
      <c r="D375" s="8">
        <f>10.6119 * CHOOSE( CONTROL!$C$15, $D$11, 100%, $F$11)</f>
        <v>10.6119</v>
      </c>
      <c r="E375" s="12">
        <f>10.6163 * CHOOSE( CONTROL!$C$15, $D$11, 100%, $F$11)</f>
        <v>10.616300000000001</v>
      </c>
      <c r="F375" s="4">
        <f>11.2709 * CHOOSE(CONTROL!$C$15, $D$11, 100%, $F$11)</f>
        <v>11.270899999999999</v>
      </c>
      <c r="G375" s="8">
        <f>10.4329 * CHOOSE( CONTROL!$C$15, $D$11, 100%, $F$11)</f>
        <v>10.4329</v>
      </c>
      <c r="H375" s="4">
        <f>11.3171 * CHOOSE(CONTROL!$C$15, $D$11, 100%, $F$11)</f>
        <v>11.3171</v>
      </c>
      <c r="I375" s="8">
        <f>10.3519 * CHOOSE(CONTROL!$C$15, $D$11, 100%, $F$11)</f>
        <v>10.351900000000001</v>
      </c>
      <c r="J375" s="4">
        <f>10.2422 * CHOOSE(CONTROL!$C$15, $D$11, 100%, $F$11)</f>
        <v>10.2422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10.5974 * CHOOSE(CONTROL!$C$15, $D$11, 100%, $F$11)</f>
        <v>10.5974</v>
      </c>
      <c r="C376" s="8">
        <f>10.6077 * CHOOSE(CONTROL!$C$15, $D$11, 100%, $F$11)</f>
        <v>10.607699999999999</v>
      </c>
      <c r="D376" s="8">
        <f>10.5943 * CHOOSE( CONTROL!$C$15, $D$11, 100%, $F$11)</f>
        <v>10.5943</v>
      </c>
      <c r="E376" s="12">
        <f>10.5981 * CHOOSE( CONTROL!$C$15, $D$11, 100%, $F$11)</f>
        <v>10.598100000000001</v>
      </c>
      <c r="F376" s="4">
        <f>11.2516 * CHOOSE(CONTROL!$C$15, $D$11, 100%, $F$11)</f>
        <v>11.2516</v>
      </c>
      <c r="G376" s="8">
        <f>10.4152 * CHOOSE( CONTROL!$C$15, $D$11, 100%, $F$11)</f>
        <v>10.4152</v>
      </c>
      <c r="H376" s="4">
        <f>11.2981 * CHOOSE(CONTROL!$C$15, $D$11, 100%, $F$11)</f>
        <v>11.2981</v>
      </c>
      <c r="I376" s="8">
        <f>10.3385 * CHOOSE(CONTROL!$C$15, $D$11, 100%, $F$11)</f>
        <v>10.3385</v>
      </c>
      <c r="J376" s="4">
        <f>10.2236 * CHOOSE(CONTROL!$C$15, $D$11, 100%, $F$11)</f>
        <v>10.223599999999999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11.0014 * CHOOSE(CONTROL!$C$15, $D$11, 100%, $F$11)</f>
        <v>11.0014</v>
      </c>
      <c r="C377" s="8">
        <f>11.0118 * CHOOSE(CONTROL!$C$15, $D$11, 100%, $F$11)</f>
        <v>11.011799999999999</v>
      </c>
      <c r="D377" s="8">
        <f>11.0102 * CHOOSE( CONTROL!$C$15, $D$11, 100%, $F$11)</f>
        <v>11.010199999999999</v>
      </c>
      <c r="E377" s="12">
        <f>11.0097 * CHOOSE( CONTROL!$C$15, $D$11, 100%, $F$11)</f>
        <v>11.0097</v>
      </c>
      <c r="F377" s="4">
        <f>11.6841 * CHOOSE(CONTROL!$C$15, $D$11, 100%, $F$11)</f>
        <v>11.684100000000001</v>
      </c>
      <c r="G377" s="8">
        <f>10.8252 * CHOOSE( CONTROL!$C$15, $D$11, 100%, $F$11)</f>
        <v>10.825200000000001</v>
      </c>
      <c r="H377" s="4">
        <f>11.7236 * CHOOSE(CONTROL!$C$15, $D$11, 100%, $F$11)</f>
        <v>11.723599999999999</v>
      </c>
      <c r="I377" s="8">
        <f>10.7283 * CHOOSE(CONTROL!$C$15, $D$11, 100%, $F$11)</f>
        <v>10.728300000000001</v>
      </c>
      <c r="J377" s="4">
        <f>10.6144 * CHOOSE(CONTROL!$C$15, $D$11, 100%, $F$11)</f>
        <v>10.6144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10.2919 * CHOOSE(CONTROL!$C$15, $D$11, 100%, $F$11)</f>
        <v>10.2919</v>
      </c>
      <c r="C378" s="8">
        <f>10.3022 * CHOOSE(CONTROL!$C$15, $D$11, 100%, $F$11)</f>
        <v>10.302199999999999</v>
      </c>
      <c r="D378" s="8">
        <f>10.3027 * CHOOSE( CONTROL!$C$15, $D$11, 100%, $F$11)</f>
        <v>10.3027</v>
      </c>
      <c r="E378" s="12">
        <f>10.3014 * CHOOSE( CONTROL!$C$15, $D$11, 100%, $F$11)</f>
        <v>10.301399999999999</v>
      </c>
      <c r="F378" s="4">
        <f>10.9668 * CHOOSE(CONTROL!$C$15, $D$11, 100%, $F$11)</f>
        <v>10.966799999999999</v>
      </c>
      <c r="G378" s="8">
        <f>10.1269 * CHOOSE( CONTROL!$C$15, $D$11, 100%, $F$11)</f>
        <v>10.126899999999999</v>
      </c>
      <c r="H378" s="4">
        <f>11.0179 * CHOOSE(CONTROL!$C$15, $D$11, 100%, $F$11)</f>
        <v>11.017899999999999</v>
      </c>
      <c r="I378" s="8">
        <f>10.0308 * CHOOSE(CONTROL!$C$15, $D$11, 100%, $F$11)</f>
        <v>10.030799999999999</v>
      </c>
      <c r="J378" s="4">
        <f>9.9282 * CHOOSE(CONTROL!$C$15, $D$11, 100%, $F$11)</f>
        <v>9.9282000000000004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10.0733 * CHOOSE(CONTROL!$C$15, $D$11, 100%, $F$11)</f>
        <v>10.0733</v>
      </c>
      <c r="C379" s="8">
        <f>10.0837 * CHOOSE(CONTROL!$C$15, $D$11, 100%, $F$11)</f>
        <v>10.0837</v>
      </c>
      <c r="D379" s="8">
        <f>10.0789 * CHOOSE( CONTROL!$C$15, $D$11, 100%, $F$11)</f>
        <v>10.078900000000001</v>
      </c>
      <c r="E379" s="12">
        <f>10.0795 * CHOOSE( CONTROL!$C$15, $D$11, 100%, $F$11)</f>
        <v>10.079499999999999</v>
      </c>
      <c r="F379" s="4">
        <f>10.7509 * CHOOSE(CONTROL!$C$15, $D$11, 100%, $F$11)</f>
        <v>10.7509</v>
      </c>
      <c r="G379" s="8">
        <f>9.9064 * CHOOSE( CONTROL!$C$15, $D$11, 100%, $F$11)</f>
        <v>9.9063999999999997</v>
      </c>
      <c r="H379" s="4">
        <f>10.8055 * CHOOSE(CONTROL!$C$15, $D$11, 100%, $F$11)</f>
        <v>10.8055</v>
      </c>
      <c r="I379" s="8">
        <f>9.8074 * CHOOSE(CONTROL!$C$15, $D$11, 100%, $F$11)</f>
        <v>9.8073999999999995</v>
      </c>
      <c r="J379" s="4">
        <f>9.7168 * CHOOSE(CONTROL!$C$15, $D$11, 100%, $F$11)</f>
        <v>9.7167999999999992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10.226 * CHOOSE(CONTROL!$C$15, $D$11, 100%, $F$11)</f>
        <v>10.226000000000001</v>
      </c>
      <c r="C380" s="8">
        <f>10.2364 * CHOOSE(CONTROL!$C$15, $D$11, 100%, $F$11)</f>
        <v>10.2364</v>
      </c>
      <c r="D380" s="8">
        <f>10.2477 * CHOOSE( CONTROL!$C$15, $D$11, 100%, $F$11)</f>
        <v>10.2477</v>
      </c>
      <c r="E380" s="12">
        <f>10.2428 * CHOOSE( CONTROL!$C$15, $D$11, 100%, $F$11)</f>
        <v>10.242800000000001</v>
      </c>
      <c r="F380" s="4">
        <f>10.9061 * CHOOSE(CONTROL!$C$15, $D$11, 100%, $F$11)</f>
        <v>10.9061</v>
      </c>
      <c r="G380" s="8">
        <f>10.0373 * CHOOSE( CONTROL!$C$15, $D$11, 100%, $F$11)</f>
        <v>10.0373</v>
      </c>
      <c r="H380" s="4">
        <f>10.9582 * CHOOSE(CONTROL!$C$15, $D$11, 100%, $F$11)</f>
        <v>10.9582</v>
      </c>
      <c r="I380" s="8">
        <f>9.9476 * CHOOSE(CONTROL!$C$15, $D$11, 100%, $F$11)</f>
        <v>9.9475999999999996</v>
      </c>
      <c r="J380" s="4">
        <f>9.8645 * CHOOSE(CONTROL!$C$15, $D$11, 100%, $F$11)</f>
        <v>9.8644999999999996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CONTROL!$C$32, 10.5013, 10.4978) * CHOOSE(CONTROL!$C$15, $D$11, 100%, $F$11)</f>
        <v>10.501300000000001</v>
      </c>
      <c r="C381" s="8">
        <f>CHOOSE( CONTROL!$C$32, 10.5116, 10.5082) * CHOOSE(CONTROL!$C$15, $D$11, 100%, $F$11)</f>
        <v>10.5116</v>
      </c>
      <c r="D381" s="8">
        <f>CHOOSE( CONTROL!$C$32, 10.5225, 10.519) * CHOOSE( CONTROL!$C$15, $D$11, 100%, $F$11)</f>
        <v>10.522500000000001</v>
      </c>
      <c r="E381" s="12">
        <f>CHOOSE( CONTROL!$C$32, 10.517, 10.5135) * CHOOSE( CONTROL!$C$15, $D$11, 100%, $F$11)</f>
        <v>10.516999999999999</v>
      </c>
      <c r="F381" s="4">
        <f>CHOOSE( CONTROL!$C$32, 11.1814, 11.1779) * CHOOSE(CONTROL!$C$15, $D$11, 100%, $F$11)</f>
        <v>11.1814</v>
      </c>
      <c r="G381" s="8">
        <f>CHOOSE( CONTROL!$C$32, 10.3093, 10.3059) * CHOOSE( CONTROL!$C$15, $D$11, 100%, $F$11)</f>
        <v>10.3093</v>
      </c>
      <c r="H381" s="4">
        <f>CHOOSE( CONTROL!$C$32, 11.2291, 11.2256) * CHOOSE(CONTROL!$C$15, $D$11, 100%, $F$11)</f>
        <v>11.229100000000001</v>
      </c>
      <c r="I381" s="8">
        <f>CHOOSE( CONTROL!$C$32, 10.2155, 10.2121) * CHOOSE(CONTROL!$C$15, $D$11, 100%, $F$11)</f>
        <v>10.2155</v>
      </c>
      <c r="J381" s="4">
        <f>CHOOSE( CONTROL!$C$32, 10.1307, 10.1273) * CHOOSE(CONTROL!$C$15, $D$11, 100%, $F$11)</f>
        <v>10.130699999999999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CONTROL!$C$32, 10.3329, 10.3295) * CHOOSE(CONTROL!$C$15, $D$11, 100%, $F$11)</f>
        <v>10.3329</v>
      </c>
      <c r="C382" s="8">
        <f>CHOOSE( CONTROL!$C$32, 10.3433, 10.3398) * CHOOSE(CONTROL!$C$15, $D$11, 100%, $F$11)</f>
        <v>10.343299999999999</v>
      </c>
      <c r="D382" s="8">
        <f>CHOOSE( CONTROL!$C$32, 10.3544, 10.3509) * CHOOSE( CONTROL!$C$15, $D$11, 100%, $F$11)</f>
        <v>10.3544</v>
      </c>
      <c r="E382" s="12">
        <f>CHOOSE( CONTROL!$C$32, 10.3488, 10.3453) * CHOOSE( CONTROL!$C$15, $D$11, 100%, $F$11)</f>
        <v>10.348800000000001</v>
      </c>
      <c r="F382" s="4">
        <f>CHOOSE( CONTROL!$C$32, 11.013, 11.0096) * CHOOSE(CONTROL!$C$15, $D$11, 100%, $F$11)</f>
        <v>11.013</v>
      </c>
      <c r="G382" s="8">
        <f>CHOOSE( CONTROL!$C$32, 10.1441, 10.1407) * CHOOSE( CONTROL!$C$15, $D$11, 100%, $F$11)</f>
        <v>10.1441</v>
      </c>
      <c r="H382" s="4">
        <f>CHOOSE( CONTROL!$C$32, 11.0634, 11.06) * CHOOSE(CONTROL!$C$15, $D$11, 100%, $F$11)</f>
        <v>11.0634</v>
      </c>
      <c r="I382" s="8">
        <f>CHOOSE( CONTROL!$C$32, 10.0539, 10.0505) * CHOOSE(CONTROL!$C$15, $D$11, 100%, $F$11)</f>
        <v>10.053900000000001</v>
      </c>
      <c r="J382" s="4">
        <f>CHOOSE( CONTROL!$C$32, 9.9679, 9.9645) * CHOOSE(CONTROL!$C$15, $D$11, 100%, $F$11)</f>
        <v>9.9679000000000002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CONTROL!$C$32, 10.7763, 10.7728) * CHOOSE(CONTROL!$C$15, $D$11, 100%, $F$11)</f>
        <v>10.776300000000001</v>
      </c>
      <c r="C383" s="8">
        <f>CHOOSE( CONTROL!$C$32, 10.7866, 10.7832) * CHOOSE(CONTROL!$C$15, $D$11, 100%, $F$11)</f>
        <v>10.7866</v>
      </c>
      <c r="D383" s="8">
        <f>CHOOSE( CONTROL!$C$32, 10.798, 10.7946) * CHOOSE( CONTROL!$C$15, $D$11, 100%, $F$11)</f>
        <v>10.798</v>
      </c>
      <c r="E383" s="12">
        <f>CHOOSE( CONTROL!$C$32, 10.7923, 10.7889) * CHOOSE( CONTROL!$C$15, $D$11, 100%, $F$11)</f>
        <v>10.792299999999999</v>
      </c>
      <c r="F383" s="4">
        <f>CHOOSE( CONTROL!$C$32, 11.4564, 11.4529) * CHOOSE(CONTROL!$C$15, $D$11, 100%, $F$11)</f>
        <v>11.4564</v>
      </c>
      <c r="G383" s="8">
        <f>CHOOSE( CONTROL!$C$32, 10.5807, 10.5773) * CHOOSE( CONTROL!$C$15, $D$11, 100%, $F$11)</f>
        <v>10.5807</v>
      </c>
      <c r="H383" s="4">
        <f>CHOOSE( CONTROL!$C$32, 11.4996, 11.4962) * CHOOSE(CONTROL!$C$15, $D$11, 100%, $F$11)</f>
        <v>11.499599999999999</v>
      </c>
      <c r="I383" s="8">
        <f>CHOOSE( CONTROL!$C$32, 10.4843, 10.481) * CHOOSE(CONTROL!$C$15, $D$11, 100%, $F$11)</f>
        <v>10.484299999999999</v>
      </c>
      <c r="J383" s="4">
        <f>CHOOSE( CONTROL!$C$32, 10.3967, 10.3933) * CHOOSE(CONTROL!$C$15, $D$11, 100%, $F$11)</f>
        <v>10.396699999999999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CONTROL!$C$32, 9.9467, 9.9432) * CHOOSE(CONTROL!$C$15, $D$11, 100%, $F$11)</f>
        <v>9.9466999999999999</v>
      </c>
      <c r="C384" s="8">
        <f>CHOOSE( CONTROL!$C$32, 9.9571, 9.9536) * CHOOSE(CONTROL!$C$15, $D$11, 100%, $F$11)</f>
        <v>9.9571000000000005</v>
      </c>
      <c r="D384" s="8">
        <f>CHOOSE( CONTROL!$C$32, 9.9686, 9.9651) * CHOOSE( CONTROL!$C$15, $D$11, 100%, $F$11)</f>
        <v>9.9686000000000003</v>
      </c>
      <c r="E384" s="12">
        <f>CHOOSE( CONTROL!$C$32, 9.9628, 9.9593) * CHOOSE( CONTROL!$C$15, $D$11, 100%, $F$11)</f>
        <v>9.9627999999999997</v>
      </c>
      <c r="F384" s="4">
        <f>CHOOSE( CONTROL!$C$32, 10.6268, 10.6234) * CHOOSE(CONTROL!$C$15, $D$11, 100%, $F$11)</f>
        <v>10.626799999999999</v>
      </c>
      <c r="G384" s="8">
        <f>CHOOSE( CONTROL!$C$32, 9.7648, 9.7614) * CHOOSE( CONTROL!$C$15, $D$11, 100%, $F$11)</f>
        <v>9.7647999999999993</v>
      </c>
      <c r="H384" s="4">
        <f>CHOOSE( CONTROL!$C$32, 10.6834, 10.68) * CHOOSE(CONTROL!$C$15, $D$11, 100%, $F$11)</f>
        <v>10.683400000000001</v>
      </c>
      <c r="I384" s="8">
        <f>CHOOSE( CONTROL!$C$32, 9.6823, 9.679) * CHOOSE(CONTROL!$C$15, $D$11, 100%, $F$11)</f>
        <v>9.6822999999999997</v>
      </c>
      <c r="J384" s="4">
        <f>CHOOSE( CONTROL!$C$32, 9.5944, 9.591) * CHOOSE(CONTROL!$C$15, $D$11, 100%, $F$11)</f>
        <v>9.5944000000000003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CONTROL!$C$32, 9.739, 9.7355) * CHOOSE(CONTROL!$C$15, $D$11, 100%, $F$11)</f>
        <v>9.7390000000000008</v>
      </c>
      <c r="C385" s="8">
        <f>CHOOSE( CONTROL!$C$32, 9.7493, 9.7459) * CHOOSE(CONTROL!$C$15, $D$11, 100%, $F$11)</f>
        <v>9.7492999999999999</v>
      </c>
      <c r="D385" s="8">
        <f>CHOOSE( CONTROL!$C$32, 9.7609, 9.7574) * CHOOSE( CONTROL!$C$15, $D$11, 100%, $F$11)</f>
        <v>9.7608999999999995</v>
      </c>
      <c r="E385" s="12">
        <f>CHOOSE( CONTROL!$C$32, 9.7551, 9.7516) * CHOOSE( CONTROL!$C$15, $D$11, 100%, $F$11)</f>
        <v>9.7551000000000005</v>
      </c>
      <c r="F385" s="4">
        <f>CHOOSE( CONTROL!$C$32, 10.4191, 10.4156) * CHOOSE(CONTROL!$C$15, $D$11, 100%, $F$11)</f>
        <v>10.4191</v>
      </c>
      <c r="G385" s="8">
        <f>CHOOSE( CONTROL!$C$32, 9.5605, 9.5571) * CHOOSE( CONTROL!$C$15, $D$11, 100%, $F$11)</f>
        <v>9.5604999999999993</v>
      </c>
      <c r="H385" s="4">
        <f>CHOOSE( CONTROL!$C$32, 10.4791, 10.4757) * CHOOSE(CONTROL!$C$15, $D$11, 100%, $F$11)</f>
        <v>10.479100000000001</v>
      </c>
      <c r="I385" s="8">
        <f>CHOOSE( CONTROL!$C$32, 9.4815, 9.4781) * CHOOSE(CONTROL!$C$15, $D$11, 100%, $F$11)</f>
        <v>9.4815000000000005</v>
      </c>
      <c r="J385" s="4">
        <f>CHOOSE( CONTROL!$C$32, 9.3935, 9.3901) * CHOOSE(CONTROL!$C$15, $D$11, 100%, $F$11)</f>
        <v>9.3934999999999995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10.1668 * CHOOSE(CONTROL!$C$15, $D$11, 100%, $F$11)</f>
        <v>10.1668</v>
      </c>
      <c r="C386" s="8">
        <f>10.1772 * CHOOSE(CONTROL!$C$15, $D$11, 100%, $F$11)</f>
        <v>10.177199999999999</v>
      </c>
      <c r="D386" s="8">
        <f>10.1897 * CHOOSE( CONTROL!$C$15, $D$11, 100%, $F$11)</f>
        <v>10.1897</v>
      </c>
      <c r="E386" s="12">
        <f>10.1845 * CHOOSE( CONTROL!$C$15, $D$11, 100%, $F$11)</f>
        <v>10.1845</v>
      </c>
      <c r="F386" s="4">
        <f>10.8469 * CHOOSE(CONTROL!$C$15, $D$11, 100%, $F$11)</f>
        <v>10.8469</v>
      </c>
      <c r="G386" s="8">
        <f>9.981 * CHOOSE( CONTROL!$C$15, $D$11, 100%, $F$11)</f>
        <v>9.9809999999999999</v>
      </c>
      <c r="H386" s="4">
        <f>10.9 * CHOOSE(CONTROL!$C$15, $D$11, 100%, $F$11)</f>
        <v>10.9</v>
      </c>
      <c r="I386" s="8">
        <f>9.8964 * CHOOSE(CONTROL!$C$15, $D$11, 100%, $F$11)</f>
        <v>9.8963999999999999</v>
      </c>
      <c r="J386" s="4">
        <f>9.8072 * CHOOSE(CONTROL!$C$15, $D$11, 100%, $F$11)</f>
        <v>9.8071999999999999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10.963 * CHOOSE(CONTROL!$C$15, $D$11, 100%, $F$11)</f>
        <v>10.962999999999999</v>
      </c>
      <c r="C387" s="8">
        <f>10.9733 * CHOOSE(CONTROL!$C$15, $D$11, 100%, $F$11)</f>
        <v>10.9733</v>
      </c>
      <c r="D387" s="8">
        <f>10.9583 * CHOOSE( CONTROL!$C$15, $D$11, 100%, $F$11)</f>
        <v>10.958299999999999</v>
      </c>
      <c r="E387" s="12">
        <f>10.9627 * CHOOSE( CONTROL!$C$15, $D$11, 100%, $F$11)</f>
        <v>10.9627</v>
      </c>
      <c r="F387" s="4">
        <f>11.6173 * CHOOSE(CONTROL!$C$15, $D$11, 100%, $F$11)</f>
        <v>11.6173</v>
      </c>
      <c r="G387" s="8">
        <f>10.7737 * CHOOSE( CONTROL!$C$15, $D$11, 100%, $F$11)</f>
        <v>10.7737</v>
      </c>
      <c r="H387" s="4">
        <f>11.6579 * CHOOSE(CONTROL!$C$15, $D$11, 100%, $F$11)</f>
        <v>11.6579</v>
      </c>
      <c r="I387" s="8">
        <f>10.687 * CHOOSE(CONTROL!$C$15, $D$11, 100%, $F$11)</f>
        <v>10.686999999999999</v>
      </c>
      <c r="J387" s="4">
        <f>10.5772 * CHOOSE(CONTROL!$C$15, $D$11, 100%, $F$11)</f>
        <v>10.577199999999999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10.9431 * CHOOSE(CONTROL!$C$15, $D$11, 100%, $F$11)</f>
        <v>10.943099999999999</v>
      </c>
      <c r="C388" s="8">
        <f>10.9534 * CHOOSE(CONTROL!$C$15, $D$11, 100%, $F$11)</f>
        <v>10.9534</v>
      </c>
      <c r="D388" s="8">
        <f>10.94 * CHOOSE( CONTROL!$C$15, $D$11, 100%, $F$11)</f>
        <v>10.94</v>
      </c>
      <c r="E388" s="12">
        <f>10.9438 * CHOOSE( CONTROL!$C$15, $D$11, 100%, $F$11)</f>
        <v>10.9438</v>
      </c>
      <c r="F388" s="4">
        <f>11.5974 * CHOOSE(CONTROL!$C$15, $D$11, 100%, $F$11)</f>
        <v>11.5974</v>
      </c>
      <c r="G388" s="8">
        <f>10.7553 * CHOOSE( CONTROL!$C$15, $D$11, 100%, $F$11)</f>
        <v>10.7553</v>
      </c>
      <c r="H388" s="4">
        <f>11.6383 * CHOOSE(CONTROL!$C$15, $D$11, 100%, $F$11)</f>
        <v>11.638299999999999</v>
      </c>
      <c r="I388" s="8">
        <f>10.6731 * CHOOSE(CONTROL!$C$15, $D$11, 100%, $F$11)</f>
        <v>10.6731</v>
      </c>
      <c r="J388" s="4">
        <f>10.558 * CHOOSE(CONTROL!$C$15, $D$11, 100%, $F$11)</f>
        <v>10.558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11.3603 * CHOOSE(CONTROL!$C$15, $D$11, 100%, $F$11)</f>
        <v>11.360300000000001</v>
      </c>
      <c r="C389" s="8">
        <f>11.3707 * CHOOSE(CONTROL!$C$15, $D$11, 100%, $F$11)</f>
        <v>11.370699999999999</v>
      </c>
      <c r="D389" s="8">
        <f>11.3691 * CHOOSE( CONTROL!$C$15, $D$11, 100%, $F$11)</f>
        <v>11.3691</v>
      </c>
      <c r="E389" s="12">
        <f>11.3686 * CHOOSE( CONTROL!$C$15, $D$11, 100%, $F$11)</f>
        <v>11.368600000000001</v>
      </c>
      <c r="F389" s="4">
        <f>12.043 * CHOOSE(CONTROL!$C$15, $D$11, 100%, $F$11)</f>
        <v>12.042999999999999</v>
      </c>
      <c r="G389" s="8">
        <f>11.1783 * CHOOSE( CONTROL!$C$15, $D$11, 100%, $F$11)</f>
        <v>11.1783</v>
      </c>
      <c r="H389" s="4">
        <f>12.0768 * CHOOSE(CONTROL!$C$15, $D$11, 100%, $F$11)</f>
        <v>12.0768</v>
      </c>
      <c r="I389" s="8">
        <f>11.0756 * CHOOSE(CONTROL!$C$15, $D$11, 100%, $F$11)</f>
        <v>11.0756</v>
      </c>
      <c r="J389" s="4">
        <f>10.9615 * CHOOSE(CONTROL!$C$15, $D$11, 100%, $F$11)</f>
        <v>10.961499999999999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20.2666</v>
      </c>
      <c r="R389" s="9"/>
      <c r="S389" s="11"/>
    </row>
    <row r="390" spans="1:19" ht="15.75">
      <c r="A390" s="13">
        <v>53751</v>
      </c>
      <c r="B390" s="8">
        <f>10.6276 * CHOOSE(CONTROL!$C$15, $D$11, 100%, $F$11)</f>
        <v>10.627599999999999</v>
      </c>
      <c r="C390" s="8">
        <f>10.6379 * CHOOSE(CONTROL!$C$15, $D$11, 100%, $F$11)</f>
        <v>10.6379</v>
      </c>
      <c r="D390" s="8">
        <f>10.6385 * CHOOSE( CONTROL!$C$15, $D$11, 100%, $F$11)</f>
        <v>10.638500000000001</v>
      </c>
      <c r="E390" s="12">
        <f>10.6372 * CHOOSE( CONTROL!$C$15, $D$11, 100%, $F$11)</f>
        <v>10.6372</v>
      </c>
      <c r="F390" s="4">
        <f>11.3025 * CHOOSE(CONTROL!$C$15, $D$11, 100%, $F$11)</f>
        <v>11.3025</v>
      </c>
      <c r="G390" s="8">
        <f>10.4572 * CHOOSE( CONTROL!$C$15, $D$11, 100%, $F$11)</f>
        <v>10.4572</v>
      </c>
      <c r="H390" s="4">
        <f>11.3482 * CHOOSE(CONTROL!$C$15, $D$11, 100%, $F$11)</f>
        <v>11.3482</v>
      </c>
      <c r="I390" s="8">
        <f>10.3556 * CHOOSE(CONTROL!$C$15, $D$11, 100%, $F$11)</f>
        <v>10.355600000000001</v>
      </c>
      <c r="J390" s="4">
        <f>10.2528 * CHOOSE(CONTROL!$C$15, $D$11, 100%, $F$11)</f>
        <v>10.252800000000001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10.4019 * CHOOSE(CONTROL!$C$15, $D$11, 100%, $F$11)</f>
        <v>10.401899999999999</v>
      </c>
      <c r="C391" s="8">
        <f>10.4123 * CHOOSE(CONTROL!$C$15, $D$11, 100%, $F$11)</f>
        <v>10.4123</v>
      </c>
      <c r="D391" s="8">
        <f>10.4075 * CHOOSE( CONTROL!$C$15, $D$11, 100%, $F$11)</f>
        <v>10.407500000000001</v>
      </c>
      <c r="E391" s="12">
        <f>10.4081 * CHOOSE( CONTROL!$C$15, $D$11, 100%, $F$11)</f>
        <v>10.408099999999999</v>
      </c>
      <c r="F391" s="4">
        <f>11.0794 * CHOOSE(CONTROL!$C$15, $D$11, 100%, $F$11)</f>
        <v>11.0794</v>
      </c>
      <c r="G391" s="8">
        <f>10.2297 * CHOOSE( CONTROL!$C$15, $D$11, 100%, $F$11)</f>
        <v>10.229699999999999</v>
      </c>
      <c r="H391" s="4">
        <f>11.1287 * CHOOSE(CONTROL!$C$15, $D$11, 100%, $F$11)</f>
        <v>11.1287</v>
      </c>
      <c r="I391" s="8">
        <f>10.1254 * CHOOSE(CONTROL!$C$15, $D$11, 100%, $F$11)</f>
        <v>10.125400000000001</v>
      </c>
      <c r="J391" s="4">
        <f>10.0346 * CHOOSE(CONTROL!$C$15, $D$11, 100%, $F$11)</f>
        <v>10.034599999999999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20.2666</v>
      </c>
      <c r="R391" s="9"/>
      <c r="S391" s="11"/>
    </row>
    <row r="392" spans="1:19" ht="15.75">
      <c r="A392" s="13">
        <v>53812</v>
      </c>
      <c r="B392" s="8">
        <f>10.5596 * CHOOSE(CONTROL!$C$15, $D$11, 100%, $F$11)</f>
        <v>10.5596</v>
      </c>
      <c r="C392" s="8">
        <f>10.57 * CHOOSE(CONTROL!$C$15, $D$11, 100%, $F$11)</f>
        <v>10.57</v>
      </c>
      <c r="D392" s="8">
        <f>10.5813 * CHOOSE( CONTROL!$C$15, $D$11, 100%, $F$11)</f>
        <v>10.581300000000001</v>
      </c>
      <c r="E392" s="12">
        <f>10.5764 * CHOOSE( CONTROL!$C$15, $D$11, 100%, $F$11)</f>
        <v>10.5764</v>
      </c>
      <c r="F392" s="4">
        <f>11.2397 * CHOOSE(CONTROL!$C$15, $D$11, 100%, $F$11)</f>
        <v>11.239699999999999</v>
      </c>
      <c r="G392" s="8">
        <f>10.3655 * CHOOSE( CONTROL!$C$15, $D$11, 100%, $F$11)</f>
        <v>10.365500000000001</v>
      </c>
      <c r="H392" s="4">
        <f>11.2864 * CHOOSE(CONTROL!$C$15, $D$11, 100%, $F$11)</f>
        <v>11.2864</v>
      </c>
      <c r="I392" s="8">
        <f>10.2703 * CHOOSE(CONTROL!$C$15, $D$11, 100%, $F$11)</f>
        <v>10.270300000000001</v>
      </c>
      <c r="J392" s="4">
        <f>10.1871 * CHOOSE(CONTROL!$C$15, $D$11, 100%, $F$11)</f>
        <v>10.187099999999999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CONTROL!$C$32, 10.8438, 10.8403) * CHOOSE(CONTROL!$C$15, $D$11, 100%, $F$11)</f>
        <v>10.8438</v>
      </c>
      <c r="C393" s="8">
        <f>CHOOSE( CONTROL!$C$32, 10.8541, 10.8506) * CHOOSE(CONTROL!$C$15, $D$11, 100%, $F$11)</f>
        <v>10.854100000000001</v>
      </c>
      <c r="D393" s="8">
        <f>CHOOSE( CONTROL!$C$32, 10.8649, 10.8615) * CHOOSE( CONTROL!$C$15, $D$11, 100%, $F$11)</f>
        <v>10.8649</v>
      </c>
      <c r="E393" s="12">
        <f>CHOOSE( CONTROL!$C$32, 10.8594, 10.856) * CHOOSE( CONTROL!$C$15, $D$11, 100%, $F$11)</f>
        <v>10.859400000000001</v>
      </c>
      <c r="F393" s="4">
        <f>CHOOSE( CONTROL!$C$32, 11.5239, 11.5204) * CHOOSE(CONTROL!$C$15, $D$11, 100%, $F$11)</f>
        <v>11.523899999999999</v>
      </c>
      <c r="G393" s="8">
        <f>CHOOSE( CONTROL!$C$32, 10.6462, 10.6428) * CHOOSE( CONTROL!$C$15, $D$11, 100%, $F$11)</f>
        <v>10.6462</v>
      </c>
      <c r="H393" s="4">
        <f>CHOOSE( CONTROL!$C$32, 11.566, 11.5626) * CHOOSE(CONTROL!$C$15, $D$11, 100%, $F$11)</f>
        <v>11.566000000000001</v>
      </c>
      <c r="I393" s="8">
        <f>CHOOSE( CONTROL!$C$32, 10.5468, 10.5435) * CHOOSE(CONTROL!$C$15, $D$11, 100%, $F$11)</f>
        <v>10.546799999999999</v>
      </c>
      <c r="J393" s="4">
        <f>CHOOSE( CONTROL!$C$32, 10.4619, 10.4585) * CHOOSE(CONTROL!$C$15, $D$11, 100%, $F$11)</f>
        <v>10.4619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CONTROL!$C$32, 10.6699, 10.6664) * CHOOSE(CONTROL!$C$15, $D$11, 100%, $F$11)</f>
        <v>10.6699</v>
      </c>
      <c r="C394" s="8">
        <f>CHOOSE( CONTROL!$C$32, 10.6802, 10.6768) * CHOOSE(CONTROL!$C$15, $D$11, 100%, $F$11)</f>
        <v>10.680199999999999</v>
      </c>
      <c r="D394" s="8">
        <f>CHOOSE( CONTROL!$C$32, 10.6913, 10.6879) * CHOOSE( CONTROL!$C$15, $D$11, 100%, $F$11)</f>
        <v>10.6913</v>
      </c>
      <c r="E394" s="12">
        <f>CHOOSE( CONTROL!$C$32, 10.6857, 10.6823) * CHOOSE( CONTROL!$C$15, $D$11, 100%, $F$11)</f>
        <v>10.685700000000001</v>
      </c>
      <c r="F394" s="4">
        <f>CHOOSE( CONTROL!$C$32, 11.35, 11.3465) * CHOOSE(CONTROL!$C$15, $D$11, 100%, $F$11)</f>
        <v>11.35</v>
      </c>
      <c r="G394" s="8">
        <f>CHOOSE( CONTROL!$C$32, 10.4756, 10.4722) * CHOOSE( CONTROL!$C$15, $D$11, 100%, $F$11)</f>
        <v>10.4756</v>
      </c>
      <c r="H394" s="4">
        <f>CHOOSE( CONTROL!$C$32, 11.3949, 11.3915) * CHOOSE(CONTROL!$C$15, $D$11, 100%, $F$11)</f>
        <v>11.3949</v>
      </c>
      <c r="I394" s="8">
        <f>CHOOSE( CONTROL!$C$32, 10.3799, 10.3766) * CHOOSE(CONTROL!$C$15, $D$11, 100%, $F$11)</f>
        <v>10.379899999999999</v>
      </c>
      <c r="J394" s="4">
        <f>CHOOSE( CONTROL!$C$32, 10.2938, 10.2904) * CHOOSE(CONTROL!$C$15, $D$11, 100%, $F$11)</f>
        <v>10.293799999999999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CONTROL!$C$32, 11.1278, 11.1243) * CHOOSE(CONTROL!$C$15, $D$11, 100%, $F$11)</f>
        <v>11.127800000000001</v>
      </c>
      <c r="C395" s="8">
        <f>CHOOSE( CONTROL!$C$32, 11.1381, 11.1346) * CHOOSE(CONTROL!$C$15, $D$11, 100%, $F$11)</f>
        <v>11.1381</v>
      </c>
      <c r="D395" s="8">
        <f>CHOOSE( CONTROL!$C$32, 11.1495, 11.146) * CHOOSE( CONTROL!$C$15, $D$11, 100%, $F$11)</f>
        <v>11.1495</v>
      </c>
      <c r="E395" s="12">
        <f>CHOOSE( CONTROL!$C$32, 11.1438, 11.1403) * CHOOSE( CONTROL!$C$15, $D$11, 100%, $F$11)</f>
        <v>11.143800000000001</v>
      </c>
      <c r="F395" s="4">
        <f>CHOOSE( CONTROL!$C$32, 11.8079, 11.8044) * CHOOSE(CONTROL!$C$15, $D$11, 100%, $F$11)</f>
        <v>11.8079</v>
      </c>
      <c r="G395" s="8">
        <f>CHOOSE( CONTROL!$C$32, 10.9265, 10.9231) * CHOOSE( CONTROL!$C$15, $D$11, 100%, $F$11)</f>
        <v>10.926500000000001</v>
      </c>
      <c r="H395" s="4">
        <f>CHOOSE( CONTROL!$C$32, 11.8454, 11.842) * CHOOSE(CONTROL!$C$15, $D$11, 100%, $F$11)</f>
        <v>11.8454</v>
      </c>
      <c r="I395" s="8">
        <f>CHOOSE( CONTROL!$C$32, 10.8244, 10.821) * CHOOSE(CONTROL!$C$15, $D$11, 100%, $F$11)</f>
        <v>10.824400000000001</v>
      </c>
      <c r="J395" s="4">
        <f>CHOOSE( CONTROL!$C$32, 10.7366, 10.7332) * CHOOSE(CONTROL!$C$15, $D$11, 100%, $F$11)</f>
        <v>10.736599999999999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CONTROL!$C$32, 10.2711, 10.2676) * CHOOSE(CONTROL!$C$15, $D$11, 100%, $F$11)</f>
        <v>10.271100000000001</v>
      </c>
      <c r="C396" s="8">
        <f>CHOOSE( CONTROL!$C$32, 10.2814, 10.2779) * CHOOSE(CONTROL!$C$15, $D$11, 100%, $F$11)</f>
        <v>10.2814</v>
      </c>
      <c r="D396" s="8">
        <f>CHOOSE( CONTROL!$C$32, 10.2929, 10.2895) * CHOOSE( CONTROL!$C$15, $D$11, 100%, $F$11)</f>
        <v>10.292899999999999</v>
      </c>
      <c r="E396" s="12">
        <f>CHOOSE( CONTROL!$C$32, 10.2872, 10.2837) * CHOOSE( CONTROL!$C$15, $D$11, 100%, $F$11)</f>
        <v>10.2872</v>
      </c>
      <c r="F396" s="4">
        <f>CHOOSE( CONTROL!$C$32, 10.9512, 10.9477) * CHOOSE(CONTROL!$C$15, $D$11, 100%, $F$11)</f>
        <v>10.9512</v>
      </c>
      <c r="G396" s="8">
        <f>CHOOSE( CONTROL!$C$32, 10.0839, 10.0805) * CHOOSE( CONTROL!$C$15, $D$11, 100%, $F$11)</f>
        <v>10.0839</v>
      </c>
      <c r="H396" s="4">
        <f>CHOOSE( CONTROL!$C$32, 11.0025, 10.9991) * CHOOSE(CONTROL!$C$15, $D$11, 100%, $F$11)</f>
        <v>11.0025</v>
      </c>
      <c r="I396" s="8">
        <f>CHOOSE( CONTROL!$C$32, 9.9961, 9.9928) * CHOOSE(CONTROL!$C$15, $D$11, 100%, $F$11)</f>
        <v>9.9961000000000002</v>
      </c>
      <c r="J396" s="4">
        <f>CHOOSE( CONTROL!$C$32, 9.908, 9.9047) * CHOOSE(CONTROL!$C$15, $D$11, 100%, $F$11)</f>
        <v>9.9079999999999995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CONTROL!$C$32, 10.0565, 10.053) * CHOOSE(CONTROL!$C$15, $D$11, 100%, $F$11)</f>
        <v>10.0565</v>
      </c>
      <c r="C397" s="8">
        <f>CHOOSE( CONTROL!$C$32, 10.0669, 10.0634) * CHOOSE(CONTROL!$C$15, $D$11, 100%, $F$11)</f>
        <v>10.0669</v>
      </c>
      <c r="D397" s="8">
        <f>CHOOSE( CONTROL!$C$32, 10.0784, 10.075) * CHOOSE( CONTROL!$C$15, $D$11, 100%, $F$11)</f>
        <v>10.0784</v>
      </c>
      <c r="E397" s="12">
        <f>CHOOSE( CONTROL!$C$32, 10.0726, 10.0692) * CHOOSE( CONTROL!$C$15, $D$11, 100%, $F$11)</f>
        <v>10.0726</v>
      </c>
      <c r="F397" s="4">
        <f>CHOOSE( CONTROL!$C$32, 10.7366, 10.7332) * CHOOSE(CONTROL!$C$15, $D$11, 100%, $F$11)</f>
        <v>10.736599999999999</v>
      </c>
      <c r="G397" s="8">
        <f>CHOOSE( CONTROL!$C$32, 9.8729, 9.8695) * CHOOSE( CONTROL!$C$15, $D$11, 100%, $F$11)</f>
        <v>9.8728999999999996</v>
      </c>
      <c r="H397" s="4">
        <f>CHOOSE( CONTROL!$C$32, 10.7915, 10.7881) * CHOOSE(CONTROL!$C$15, $D$11, 100%, $F$11)</f>
        <v>10.791499999999999</v>
      </c>
      <c r="I397" s="8">
        <f>CHOOSE( CONTROL!$C$32, 9.7888, 9.7854) * CHOOSE(CONTROL!$C$15, $D$11, 100%, $F$11)</f>
        <v>9.7888000000000002</v>
      </c>
      <c r="J397" s="4">
        <f>CHOOSE( CONTROL!$C$32, 9.7006, 9.6972) * CHOOSE(CONTROL!$C$15, $D$11, 100%, $F$11)</f>
        <v>9.7005999999999997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19.6128</v>
      </c>
      <c r="R397" s="9"/>
      <c r="S397" s="11"/>
    </row>
    <row r="398" spans="1:19" ht="15.75">
      <c r="A398" s="13">
        <v>53996</v>
      </c>
      <c r="B398" s="8">
        <f>10.4985 * CHOOSE(CONTROL!$C$15, $D$11, 100%, $F$11)</f>
        <v>10.4985</v>
      </c>
      <c r="C398" s="8">
        <f>10.5088 * CHOOSE(CONTROL!$C$15, $D$11, 100%, $F$11)</f>
        <v>10.508800000000001</v>
      </c>
      <c r="D398" s="8">
        <f>10.5214 * CHOOSE( CONTROL!$C$15, $D$11, 100%, $F$11)</f>
        <v>10.5214</v>
      </c>
      <c r="E398" s="12">
        <f>10.5161 * CHOOSE( CONTROL!$C$15, $D$11, 100%, $F$11)</f>
        <v>10.5161</v>
      </c>
      <c r="F398" s="4">
        <f>11.1786 * CHOOSE(CONTROL!$C$15, $D$11, 100%, $F$11)</f>
        <v>11.178599999999999</v>
      </c>
      <c r="G398" s="8">
        <f>10.3072 * CHOOSE( CONTROL!$C$15, $D$11, 100%, $F$11)</f>
        <v>10.3072</v>
      </c>
      <c r="H398" s="4">
        <f>11.2263 * CHOOSE(CONTROL!$C$15, $D$11, 100%, $F$11)</f>
        <v>11.2263</v>
      </c>
      <c r="I398" s="8">
        <f>10.2173 * CHOOSE(CONTROL!$C$15, $D$11, 100%, $F$11)</f>
        <v>10.2173</v>
      </c>
      <c r="J398" s="4">
        <f>10.128 * CHOOSE(CONTROL!$C$15, $D$11, 100%, $F$11)</f>
        <v>10.128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20.2666</v>
      </c>
      <c r="R398" s="9"/>
      <c r="S398" s="11"/>
    </row>
    <row r="399" spans="1:19" ht="15.75">
      <c r="A399" s="13">
        <v>54026</v>
      </c>
      <c r="B399" s="8">
        <f>11.3207 * CHOOSE(CONTROL!$C$15, $D$11, 100%, $F$11)</f>
        <v>11.3207</v>
      </c>
      <c r="C399" s="8">
        <f>11.331 * CHOOSE(CONTROL!$C$15, $D$11, 100%, $F$11)</f>
        <v>11.331</v>
      </c>
      <c r="D399" s="8">
        <f>11.3159 * CHOOSE( CONTROL!$C$15, $D$11, 100%, $F$11)</f>
        <v>11.315899999999999</v>
      </c>
      <c r="E399" s="12">
        <f>11.3203 * CHOOSE( CONTROL!$C$15, $D$11, 100%, $F$11)</f>
        <v>11.3203</v>
      </c>
      <c r="F399" s="4">
        <f>11.9749 * CHOOSE(CONTROL!$C$15, $D$11, 100%, $F$11)</f>
        <v>11.9749</v>
      </c>
      <c r="G399" s="8">
        <f>11.1255 * CHOOSE( CONTROL!$C$15, $D$11, 100%, $F$11)</f>
        <v>11.125500000000001</v>
      </c>
      <c r="H399" s="4">
        <f>12.0097 * CHOOSE(CONTROL!$C$15, $D$11, 100%, $F$11)</f>
        <v>12.0097</v>
      </c>
      <c r="I399" s="8">
        <f>11.0331 * CHOOSE(CONTROL!$C$15, $D$11, 100%, $F$11)</f>
        <v>11.033099999999999</v>
      </c>
      <c r="J399" s="4">
        <f>10.9231 * CHOOSE(CONTROL!$C$15, $D$11, 100%, $F$11)</f>
        <v>10.9231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19.6128</v>
      </c>
      <c r="R399" s="9"/>
      <c r="S399" s="11"/>
    </row>
    <row r="400" spans="1:19" ht="15.75">
      <c r="A400" s="13">
        <v>54057</v>
      </c>
      <c r="B400" s="8">
        <f>11.3001 * CHOOSE(CONTROL!$C$15, $D$11, 100%, $F$11)</f>
        <v>11.3001</v>
      </c>
      <c r="C400" s="8">
        <f>11.3105 * CHOOSE(CONTROL!$C$15, $D$11, 100%, $F$11)</f>
        <v>11.310499999999999</v>
      </c>
      <c r="D400" s="8">
        <f>11.297 * CHOOSE( CONTROL!$C$15, $D$11, 100%, $F$11)</f>
        <v>11.297000000000001</v>
      </c>
      <c r="E400" s="12">
        <f>11.3008 * CHOOSE( CONTROL!$C$15, $D$11, 100%, $F$11)</f>
        <v>11.300800000000001</v>
      </c>
      <c r="F400" s="4">
        <f>11.9544 * CHOOSE(CONTROL!$C$15, $D$11, 100%, $F$11)</f>
        <v>11.9544</v>
      </c>
      <c r="G400" s="8">
        <f>11.1065 * CHOOSE( CONTROL!$C$15, $D$11, 100%, $F$11)</f>
        <v>11.1065</v>
      </c>
      <c r="H400" s="4">
        <f>11.9895 * CHOOSE(CONTROL!$C$15, $D$11, 100%, $F$11)</f>
        <v>11.9895</v>
      </c>
      <c r="I400" s="8">
        <f>11.0185 * CHOOSE(CONTROL!$C$15, $D$11, 100%, $F$11)</f>
        <v>11.0185</v>
      </c>
      <c r="J400" s="4">
        <f>10.9033 * CHOOSE(CONTROL!$C$15, $D$11, 100%, $F$11)</f>
        <v>10.9033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20.2666</v>
      </c>
      <c r="R400" s="9"/>
      <c r="S400" s="11"/>
    </row>
    <row r="401" spans="1:19" ht="15.75">
      <c r="A401" s="13">
        <v>54088</v>
      </c>
      <c r="B401" s="8">
        <f>11.731 * CHOOSE(CONTROL!$C$15, $D$11, 100%, $F$11)</f>
        <v>11.731</v>
      </c>
      <c r="C401" s="8">
        <f>11.7414 * CHOOSE(CONTROL!$C$15, $D$11, 100%, $F$11)</f>
        <v>11.741400000000001</v>
      </c>
      <c r="D401" s="8">
        <f>11.7398 * CHOOSE( CONTROL!$C$15, $D$11, 100%, $F$11)</f>
        <v>11.739800000000001</v>
      </c>
      <c r="E401" s="12">
        <f>11.7393 * CHOOSE( CONTROL!$C$15, $D$11, 100%, $F$11)</f>
        <v>11.7393</v>
      </c>
      <c r="F401" s="4">
        <f>12.4137 * CHOOSE(CONTROL!$C$15, $D$11, 100%, $F$11)</f>
        <v>12.4137</v>
      </c>
      <c r="G401" s="8">
        <f>11.543 * CHOOSE( CONTROL!$C$15, $D$11, 100%, $F$11)</f>
        <v>11.542999999999999</v>
      </c>
      <c r="H401" s="4">
        <f>12.4414 * CHOOSE(CONTROL!$C$15, $D$11, 100%, $F$11)</f>
        <v>12.4414</v>
      </c>
      <c r="I401" s="8">
        <f>11.4342 * CHOOSE(CONTROL!$C$15, $D$11, 100%, $F$11)</f>
        <v>11.434200000000001</v>
      </c>
      <c r="J401" s="4">
        <f>11.32 * CHOOSE(CONTROL!$C$15, $D$11, 100%, $F$11)</f>
        <v>11.32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10.9743 * CHOOSE(CONTROL!$C$15, $D$11, 100%, $F$11)</f>
        <v>10.974299999999999</v>
      </c>
      <c r="C402" s="8">
        <f>10.9847 * CHOOSE(CONTROL!$C$15, $D$11, 100%, $F$11)</f>
        <v>10.9847</v>
      </c>
      <c r="D402" s="8">
        <f>10.9852 * CHOOSE( CONTROL!$C$15, $D$11, 100%, $F$11)</f>
        <v>10.985200000000001</v>
      </c>
      <c r="E402" s="12">
        <f>10.9839 * CHOOSE( CONTROL!$C$15, $D$11, 100%, $F$11)</f>
        <v>10.9839</v>
      </c>
      <c r="F402" s="4">
        <f>11.6492 * CHOOSE(CONTROL!$C$15, $D$11, 100%, $F$11)</f>
        <v>11.6492</v>
      </c>
      <c r="G402" s="8">
        <f>10.7983 * CHOOSE( CONTROL!$C$15, $D$11, 100%, $F$11)</f>
        <v>10.798299999999999</v>
      </c>
      <c r="H402" s="4">
        <f>11.6893 * CHOOSE(CONTROL!$C$15, $D$11, 100%, $F$11)</f>
        <v>11.689299999999999</v>
      </c>
      <c r="I402" s="8">
        <f>10.6911 * CHOOSE(CONTROL!$C$15, $D$11, 100%, $F$11)</f>
        <v>10.6911</v>
      </c>
      <c r="J402" s="4">
        <f>10.5882 * CHOOSE(CONTROL!$C$15, $D$11, 100%, $F$11)</f>
        <v>10.588200000000001</v>
      </c>
      <c r="K402" s="4"/>
      <c r="L402" s="9">
        <v>27.415299999999998</v>
      </c>
      <c r="M402" s="9">
        <v>11.285299999999999</v>
      </c>
      <c r="N402" s="9">
        <v>4.6254999999999997</v>
      </c>
      <c r="O402" s="9">
        <v>0.34989999999999999</v>
      </c>
      <c r="P402" s="9">
        <v>1.2093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10.7412 * CHOOSE(CONTROL!$C$15, $D$11, 100%, $F$11)</f>
        <v>10.741199999999999</v>
      </c>
      <c r="C403" s="8">
        <f>10.7516 * CHOOSE(CONTROL!$C$15, $D$11, 100%, $F$11)</f>
        <v>10.7516</v>
      </c>
      <c r="D403" s="8">
        <f>10.7468 * CHOOSE( CONTROL!$C$15, $D$11, 100%, $F$11)</f>
        <v>10.7468</v>
      </c>
      <c r="E403" s="12">
        <f>10.7474 * CHOOSE( CONTROL!$C$15, $D$11, 100%, $F$11)</f>
        <v>10.747400000000001</v>
      </c>
      <c r="F403" s="4">
        <f>11.4188 * CHOOSE(CONTROL!$C$15, $D$11, 100%, $F$11)</f>
        <v>11.418799999999999</v>
      </c>
      <c r="G403" s="8">
        <f>10.5636 * CHOOSE( CONTROL!$C$15, $D$11, 100%, $F$11)</f>
        <v>10.563599999999999</v>
      </c>
      <c r="H403" s="4">
        <f>11.4626 * CHOOSE(CONTROL!$C$15, $D$11, 100%, $F$11)</f>
        <v>11.4626</v>
      </c>
      <c r="I403" s="8">
        <f>10.4537 * CHOOSE(CONTROL!$C$15, $D$11, 100%, $F$11)</f>
        <v>10.4537</v>
      </c>
      <c r="J403" s="4">
        <f>10.3628 * CHOOSE(CONTROL!$C$15, $D$11, 100%, $F$11)</f>
        <v>10.3628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10.9041 * CHOOSE(CONTROL!$C$15, $D$11, 100%, $F$11)</f>
        <v>10.9041</v>
      </c>
      <c r="C404" s="8">
        <f>10.9144 * CHOOSE(CONTROL!$C$15, $D$11, 100%, $F$11)</f>
        <v>10.914400000000001</v>
      </c>
      <c r="D404" s="8">
        <f>10.9257 * CHOOSE( CONTROL!$C$15, $D$11, 100%, $F$11)</f>
        <v>10.925700000000001</v>
      </c>
      <c r="E404" s="12">
        <f>10.9208 * CHOOSE( CONTROL!$C$15, $D$11, 100%, $F$11)</f>
        <v>10.9208</v>
      </c>
      <c r="F404" s="4">
        <f>11.5842 * CHOOSE(CONTROL!$C$15, $D$11, 100%, $F$11)</f>
        <v>11.584199999999999</v>
      </c>
      <c r="G404" s="8">
        <f>10.7044 * CHOOSE( CONTROL!$C$15, $D$11, 100%, $F$11)</f>
        <v>10.7044</v>
      </c>
      <c r="H404" s="4">
        <f>11.6253 * CHOOSE(CONTROL!$C$15, $D$11, 100%, $F$11)</f>
        <v>11.625299999999999</v>
      </c>
      <c r="I404" s="8">
        <f>10.6037 * CHOOSE(CONTROL!$C$15, $D$11, 100%, $F$11)</f>
        <v>10.6037</v>
      </c>
      <c r="J404" s="4">
        <f>10.5203 * CHOOSE(CONTROL!$C$15, $D$11, 100%, $F$11)</f>
        <v>10.520300000000001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CONTROL!$C$32, 11.1974, 11.194) * CHOOSE(CONTROL!$C$15, $D$11, 100%, $F$11)</f>
        <v>11.1974</v>
      </c>
      <c r="C405" s="8">
        <f>CHOOSE( CONTROL!$C$32, 11.2078, 11.2043) * CHOOSE(CONTROL!$C$15, $D$11, 100%, $F$11)</f>
        <v>11.207800000000001</v>
      </c>
      <c r="D405" s="8">
        <f>CHOOSE( CONTROL!$C$32, 11.2186, 11.2151) * CHOOSE( CONTROL!$C$15, $D$11, 100%, $F$11)</f>
        <v>11.2186</v>
      </c>
      <c r="E405" s="12">
        <f>CHOOSE( CONTROL!$C$32, 11.2131, 11.2096) * CHOOSE( CONTROL!$C$15, $D$11, 100%, $F$11)</f>
        <v>11.213100000000001</v>
      </c>
      <c r="F405" s="4">
        <f>CHOOSE( CONTROL!$C$32, 11.8775, 11.8741) * CHOOSE(CONTROL!$C$15, $D$11, 100%, $F$11)</f>
        <v>11.8775</v>
      </c>
      <c r="G405" s="8">
        <f>CHOOSE( CONTROL!$C$32, 10.9942, 10.9908) * CHOOSE( CONTROL!$C$15, $D$11, 100%, $F$11)</f>
        <v>10.994199999999999</v>
      </c>
      <c r="H405" s="4">
        <f>CHOOSE( CONTROL!$C$32, 11.9139, 11.9105) * CHOOSE(CONTROL!$C$15, $D$11, 100%, $F$11)</f>
        <v>11.9139</v>
      </c>
      <c r="I405" s="8">
        <f>CHOOSE( CONTROL!$C$32, 10.889, 10.8857) * CHOOSE(CONTROL!$C$15, $D$11, 100%, $F$11)</f>
        <v>10.888999999999999</v>
      </c>
      <c r="J405" s="4">
        <f>CHOOSE( CONTROL!$C$32, 10.8039, 10.8006) * CHOOSE(CONTROL!$C$15, $D$11, 100%, $F$11)</f>
        <v>10.803900000000001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CONTROL!$C$32, 11.0179, 11.0144) * CHOOSE(CONTROL!$C$15, $D$11, 100%, $F$11)</f>
        <v>11.017899999999999</v>
      </c>
      <c r="C406" s="8">
        <f>CHOOSE( CONTROL!$C$32, 11.0282, 11.0247) * CHOOSE(CONTROL!$C$15, $D$11, 100%, $F$11)</f>
        <v>11.0282</v>
      </c>
      <c r="D406" s="8">
        <f>CHOOSE( CONTROL!$C$32, 11.0393, 11.0358) * CHOOSE( CONTROL!$C$15, $D$11, 100%, $F$11)</f>
        <v>11.039300000000001</v>
      </c>
      <c r="E406" s="12">
        <f>CHOOSE( CONTROL!$C$32, 11.0337, 11.0302) * CHOOSE( CONTROL!$C$15, $D$11, 100%, $F$11)</f>
        <v>11.0337</v>
      </c>
      <c r="F406" s="4">
        <f>CHOOSE( CONTROL!$C$32, 11.698, 11.6945) * CHOOSE(CONTROL!$C$15, $D$11, 100%, $F$11)</f>
        <v>11.698</v>
      </c>
      <c r="G406" s="8">
        <f>CHOOSE( CONTROL!$C$32, 10.818, 10.8146) * CHOOSE( CONTROL!$C$15, $D$11, 100%, $F$11)</f>
        <v>10.818</v>
      </c>
      <c r="H406" s="4">
        <f>CHOOSE( CONTROL!$C$32, 11.7373, 11.7339) * CHOOSE(CONTROL!$C$15, $D$11, 100%, $F$11)</f>
        <v>11.737299999999999</v>
      </c>
      <c r="I406" s="8">
        <f>CHOOSE( CONTROL!$C$32, 10.7166, 10.7133) * CHOOSE(CONTROL!$C$15, $D$11, 100%, $F$11)</f>
        <v>10.7166</v>
      </c>
      <c r="J406" s="4">
        <f>CHOOSE( CONTROL!$C$32, 10.6303, 10.6269) * CHOOSE(CONTROL!$C$15, $D$11, 100%, $F$11)</f>
        <v>10.6303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CONTROL!$C$32, 11.4907, 11.4872) * CHOOSE(CONTROL!$C$15, $D$11, 100%, $F$11)</f>
        <v>11.4907</v>
      </c>
      <c r="C407" s="8">
        <f>CHOOSE( CONTROL!$C$32, 11.5011, 11.4976) * CHOOSE(CONTROL!$C$15, $D$11, 100%, $F$11)</f>
        <v>11.501099999999999</v>
      </c>
      <c r="D407" s="8">
        <f>CHOOSE( CONTROL!$C$32, 11.5125, 11.509) * CHOOSE( CONTROL!$C$15, $D$11, 100%, $F$11)</f>
        <v>11.512499999999999</v>
      </c>
      <c r="E407" s="12">
        <f>CHOOSE( CONTROL!$C$32, 11.5068, 11.5033) * CHOOSE( CONTROL!$C$15, $D$11, 100%, $F$11)</f>
        <v>11.5068</v>
      </c>
      <c r="F407" s="4">
        <f>CHOOSE( CONTROL!$C$32, 12.1708, 12.1674) * CHOOSE(CONTROL!$C$15, $D$11, 100%, $F$11)</f>
        <v>12.1708</v>
      </c>
      <c r="G407" s="8">
        <f>CHOOSE( CONTROL!$C$32, 11.2836, 11.2802) * CHOOSE( CONTROL!$C$15, $D$11, 100%, $F$11)</f>
        <v>11.2836</v>
      </c>
      <c r="H407" s="4">
        <f>CHOOSE( CONTROL!$C$32, 12.2025, 12.1991) * CHOOSE(CONTROL!$C$15, $D$11, 100%, $F$11)</f>
        <v>12.202500000000001</v>
      </c>
      <c r="I407" s="8">
        <f>CHOOSE( CONTROL!$C$32, 11.1756, 11.1722) * CHOOSE(CONTROL!$C$15, $D$11, 100%, $F$11)</f>
        <v>11.175599999999999</v>
      </c>
      <c r="J407" s="4">
        <f>CHOOSE( CONTROL!$C$32, 11.0876, 11.0842) * CHOOSE(CONTROL!$C$15, $D$11, 100%, $F$11)</f>
        <v>11.0876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CONTROL!$C$32, 10.606, 10.6025) * CHOOSE(CONTROL!$C$15, $D$11, 100%, $F$11)</f>
        <v>10.606</v>
      </c>
      <c r="C408" s="8">
        <f>CHOOSE( CONTROL!$C$32, 10.6163, 10.6129) * CHOOSE(CONTROL!$C$15, $D$11, 100%, $F$11)</f>
        <v>10.616300000000001</v>
      </c>
      <c r="D408" s="8">
        <f>CHOOSE( CONTROL!$C$32, 10.6279, 10.6244) * CHOOSE( CONTROL!$C$15, $D$11, 100%, $F$11)</f>
        <v>10.6279</v>
      </c>
      <c r="E408" s="12">
        <f>CHOOSE( CONTROL!$C$32, 10.6221, 10.6186) * CHOOSE( CONTROL!$C$15, $D$11, 100%, $F$11)</f>
        <v>10.6221</v>
      </c>
      <c r="F408" s="4">
        <f>CHOOSE( CONTROL!$C$32, 11.2861, 11.2826) * CHOOSE(CONTROL!$C$15, $D$11, 100%, $F$11)</f>
        <v>11.286099999999999</v>
      </c>
      <c r="G408" s="8">
        <f>CHOOSE( CONTROL!$C$32, 10.4134, 10.41) * CHOOSE( CONTROL!$C$15, $D$11, 100%, $F$11)</f>
        <v>10.413399999999999</v>
      </c>
      <c r="H408" s="4">
        <f>CHOOSE( CONTROL!$C$32, 11.3321, 11.3286) * CHOOSE(CONTROL!$C$15, $D$11, 100%, $F$11)</f>
        <v>11.332100000000001</v>
      </c>
      <c r="I408" s="8">
        <f>CHOOSE( CONTROL!$C$32, 10.3202, 10.3169) * CHOOSE(CONTROL!$C$15, $D$11, 100%, $F$11)</f>
        <v>10.3202</v>
      </c>
      <c r="J408" s="4">
        <f>CHOOSE( CONTROL!$C$32, 10.2319, 10.2286) * CHOOSE(CONTROL!$C$15, $D$11, 100%, $F$11)</f>
        <v>10.2319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CONTROL!$C$32, 10.3844, 10.381) * CHOOSE(CONTROL!$C$15, $D$11, 100%, $F$11)</f>
        <v>10.384399999999999</v>
      </c>
      <c r="C409" s="8">
        <f>CHOOSE( CONTROL!$C$32, 10.3948, 10.3913) * CHOOSE(CONTROL!$C$15, $D$11, 100%, $F$11)</f>
        <v>10.3948</v>
      </c>
      <c r="D409" s="8">
        <f>CHOOSE( CONTROL!$C$32, 10.4064, 10.4029) * CHOOSE( CONTROL!$C$15, $D$11, 100%, $F$11)</f>
        <v>10.4064</v>
      </c>
      <c r="E409" s="12">
        <f>CHOOSE( CONTROL!$C$32, 10.4006, 10.3971) * CHOOSE( CONTROL!$C$15, $D$11, 100%, $F$11)</f>
        <v>10.400600000000001</v>
      </c>
      <c r="F409" s="4">
        <f>CHOOSE( CONTROL!$C$32, 11.0646, 11.0611) * CHOOSE(CONTROL!$C$15, $D$11, 100%, $F$11)</f>
        <v>11.0646</v>
      </c>
      <c r="G409" s="8">
        <f>CHOOSE( CONTROL!$C$32, 10.1955, 10.1921) * CHOOSE( CONTROL!$C$15, $D$11, 100%, $F$11)</f>
        <v>10.195499999999999</v>
      </c>
      <c r="H409" s="4">
        <f>CHOOSE( CONTROL!$C$32, 11.1141, 11.1107) * CHOOSE(CONTROL!$C$15, $D$11, 100%, $F$11)</f>
        <v>11.114100000000001</v>
      </c>
      <c r="I409" s="8">
        <f>CHOOSE( CONTROL!$C$32, 10.106, 10.1027) * CHOOSE(CONTROL!$C$15, $D$11, 100%, $F$11)</f>
        <v>10.106</v>
      </c>
      <c r="J409" s="4">
        <f>CHOOSE( CONTROL!$C$32, 10.0177, 10.0143) * CHOOSE(CONTROL!$C$15, $D$11, 100%, $F$11)</f>
        <v>10.0177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10.841 * CHOOSE(CONTROL!$C$15, $D$11, 100%, $F$11)</f>
        <v>10.840999999999999</v>
      </c>
      <c r="C410" s="8">
        <f>10.8513 * CHOOSE(CONTROL!$C$15, $D$11, 100%, $F$11)</f>
        <v>10.8513</v>
      </c>
      <c r="D410" s="8">
        <f>10.8639 * CHOOSE( CONTROL!$C$15, $D$11, 100%, $F$11)</f>
        <v>10.863899999999999</v>
      </c>
      <c r="E410" s="12">
        <f>10.8586 * CHOOSE( CONTROL!$C$15, $D$11, 100%, $F$11)</f>
        <v>10.858599999999999</v>
      </c>
      <c r="F410" s="4">
        <f>11.5211 * CHOOSE(CONTROL!$C$15, $D$11, 100%, $F$11)</f>
        <v>11.521100000000001</v>
      </c>
      <c r="G410" s="8">
        <f>10.6442 * CHOOSE( CONTROL!$C$15, $D$11, 100%, $F$11)</f>
        <v>10.6442</v>
      </c>
      <c r="H410" s="4">
        <f>11.5632 * CHOOSE(CONTROL!$C$15, $D$11, 100%, $F$11)</f>
        <v>11.5632</v>
      </c>
      <c r="I410" s="8">
        <f>10.5486 * CHOOSE(CONTROL!$C$15, $D$11, 100%, $F$11)</f>
        <v>10.5486</v>
      </c>
      <c r="J410" s="4">
        <f>10.4592 * CHOOSE(CONTROL!$C$15, $D$11, 100%, $F$11)</f>
        <v>10.459199999999999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11.6901 * CHOOSE(CONTROL!$C$15, $D$11, 100%, $F$11)</f>
        <v>11.690099999999999</v>
      </c>
      <c r="C411" s="8">
        <f>11.7004 * CHOOSE(CONTROL!$C$15, $D$11, 100%, $F$11)</f>
        <v>11.7004</v>
      </c>
      <c r="D411" s="8">
        <f>11.6853 * CHOOSE( CONTROL!$C$15, $D$11, 100%, $F$11)</f>
        <v>11.6853</v>
      </c>
      <c r="E411" s="12">
        <f>11.6897 * CHOOSE( CONTROL!$C$15, $D$11, 100%, $F$11)</f>
        <v>11.6897</v>
      </c>
      <c r="F411" s="4">
        <f>12.3443 * CHOOSE(CONTROL!$C$15, $D$11, 100%, $F$11)</f>
        <v>12.3443</v>
      </c>
      <c r="G411" s="8">
        <f>11.489 * CHOOSE( CONTROL!$C$15, $D$11, 100%, $F$11)</f>
        <v>11.489000000000001</v>
      </c>
      <c r="H411" s="4">
        <f>12.3732 * CHOOSE(CONTROL!$C$15, $D$11, 100%, $F$11)</f>
        <v>12.373200000000001</v>
      </c>
      <c r="I411" s="8">
        <f>11.3905 * CHOOSE(CONTROL!$C$15, $D$11, 100%, $F$11)</f>
        <v>11.390499999999999</v>
      </c>
      <c r="J411" s="4">
        <f>11.2803 * CHOOSE(CONTROL!$C$15, $D$11, 100%, $F$11)</f>
        <v>11.2803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11.6688 * CHOOSE(CONTROL!$C$15, $D$11, 100%, $F$11)</f>
        <v>11.668799999999999</v>
      </c>
      <c r="C412" s="8">
        <f>11.6792 * CHOOSE(CONTROL!$C$15, $D$11, 100%, $F$11)</f>
        <v>11.6792</v>
      </c>
      <c r="D412" s="8">
        <f>11.6657 * CHOOSE( CONTROL!$C$15, $D$11, 100%, $F$11)</f>
        <v>11.665699999999999</v>
      </c>
      <c r="E412" s="12">
        <f>11.6695 * CHOOSE( CONTROL!$C$15, $D$11, 100%, $F$11)</f>
        <v>11.669499999999999</v>
      </c>
      <c r="F412" s="4">
        <f>12.3231 * CHOOSE(CONTROL!$C$15, $D$11, 100%, $F$11)</f>
        <v>12.3231</v>
      </c>
      <c r="G412" s="8">
        <f>11.4693 * CHOOSE( CONTROL!$C$15, $D$11, 100%, $F$11)</f>
        <v>11.4693</v>
      </c>
      <c r="H412" s="4">
        <f>12.3523 * CHOOSE(CONTROL!$C$15, $D$11, 100%, $F$11)</f>
        <v>12.3523</v>
      </c>
      <c r="I412" s="8">
        <f>11.3753 * CHOOSE(CONTROL!$C$15, $D$11, 100%, $F$11)</f>
        <v>11.375299999999999</v>
      </c>
      <c r="J412" s="4">
        <f>11.2598 * CHOOSE(CONTROL!$C$15, $D$11, 100%, $F$11)</f>
        <v>11.2598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12.1138 * CHOOSE(CONTROL!$C$15, $D$11, 100%, $F$11)</f>
        <v>12.113799999999999</v>
      </c>
      <c r="C413" s="8">
        <f>12.1242 * CHOOSE(CONTROL!$C$15, $D$11, 100%, $F$11)</f>
        <v>12.1242</v>
      </c>
      <c r="D413" s="8">
        <f>12.1226 * CHOOSE( CONTROL!$C$15, $D$11, 100%, $F$11)</f>
        <v>12.1226</v>
      </c>
      <c r="E413" s="12">
        <f>12.1221 * CHOOSE( CONTROL!$C$15, $D$11, 100%, $F$11)</f>
        <v>12.1221</v>
      </c>
      <c r="F413" s="4">
        <f>12.7965 * CHOOSE(CONTROL!$C$15, $D$11, 100%, $F$11)</f>
        <v>12.7965</v>
      </c>
      <c r="G413" s="8">
        <f>11.9196 * CHOOSE( CONTROL!$C$15, $D$11, 100%, $F$11)</f>
        <v>11.919600000000001</v>
      </c>
      <c r="H413" s="4">
        <f>12.818 * CHOOSE(CONTROL!$C$15, $D$11, 100%, $F$11)</f>
        <v>12.818</v>
      </c>
      <c r="I413" s="8">
        <f>11.8046 * CHOOSE(CONTROL!$C$15, $D$11, 100%, $F$11)</f>
        <v>11.804600000000001</v>
      </c>
      <c r="J413" s="4">
        <f>11.6902 * CHOOSE(CONTROL!$C$15, $D$11, 100%, $F$11)</f>
        <v>11.690200000000001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11.3324 * CHOOSE(CONTROL!$C$15, $D$11, 100%, $F$11)</f>
        <v>11.3324</v>
      </c>
      <c r="C414" s="8">
        <f>11.3427 * CHOOSE(CONTROL!$C$15, $D$11, 100%, $F$11)</f>
        <v>11.342700000000001</v>
      </c>
      <c r="D414" s="8">
        <f>11.3432 * CHOOSE( CONTROL!$C$15, $D$11, 100%, $F$11)</f>
        <v>11.3432</v>
      </c>
      <c r="E414" s="12">
        <f>11.3419 * CHOOSE( CONTROL!$C$15, $D$11, 100%, $F$11)</f>
        <v>11.341900000000001</v>
      </c>
      <c r="F414" s="4">
        <f>12.0073 * CHOOSE(CONTROL!$C$15, $D$11, 100%, $F$11)</f>
        <v>12.007300000000001</v>
      </c>
      <c r="G414" s="8">
        <f>11.1506 * CHOOSE( CONTROL!$C$15, $D$11, 100%, $F$11)</f>
        <v>11.150600000000001</v>
      </c>
      <c r="H414" s="4">
        <f>12.0416 * CHOOSE(CONTROL!$C$15, $D$11, 100%, $F$11)</f>
        <v>12.041600000000001</v>
      </c>
      <c r="I414" s="8">
        <f>11.0375 * CHOOSE(CONTROL!$C$15, $D$11, 100%, $F$11)</f>
        <v>11.0375</v>
      </c>
      <c r="J414" s="4">
        <f>10.9344 * CHOOSE(CONTROL!$C$15, $D$11, 100%, $F$11)</f>
        <v>10.9344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18.1877</v>
      </c>
      <c r="R414" s="9"/>
      <c r="S414" s="11"/>
    </row>
    <row r="415" spans="1:19" ht="15.75">
      <c r="A415" s="13">
        <v>54513</v>
      </c>
      <c r="B415" s="8">
        <f>11.0917 * CHOOSE(CONTROL!$C$15, $D$11, 100%, $F$11)</f>
        <v>11.091699999999999</v>
      </c>
      <c r="C415" s="8">
        <f>11.102 * CHOOSE(CONTROL!$C$15, $D$11, 100%, $F$11)</f>
        <v>11.102</v>
      </c>
      <c r="D415" s="8">
        <f>11.0972 * CHOOSE( CONTROL!$C$15, $D$11, 100%, $F$11)</f>
        <v>11.097200000000001</v>
      </c>
      <c r="E415" s="12">
        <f>11.0979 * CHOOSE( CONTROL!$C$15, $D$11, 100%, $F$11)</f>
        <v>11.097899999999999</v>
      </c>
      <c r="F415" s="4">
        <f>11.7692 * CHOOSE(CONTROL!$C$15, $D$11, 100%, $F$11)</f>
        <v>11.7692</v>
      </c>
      <c r="G415" s="8">
        <f>10.9083 * CHOOSE( CONTROL!$C$15, $D$11, 100%, $F$11)</f>
        <v>10.908300000000001</v>
      </c>
      <c r="H415" s="4">
        <f>11.8073 * CHOOSE(CONTROL!$C$15, $D$11, 100%, $F$11)</f>
        <v>11.8073</v>
      </c>
      <c r="I415" s="8">
        <f>10.7928 * CHOOSE(CONTROL!$C$15, $D$11, 100%, $F$11)</f>
        <v>10.7928</v>
      </c>
      <c r="J415" s="4">
        <f>10.7017 * CHOOSE(CONTROL!$C$15, $D$11, 100%, $F$11)</f>
        <v>10.701700000000001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11.2599 * CHOOSE(CONTROL!$C$15, $D$11, 100%, $F$11)</f>
        <v>11.2599</v>
      </c>
      <c r="C416" s="8">
        <f>11.2702 * CHOOSE(CONTROL!$C$15, $D$11, 100%, $F$11)</f>
        <v>11.270200000000001</v>
      </c>
      <c r="D416" s="8">
        <f>11.2815 * CHOOSE( CONTROL!$C$15, $D$11, 100%, $F$11)</f>
        <v>11.281499999999999</v>
      </c>
      <c r="E416" s="12">
        <f>11.2766 * CHOOSE( CONTROL!$C$15, $D$11, 100%, $F$11)</f>
        <v>11.2766</v>
      </c>
      <c r="F416" s="4">
        <f>11.94 * CHOOSE(CONTROL!$C$15, $D$11, 100%, $F$11)</f>
        <v>11.94</v>
      </c>
      <c r="G416" s="8">
        <f>11.0544 * CHOOSE( CONTROL!$C$15, $D$11, 100%, $F$11)</f>
        <v>11.054399999999999</v>
      </c>
      <c r="H416" s="4">
        <f>11.9754 * CHOOSE(CONTROL!$C$15, $D$11, 100%, $F$11)</f>
        <v>11.9754</v>
      </c>
      <c r="I416" s="8">
        <f>10.9479 * CHOOSE(CONTROL!$C$15, $D$11, 100%, $F$11)</f>
        <v>10.947900000000001</v>
      </c>
      <c r="J416" s="4">
        <f>10.8643 * CHOOSE(CONTROL!$C$15, $D$11, 100%, $F$11)</f>
        <v>10.8643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CONTROL!$C$32, 11.5627, 11.5592) * CHOOSE(CONTROL!$C$15, $D$11, 100%, $F$11)</f>
        <v>11.5627</v>
      </c>
      <c r="C417" s="8">
        <f>CHOOSE( CONTROL!$C$32, 11.573, 11.5695) * CHOOSE(CONTROL!$C$15, $D$11, 100%, $F$11)</f>
        <v>11.573</v>
      </c>
      <c r="D417" s="8">
        <f>CHOOSE( CONTROL!$C$32, 11.5838, 11.5804) * CHOOSE( CONTROL!$C$15, $D$11, 100%, $F$11)</f>
        <v>11.5838</v>
      </c>
      <c r="E417" s="12">
        <f>CHOOSE( CONTROL!$C$32, 11.5783, 11.5749) * CHOOSE( CONTROL!$C$15, $D$11, 100%, $F$11)</f>
        <v>11.5783</v>
      </c>
      <c r="F417" s="4">
        <f>CHOOSE( CONTROL!$C$32, 12.2428, 12.2393) * CHOOSE(CONTROL!$C$15, $D$11, 100%, $F$11)</f>
        <v>12.242800000000001</v>
      </c>
      <c r="G417" s="8">
        <f>CHOOSE( CONTROL!$C$32, 11.3535, 11.3501) * CHOOSE( CONTROL!$C$15, $D$11, 100%, $F$11)</f>
        <v>11.3535</v>
      </c>
      <c r="H417" s="4">
        <f>CHOOSE( CONTROL!$C$32, 12.2733, 12.2698) * CHOOSE(CONTROL!$C$15, $D$11, 100%, $F$11)</f>
        <v>12.273300000000001</v>
      </c>
      <c r="I417" s="8">
        <f>CHOOSE( CONTROL!$C$32, 11.2424, 11.2391) * CHOOSE(CONTROL!$C$15, $D$11, 100%, $F$11)</f>
        <v>11.2424</v>
      </c>
      <c r="J417" s="4">
        <f>CHOOSE( CONTROL!$C$32, 11.1572, 11.1538) * CHOOSE(CONTROL!$C$15, $D$11, 100%, $F$11)</f>
        <v>11.1572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CONTROL!$C$32, 11.3772, 11.3738) * CHOOSE(CONTROL!$C$15, $D$11, 100%, $F$11)</f>
        <v>11.3772</v>
      </c>
      <c r="C418" s="8">
        <f>CHOOSE( CONTROL!$C$32, 11.3876, 11.3841) * CHOOSE(CONTROL!$C$15, $D$11, 100%, $F$11)</f>
        <v>11.387600000000001</v>
      </c>
      <c r="D418" s="8">
        <f>CHOOSE( CONTROL!$C$32, 11.3987, 11.3952) * CHOOSE( CONTROL!$C$15, $D$11, 100%, $F$11)</f>
        <v>11.3987</v>
      </c>
      <c r="E418" s="12">
        <f>CHOOSE( CONTROL!$C$32, 11.3931, 11.3896) * CHOOSE( CONTROL!$C$15, $D$11, 100%, $F$11)</f>
        <v>11.3931</v>
      </c>
      <c r="F418" s="4">
        <f>CHOOSE( CONTROL!$C$32, 12.0574, 12.0539) * CHOOSE(CONTROL!$C$15, $D$11, 100%, $F$11)</f>
        <v>12.057399999999999</v>
      </c>
      <c r="G418" s="8">
        <f>CHOOSE( CONTROL!$C$32, 11.1715, 11.1681) * CHOOSE( CONTROL!$C$15, $D$11, 100%, $F$11)</f>
        <v>11.1715</v>
      </c>
      <c r="H418" s="4">
        <f>CHOOSE( CONTROL!$C$32, 12.0908, 12.0874) * CHOOSE(CONTROL!$C$15, $D$11, 100%, $F$11)</f>
        <v>12.0908</v>
      </c>
      <c r="I418" s="8">
        <f>CHOOSE( CONTROL!$C$32, 11.0644, 11.061) * CHOOSE(CONTROL!$C$15, $D$11, 100%, $F$11)</f>
        <v>11.064399999999999</v>
      </c>
      <c r="J418" s="4">
        <f>CHOOSE( CONTROL!$C$32, 10.9778, 10.9745) * CHOOSE(CONTROL!$C$15, $D$11, 100%, $F$11)</f>
        <v>10.9778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CONTROL!$C$32, 11.8655, 11.8621) * CHOOSE(CONTROL!$C$15, $D$11, 100%, $F$11)</f>
        <v>11.865500000000001</v>
      </c>
      <c r="C419" s="8">
        <f>CHOOSE( CONTROL!$C$32, 11.8759, 11.8724) * CHOOSE(CONTROL!$C$15, $D$11, 100%, $F$11)</f>
        <v>11.8759</v>
      </c>
      <c r="D419" s="8">
        <f>CHOOSE( CONTROL!$C$32, 11.8873, 11.8838) * CHOOSE( CONTROL!$C$15, $D$11, 100%, $F$11)</f>
        <v>11.8873</v>
      </c>
      <c r="E419" s="12">
        <f>CHOOSE( CONTROL!$C$32, 11.8816, 11.8781) * CHOOSE( CONTROL!$C$15, $D$11, 100%, $F$11)</f>
        <v>11.881600000000001</v>
      </c>
      <c r="F419" s="4">
        <f>CHOOSE( CONTROL!$C$32, 12.5457, 12.5422) * CHOOSE(CONTROL!$C$15, $D$11, 100%, $F$11)</f>
        <v>12.5457</v>
      </c>
      <c r="G419" s="8">
        <f>CHOOSE( CONTROL!$C$32, 11.6524, 11.649) * CHOOSE( CONTROL!$C$15, $D$11, 100%, $F$11)</f>
        <v>11.6524</v>
      </c>
      <c r="H419" s="4">
        <f>CHOOSE( CONTROL!$C$32, 12.5712, 12.5678) * CHOOSE(CONTROL!$C$15, $D$11, 100%, $F$11)</f>
        <v>12.571199999999999</v>
      </c>
      <c r="I419" s="8">
        <f>CHOOSE( CONTROL!$C$32, 11.5383, 11.5349) * CHOOSE(CONTROL!$C$15, $D$11, 100%, $F$11)</f>
        <v>11.5383</v>
      </c>
      <c r="J419" s="4">
        <f>CHOOSE( CONTROL!$C$32, 11.4501, 11.4467) * CHOOSE(CONTROL!$C$15, $D$11, 100%, $F$11)</f>
        <v>11.450100000000001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CONTROL!$C$32, 10.9519, 10.9484) * CHOOSE(CONTROL!$C$15, $D$11, 100%, $F$11)</f>
        <v>10.9519</v>
      </c>
      <c r="C420" s="8">
        <f>CHOOSE( CONTROL!$C$32, 10.9622, 10.9588) * CHOOSE(CONTROL!$C$15, $D$11, 100%, $F$11)</f>
        <v>10.962199999999999</v>
      </c>
      <c r="D420" s="8">
        <f>CHOOSE( CONTROL!$C$32, 10.9738, 10.9703) * CHOOSE( CONTROL!$C$15, $D$11, 100%, $F$11)</f>
        <v>10.973800000000001</v>
      </c>
      <c r="E420" s="12">
        <f>CHOOSE( CONTROL!$C$32, 10.968, 10.9645) * CHOOSE( CONTROL!$C$15, $D$11, 100%, $F$11)</f>
        <v>10.968</v>
      </c>
      <c r="F420" s="4">
        <f>CHOOSE( CONTROL!$C$32, 11.632, 11.6285) * CHOOSE(CONTROL!$C$15, $D$11, 100%, $F$11)</f>
        <v>11.632</v>
      </c>
      <c r="G420" s="8">
        <f>CHOOSE( CONTROL!$C$32, 10.7537, 10.7503) * CHOOSE( CONTROL!$C$15, $D$11, 100%, $F$11)</f>
        <v>10.7537</v>
      </c>
      <c r="H420" s="4">
        <f>CHOOSE( CONTROL!$C$32, 11.6724, 11.6689) * CHOOSE(CONTROL!$C$15, $D$11, 100%, $F$11)</f>
        <v>11.6724</v>
      </c>
      <c r="I420" s="8">
        <f>CHOOSE( CONTROL!$C$32, 10.6549, 10.6515) * CHOOSE(CONTROL!$C$15, $D$11, 100%, $F$11)</f>
        <v>10.6549</v>
      </c>
      <c r="J420" s="4">
        <f>CHOOSE( CONTROL!$C$32, 10.5665, 10.5631) * CHOOSE(CONTROL!$C$15, $D$11, 100%, $F$11)</f>
        <v>10.5665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CONTROL!$C$32, 10.7231, 10.7196) * CHOOSE(CONTROL!$C$15, $D$11, 100%, $F$11)</f>
        <v>10.723100000000001</v>
      </c>
      <c r="C421" s="8">
        <f>CHOOSE( CONTROL!$C$32, 10.7334, 10.73) * CHOOSE(CONTROL!$C$15, $D$11, 100%, $F$11)</f>
        <v>10.7334</v>
      </c>
      <c r="D421" s="8">
        <f>CHOOSE( CONTROL!$C$32, 10.745, 10.7415) * CHOOSE( CONTROL!$C$15, $D$11, 100%, $F$11)</f>
        <v>10.744999999999999</v>
      </c>
      <c r="E421" s="12">
        <f>CHOOSE( CONTROL!$C$32, 10.7392, 10.7357) * CHOOSE( CONTROL!$C$15, $D$11, 100%, $F$11)</f>
        <v>10.7392</v>
      </c>
      <c r="F421" s="4">
        <f>CHOOSE( CONTROL!$C$32, 11.4032, 11.3997) * CHOOSE(CONTROL!$C$15, $D$11, 100%, $F$11)</f>
        <v>11.4032</v>
      </c>
      <c r="G421" s="8">
        <f>CHOOSE( CONTROL!$C$32, 10.5287, 10.5252) * CHOOSE( CONTROL!$C$15, $D$11, 100%, $F$11)</f>
        <v>10.528700000000001</v>
      </c>
      <c r="H421" s="4">
        <f>CHOOSE( CONTROL!$C$32, 11.4473, 11.4438) * CHOOSE(CONTROL!$C$15, $D$11, 100%, $F$11)</f>
        <v>11.4473</v>
      </c>
      <c r="I421" s="8">
        <f>CHOOSE( CONTROL!$C$32, 10.4337, 10.4304) * CHOOSE(CONTROL!$C$15, $D$11, 100%, $F$11)</f>
        <v>10.4337</v>
      </c>
      <c r="J421" s="4">
        <f>CHOOSE( CONTROL!$C$32, 10.3452, 10.3418) * CHOOSE(CONTROL!$C$15, $D$11, 100%, $F$11)</f>
        <v>10.3452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11.1947 * CHOOSE(CONTROL!$C$15, $D$11, 100%, $F$11)</f>
        <v>11.194699999999999</v>
      </c>
      <c r="C422" s="8">
        <f>11.205 * CHOOSE(CONTROL!$C$15, $D$11, 100%, $F$11)</f>
        <v>11.205</v>
      </c>
      <c r="D422" s="8">
        <f>11.2176 * CHOOSE( CONTROL!$C$15, $D$11, 100%, $F$11)</f>
        <v>11.217599999999999</v>
      </c>
      <c r="E422" s="12">
        <f>11.2123 * CHOOSE( CONTROL!$C$15, $D$11, 100%, $F$11)</f>
        <v>11.212300000000001</v>
      </c>
      <c r="F422" s="4">
        <f>11.8748 * CHOOSE(CONTROL!$C$15, $D$11, 100%, $F$11)</f>
        <v>11.8748</v>
      </c>
      <c r="G422" s="8">
        <f>10.9922 * CHOOSE( CONTROL!$C$15, $D$11, 100%, $F$11)</f>
        <v>10.9922</v>
      </c>
      <c r="H422" s="4">
        <f>11.9112 * CHOOSE(CONTROL!$C$15, $D$11, 100%, $F$11)</f>
        <v>11.911199999999999</v>
      </c>
      <c r="I422" s="8">
        <f>10.8909 * CHOOSE(CONTROL!$C$15, $D$11, 100%, $F$11)</f>
        <v>10.8909</v>
      </c>
      <c r="J422" s="4">
        <f>10.8013 * CHOOSE(CONTROL!$C$15, $D$11, 100%, $F$11)</f>
        <v>10.801299999999999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12.0715 * CHOOSE(CONTROL!$C$15, $D$11, 100%, $F$11)</f>
        <v>12.0715</v>
      </c>
      <c r="C423" s="8">
        <f>12.0819 * CHOOSE(CONTROL!$C$15, $D$11, 100%, $F$11)</f>
        <v>12.081899999999999</v>
      </c>
      <c r="D423" s="8">
        <f>12.0668 * CHOOSE( CONTROL!$C$15, $D$11, 100%, $F$11)</f>
        <v>12.066800000000001</v>
      </c>
      <c r="E423" s="12">
        <f>12.0712 * CHOOSE( CONTROL!$C$15, $D$11, 100%, $F$11)</f>
        <v>12.071199999999999</v>
      </c>
      <c r="F423" s="4">
        <f>12.7258 * CHOOSE(CONTROL!$C$15, $D$11, 100%, $F$11)</f>
        <v>12.7258</v>
      </c>
      <c r="G423" s="8">
        <f>11.8642 * CHOOSE( CONTROL!$C$15, $D$11, 100%, $F$11)</f>
        <v>11.8642</v>
      </c>
      <c r="H423" s="4">
        <f>12.7484 * CHOOSE(CONTROL!$C$15, $D$11, 100%, $F$11)</f>
        <v>12.7484</v>
      </c>
      <c r="I423" s="8">
        <f>11.7596 * CHOOSE(CONTROL!$C$15, $D$11, 100%, $F$11)</f>
        <v>11.759600000000001</v>
      </c>
      <c r="J423" s="4">
        <f>11.6493 * CHOOSE(CONTROL!$C$15, $D$11, 100%, $F$11)</f>
        <v>11.6493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12.0496 * CHOOSE(CONTROL!$C$15, $D$11, 100%, $F$11)</f>
        <v>12.0496</v>
      </c>
      <c r="C424" s="8">
        <f>12.0599 * CHOOSE(CONTROL!$C$15, $D$11, 100%, $F$11)</f>
        <v>12.059900000000001</v>
      </c>
      <c r="D424" s="8">
        <f>12.0465 * CHOOSE( CONTROL!$C$15, $D$11, 100%, $F$11)</f>
        <v>12.0465</v>
      </c>
      <c r="E424" s="12">
        <f>12.0503 * CHOOSE( CONTROL!$C$15, $D$11, 100%, $F$11)</f>
        <v>12.0503</v>
      </c>
      <c r="F424" s="4">
        <f>12.7039 * CHOOSE(CONTROL!$C$15, $D$11, 100%, $F$11)</f>
        <v>12.703900000000001</v>
      </c>
      <c r="G424" s="8">
        <f>11.8439 * CHOOSE( CONTROL!$C$15, $D$11, 100%, $F$11)</f>
        <v>11.8439</v>
      </c>
      <c r="H424" s="4">
        <f>12.7269 * CHOOSE(CONTROL!$C$15, $D$11, 100%, $F$11)</f>
        <v>12.726900000000001</v>
      </c>
      <c r="I424" s="8">
        <f>11.7437 * CHOOSE(CONTROL!$C$15, $D$11, 100%, $F$11)</f>
        <v>11.7437</v>
      </c>
      <c r="J424" s="4">
        <f>11.6281 * CHOOSE(CONTROL!$C$15, $D$11, 100%, $F$11)</f>
        <v>11.6281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12.5091 * CHOOSE(CONTROL!$C$15, $D$11, 100%, $F$11)</f>
        <v>12.5091</v>
      </c>
      <c r="C425" s="8">
        <f>12.5195 * CHOOSE(CONTROL!$C$15, $D$11, 100%, $F$11)</f>
        <v>12.519500000000001</v>
      </c>
      <c r="D425" s="8">
        <f>12.5179 * CHOOSE( CONTROL!$C$15, $D$11, 100%, $F$11)</f>
        <v>12.517899999999999</v>
      </c>
      <c r="E425" s="12">
        <f>12.5174 * CHOOSE( CONTROL!$C$15, $D$11, 100%, $F$11)</f>
        <v>12.5174</v>
      </c>
      <c r="F425" s="4">
        <f>13.1918 * CHOOSE(CONTROL!$C$15, $D$11, 100%, $F$11)</f>
        <v>13.191800000000001</v>
      </c>
      <c r="G425" s="8">
        <f>12.3085 * CHOOSE( CONTROL!$C$15, $D$11, 100%, $F$11)</f>
        <v>12.3085</v>
      </c>
      <c r="H425" s="4">
        <f>13.207 * CHOOSE(CONTROL!$C$15, $D$11, 100%, $F$11)</f>
        <v>13.207000000000001</v>
      </c>
      <c r="I425" s="8">
        <f>12.1871 * CHOOSE(CONTROL!$C$15, $D$11, 100%, $F$11)</f>
        <v>12.187099999999999</v>
      </c>
      <c r="J425" s="4">
        <f>12.0725 * CHOOSE(CONTROL!$C$15, $D$11, 100%, $F$11)</f>
        <v>12.0725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11.7021 * CHOOSE(CONTROL!$C$15, $D$11, 100%, $F$11)</f>
        <v>11.7021</v>
      </c>
      <c r="C426" s="8">
        <f>11.7125 * CHOOSE(CONTROL!$C$15, $D$11, 100%, $F$11)</f>
        <v>11.7125</v>
      </c>
      <c r="D426" s="8">
        <f>11.713 * CHOOSE( CONTROL!$C$15, $D$11, 100%, $F$11)</f>
        <v>11.712999999999999</v>
      </c>
      <c r="E426" s="12">
        <f>11.7117 * CHOOSE( CONTROL!$C$15, $D$11, 100%, $F$11)</f>
        <v>11.7117</v>
      </c>
      <c r="F426" s="4">
        <f>12.3771 * CHOOSE(CONTROL!$C$15, $D$11, 100%, $F$11)</f>
        <v>12.3771</v>
      </c>
      <c r="G426" s="8">
        <f>11.5144 * CHOOSE( CONTROL!$C$15, $D$11, 100%, $F$11)</f>
        <v>11.5144</v>
      </c>
      <c r="H426" s="4">
        <f>12.4054 * CHOOSE(CONTROL!$C$15, $D$11, 100%, $F$11)</f>
        <v>12.4054</v>
      </c>
      <c r="I426" s="8">
        <f>11.3953 * CHOOSE(CONTROL!$C$15, $D$11, 100%, $F$11)</f>
        <v>11.395300000000001</v>
      </c>
      <c r="J426" s="4">
        <f>11.292 * CHOOSE(CONTROL!$C$15, $D$11, 100%, $F$11)</f>
        <v>11.292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11.4536 * CHOOSE(CONTROL!$C$15, $D$11, 100%, $F$11)</f>
        <v>11.4536</v>
      </c>
      <c r="C427" s="8">
        <f>11.4639 * CHOOSE(CONTROL!$C$15, $D$11, 100%, $F$11)</f>
        <v>11.463900000000001</v>
      </c>
      <c r="D427" s="8">
        <f>11.4591 * CHOOSE( CONTROL!$C$15, $D$11, 100%, $F$11)</f>
        <v>11.459099999999999</v>
      </c>
      <c r="E427" s="12">
        <f>11.4598 * CHOOSE( CONTROL!$C$15, $D$11, 100%, $F$11)</f>
        <v>11.4598</v>
      </c>
      <c r="F427" s="4">
        <f>12.1311 * CHOOSE(CONTROL!$C$15, $D$11, 100%, $F$11)</f>
        <v>12.1311</v>
      </c>
      <c r="G427" s="8">
        <f>11.2644 * CHOOSE( CONTROL!$C$15, $D$11, 100%, $F$11)</f>
        <v>11.2644</v>
      </c>
      <c r="H427" s="4">
        <f>12.1634 * CHOOSE(CONTROL!$C$15, $D$11, 100%, $F$11)</f>
        <v>12.163399999999999</v>
      </c>
      <c r="I427" s="8">
        <f>11.1429 * CHOOSE(CONTROL!$C$15, $D$11, 100%, $F$11)</f>
        <v>11.142899999999999</v>
      </c>
      <c r="J427" s="4">
        <f>11.0516 * CHOOSE(CONTROL!$C$15, $D$11, 100%, $F$11)</f>
        <v>11.051600000000001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11.6273 * CHOOSE(CONTROL!$C$15, $D$11, 100%, $F$11)</f>
        <v>11.6273</v>
      </c>
      <c r="C428" s="8">
        <f>11.6376 * CHOOSE(CONTROL!$C$15, $D$11, 100%, $F$11)</f>
        <v>11.637600000000001</v>
      </c>
      <c r="D428" s="8">
        <f>11.6489 * CHOOSE( CONTROL!$C$15, $D$11, 100%, $F$11)</f>
        <v>11.648899999999999</v>
      </c>
      <c r="E428" s="12">
        <f>11.644 * CHOOSE( CONTROL!$C$15, $D$11, 100%, $F$11)</f>
        <v>11.644</v>
      </c>
      <c r="F428" s="4">
        <f>12.3074 * CHOOSE(CONTROL!$C$15, $D$11, 100%, $F$11)</f>
        <v>12.307399999999999</v>
      </c>
      <c r="G428" s="8">
        <f>11.4159 * CHOOSE( CONTROL!$C$15, $D$11, 100%, $F$11)</f>
        <v>11.415900000000001</v>
      </c>
      <c r="H428" s="4">
        <f>12.3368 * CHOOSE(CONTROL!$C$15, $D$11, 100%, $F$11)</f>
        <v>12.3368</v>
      </c>
      <c r="I428" s="8">
        <f>11.3034 * CHOOSE(CONTROL!$C$15, $D$11, 100%, $F$11)</f>
        <v>11.3034</v>
      </c>
      <c r="J428" s="4">
        <f>11.2196 * CHOOSE(CONTROL!$C$15, $D$11, 100%, $F$11)</f>
        <v>11.2196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CONTROL!$C$32, 11.9399, 11.9364) * CHOOSE(CONTROL!$C$15, $D$11, 100%, $F$11)</f>
        <v>11.9399</v>
      </c>
      <c r="C429" s="8">
        <f>CHOOSE( CONTROL!$C$32, 11.9502, 11.9467) * CHOOSE(CONTROL!$C$15, $D$11, 100%, $F$11)</f>
        <v>11.950200000000001</v>
      </c>
      <c r="D429" s="8">
        <f>CHOOSE( CONTROL!$C$32, 11.961, 11.9575) * CHOOSE( CONTROL!$C$15, $D$11, 100%, $F$11)</f>
        <v>11.961</v>
      </c>
      <c r="E429" s="12">
        <f>CHOOSE( CONTROL!$C$32, 11.9555, 11.952) * CHOOSE( CONTROL!$C$15, $D$11, 100%, $F$11)</f>
        <v>11.955500000000001</v>
      </c>
      <c r="F429" s="4">
        <f>CHOOSE( CONTROL!$C$32, 12.62, 12.6165) * CHOOSE(CONTROL!$C$15, $D$11, 100%, $F$11)</f>
        <v>12.62</v>
      </c>
      <c r="G429" s="8">
        <f>CHOOSE( CONTROL!$C$32, 11.7246, 11.7212) * CHOOSE( CONTROL!$C$15, $D$11, 100%, $F$11)</f>
        <v>11.724600000000001</v>
      </c>
      <c r="H429" s="4">
        <f>CHOOSE( CONTROL!$C$32, 12.6443, 12.6409) * CHOOSE(CONTROL!$C$15, $D$11, 100%, $F$11)</f>
        <v>12.644299999999999</v>
      </c>
      <c r="I429" s="8">
        <f>CHOOSE( CONTROL!$C$32, 11.6074, 11.604) * CHOOSE(CONTROL!$C$15, $D$11, 100%, $F$11)</f>
        <v>11.6074</v>
      </c>
      <c r="J429" s="4">
        <f>CHOOSE( CONTROL!$C$32, 11.5219, 11.5186) * CHOOSE(CONTROL!$C$15, $D$11, 100%, $F$11)</f>
        <v>11.5219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CONTROL!$C$32, 11.7484, 11.7449) * CHOOSE(CONTROL!$C$15, $D$11, 100%, $F$11)</f>
        <v>11.7484</v>
      </c>
      <c r="C430" s="8">
        <f>CHOOSE( CONTROL!$C$32, 11.7587, 11.7552) * CHOOSE(CONTROL!$C$15, $D$11, 100%, $F$11)</f>
        <v>11.758699999999999</v>
      </c>
      <c r="D430" s="8">
        <f>CHOOSE( CONTROL!$C$32, 11.7698, 11.7663) * CHOOSE( CONTROL!$C$15, $D$11, 100%, $F$11)</f>
        <v>11.7698</v>
      </c>
      <c r="E430" s="12">
        <f>CHOOSE( CONTROL!$C$32, 11.7642, 11.7607) * CHOOSE( CONTROL!$C$15, $D$11, 100%, $F$11)</f>
        <v>11.764200000000001</v>
      </c>
      <c r="F430" s="4">
        <f>CHOOSE( CONTROL!$C$32, 12.4285, 12.425) * CHOOSE(CONTROL!$C$15, $D$11, 100%, $F$11)</f>
        <v>12.4285</v>
      </c>
      <c r="G430" s="8">
        <f>CHOOSE( CONTROL!$C$32, 11.5366, 11.5332) * CHOOSE( CONTROL!$C$15, $D$11, 100%, $F$11)</f>
        <v>11.5366</v>
      </c>
      <c r="H430" s="4">
        <f>CHOOSE( CONTROL!$C$32, 12.4559, 12.4525) * CHOOSE(CONTROL!$C$15, $D$11, 100%, $F$11)</f>
        <v>12.4559</v>
      </c>
      <c r="I430" s="8">
        <f>CHOOSE( CONTROL!$C$32, 11.4234, 11.4201) * CHOOSE(CONTROL!$C$15, $D$11, 100%, $F$11)</f>
        <v>11.423400000000001</v>
      </c>
      <c r="J430" s="4">
        <f>CHOOSE( CONTROL!$C$32, 11.3367, 11.3334) * CHOOSE(CONTROL!$C$15, $D$11, 100%, $F$11)</f>
        <v>11.3367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CONTROL!$C$32, 12.2526, 12.2492) * CHOOSE(CONTROL!$C$15, $D$11, 100%, $F$11)</f>
        <v>12.252599999999999</v>
      </c>
      <c r="C431" s="8">
        <f>CHOOSE( CONTROL!$C$32, 12.263, 12.2595) * CHOOSE(CONTROL!$C$15, $D$11, 100%, $F$11)</f>
        <v>12.263</v>
      </c>
      <c r="D431" s="8">
        <f>CHOOSE( CONTROL!$C$32, 12.2744, 12.2709) * CHOOSE( CONTROL!$C$15, $D$11, 100%, $F$11)</f>
        <v>12.2744</v>
      </c>
      <c r="E431" s="12">
        <f>CHOOSE( CONTROL!$C$32, 12.2687, 12.2652) * CHOOSE( CONTROL!$C$15, $D$11, 100%, $F$11)</f>
        <v>12.268700000000001</v>
      </c>
      <c r="F431" s="4">
        <f>CHOOSE( CONTROL!$C$32, 12.9327, 12.9293) * CHOOSE(CONTROL!$C$15, $D$11, 100%, $F$11)</f>
        <v>12.932700000000001</v>
      </c>
      <c r="G431" s="8">
        <f>CHOOSE( CONTROL!$C$32, 12.0332, 12.0298) * CHOOSE( CONTROL!$C$15, $D$11, 100%, $F$11)</f>
        <v>12.033200000000001</v>
      </c>
      <c r="H431" s="4">
        <f>CHOOSE( CONTROL!$C$32, 12.9521, 12.9486) * CHOOSE(CONTROL!$C$15, $D$11, 100%, $F$11)</f>
        <v>12.9521</v>
      </c>
      <c r="I431" s="8">
        <f>CHOOSE( CONTROL!$C$32, 11.9128, 11.9094) * CHOOSE(CONTROL!$C$15, $D$11, 100%, $F$11)</f>
        <v>11.912800000000001</v>
      </c>
      <c r="J431" s="4">
        <f>CHOOSE( CONTROL!$C$32, 11.8244, 11.8211) * CHOOSE(CONTROL!$C$15, $D$11, 100%, $F$11)</f>
        <v>11.824400000000001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CONTROL!$C$32, 11.3091, 11.3056) * CHOOSE(CONTROL!$C$15, $D$11, 100%, $F$11)</f>
        <v>11.309100000000001</v>
      </c>
      <c r="C432" s="8">
        <f>CHOOSE( CONTROL!$C$32, 11.3194, 11.316) * CHOOSE(CONTROL!$C$15, $D$11, 100%, $F$11)</f>
        <v>11.3194</v>
      </c>
      <c r="D432" s="8">
        <f>CHOOSE( CONTROL!$C$32, 11.331, 11.3275) * CHOOSE( CONTROL!$C$15, $D$11, 100%, $F$11)</f>
        <v>11.331</v>
      </c>
      <c r="E432" s="12">
        <f>CHOOSE( CONTROL!$C$32, 11.3252, 11.3217) * CHOOSE( CONTROL!$C$15, $D$11, 100%, $F$11)</f>
        <v>11.325200000000001</v>
      </c>
      <c r="F432" s="4">
        <f>CHOOSE( CONTROL!$C$32, 11.9892, 11.9857) * CHOOSE(CONTROL!$C$15, $D$11, 100%, $F$11)</f>
        <v>11.9892</v>
      </c>
      <c r="G432" s="8">
        <f>CHOOSE( CONTROL!$C$32, 11.1051, 11.1017) * CHOOSE( CONTROL!$C$15, $D$11, 100%, $F$11)</f>
        <v>11.1051</v>
      </c>
      <c r="H432" s="4">
        <f>CHOOSE( CONTROL!$C$32, 12.0238, 12.0204) * CHOOSE(CONTROL!$C$15, $D$11, 100%, $F$11)</f>
        <v>12.0238</v>
      </c>
      <c r="I432" s="8">
        <f>CHOOSE( CONTROL!$C$32, 11.0005, 10.9972) * CHOOSE(CONTROL!$C$15, $D$11, 100%, $F$11)</f>
        <v>11.000500000000001</v>
      </c>
      <c r="J432" s="4">
        <f>CHOOSE( CONTROL!$C$32, 10.9119, 10.9086) * CHOOSE(CONTROL!$C$15, $D$11, 100%, $F$11)</f>
        <v>10.911899999999999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CONTROL!$C$32, 11.0728, 11.0693) * CHOOSE(CONTROL!$C$15, $D$11, 100%, $F$11)</f>
        <v>11.072800000000001</v>
      </c>
      <c r="C433" s="8">
        <f>CHOOSE( CONTROL!$C$32, 11.0832, 11.0797) * CHOOSE(CONTROL!$C$15, $D$11, 100%, $F$11)</f>
        <v>11.0832</v>
      </c>
      <c r="D433" s="8">
        <f>CHOOSE( CONTROL!$C$32, 11.0947, 11.0913) * CHOOSE( CONTROL!$C$15, $D$11, 100%, $F$11)</f>
        <v>11.0947</v>
      </c>
      <c r="E433" s="12">
        <f>CHOOSE( CONTROL!$C$32, 11.0889, 11.0855) * CHOOSE( CONTROL!$C$15, $D$11, 100%, $F$11)</f>
        <v>11.088900000000001</v>
      </c>
      <c r="F433" s="4">
        <f>CHOOSE( CONTROL!$C$32, 11.7529, 11.7494) * CHOOSE(CONTROL!$C$15, $D$11, 100%, $F$11)</f>
        <v>11.7529</v>
      </c>
      <c r="G433" s="8">
        <f>CHOOSE( CONTROL!$C$32, 10.8727, 10.8693) * CHOOSE( CONTROL!$C$15, $D$11, 100%, $F$11)</f>
        <v>10.8727</v>
      </c>
      <c r="H433" s="4">
        <f>CHOOSE( CONTROL!$C$32, 11.7913, 11.7879) * CHOOSE(CONTROL!$C$15, $D$11, 100%, $F$11)</f>
        <v>11.7913</v>
      </c>
      <c r="I433" s="8">
        <f>CHOOSE( CONTROL!$C$32, 10.7721, 10.7687) * CHOOSE(CONTROL!$C$15, $D$11, 100%, $F$11)</f>
        <v>10.7721</v>
      </c>
      <c r="J433" s="4">
        <f>CHOOSE( CONTROL!$C$32, 10.6834, 10.6801) * CHOOSE(CONTROL!$C$15, $D$11, 100%, $F$11)</f>
        <v>10.683400000000001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19.4238</v>
      </c>
      <c r="R433" s="9"/>
      <c r="S433" s="11"/>
    </row>
    <row r="434" spans="1:19" ht="15.75">
      <c r="A434" s="13">
        <v>55092</v>
      </c>
      <c r="B434" s="8">
        <f>11.5599 * CHOOSE(CONTROL!$C$15, $D$11, 100%, $F$11)</f>
        <v>11.559900000000001</v>
      </c>
      <c r="C434" s="8">
        <f>11.5703 * CHOOSE(CONTROL!$C$15, $D$11, 100%, $F$11)</f>
        <v>11.5703</v>
      </c>
      <c r="D434" s="8">
        <f>11.5828 * CHOOSE( CONTROL!$C$15, $D$11, 100%, $F$11)</f>
        <v>11.582800000000001</v>
      </c>
      <c r="E434" s="12">
        <f>11.5776 * CHOOSE( CONTROL!$C$15, $D$11, 100%, $F$11)</f>
        <v>11.5776</v>
      </c>
      <c r="F434" s="4">
        <f>12.24 * CHOOSE(CONTROL!$C$15, $D$11, 100%, $F$11)</f>
        <v>12.24</v>
      </c>
      <c r="G434" s="8">
        <f>11.3515 * CHOOSE( CONTROL!$C$15, $D$11, 100%, $F$11)</f>
        <v>11.3515</v>
      </c>
      <c r="H434" s="4">
        <f>12.2706 * CHOOSE(CONTROL!$C$15, $D$11, 100%, $F$11)</f>
        <v>12.2706</v>
      </c>
      <c r="I434" s="8">
        <f>11.2443 * CHOOSE(CONTROL!$C$15, $D$11, 100%, $F$11)</f>
        <v>11.244300000000001</v>
      </c>
      <c r="J434" s="4">
        <f>11.1545 * CHOOSE(CONTROL!$C$15, $D$11, 100%, $F$11)</f>
        <v>11.154500000000001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12.4654 * CHOOSE(CONTROL!$C$15, $D$11, 100%, $F$11)</f>
        <v>12.465400000000001</v>
      </c>
      <c r="C435" s="8">
        <f>12.4758 * CHOOSE(CONTROL!$C$15, $D$11, 100%, $F$11)</f>
        <v>12.4758</v>
      </c>
      <c r="D435" s="8">
        <f>12.4607 * CHOOSE( CONTROL!$C$15, $D$11, 100%, $F$11)</f>
        <v>12.460699999999999</v>
      </c>
      <c r="E435" s="12">
        <f>12.4651 * CHOOSE( CONTROL!$C$15, $D$11, 100%, $F$11)</f>
        <v>12.4651</v>
      </c>
      <c r="F435" s="4">
        <f>13.1197 * CHOOSE(CONTROL!$C$15, $D$11, 100%, $F$11)</f>
        <v>13.1197</v>
      </c>
      <c r="G435" s="8">
        <f>12.2518 * CHOOSE( CONTROL!$C$15, $D$11, 100%, $F$11)</f>
        <v>12.251799999999999</v>
      </c>
      <c r="H435" s="4">
        <f>13.136 * CHOOSE(CONTROL!$C$15, $D$11, 100%, $F$11)</f>
        <v>13.135999999999999</v>
      </c>
      <c r="I435" s="8">
        <f>12.1408 * CHOOSE(CONTROL!$C$15, $D$11, 100%, $F$11)</f>
        <v>12.1408</v>
      </c>
      <c r="J435" s="4">
        <f>12.0302 * CHOOSE(CONTROL!$C$15, $D$11, 100%, $F$11)</f>
        <v>12.030200000000001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19.4238</v>
      </c>
      <c r="R435" s="9"/>
      <c r="S435" s="11"/>
    </row>
    <row r="436" spans="1:19" ht="15.75">
      <c r="A436" s="13">
        <v>55153</v>
      </c>
      <c r="B436" s="8">
        <f>12.4428 * CHOOSE(CONTROL!$C$15, $D$11, 100%, $F$11)</f>
        <v>12.4428</v>
      </c>
      <c r="C436" s="8">
        <f>12.4532 * CHOOSE(CONTROL!$C$15, $D$11, 100%, $F$11)</f>
        <v>12.453200000000001</v>
      </c>
      <c r="D436" s="8">
        <f>12.4397 * CHOOSE( CONTROL!$C$15, $D$11, 100%, $F$11)</f>
        <v>12.4397</v>
      </c>
      <c r="E436" s="12">
        <f>12.4435 * CHOOSE( CONTROL!$C$15, $D$11, 100%, $F$11)</f>
        <v>12.4435</v>
      </c>
      <c r="F436" s="4">
        <f>13.0971 * CHOOSE(CONTROL!$C$15, $D$11, 100%, $F$11)</f>
        <v>13.097099999999999</v>
      </c>
      <c r="G436" s="8">
        <f>12.2308 * CHOOSE( CONTROL!$C$15, $D$11, 100%, $F$11)</f>
        <v>12.2308</v>
      </c>
      <c r="H436" s="4">
        <f>13.1137 * CHOOSE(CONTROL!$C$15, $D$11, 100%, $F$11)</f>
        <v>13.1137</v>
      </c>
      <c r="I436" s="8">
        <f>12.1242 * CHOOSE(CONTROL!$C$15, $D$11, 100%, $F$11)</f>
        <v>12.1242</v>
      </c>
      <c r="J436" s="4">
        <f>12.0083 * CHOOSE(CONTROL!$C$15, $D$11, 100%, $F$11)</f>
        <v>12.0083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12.9174 * CHOOSE(CONTROL!$C$15, $D$11, 100%, $F$11)</f>
        <v>12.917400000000001</v>
      </c>
      <c r="C437" s="8">
        <f>12.9277 * CHOOSE(CONTROL!$C$15, $D$11, 100%, $F$11)</f>
        <v>12.9277</v>
      </c>
      <c r="D437" s="8">
        <f>12.9262 * CHOOSE( CONTROL!$C$15, $D$11, 100%, $F$11)</f>
        <v>12.9262</v>
      </c>
      <c r="E437" s="12">
        <f>12.9257 * CHOOSE( CONTROL!$C$15, $D$11, 100%, $F$11)</f>
        <v>12.925700000000001</v>
      </c>
      <c r="F437" s="4">
        <f>13.6001 * CHOOSE(CONTROL!$C$15, $D$11, 100%, $F$11)</f>
        <v>13.600099999999999</v>
      </c>
      <c r="G437" s="8">
        <f>12.7102 * CHOOSE( CONTROL!$C$15, $D$11, 100%, $F$11)</f>
        <v>12.7102</v>
      </c>
      <c r="H437" s="4">
        <f>13.6086 * CHOOSE(CONTROL!$C$15, $D$11, 100%, $F$11)</f>
        <v>13.608599999999999</v>
      </c>
      <c r="I437" s="8">
        <f>12.5821 * CHOOSE(CONTROL!$C$15, $D$11, 100%, $F$11)</f>
        <v>12.582100000000001</v>
      </c>
      <c r="J437" s="4">
        <f>12.4673 * CHOOSE(CONTROL!$C$15, $D$11, 100%, $F$11)</f>
        <v>12.4673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12.084 * CHOOSE(CONTROL!$C$15, $D$11, 100%, $F$11)</f>
        <v>12.084</v>
      </c>
      <c r="C438" s="8">
        <f>12.0943 * CHOOSE(CONTROL!$C$15, $D$11, 100%, $F$11)</f>
        <v>12.0943</v>
      </c>
      <c r="D438" s="8">
        <f>12.0948 * CHOOSE( CONTROL!$C$15, $D$11, 100%, $F$11)</f>
        <v>12.094799999999999</v>
      </c>
      <c r="E438" s="12">
        <f>12.0935 * CHOOSE( CONTROL!$C$15, $D$11, 100%, $F$11)</f>
        <v>12.093500000000001</v>
      </c>
      <c r="F438" s="4">
        <f>12.7589 * CHOOSE(CONTROL!$C$15, $D$11, 100%, $F$11)</f>
        <v>12.758900000000001</v>
      </c>
      <c r="G438" s="8">
        <f>11.89 * CHOOSE( CONTROL!$C$15, $D$11, 100%, $F$11)</f>
        <v>11.89</v>
      </c>
      <c r="H438" s="4">
        <f>12.781 * CHOOSE(CONTROL!$C$15, $D$11, 100%, $F$11)</f>
        <v>12.781000000000001</v>
      </c>
      <c r="I438" s="8">
        <f>11.7648 * CHOOSE(CONTROL!$C$15, $D$11, 100%, $F$11)</f>
        <v>11.764799999999999</v>
      </c>
      <c r="J438" s="4">
        <f>11.6613 * CHOOSE(CONTROL!$C$15, $D$11, 100%, $F$11)</f>
        <v>11.661300000000001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18.0718</v>
      </c>
      <c r="R438" s="9"/>
      <c r="S438" s="11"/>
    </row>
    <row r="439" spans="1:19" ht="15.75">
      <c r="A439" s="13">
        <v>55243</v>
      </c>
      <c r="B439" s="8">
        <f>11.8273 * CHOOSE(CONTROL!$C$15, $D$11, 100%, $F$11)</f>
        <v>11.827299999999999</v>
      </c>
      <c r="C439" s="8">
        <f>11.8376 * CHOOSE(CONTROL!$C$15, $D$11, 100%, $F$11)</f>
        <v>11.8376</v>
      </c>
      <c r="D439" s="8">
        <f>11.8328 * CHOOSE( CONTROL!$C$15, $D$11, 100%, $F$11)</f>
        <v>11.832800000000001</v>
      </c>
      <c r="E439" s="12">
        <f>11.8335 * CHOOSE( CONTROL!$C$15, $D$11, 100%, $F$11)</f>
        <v>11.833500000000001</v>
      </c>
      <c r="F439" s="4">
        <f>12.5048 * CHOOSE(CONTROL!$C$15, $D$11, 100%, $F$11)</f>
        <v>12.504799999999999</v>
      </c>
      <c r="G439" s="8">
        <f>11.632 * CHOOSE( CONTROL!$C$15, $D$11, 100%, $F$11)</f>
        <v>11.632</v>
      </c>
      <c r="H439" s="4">
        <f>12.5311 * CHOOSE(CONTROL!$C$15, $D$11, 100%, $F$11)</f>
        <v>12.5311</v>
      </c>
      <c r="I439" s="8">
        <f>11.5046 * CHOOSE(CONTROL!$C$15, $D$11, 100%, $F$11)</f>
        <v>11.5046</v>
      </c>
      <c r="J439" s="4">
        <f>11.4131 * CHOOSE(CONTROL!$C$15, $D$11, 100%, $F$11)</f>
        <v>11.4131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12.0067 * CHOOSE(CONTROL!$C$15, $D$11, 100%, $F$11)</f>
        <v>12.0067</v>
      </c>
      <c r="C440" s="8">
        <f>12.017 * CHOOSE(CONTROL!$C$15, $D$11, 100%, $F$11)</f>
        <v>12.016999999999999</v>
      </c>
      <c r="D440" s="8">
        <f>12.0283 * CHOOSE( CONTROL!$C$15, $D$11, 100%, $F$11)</f>
        <v>12.0283</v>
      </c>
      <c r="E440" s="12">
        <f>12.0234 * CHOOSE( CONTROL!$C$15, $D$11, 100%, $F$11)</f>
        <v>12.023400000000001</v>
      </c>
      <c r="F440" s="4">
        <f>12.6868 * CHOOSE(CONTROL!$C$15, $D$11, 100%, $F$11)</f>
        <v>12.6868</v>
      </c>
      <c r="G440" s="8">
        <f>11.7891 * CHOOSE( CONTROL!$C$15, $D$11, 100%, $F$11)</f>
        <v>11.789099999999999</v>
      </c>
      <c r="H440" s="4">
        <f>12.7101 * CHOOSE(CONTROL!$C$15, $D$11, 100%, $F$11)</f>
        <v>12.710100000000001</v>
      </c>
      <c r="I440" s="8">
        <f>11.6705 * CHOOSE(CONTROL!$C$15, $D$11, 100%, $F$11)</f>
        <v>11.670500000000001</v>
      </c>
      <c r="J440" s="4">
        <f>11.5865 * CHOOSE(CONTROL!$C$15, $D$11, 100%, $F$11)</f>
        <v>11.586499999999999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CONTROL!$C$32, 12.3294, 12.3259) * CHOOSE(CONTROL!$C$15, $D$11, 100%, $F$11)</f>
        <v>12.3294</v>
      </c>
      <c r="C441" s="8">
        <f>CHOOSE( CONTROL!$C$32, 12.3397, 12.3362) * CHOOSE(CONTROL!$C$15, $D$11, 100%, $F$11)</f>
        <v>12.339700000000001</v>
      </c>
      <c r="D441" s="8">
        <f>CHOOSE( CONTROL!$C$32, 12.3505, 12.3471) * CHOOSE( CONTROL!$C$15, $D$11, 100%, $F$11)</f>
        <v>12.3505</v>
      </c>
      <c r="E441" s="12">
        <f>CHOOSE( CONTROL!$C$32, 12.345, 12.3416) * CHOOSE( CONTROL!$C$15, $D$11, 100%, $F$11)</f>
        <v>12.345000000000001</v>
      </c>
      <c r="F441" s="4">
        <f>CHOOSE( CONTROL!$C$32, 13.0095, 13.006) * CHOOSE(CONTROL!$C$15, $D$11, 100%, $F$11)</f>
        <v>13.009499999999999</v>
      </c>
      <c r="G441" s="8">
        <f>CHOOSE( CONTROL!$C$32, 12.1078, 12.1044) * CHOOSE( CONTROL!$C$15, $D$11, 100%, $F$11)</f>
        <v>12.107799999999999</v>
      </c>
      <c r="H441" s="4">
        <f>CHOOSE( CONTROL!$C$32, 13.0276, 13.0241) * CHOOSE(CONTROL!$C$15, $D$11, 100%, $F$11)</f>
        <v>13.0276</v>
      </c>
      <c r="I441" s="8">
        <f>CHOOSE( CONTROL!$C$32, 11.9843, 11.9809) * CHOOSE(CONTROL!$C$15, $D$11, 100%, $F$11)</f>
        <v>11.984299999999999</v>
      </c>
      <c r="J441" s="4">
        <f>CHOOSE( CONTROL!$C$32, 11.8986, 11.8953) * CHOOSE(CONTROL!$C$15, $D$11, 100%, $F$11)</f>
        <v>11.8986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CONTROL!$C$32, 12.1316, 12.1281) * CHOOSE(CONTROL!$C$15, $D$11, 100%, $F$11)</f>
        <v>12.131600000000001</v>
      </c>
      <c r="C442" s="8">
        <f>CHOOSE( CONTROL!$C$32, 12.142, 12.1385) * CHOOSE(CONTROL!$C$15, $D$11, 100%, $F$11)</f>
        <v>12.141999999999999</v>
      </c>
      <c r="D442" s="8">
        <f>CHOOSE( CONTROL!$C$32, 12.1531, 12.1496) * CHOOSE( CONTROL!$C$15, $D$11, 100%, $F$11)</f>
        <v>12.1531</v>
      </c>
      <c r="E442" s="12">
        <f>CHOOSE( CONTROL!$C$32, 12.1475, 12.144) * CHOOSE( CONTROL!$C$15, $D$11, 100%, $F$11)</f>
        <v>12.147500000000001</v>
      </c>
      <c r="F442" s="4">
        <f>CHOOSE( CONTROL!$C$32, 12.8117, 12.8082) * CHOOSE(CONTROL!$C$15, $D$11, 100%, $F$11)</f>
        <v>12.8117</v>
      </c>
      <c r="G442" s="8">
        <f>CHOOSE( CONTROL!$C$32, 11.9137, 11.9103) * CHOOSE( CONTROL!$C$15, $D$11, 100%, $F$11)</f>
        <v>11.9137</v>
      </c>
      <c r="H442" s="4">
        <f>CHOOSE( CONTROL!$C$32, 12.833, 12.8296) * CHOOSE(CONTROL!$C$15, $D$11, 100%, $F$11)</f>
        <v>12.833</v>
      </c>
      <c r="I442" s="8">
        <f>CHOOSE( CONTROL!$C$32, 11.7943, 11.7909) * CHOOSE(CONTROL!$C$15, $D$11, 100%, $F$11)</f>
        <v>11.7943</v>
      </c>
      <c r="J442" s="4">
        <f>CHOOSE( CONTROL!$C$32, 11.7074, 11.704) * CHOOSE(CONTROL!$C$15, $D$11, 100%, $F$11)</f>
        <v>11.7074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CONTROL!$C$32, 12.6524, 12.6489) * CHOOSE(CONTROL!$C$15, $D$11, 100%, $F$11)</f>
        <v>12.6524</v>
      </c>
      <c r="C443" s="8">
        <f>CHOOSE( CONTROL!$C$32, 12.6627, 12.6592) * CHOOSE(CONTROL!$C$15, $D$11, 100%, $F$11)</f>
        <v>12.662699999999999</v>
      </c>
      <c r="D443" s="8">
        <f>CHOOSE( CONTROL!$C$32, 12.6741, 12.6706) * CHOOSE( CONTROL!$C$15, $D$11, 100%, $F$11)</f>
        <v>12.674099999999999</v>
      </c>
      <c r="E443" s="12">
        <f>CHOOSE( CONTROL!$C$32, 12.6684, 12.6649) * CHOOSE( CONTROL!$C$15, $D$11, 100%, $F$11)</f>
        <v>12.6684</v>
      </c>
      <c r="F443" s="4">
        <f>CHOOSE( CONTROL!$C$32, 13.3325, 13.329) * CHOOSE(CONTROL!$C$15, $D$11, 100%, $F$11)</f>
        <v>13.3325</v>
      </c>
      <c r="G443" s="8">
        <f>CHOOSE( CONTROL!$C$32, 12.4265, 12.4231) * CHOOSE( CONTROL!$C$15, $D$11, 100%, $F$11)</f>
        <v>12.426500000000001</v>
      </c>
      <c r="H443" s="4">
        <f>CHOOSE( CONTROL!$C$32, 13.3453, 13.3419) * CHOOSE(CONTROL!$C$15, $D$11, 100%, $F$11)</f>
        <v>13.3453</v>
      </c>
      <c r="I443" s="8">
        <f>CHOOSE( CONTROL!$C$32, 12.2996, 12.2962) * CHOOSE(CONTROL!$C$15, $D$11, 100%, $F$11)</f>
        <v>12.2996</v>
      </c>
      <c r="J443" s="4">
        <f>CHOOSE( CONTROL!$C$32, 12.211, 12.2076) * CHOOSE(CONTROL!$C$15, $D$11, 100%, $F$11)</f>
        <v>12.211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CONTROL!$C$32, 11.678, 11.6745) * CHOOSE(CONTROL!$C$15, $D$11, 100%, $F$11)</f>
        <v>11.678000000000001</v>
      </c>
      <c r="C444" s="8">
        <f>CHOOSE( CONTROL!$C$32, 11.6883, 11.6848) * CHOOSE(CONTROL!$C$15, $D$11, 100%, $F$11)</f>
        <v>11.6883</v>
      </c>
      <c r="D444" s="8">
        <f>CHOOSE( CONTROL!$C$32, 11.6999, 11.6964) * CHOOSE( CONTROL!$C$15, $D$11, 100%, $F$11)</f>
        <v>11.6999</v>
      </c>
      <c r="E444" s="12">
        <f>CHOOSE( CONTROL!$C$32, 11.6941, 11.6906) * CHOOSE( CONTROL!$C$15, $D$11, 100%, $F$11)</f>
        <v>11.694100000000001</v>
      </c>
      <c r="F444" s="4">
        <f>CHOOSE( CONTROL!$C$32, 12.3581, 12.3546) * CHOOSE(CONTROL!$C$15, $D$11, 100%, $F$11)</f>
        <v>12.3581</v>
      </c>
      <c r="G444" s="8">
        <f>CHOOSE( CONTROL!$C$32, 11.468, 11.4646) * CHOOSE( CONTROL!$C$15, $D$11, 100%, $F$11)</f>
        <v>11.468</v>
      </c>
      <c r="H444" s="4">
        <f>CHOOSE( CONTROL!$C$32, 12.3867, 12.3833) * CHOOSE(CONTROL!$C$15, $D$11, 100%, $F$11)</f>
        <v>12.386699999999999</v>
      </c>
      <c r="I444" s="8">
        <f>CHOOSE( CONTROL!$C$32, 11.3574, 11.3541) * CHOOSE(CONTROL!$C$15, $D$11, 100%, $F$11)</f>
        <v>11.3574</v>
      </c>
      <c r="J444" s="4">
        <f>CHOOSE( CONTROL!$C$32, 11.2687, 11.2653) * CHOOSE(CONTROL!$C$15, $D$11, 100%, $F$11)</f>
        <v>11.268700000000001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CONTROL!$C$32, 11.434, 11.4305) * CHOOSE(CONTROL!$C$15, $D$11, 100%, $F$11)</f>
        <v>11.433999999999999</v>
      </c>
      <c r="C445" s="8">
        <f>CHOOSE( CONTROL!$C$32, 11.4443, 11.4408) * CHOOSE(CONTROL!$C$15, $D$11, 100%, $F$11)</f>
        <v>11.4443</v>
      </c>
      <c r="D445" s="8">
        <f>CHOOSE( CONTROL!$C$32, 11.4559, 11.4524) * CHOOSE( CONTROL!$C$15, $D$11, 100%, $F$11)</f>
        <v>11.4559</v>
      </c>
      <c r="E445" s="12">
        <f>CHOOSE( CONTROL!$C$32, 11.4501, 11.4466) * CHOOSE( CONTROL!$C$15, $D$11, 100%, $F$11)</f>
        <v>11.450100000000001</v>
      </c>
      <c r="F445" s="4">
        <f>CHOOSE( CONTROL!$C$32, 12.1141, 12.1106) * CHOOSE(CONTROL!$C$15, $D$11, 100%, $F$11)</f>
        <v>12.114100000000001</v>
      </c>
      <c r="G445" s="8">
        <f>CHOOSE( CONTROL!$C$32, 11.228, 11.2246) * CHOOSE( CONTROL!$C$15, $D$11, 100%, $F$11)</f>
        <v>11.228</v>
      </c>
      <c r="H445" s="4">
        <f>CHOOSE( CONTROL!$C$32, 12.1466, 12.1432) * CHOOSE(CONTROL!$C$15, $D$11, 100%, $F$11)</f>
        <v>12.146599999999999</v>
      </c>
      <c r="I445" s="8">
        <f>CHOOSE( CONTROL!$C$32, 11.1216, 11.1182) * CHOOSE(CONTROL!$C$15, $D$11, 100%, $F$11)</f>
        <v>11.121600000000001</v>
      </c>
      <c r="J445" s="4">
        <f>CHOOSE( CONTROL!$C$32, 11.0327, 11.0293) * CHOOSE(CONTROL!$C$15, $D$11, 100%, $F$11)</f>
        <v>11.0327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19.3626</v>
      </c>
      <c r="R445" s="9"/>
      <c r="S445" s="11"/>
    </row>
    <row r="446" spans="1:19" ht="15.75">
      <c r="A446" s="13">
        <v>55457</v>
      </c>
      <c r="B446" s="8">
        <f>11.9371 * CHOOSE(CONTROL!$C$15, $D$11, 100%, $F$11)</f>
        <v>11.937099999999999</v>
      </c>
      <c r="C446" s="8">
        <f>11.9475 * CHOOSE(CONTROL!$C$15, $D$11, 100%, $F$11)</f>
        <v>11.9475</v>
      </c>
      <c r="D446" s="8">
        <f>11.96 * CHOOSE( CONTROL!$C$15, $D$11, 100%, $F$11)</f>
        <v>11.96</v>
      </c>
      <c r="E446" s="12">
        <f>11.9548 * CHOOSE( CONTROL!$C$15, $D$11, 100%, $F$11)</f>
        <v>11.954800000000001</v>
      </c>
      <c r="F446" s="4">
        <f>12.6172 * CHOOSE(CONTROL!$C$15, $D$11, 100%, $F$11)</f>
        <v>12.6172</v>
      </c>
      <c r="G446" s="8">
        <f>11.7226 * CHOOSE( CONTROL!$C$15, $D$11, 100%, $F$11)</f>
        <v>11.7226</v>
      </c>
      <c r="H446" s="4">
        <f>12.6417 * CHOOSE(CONTROL!$C$15, $D$11, 100%, $F$11)</f>
        <v>12.6417</v>
      </c>
      <c r="I446" s="8">
        <f>11.6093 * CHOOSE(CONTROL!$C$15, $D$11, 100%, $F$11)</f>
        <v>11.609299999999999</v>
      </c>
      <c r="J446" s="4">
        <f>11.5193 * CHOOSE(CONTROL!$C$15, $D$11, 100%, $F$11)</f>
        <v>11.519299999999999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12.8723 * CHOOSE(CONTROL!$C$15, $D$11, 100%, $F$11)</f>
        <v>12.872299999999999</v>
      </c>
      <c r="C447" s="8">
        <f>12.8826 * CHOOSE(CONTROL!$C$15, $D$11, 100%, $F$11)</f>
        <v>12.8826</v>
      </c>
      <c r="D447" s="8">
        <f>12.8675 * CHOOSE( CONTROL!$C$15, $D$11, 100%, $F$11)</f>
        <v>12.8675</v>
      </c>
      <c r="E447" s="12">
        <f>12.8719 * CHOOSE( CONTROL!$C$15, $D$11, 100%, $F$11)</f>
        <v>12.8719</v>
      </c>
      <c r="F447" s="4">
        <f>13.5265 * CHOOSE(CONTROL!$C$15, $D$11, 100%, $F$11)</f>
        <v>13.5265</v>
      </c>
      <c r="G447" s="8">
        <f>12.652 * CHOOSE( CONTROL!$C$15, $D$11, 100%, $F$11)</f>
        <v>12.651999999999999</v>
      </c>
      <c r="H447" s="4">
        <f>13.5362 * CHOOSE(CONTROL!$C$15, $D$11, 100%, $F$11)</f>
        <v>13.536199999999999</v>
      </c>
      <c r="I447" s="8">
        <f>12.5344 * CHOOSE(CONTROL!$C$15, $D$11, 100%, $F$11)</f>
        <v>12.5344</v>
      </c>
      <c r="J447" s="4">
        <f>12.4237 * CHOOSE(CONTROL!$C$15, $D$11, 100%, $F$11)</f>
        <v>12.4237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19.3626</v>
      </c>
      <c r="R447" s="9"/>
      <c r="S447" s="11"/>
    </row>
    <row r="448" spans="1:19" ht="15.75">
      <c r="A448" s="13">
        <v>55518</v>
      </c>
      <c r="B448" s="8">
        <f>12.8489 * CHOOSE(CONTROL!$C$15, $D$11, 100%, $F$11)</f>
        <v>12.8489</v>
      </c>
      <c r="C448" s="8">
        <f>12.8592 * CHOOSE(CONTROL!$C$15, $D$11, 100%, $F$11)</f>
        <v>12.8592</v>
      </c>
      <c r="D448" s="8">
        <f>12.8458 * CHOOSE( CONTROL!$C$15, $D$11, 100%, $F$11)</f>
        <v>12.845800000000001</v>
      </c>
      <c r="E448" s="12">
        <f>12.8496 * CHOOSE( CONTROL!$C$15, $D$11, 100%, $F$11)</f>
        <v>12.849600000000001</v>
      </c>
      <c r="F448" s="4">
        <f>13.5032 * CHOOSE(CONTROL!$C$15, $D$11, 100%, $F$11)</f>
        <v>13.5032</v>
      </c>
      <c r="G448" s="8">
        <f>12.6303 * CHOOSE( CONTROL!$C$15, $D$11, 100%, $F$11)</f>
        <v>12.6303</v>
      </c>
      <c r="H448" s="4">
        <f>13.5133 * CHOOSE(CONTROL!$C$15, $D$11, 100%, $F$11)</f>
        <v>13.513299999999999</v>
      </c>
      <c r="I448" s="8">
        <f>12.5171 * CHOOSE(CONTROL!$C$15, $D$11, 100%, $F$11)</f>
        <v>12.517099999999999</v>
      </c>
      <c r="J448" s="4">
        <f>12.4011 * CHOOSE(CONTROL!$C$15, $D$11, 100%, $F$11)</f>
        <v>12.4011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13.339 * CHOOSE(CONTROL!$C$15, $D$11, 100%, $F$11)</f>
        <v>13.339</v>
      </c>
      <c r="C449" s="8">
        <f>13.3493 * CHOOSE(CONTROL!$C$15, $D$11, 100%, $F$11)</f>
        <v>13.349299999999999</v>
      </c>
      <c r="D449" s="8">
        <f>13.3478 * CHOOSE( CONTROL!$C$15, $D$11, 100%, $F$11)</f>
        <v>13.347799999999999</v>
      </c>
      <c r="E449" s="12">
        <f>13.3473 * CHOOSE( CONTROL!$C$15, $D$11, 100%, $F$11)</f>
        <v>13.347300000000001</v>
      </c>
      <c r="F449" s="4">
        <f>14.0217 * CHOOSE(CONTROL!$C$15, $D$11, 100%, $F$11)</f>
        <v>14.021699999999999</v>
      </c>
      <c r="G449" s="8">
        <f>13.125 * CHOOSE( CONTROL!$C$15, $D$11, 100%, $F$11)</f>
        <v>13.125</v>
      </c>
      <c r="H449" s="4">
        <f>14.0234 * CHOOSE(CONTROL!$C$15, $D$11, 100%, $F$11)</f>
        <v>14.023400000000001</v>
      </c>
      <c r="I449" s="8">
        <f>12.9901 * CHOOSE(CONTROL!$C$15, $D$11, 100%, $F$11)</f>
        <v>12.9901</v>
      </c>
      <c r="J449" s="4">
        <f>12.875 * CHOOSE(CONTROL!$C$15, $D$11, 100%, $F$11)</f>
        <v>12.875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12.4783 * CHOOSE(CONTROL!$C$15, $D$11, 100%, $F$11)</f>
        <v>12.478300000000001</v>
      </c>
      <c r="C450" s="8">
        <f>12.4887 * CHOOSE(CONTROL!$C$15, $D$11, 100%, $F$11)</f>
        <v>12.4887</v>
      </c>
      <c r="D450" s="8">
        <f>12.4892 * CHOOSE( CONTROL!$C$15, $D$11, 100%, $F$11)</f>
        <v>12.4892</v>
      </c>
      <c r="E450" s="12">
        <f>12.4879 * CHOOSE( CONTROL!$C$15, $D$11, 100%, $F$11)</f>
        <v>12.4879</v>
      </c>
      <c r="F450" s="4">
        <f>13.1533 * CHOOSE(CONTROL!$C$15, $D$11, 100%, $F$11)</f>
        <v>13.1533</v>
      </c>
      <c r="G450" s="8">
        <f>12.278 * CHOOSE( CONTROL!$C$15, $D$11, 100%, $F$11)</f>
        <v>12.278</v>
      </c>
      <c r="H450" s="4">
        <f>13.169 * CHOOSE(CONTROL!$C$15, $D$11, 100%, $F$11)</f>
        <v>13.169</v>
      </c>
      <c r="I450" s="8">
        <f>12.1464 * CHOOSE(CONTROL!$C$15, $D$11, 100%, $F$11)</f>
        <v>12.1464</v>
      </c>
      <c r="J450" s="4">
        <f>12.0427 * CHOOSE(CONTROL!$C$15, $D$11, 100%, $F$11)</f>
        <v>12.0427</v>
      </c>
      <c r="K450" s="4"/>
      <c r="L450" s="9">
        <v>27.415299999999998</v>
      </c>
      <c r="M450" s="9">
        <v>11.285299999999999</v>
      </c>
      <c r="N450" s="9">
        <v>4.6254999999999997</v>
      </c>
      <c r="O450" s="9">
        <v>0.34989999999999999</v>
      </c>
      <c r="P450" s="9">
        <v>1.2093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12.2132 * CHOOSE(CONTROL!$C$15, $D$11, 100%, $F$11)</f>
        <v>12.213200000000001</v>
      </c>
      <c r="C451" s="8">
        <f>12.2236 * CHOOSE(CONTROL!$C$15, $D$11, 100%, $F$11)</f>
        <v>12.223599999999999</v>
      </c>
      <c r="D451" s="8">
        <f>12.2188 * CHOOSE( CONTROL!$C$15, $D$11, 100%, $F$11)</f>
        <v>12.2188</v>
      </c>
      <c r="E451" s="12">
        <f>12.2194 * CHOOSE( CONTROL!$C$15, $D$11, 100%, $F$11)</f>
        <v>12.2194</v>
      </c>
      <c r="F451" s="4">
        <f>12.8908 * CHOOSE(CONTROL!$C$15, $D$11, 100%, $F$11)</f>
        <v>12.8908</v>
      </c>
      <c r="G451" s="8">
        <f>12.0117 * CHOOSE( CONTROL!$C$15, $D$11, 100%, $F$11)</f>
        <v>12.011699999999999</v>
      </c>
      <c r="H451" s="4">
        <f>12.9108 * CHOOSE(CONTROL!$C$15, $D$11, 100%, $F$11)</f>
        <v>12.9108</v>
      </c>
      <c r="I451" s="8">
        <f>11.878 * CHOOSE(CONTROL!$C$15, $D$11, 100%, $F$11)</f>
        <v>11.878</v>
      </c>
      <c r="J451" s="4">
        <f>11.7863 * CHOOSE(CONTROL!$C$15, $D$11, 100%, $F$11)</f>
        <v>11.786300000000001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12.3985 * CHOOSE(CONTROL!$C$15, $D$11, 100%, $F$11)</f>
        <v>12.3985</v>
      </c>
      <c r="C452" s="8">
        <f>12.4088 * CHOOSE(CONTROL!$C$15, $D$11, 100%, $F$11)</f>
        <v>12.408799999999999</v>
      </c>
      <c r="D452" s="8">
        <f>12.4201 * CHOOSE( CONTROL!$C$15, $D$11, 100%, $F$11)</f>
        <v>12.4201</v>
      </c>
      <c r="E452" s="12">
        <f>12.4152 * CHOOSE( CONTROL!$C$15, $D$11, 100%, $F$11)</f>
        <v>12.4152</v>
      </c>
      <c r="F452" s="4">
        <f>13.0786 * CHOOSE(CONTROL!$C$15, $D$11, 100%, $F$11)</f>
        <v>13.0786</v>
      </c>
      <c r="G452" s="8">
        <f>12.1746 * CHOOSE( CONTROL!$C$15, $D$11, 100%, $F$11)</f>
        <v>12.1746</v>
      </c>
      <c r="H452" s="4">
        <f>13.0955 * CHOOSE(CONTROL!$C$15, $D$11, 100%, $F$11)</f>
        <v>13.095499999999999</v>
      </c>
      <c r="I452" s="8">
        <f>12.0496 * CHOOSE(CONTROL!$C$15, $D$11, 100%, $F$11)</f>
        <v>12.0496</v>
      </c>
      <c r="J452" s="4">
        <f>11.9655 * CHOOSE(CONTROL!$C$15, $D$11, 100%, $F$11)</f>
        <v>11.9655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CONTROL!$C$32, 12.7316, 12.7281) * CHOOSE(CONTROL!$C$15, $D$11, 100%, $F$11)</f>
        <v>12.7316</v>
      </c>
      <c r="C453" s="8">
        <f>CHOOSE( CONTROL!$C$32, 12.742, 12.7385) * CHOOSE(CONTROL!$C$15, $D$11, 100%, $F$11)</f>
        <v>12.742000000000001</v>
      </c>
      <c r="D453" s="8">
        <f>CHOOSE( CONTROL!$C$32, 12.7528, 12.7493) * CHOOSE( CONTROL!$C$15, $D$11, 100%, $F$11)</f>
        <v>12.752800000000001</v>
      </c>
      <c r="E453" s="12">
        <f>CHOOSE( CONTROL!$C$32, 12.7473, 12.7438) * CHOOSE( CONTROL!$C$15, $D$11, 100%, $F$11)</f>
        <v>12.747299999999999</v>
      </c>
      <c r="F453" s="4">
        <f>CHOOSE( CONTROL!$C$32, 13.4117, 13.4083) * CHOOSE(CONTROL!$C$15, $D$11, 100%, $F$11)</f>
        <v>13.4117</v>
      </c>
      <c r="G453" s="8">
        <f>CHOOSE( CONTROL!$C$32, 12.5036, 12.5001) * CHOOSE( CONTROL!$C$15, $D$11, 100%, $F$11)</f>
        <v>12.5036</v>
      </c>
      <c r="H453" s="4">
        <f>CHOOSE( CONTROL!$C$32, 13.4233, 13.4199) * CHOOSE(CONTROL!$C$15, $D$11, 100%, $F$11)</f>
        <v>13.423299999999999</v>
      </c>
      <c r="I453" s="8">
        <f>CHOOSE( CONTROL!$C$32, 12.3735, 12.3701) * CHOOSE(CONTROL!$C$15, $D$11, 100%, $F$11)</f>
        <v>12.3735</v>
      </c>
      <c r="J453" s="4">
        <f>CHOOSE( CONTROL!$C$32, 12.2876, 12.2843) * CHOOSE(CONTROL!$C$15, $D$11, 100%, $F$11)</f>
        <v>12.287599999999999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CONTROL!$C$32, 12.5274, 12.5239) * CHOOSE(CONTROL!$C$15, $D$11, 100%, $F$11)</f>
        <v>12.5274</v>
      </c>
      <c r="C454" s="8">
        <f>CHOOSE( CONTROL!$C$32, 12.5377, 12.5343) * CHOOSE(CONTROL!$C$15, $D$11, 100%, $F$11)</f>
        <v>12.537699999999999</v>
      </c>
      <c r="D454" s="8">
        <f>CHOOSE( CONTROL!$C$32, 12.5488, 12.5454) * CHOOSE( CONTROL!$C$15, $D$11, 100%, $F$11)</f>
        <v>12.5488</v>
      </c>
      <c r="E454" s="12">
        <f>CHOOSE( CONTROL!$C$32, 12.5432, 12.5398) * CHOOSE( CONTROL!$C$15, $D$11, 100%, $F$11)</f>
        <v>12.543200000000001</v>
      </c>
      <c r="F454" s="4">
        <f>CHOOSE( CONTROL!$C$32, 13.2075, 13.204) * CHOOSE(CONTROL!$C$15, $D$11, 100%, $F$11)</f>
        <v>13.2075</v>
      </c>
      <c r="G454" s="8">
        <f>CHOOSE( CONTROL!$C$32, 12.3031, 12.2997) * CHOOSE( CONTROL!$C$15, $D$11, 100%, $F$11)</f>
        <v>12.303100000000001</v>
      </c>
      <c r="H454" s="4">
        <f>CHOOSE( CONTROL!$C$32, 13.2224, 13.219) * CHOOSE(CONTROL!$C$15, $D$11, 100%, $F$11)</f>
        <v>13.2224</v>
      </c>
      <c r="I454" s="8">
        <f>CHOOSE( CONTROL!$C$32, 12.1772, 12.1739) * CHOOSE(CONTROL!$C$15, $D$11, 100%, $F$11)</f>
        <v>12.177199999999999</v>
      </c>
      <c r="J454" s="4">
        <f>CHOOSE( CONTROL!$C$32, 12.0901, 12.0868) * CHOOSE(CONTROL!$C$15, $D$11, 100%, $F$11)</f>
        <v>12.0901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CONTROL!$C$32, 13.0652, 13.0617) * CHOOSE(CONTROL!$C$15, $D$11, 100%, $F$11)</f>
        <v>13.065200000000001</v>
      </c>
      <c r="C455" s="8">
        <f>CHOOSE( CONTROL!$C$32, 13.0755, 13.0721) * CHOOSE(CONTROL!$C$15, $D$11, 100%, $F$11)</f>
        <v>13.0755</v>
      </c>
      <c r="D455" s="8">
        <f>CHOOSE( CONTROL!$C$32, 13.0869, 13.0835) * CHOOSE( CONTROL!$C$15, $D$11, 100%, $F$11)</f>
        <v>13.0869</v>
      </c>
      <c r="E455" s="12">
        <f>CHOOSE( CONTROL!$C$32, 13.0812, 13.0778) * CHOOSE( CONTROL!$C$15, $D$11, 100%, $F$11)</f>
        <v>13.081200000000001</v>
      </c>
      <c r="F455" s="4">
        <f>CHOOSE( CONTROL!$C$32, 13.7453, 13.7418) * CHOOSE(CONTROL!$C$15, $D$11, 100%, $F$11)</f>
        <v>13.7453</v>
      </c>
      <c r="G455" s="8">
        <f>CHOOSE( CONTROL!$C$32, 12.8326, 12.8292) * CHOOSE( CONTROL!$C$15, $D$11, 100%, $F$11)</f>
        <v>12.832599999999999</v>
      </c>
      <c r="H455" s="4">
        <f>CHOOSE( CONTROL!$C$32, 13.7515, 13.7481) * CHOOSE(CONTROL!$C$15, $D$11, 100%, $F$11)</f>
        <v>13.7515</v>
      </c>
      <c r="I455" s="8">
        <f>CHOOSE( CONTROL!$C$32, 12.699, 12.6957) * CHOOSE(CONTROL!$C$15, $D$11, 100%, $F$11)</f>
        <v>12.699</v>
      </c>
      <c r="J455" s="4">
        <f>CHOOSE( CONTROL!$C$32, 12.6102, 12.6069) * CHOOSE(CONTROL!$C$15, $D$11, 100%, $F$11)</f>
        <v>12.610200000000001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CONTROL!$C$32, 12.0589, 12.0555) * CHOOSE(CONTROL!$C$15, $D$11, 100%, $F$11)</f>
        <v>12.0589</v>
      </c>
      <c r="C456" s="8">
        <f>CHOOSE( CONTROL!$C$32, 12.0693, 12.0658) * CHOOSE(CONTROL!$C$15, $D$11, 100%, $F$11)</f>
        <v>12.0693</v>
      </c>
      <c r="D456" s="8">
        <f>CHOOSE( CONTROL!$C$32, 12.0808, 12.0773) * CHOOSE( CONTROL!$C$15, $D$11, 100%, $F$11)</f>
        <v>12.0808</v>
      </c>
      <c r="E456" s="12">
        <f>CHOOSE( CONTROL!$C$32, 12.075, 12.0716) * CHOOSE( CONTROL!$C$15, $D$11, 100%, $F$11)</f>
        <v>12.074999999999999</v>
      </c>
      <c r="F456" s="4">
        <f>CHOOSE( CONTROL!$C$32, 12.739, 12.7356) * CHOOSE(CONTROL!$C$15, $D$11, 100%, $F$11)</f>
        <v>12.739000000000001</v>
      </c>
      <c r="G456" s="8">
        <f>CHOOSE( CONTROL!$C$32, 11.8428, 11.8394) * CHOOSE( CONTROL!$C$15, $D$11, 100%, $F$11)</f>
        <v>11.8428</v>
      </c>
      <c r="H456" s="4">
        <f>CHOOSE( CONTROL!$C$32, 12.7615, 12.7581) * CHOOSE(CONTROL!$C$15, $D$11, 100%, $F$11)</f>
        <v>12.7615</v>
      </c>
      <c r="I456" s="8">
        <f>CHOOSE( CONTROL!$C$32, 11.726, 11.7227) * CHOOSE(CONTROL!$C$15, $D$11, 100%, $F$11)</f>
        <v>11.726000000000001</v>
      </c>
      <c r="J456" s="4">
        <f>CHOOSE( CONTROL!$C$32, 11.6371, 11.6337) * CHOOSE(CONTROL!$C$15, $D$11, 100%, $F$11)</f>
        <v>11.6371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CONTROL!$C$32, 11.8069, 11.8035) * CHOOSE(CONTROL!$C$15, $D$11, 100%, $F$11)</f>
        <v>11.806900000000001</v>
      </c>
      <c r="C457" s="8">
        <f>CHOOSE( CONTROL!$C$32, 11.8173, 11.8138) * CHOOSE(CONTROL!$C$15, $D$11, 100%, $F$11)</f>
        <v>11.817299999999999</v>
      </c>
      <c r="D457" s="8">
        <f>CHOOSE( CONTROL!$C$32, 11.8289, 11.8254) * CHOOSE( CONTROL!$C$15, $D$11, 100%, $F$11)</f>
        <v>11.828900000000001</v>
      </c>
      <c r="E457" s="12">
        <f>CHOOSE( CONTROL!$C$32, 11.8231, 11.8196) * CHOOSE( CONTROL!$C$15, $D$11, 100%, $F$11)</f>
        <v>11.8231</v>
      </c>
      <c r="F457" s="4">
        <f>CHOOSE( CONTROL!$C$32, 12.4871, 12.4836) * CHOOSE(CONTROL!$C$15, $D$11, 100%, $F$11)</f>
        <v>12.4871</v>
      </c>
      <c r="G457" s="8">
        <f>CHOOSE( CONTROL!$C$32, 11.595, 11.5916) * CHOOSE( CONTROL!$C$15, $D$11, 100%, $F$11)</f>
        <v>11.595000000000001</v>
      </c>
      <c r="H457" s="4">
        <f>CHOOSE( CONTROL!$C$32, 12.5136, 12.5102) * CHOOSE(CONTROL!$C$15, $D$11, 100%, $F$11)</f>
        <v>12.5136</v>
      </c>
      <c r="I457" s="8">
        <f>CHOOSE( CONTROL!$C$32, 11.4824, 11.4791) * CHOOSE(CONTROL!$C$15, $D$11, 100%, $F$11)</f>
        <v>11.4824</v>
      </c>
      <c r="J457" s="4">
        <f>CHOOSE( CONTROL!$C$32, 11.3934, 11.39) * CHOOSE(CONTROL!$C$15, $D$11, 100%, $F$11)</f>
        <v>11.3934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12.3267 * CHOOSE(CONTROL!$C$15, $D$11, 100%, $F$11)</f>
        <v>12.326700000000001</v>
      </c>
      <c r="C458" s="8">
        <f>12.337 * CHOOSE(CONTROL!$C$15, $D$11, 100%, $F$11)</f>
        <v>12.337</v>
      </c>
      <c r="D458" s="8">
        <f>12.3496 * CHOOSE( CONTROL!$C$15, $D$11, 100%, $F$11)</f>
        <v>12.349600000000001</v>
      </c>
      <c r="E458" s="12">
        <f>12.3443 * CHOOSE( CONTROL!$C$15, $D$11, 100%, $F$11)</f>
        <v>12.3443</v>
      </c>
      <c r="F458" s="4">
        <f>13.0068 * CHOOSE(CONTROL!$C$15, $D$11, 100%, $F$11)</f>
        <v>13.0068</v>
      </c>
      <c r="G458" s="8">
        <f>12.1059 * CHOOSE( CONTROL!$C$15, $D$11, 100%, $F$11)</f>
        <v>12.1059</v>
      </c>
      <c r="H458" s="4">
        <f>13.0249 * CHOOSE(CONTROL!$C$15, $D$11, 100%, $F$11)</f>
        <v>13.024900000000001</v>
      </c>
      <c r="I458" s="8">
        <f>11.9862 * CHOOSE(CONTROL!$C$15, $D$11, 100%, $F$11)</f>
        <v>11.9862</v>
      </c>
      <c r="J458" s="4">
        <f>11.896 * CHOOSE(CONTROL!$C$15, $D$11, 100%, $F$11)</f>
        <v>11.896000000000001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13.2924 * CHOOSE(CONTROL!$C$15, $D$11, 100%, $F$11)</f>
        <v>13.292400000000001</v>
      </c>
      <c r="C459" s="8">
        <f>13.3027 * CHOOSE(CONTROL!$C$15, $D$11, 100%, $F$11)</f>
        <v>13.3027</v>
      </c>
      <c r="D459" s="8">
        <f>13.2877 * CHOOSE( CONTROL!$C$15, $D$11, 100%, $F$11)</f>
        <v>13.287699999999999</v>
      </c>
      <c r="E459" s="12">
        <f>13.2921 * CHOOSE( CONTROL!$C$15, $D$11, 100%, $F$11)</f>
        <v>13.2921</v>
      </c>
      <c r="F459" s="4">
        <f>13.9466 * CHOOSE(CONTROL!$C$15, $D$11, 100%, $F$11)</f>
        <v>13.9466</v>
      </c>
      <c r="G459" s="8">
        <f>13.0654 * CHOOSE( CONTROL!$C$15, $D$11, 100%, $F$11)</f>
        <v>13.0654</v>
      </c>
      <c r="H459" s="4">
        <f>13.9496 * CHOOSE(CONTROL!$C$15, $D$11, 100%, $F$11)</f>
        <v>13.9496</v>
      </c>
      <c r="I459" s="8">
        <f>12.9409 * CHOOSE(CONTROL!$C$15, $D$11, 100%, $F$11)</f>
        <v>12.940899999999999</v>
      </c>
      <c r="J459" s="4">
        <f>12.83 * CHOOSE(CONTROL!$C$15, $D$11, 100%, $F$11)</f>
        <v>12.83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13.2683 * CHOOSE(CONTROL!$C$15, $D$11, 100%, $F$11)</f>
        <v>13.2683</v>
      </c>
      <c r="C460" s="8">
        <f>13.2786 * CHOOSE(CONTROL!$C$15, $D$11, 100%, $F$11)</f>
        <v>13.278600000000001</v>
      </c>
      <c r="D460" s="8">
        <f>13.2652 * CHOOSE( CONTROL!$C$15, $D$11, 100%, $F$11)</f>
        <v>13.2652</v>
      </c>
      <c r="E460" s="12">
        <f>13.269 * CHOOSE( CONTROL!$C$15, $D$11, 100%, $F$11)</f>
        <v>13.269</v>
      </c>
      <c r="F460" s="4">
        <f>13.9225 * CHOOSE(CONTROL!$C$15, $D$11, 100%, $F$11)</f>
        <v>13.922499999999999</v>
      </c>
      <c r="G460" s="8">
        <f>13.0428 * CHOOSE( CONTROL!$C$15, $D$11, 100%, $F$11)</f>
        <v>13.0428</v>
      </c>
      <c r="H460" s="4">
        <f>13.9258 * CHOOSE(CONTROL!$C$15, $D$11, 100%, $F$11)</f>
        <v>13.925800000000001</v>
      </c>
      <c r="I460" s="8">
        <f>12.9228 * CHOOSE(CONTROL!$C$15, $D$11, 100%, $F$11)</f>
        <v>12.922800000000001</v>
      </c>
      <c r="J460" s="4">
        <f>12.8066 * CHOOSE(CONTROL!$C$15, $D$11, 100%, $F$11)</f>
        <v>12.8066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13.7744 * CHOOSE(CONTROL!$C$15, $D$11, 100%, $F$11)</f>
        <v>13.7744</v>
      </c>
      <c r="C461" s="8">
        <f>13.7847 * CHOOSE(CONTROL!$C$15, $D$11, 100%, $F$11)</f>
        <v>13.784700000000001</v>
      </c>
      <c r="D461" s="8">
        <f>13.7831 * CHOOSE( CONTROL!$C$15, $D$11, 100%, $F$11)</f>
        <v>13.783099999999999</v>
      </c>
      <c r="E461" s="12">
        <f>13.7826 * CHOOSE( CONTROL!$C$15, $D$11, 100%, $F$11)</f>
        <v>13.7826</v>
      </c>
      <c r="F461" s="4">
        <f>14.4571 * CHOOSE(CONTROL!$C$15, $D$11, 100%, $F$11)</f>
        <v>14.457100000000001</v>
      </c>
      <c r="G461" s="8">
        <f>13.5533 * CHOOSE( CONTROL!$C$15, $D$11, 100%, $F$11)</f>
        <v>13.5533</v>
      </c>
      <c r="H461" s="4">
        <f>14.4517 * CHOOSE(CONTROL!$C$15, $D$11, 100%, $F$11)</f>
        <v>14.451700000000001</v>
      </c>
      <c r="I461" s="8">
        <f>13.4113 * CHOOSE(CONTROL!$C$15, $D$11, 100%, $F$11)</f>
        <v>13.411300000000001</v>
      </c>
      <c r="J461" s="4">
        <f>13.2961 * CHOOSE(CONTROL!$C$15, $D$11, 100%, $F$11)</f>
        <v>13.296099999999999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12.8856 * CHOOSE(CONTROL!$C$15, $D$11, 100%, $F$11)</f>
        <v>12.8856</v>
      </c>
      <c r="C462" s="8">
        <f>12.8959 * CHOOSE(CONTROL!$C$15, $D$11, 100%, $F$11)</f>
        <v>12.895899999999999</v>
      </c>
      <c r="D462" s="8">
        <f>12.8964 * CHOOSE( CONTROL!$C$15, $D$11, 100%, $F$11)</f>
        <v>12.8964</v>
      </c>
      <c r="E462" s="12">
        <f>12.8951 * CHOOSE( CONTROL!$C$15, $D$11, 100%, $F$11)</f>
        <v>12.895099999999999</v>
      </c>
      <c r="F462" s="4">
        <f>13.5605 * CHOOSE(CONTROL!$C$15, $D$11, 100%, $F$11)</f>
        <v>13.560499999999999</v>
      </c>
      <c r="G462" s="8">
        <f>12.6786 * CHOOSE( CONTROL!$C$15, $D$11, 100%, $F$11)</f>
        <v>12.678599999999999</v>
      </c>
      <c r="H462" s="4">
        <f>13.5697 * CHOOSE(CONTROL!$C$15, $D$11, 100%, $F$11)</f>
        <v>13.569699999999999</v>
      </c>
      <c r="I462" s="8">
        <f>12.5404 * CHOOSE(CONTROL!$C$15, $D$11, 100%, $F$11)</f>
        <v>12.5404</v>
      </c>
      <c r="J462" s="4">
        <f>12.4365 * CHOOSE(CONTROL!$C$15, $D$11, 100%, $F$11)</f>
        <v>12.436500000000001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17.9542</v>
      </c>
      <c r="R462" s="9"/>
      <c r="S462" s="11"/>
    </row>
    <row r="463" spans="1:19" ht="15.75">
      <c r="A463" s="13">
        <v>55974</v>
      </c>
      <c r="B463" s="8">
        <f>12.6118 * CHOOSE(CONTROL!$C$15, $D$11, 100%, $F$11)</f>
        <v>12.611800000000001</v>
      </c>
      <c r="C463" s="8">
        <f>12.6222 * CHOOSE(CONTROL!$C$15, $D$11, 100%, $F$11)</f>
        <v>12.622199999999999</v>
      </c>
      <c r="D463" s="8">
        <f>12.6174 * CHOOSE( CONTROL!$C$15, $D$11, 100%, $F$11)</f>
        <v>12.6174</v>
      </c>
      <c r="E463" s="12">
        <f>12.618 * CHOOSE( CONTROL!$C$15, $D$11, 100%, $F$11)</f>
        <v>12.618</v>
      </c>
      <c r="F463" s="4">
        <f>13.2893 * CHOOSE(CONTROL!$C$15, $D$11, 100%, $F$11)</f>
        <v>13.289300000000001</v>
      </c>
      <c r="G463" s="8">
        <f>12.4039 * CHOOSE( CONTROL!$C$15, $D$11, 100%, $F$11)</f>
        <v>12.4039</v>
      </c>
      <c r="H463" s="4">
        <f>13.3029 * CHOOSE(CONTROL!$C$15, $D$11, 100%, $F$11)</f>
        <v>13.302899999999999</v>
      </c>
      <c r="I463" s="8">
        <f>12.2636 * CHOOSE(CONTROL!$C$15, $D$11, 100%, $F$11)</f>
        <v>12.2636</v>
      </c>
      <c r="J463" s="4">
        <f>12.1718 * CHOOSE(CONTROL!$C$15, $D$11, 100%, $F$11)</f>
        <v>12.171799999999999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12.8031 * CHOOSE(CONTROL!$C$15, $D$11, 100%, $F$11)</f>
        <v>12.803100000000001</v>
      </c>
      <c r="C464" s="8">
        <f>12.8134 * CHOOSE(CONTROL!$C$15, $D$11, 100%, $F$11)</f>
        <v>12.8134</v>
      </c>
      <c r="D464" s="8">
        <f>12.8247 * CHOOSE( CONTROL!$C$15, $D$11, 100%, $F$11)</f>
        <v>12.8247</v>
      </c>
      <c r="E464" s="12">
        <f>12.8198 * CHOOSE( CONTROL!$C$15, $D$11, 100%, $F$11)</f>
        <v>12.819800000000001</v>
      </c>
      <c r="F464" s="4">
        <f>13.4832 * CHOOSE(CONTROL!$C$15, $D$11, 100%, $F$11)</f>
        <v>13.4832</v>
      </c>
      <c r="G464" s="8">
        <f>12.5727 * CHOOSE( CONTROL!$C$15, $D$11, 100%, $F$11)</f>
        <v>12.572699999999999</v>
      </c>
      <c r="H464" s="4">
        <f>13.4936 * CHOOSE(CONTROL!$C$15, $D$11, 100%, $F$11)</f>
        <v>13.493600000000001</v>
      </c>
      <c r="I464" s="8">
        <f>12.4411 * CHOOSE(CONTROL!$C$15, $D$11, 100%, $F$11)</f>
        <v>12.4411</v>
      </c>
      <c r="J464" s="4">
        <f>12.3568 * CHOOSE(CONTROL!$C$15, $D$11, 100%, $F$11)</f>
        <v>12.3568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CONTROL!$C$32, 13.147, 13.1436) * CHOOSE(CONTROL!$C$15, $D$11, 100%, $F$11)</f>
        <v>13.147</v>
      </c>
      <c r="C465" s="8">
        <f>CHOOSE( CONTROL!$C$32, 13.1574, 13.1539) * CHOOSE(CONTROL!$C$15, $D$11, 100%, $F$11)</f>
        <v>13.157400000000001</v>
      </c>
      <c r="D465" s="8">
        <f>CHOOSE( CONTROL!$C$32, 13.1682, 13.1647) * CHOOSE( CONTROL!$C$15, $D$11, 100%, $F$11)</f>
        <v>13.168200000000001</v>
      </c>
      <c r="E465" s="12">
        <f>CHOOSE( CONTROL!$C$32, 13.1627, 13.1592) * CHOOSE( CONTROL!$C$15, $D$11, 100%, $F$11)</f>
        <v>13.162699999999999</v>
      </c>
      <c r="F465" s="4">
        <f>CHOOSE( CONTROL!$C$32, 13.8271, 13.8237) * CHOOSE(CONTROL!$C$15, $D$11, 100%, $F$11)</f>
        <v>13.8271</v>
      </c>
      <c r="G465" s="8">
        <f>CHOOSE( CONTROL!$C$32, 12.9123, 12.9088) * CHOOSE( CONTROL!$C$15, $D$11, 100%, $F$11)</f>
        <v>12.9123</v>
      </c>
      <c r="H465" s="4">
        <f>CHOOSE( CONTROL!$C$32, 13.832, 13.8286) * CHOOSE(CONTROL!$C$15, $D$11, 100%, $F$11)</f>
        <v>13.832000000000001</v>
      </c>
      <c r="I465" s="8">
        <f>CHOOSE( CONTROL!$C$32, 12.7754, 12.7721) * CHOOSE(CONTROL!$C$15, $D$11, 100%, $F$11)</f>
        <v>12.775399999999999</v>
      </c>
      <c r="J465" s="4">
        <f>CHOOSE( CONTROL!$C$32, 12.6894, 12.686) * CHOOSE(CONTROL!$C$15, $D$11, 100%, $F$11)</f>
        <v>12.689399999999999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CONTROL!$C$32, 12.9361, 12.9327) * CHOOSE(CONTROL!$C$15, $D$11, 100%, $F$11)</f>
        <v>12.9361</v>
      </c>
      <c r="C466" s="8">
        <f>CHOOSE( CONTROL!$C$32, 12.9465, 12.943) * CHOOSE(CONTROL!$C$15, $D$11, 100%, $F$11)</f>
        <v>12.9465</v>
      </c>
      <c r="D466" s="8">
        <f>CHOOSE( CONTROL!$C$32, 12.9576, 12.9541) * CHOOSE( CONTROL!$C$15, $D$11, 100%, $F$11)</f>
        <v>12.957599999999999</v>
      </c>
      <c r="E466" s="12">
        <f>CHOOSE( CONTROL!$C$32, 12.952, 12.9485) * CHOOSE( CONTROL!$C$15, $D$11, 100%, $F$11)</f>
        <v>12.952</v>
      </c>
      <c r="F466" s="4">
        <f>CHOOSE( CONTROL!$C$32, 13.6162, 13.6128) * CHOOSE(CONTROL!$C$15, $D$11, 100%, $F$11)</f>
        <v>13.616199999999999</v>
      </c>
      <c r="G466" s="8">
        <f>CHOOSE( CONTROL!$C$32, 12.7052, 12.7018) * CHOOSE( CONTROL!$C$15, $D$11, 100%, $F$11)</f>
        <v>12.7052</v>
      </c>
      <c r="H466" s="4">
        <f>CHOOSE( CONTROL!$C$32, 13.6245, 13.6211) * CHOOSE(CONTROL!$C$15, $D$11, 100%, $F$11)</f>
        <v>13.624499999999999</v>
      </c>
      <c r="I466" s="8">
        <f>CHOOSE( CONTROL!$C$32, 12.5727, 12.5694) * CHOOSE(CONTROL!$C$15, $D$11, 100%, $F$11)</f>
        <v>12.572699999999999</v>
      </c>
      <c r="J466" s="4">
        <f>CHOOSE( CONTROL!$C$32, 12.4854, 12.4821) * CHOOSE(CONTROL!$C$15, $D$11, 100%, $F$11)</f>
        <v>12.4854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CONTROL!$C$32, 13.4915, 13.488) * CHOOSE(CONTROL!$C$15, $D$11, 100%, $F$11)</f>
        <v>13.4915</v>
      </c>
      <c r="C467" s="8">
        <f>CHOOSE( CONTROL!$C$32, 13.5018, 13.4984) * CHOOSE(CONTROL!$C$15, $D$11, 100%, $F$11)</f>
        <v>13.501799999999999</v>
      </c>
      <c r="D467" s="8">
        <f>CHOOSE( CONTROL!$C$32, 13.5132, 13.5098) * CHOOSE( CONTROL!$C$15, $D$11, 100%, $F$11)</f>
        <v>13.513199999999999</v>
      </c>
      <c r="E467" s="12">
        <f>CHOOSE( CONTROL!$C$32, 13.5075, 13.5041) * CHOOSE( CONTROL!$C$15, $D$11, 100%, $F$11)</f>
        <v>13.5075</v>
      </c>
      <c r="F467" s="4">
        <f>CHOOSE( CONTROL!$C$32, 14.1716, 14.1681) * CHOOSE(CONTROL!$C$15, $D$11, 100%, $F$11)</f>
        <v>14.1716</v>
      </c>
      <c r="G467" s="8">
        <f>CHOOSE( CONTROL!$C$32, 13.252, 13.2486) * CHOOSE( CONTROL!$C$15, $D$11, 100%, $F$11)</f>
        <v>13.252000000000001</v>
      </c>
      <c r="H467" s="4">
        <f>CHOOSE( CONTROL!$C$32, 14.1709, 14.1675) * CHOOSE(CONTROL!$C$15, $D$11, 100%, $F$11)</f>
        <v>14.1709</v>
      </c>
      <c r="I467" s="8">
        <f>CHOOSE( CONTROL!$C$32, 13.1115, 13.1082) * CHOOSE(CONTROL!$C$15, $D$11, 100%, $F$11)</f>
        <v>13.111499999999999</v>
      </c>
      <c r="J467" s="4">
        <f>CHOOSE( CONTROL!$C$32, 13.0225, 13.0192) * CHOOSE(CONTROL!$C$15, $D$11, 100%, $F$11)</f>
        <v>13.022500000000001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CONTROL!$C$32, 12.4523, 12.4489) * CHOOSE(CONTROL!$C$15, $D$11, 100%, $F$11)</f>
        <v>12.452299999999999</v>
      </c>
      <c r="C468" s="8">
        <f>CHOOSE( CONTROL!$C$32, 12.4627, 12.4592) * CHOOSE(CONTROL!$C$15, $D$11, 100%, $F$11)</f>
        <v>12.4627</v>
      </c>
      <c r="D468" s="8">
        <f>CHOOSE( CONTROL!$C$32, 12.4742, 12.4707) * CHOOSE( CONTROL!$C$15, $D$11, 100%, $F$11)</f>
        <v>12.4742</v>
      </c>
      <c r="E468" s="12">
        <f>CHOOSE( CONTROL!$C$32, 12.4684, 12.465) * CHOOSE( CONTROL!$C$15, $D$11, 100%, $F$11)</f>
        <v>12.468400000000001</v>
      </c>
      <c r="F468" s="4">
        <f>CHOOSE( CONTROL!$C$32, 13.1324, 13.129) * CHOOSE(CONTROL!$C$15, $D$11, 100%, $F$11)</f>
        <v>13.132400000000001</v>
      </c>
      <c r="G468" s="8">
        <f>CHOOSE( CONTROL!$C$32, 12.2299, 12.2265) * CHOOSE( CONTROL!$C$15, $D$11, 100%, $F$11)</f>
        <v>12.229900000000001</v>
      </c>
      <c r="H468" s="4">
        <f>CHOOSE( CONTROL!$C$32, 13.1485, 13.1451) * CHOOSE(CONTROL!$C$15, $D$11, 100%, $F$11)</f>
        <v>13.1485</v>
      </c>
      <c r="I468" s="8">
        <f>CHOOSE( CONTROL!$C$32, 12.1067, 12.1033) * CHOOSE(CONTROL!$C$15, $D$11, 100%, $F$11)</f>
        <v>12.1067</v>
      </c>
      <c r="J468" s="4">
        <f>CHOOSE( CONTROL!$C$32, 12.0175, 12.0142) * CHOOSE(CONTROL!$C$15, $D$11, 100%, $F$11)</f>
        <v>12.0175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CONTROL!$C$32, 12.1921, 12.1886) * CHOOSE(CONTROL!$C$15, $D$11, 100%, $F$11)</f>
        <v>12.1921</v>
      </c>
      <c r="C469" s="8">
        <f>CHOOSE( CONTROL!$C$32, 12.2025, 12.199) * CHOOSE(CONTROL!$C$15, $D$11, 100%, $F$11)</f>
        <v>12.202500000000001</v>
      </c>
      <c r="D469" s="8">
        <f>CHOOSE( CONTROL!$C$32, 12.214, 12.2106) * CHOOSE( CONTROL!$C$15, $D$11, 100%, $F$11)</f>
        <v>12.214</v>
      </c>
      <c r="E469" s="12">
        <f>CHOOSE( CONTROL!$C$32, 12.2082, 12.2048) * CHOOSE( CONTROL!$C$15, $D$11, 100%, $F$11)</f>
        <v>12.2082</v>
      </c>
      <c r="F469" s="4">
        <f>CHOOSE( CONTROL!$C$32, 12.8722, 12.8687) * CHOOSE(CONTROL!$C$15, $D$11, 100%, $F$11)</f>
        <v>12.872199999999999</v>
      </c>
      <c r="G469" s="8">
        <f>CHOOSE( CONTROL!$C$32, 11.9739, 11.9705) * CHOOSE( CONTROL!$C$15, $D$11, 100%, $F$11)</f>
        <v>11.9739</v>
      </c>
      <c r="H469" s="4">
        <f>CHOOSE( CONTROL!$C$32, 12.8925, 12.8891) * CHOOSE(CONTROL!$C$15, $D$11, 100%, $F$11)</f>
        <v>12.8925</v>
      </c>
      <c r="I469" s="8">
        <f>CHOOSE( CONTROL!$C$32, 11.8551, 11.8518) * CHOOSE(CONTROL!$C$15, $D$11, 100%, $F$11)</f>
        <v>11.8551</v>
      </c>
      <c r="J469" s="4">
        <f>CHOOSE( CONTROL!$C$32, 11.7659, 11.7625) * CHOOSE(CONTROL!$C$15, $D$11, 100%, $F$11)</f>
        <v>11.7659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12.7289 * CHOOSE(CONTROL!$C$15, $D$11, 100%, $F$11)</f>
        <v>12.728899999999999</v>
      </c>
      <c r="C470" s="8">
        <f>12.7393 * CHOOSE(CONTROL!$C$15, $D$11, 100%, $F$11)</f>
        <v>12.7393</v>
      </c>
      <c r="D470" s="8">
        <f>12.7518 * CHOOSE( CONTROL!$C$15, $D$11, 100%, $F$11)</f>
        <v>12.751799999999999</v>
      </c>
      <c r="E470" s="12">
        <f>12.7466 * CHOOSE( CONTROL!$C$15, $D$11, 100%, $F$11)</f>
        <v>12.746600000000001</v>
      </c>
      <c r="F470" s="4">
        <f>13.4091 * CHOOSE(CONTROL!$C$15, $D$11, 100%, $F$11)</f>
        <v>13.4091</v>
      </c>
      <c r="G470" s="8">
        <f>12.5016 * CHOOSE( CONTROL!$C$15, $D$11, 100%, $F$11)</f>
        <v>12.5016</v>
      </c>
      <c r="H470" s="4">
        <f>13.4207 * CHOOSE(CONTROL!$C$15, $D$11, 100%, $F$11)</f>
        <v>13.4207</v>
      </c>
      <c r="I470" s="8">
        <f>12.3754 * CHOOSE(CONTROL!$C$15, $D$11, 100%, $F$11)</f>
        <v>12.375400000000001</v>
      </c>
      <c r="J470" s="4">
        <f>12.2851 * CHOOSE(CONTROL!$C$15, $D$11, 100%, $F$11)</f>
        <v>12.2851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13.7263 * CHOOSE(CONTROL!$C$15, $D$11, 100%, $F$11)</f>
        <v>13.7263</v>
      </c>
      <c r="C471" s="8">
        <f>13.7366 * CHOOSE(CONTROL!$C$15, $D$11, 100%, $F$11)</f>
        <v>13.736599999999999</v>
      </c>
      <c r="D471" s="8">
        <f>13.7215 * CHOOSE( CONTROL!$C$15, $D$11, 100%, $F$11)</f>
        <v>13.721500000000001</v>
      </c>
      <c r="E471" s="12">
        <f>13.7259 * CHOOSE( CONTROL!$C$15, $D$11, 100%, $F$11)</f>
        <v>13.725899999999999</v>
      </c>
      <c r="F471" s="4">
        <f>14.3805 * CHOOSE(CONTROL!$C$15, $D$11, 100%, $F$11)</f>
        <v>14.3805</v>
      </c>
      <c r="G471" s="8">
        <f>13.4922 * CHOOSE( CONTROL!$C$15, $D$11, 100%, $F$11)</f>
        <v>13.4922</v>
      </c>
      <c r="H471" s="4">
        <f>14.3764 * CHOOSE(CONTROL!$C$15, $D$11, 100%, $F$11)</f>
        <v>14.3764</v>
      </c>
      <c r="I471" s="8">
        <f>13.3607 * CHOOSE(CONTROL!$C$15, $D$11, 100%, $F$11)</f>
        <v>13.3607</v>
      </c>
      <c r="J471" s="4">
        <f>13.2496 * CHOOSE(CONTROL!$C$15, $D$11, 100%, $F$11)</f>
        <v>13.249599999999999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13.7013 * CHOOSE(CONTROL!$C$15, $D$11, 100%, $F$11)</f>
        <v>13.7013</v>
      </c>
      <c r="C472" s="8">
        <f>13.7117 * CHOOSE(CONTROL!$C$15, $D$11, 100%, $F$11)</f>
        <v>13.7117</v>
      </c>
      <c r="D472" s="8">
        <f>13.6982 * CHOOSE( CONTROL!$C$15, $D$11, 100%, $F$11)</f>
        <v>13.6982</v>
      </c>
      <c r="E472" s="12">
        <f>13.702 * CHOOSE( CONTROL!$C$15, $D$11, 100%, $F$11)</f>
        <v>13.702</v>
      </c>
      <c r="F472" s="4">
        <f>14.3556 * CHOOSE(CONTROL!$C$15, $D$11, 100%, $F$11)</f>
        <v>14.355600000000001</v>
      </c>
      <c r="G472" s="8">
        <f>13.4689 * CHOOSE( CONTROL!$C$15, $D$11, 100%, $F$11)</f>
        <v>13.4689</v>
      </c>
      <c r="H472" s="4">
        <f>14.3519 * CHOOSE(CONTROL!$C$15, $D$11, 100%, $F$11)</f>
        <v>14.351900000000001</v>
      </c>
      <c r="I472" s="8">
        <f>13.3419 * CHOOSE(CONTROL!$C$15, $D$11, 100%, $F$11)</f>
        <v>13.341900000000001</v>
      </c>
      <c r="J472" s="4">
        <f>13.2255 * CHOOSE(CONTROL!$C$15, $D$11, 100%, $F$11)</f>
        <v>13.2255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14.224 * CHOOSE(CONTROL!$C$15, $D$11, 100%, $F$11)</f>
        <v>14.224</v>
      </c>
      <c r="C473" s="8">
        <f>14.2343 * CHOOSE(CONTROL!$C$15, $D$11, 100%, $F$11)</f>
        <v>14.234299999999999</v>
      </c>
      <c r="D473" s="8">
        <f>14.2328 * CHOOSE( CONTROL!$C$15, $D$11, 100%, $F$11)</f>
        <v>14.232799999999999</v>
      </c>
      <c r="E473" s="12">
        <f>14.2323 * CHOOSE( CONTROL!$C$15, $D$11, 100%, $F$11)</f>
        <v>14.2323</v>
      </c>
      <c r="F473" s="4">
        <f>14.9067 * CHOOSE(CONTROL!$C$15, $D$11, 100%, $F$11)</f>
        <v>14.906700000000001</v>
      </c>
      <c r="G473" s="8">
        <f>13.9957 * CHOOSE( CONTROL!$C$15, $D$11, 100%, $F$11)</f>
        <v>13.995699999999999</v>
      </c>
      <c r="H473" s="4">
        <f>14.8941 * CHOOSE(CONTROL!$C$15, $D$11, 100%, $F$11)</f>
        <v>14.8941</v>
      </c>
      <c r="I473" s="8">
        <f>13.8464 * CHOOSE(CONTROL!$C$15, $D$11, 100%, $F$11)</f>
        <v>13.846399999999999</v>
      </c>
      <c r="J473" s="4">
        <f>13.7309 * CHOOSE(CONTROL!$C$15, $D$11, 100%, $F$11)</f>
        <v>13.7309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13.3061 * CHOOSE(CONTROL!$C$15, $D$11, 100%, $F$11)</f>
        <v>13.306100000000001</v>
      </c>
      <c r="C474" s="8">
        <f>13.3165 * CHOOSE(CONTROL!$C$15, $D$11, 100%, $F$11)</f>
        <v>13.3165</v>
      </c>
      <c r="D474" s="8">
        <f>13.317 * CHOOSE( CONTROL!$C$15, $D$11, 100%, $F$11)</f>
        <v>13.317</v>
      </c>
      <c r="E474" s="12">
        <f>13.3157 * CHOOSE( CONTROL!$C$15, $D$11, 100%, $F$11)</f>
        <v>13.3157</v>
      </c>
      <c r="F474" s="4">
        <f>13.9811 * CHOOSE(CONTROL!$C$15, $D$11, 100%, $F$11)</f>
        <v>13.9811</v>
      </c>
      <c r="G474" s="8">
        <f>13.0924 * CHOOSE( CONTROL!$C$15, $D$11, 100%, $F$11)</f>
        <v>13.0924</v>
      </c>
      <c r="H474" s="4">
        <f>13.9834 * CHOOSE(CONTROL!$C$15, $D$11, 100%, $F$11)</f>
        <v>13.9834</v>
      </c>
      <c r="I474" s="8">
        <f>12.9473 * CHOOSE(CONTROL!$C$15, $D$11, 100%, $F$11)</f>
        <v>12.9473</v>
      </c>
      <c r="J474" s="4">
        <f>12.8432 * CHOOSE(CONTROL!$C$15, $D$11, 100%, $F$11)</f>
        <v>12.8432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13.0234 * CHOOSE(CONTROL!$C$15, $D$11, 100%, $F$11)</f>
        <v>13.023400000000001</v>
      </c>
      <c r="C475" s="8">
        <f>13.0338 * CHOOSE(CONTROL!$C$15, $D$11, 100%, $F$11)</f>
        <v>13.033799999999999</v>
      </c>
      <c r="D475" s="8">
        <f>13.029 * CHOOSE( CONTROL!$C$15, $D$11, 100%, $F$11)</f>
        <v>13.029</v>
      </c>
      <c r="E475" s="12">
        <f>13.0296 * CHOOSE( CONTROL!$C$15, $D$11, 100%, $F$11)</f>
        <v>13.0296</v>
      </c>
      <c r="F475" s="4">
        <f>13.7009 * CHOOSE(CONTROL!$C$15, $D$11, 100%, $F$11)</f>
        <v>13.700900000000001</v>
      </c>
      <c r="G475" s="8">
        <f>12.8088 * CHOOSE( CONTROL!$C$15, $D$11, 100%, $F$11)</f>
        <v>12.8088</v>
      </c>
      <c r="H475" s="4">
        <f>13.7078 * CHOOSE(CONTROL!$C$15, $D$11, 100%, $F$11)</f>
        <v>13.707800000000001</v>
      </c>
      <c r="I475" s="8">
        <f>12.6619 * CHOOSE(CONTROL!$C$15, $D$11, 100%, $F$11)</f>
        <v>12.661899999999999</v>
      </c>
      <c r="J475" s="4">
        <f>12.5698 * CHOOSE(CONTROL!$C$15, $D$11, 100%, $F$11)</f>
        <v>12.569800000000001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13.221 * CHOOSE(CONTROL!$C$15, $D$11, 100%, $F$11)</f>
        <v>13.221</v>
      </c>
      <c r="C476" s="8">
        <f>13.2313 * CHOOSE(CONTROL!$C$15, $D$11, 100%, $F$11)</f>
        <v>13.231299999999999</v>
      </c>
      <c r="D476" s="8">
        <f>13.2426 * CHOOSE( CONTROL!$C$15, $D$11, 100%, $F$11)</f>
        <v>13.242599999999999</v>
      </c>
      <c r="E476" s="12">
        <f>13.2377 * CHOOSE( CONTROL!$C$15, $D$11, 100%, $F$11)</f>
        <v>13.2377</v>
      </c>
      <c r="F476" s="4">
        <f>13.9011 * CHOOSE(CONTROL!$C$15, $D$11, 100%, $F$11)</f>
        <v>13.9011</v>
      </c>
      <c r="G476" s="8">
        <f>12.9838 * CHOOSE( CONTROL!$C$15, $D$11, 100%, $F$11)</f>
        <v>12.9838</v>
      </c>
      <c r="H476" s="4">
        <f>13.9047 * CHOOSE(CONTROL!$C$15, $D$11, 100%, $F$11)</f>
        <v>13.9047</v>
      </c>
      <c r="I476" s="8">
        <f>12.8454 * CHOOSE(CONTROL!$C$15, $D$11, 100%, $F$11)</f>
        <v>12.8454</v>
      </c>
      <c r="J476" s="4">
        <f>12.7609 * CHOOSE(CONTROL!$C$15, $D$11, 100%, $F$11)</f>
        <v>12.760899999999999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CONTROL!$C$32, 13.576, 13.5726) * CHOOSE(CONTROL!$C$15, $D$11, 100%, $F$11)</f>
        <v>13.576000000000001</v>
      </c>
      <c r="C477" s="8">
        <f>CHOOSE( CONTROL!$C$32, 13.5864, 13.5829) * CHOOSE(CONTROL!$C$15, $D$11, 100%, $F$11)</f>
        <v>13.586399999999999</v>
      </c>
      <c r="D477" s="8">
        <f>CHOOSE( CONTROL!$C$32, 13.5972, 13.5937) * CHOOSE( CONTROL!$C$15, $D$11, 100%, $F$11)</f>
        <v>13.597200000000001</v>
      </c>
      <c r="E477" s="12">
        <f>CHOOSE( CONTROL!$C$32, 13.5917, 13.5882) * CHOOSE( CONTROL!$C$15, $D$11, 100%, $F$11)</f>
        <v>13.591699999999999</v>
      </c>
      <c r="F477" s="4">
        <f>CHOOSE( CONTROL!$C$32, 14.2561, 14.2527) * CHOOSE(CONTROL!$C$15, $D$11, 100%, $F$11)</f>
        <v>14.2561</v>
      </c>
      <c r="G477" s="8">
        <f>CHOOSE( CONTROL!$C$32, 13.3343, 13.3309) * CHOOSE( CONTROL!$C$15, $D$11, 100%, $F$11)</f>
        <v>13.334300000000001</v>
      </c>
      <c r="H477" s="4">
        <f>CHOOSE( CONTROL!$C$32, 14.254, 14.2506) * CHOOSE(CONTROL!$C$15, $D$11, 100%, $F$11)</f>
        <v>14.254</v>
      </c>
      <c r="I477" s="8">
        <f>CHOOSE( CONTROL!$C$32, 13.1905, 13.1871) * CHOOSE(CONTROL!$C$15, $D$11, 100%, $F$11)</f>
        <v>13.1905</v>
      </c>
      <c r="J477" s="4">
        <f>CHOOSE( CONTROL!$C$32, 13.1043, 13.1009) * CHOOSE(CONTROL!$C$15, $D$11, 100%, $F$11)</f>
        <v>13.1043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CONTROL!$C$32, 13.3582, 13.3548) * CHOOSE(CONTROL!$C$15, $D$11, 100%, $F$11)</f>
        <v>13.3582</v>
      </c>
      <c r="C478" s="8">
        <f>CHOOSE( CONTROL!$C$32, 13.3686, 13.3651) * CHOOSE(CONTROL!$C$15, $D$11, 100%, $F$11)</f>
        <v>13.368600000000001</v>
      </c>
      <c r="D478" s="8">
        <f>CHOOSE( CONTROL!$C$32, 13.3797, 13.3762) * CHOOSE( CONTROL!$C$15, $D$11, 100%, $F$11)</f>
        <v>13.3797</v>
      </c>
      <c r="E478" s="12">
        <f>CHOOSE( CONTROL!$C$32, 13.3741, 13.3706) * CHOOSE( CONTROL!$C$15, $D$11, 100%, $F$11)</f>
        <v>13.3741</v>
      </c>
      <c r="F478" s="4">
        <f>CHOOSE( CONTROL!$C$32, 14.0383, 14.0349) * CHOOSE(CONTROL!$C$15, $D$11, 100%, $F$11)</f>
        <v>14.0383</v>
      </c>
      <c r="G478" s="8">
        <f>CHOOSE( CONTROL!$C$32, 13.1205, 13.117) * CHOOSE( CONTROL!$C$15, $D$11, 100%, $F$11)</f>
        <v>13.1205</v>
      </c>
      <c r="H478" s="4">
        <f>CHOOSE( CONTROL!$C$32, 14.0398, 14.0364) * CHOOSE(CONTROL!$C$15, $D$11, 100%, $F$11)</f>
        <v>14.0398</v>
      </c>
      <c r="I478" s="8">
        <f>CHOOSE( CONTROL!$C$32, 12.9811, 12.9778) * CHOOSE(CONTROL!$C$15, $D$11, 100%, $F$11)</f>
        <v>12.9811</v>
      </c>
      <c r="J478" s="4">
        <f>CHOOSE( CONTROL!$C$32, 12.8936, 12.8903) * CHOOSE(CONTROL!$C$15, $D$11, 100%, $F$11)</f>
        <v>12.893599999999999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CONTROL!$C$32, 13.9318, 13.9283) * CHOOSE(CONTROL!$C$15, $D$11, 100%, $F$11)</f>
        <v>13.931800000000001</v>
      </c>
      <c r="C479" s="8">
        <f>CHOOSE( CONTROL!$C$32, 13.9421, 13.9386) * CHOOSE(CONTROL!$C$15, $D$11, 100%, $F$11)</f>
        <v>13.9421</v>
      </c>
      <c r="D479" s="8">
        <f>CHOOSE( CONTROL!$C$32, 13.9535, 13.95) * CHOOSE( CONTROL!$C$15, $D$11, 100%, $F$11)</f>
        <v>13.9535</v>
      </c>
      <c r="E479" s="12">
        <f>CHOOSE( CONTROL!$C$32, 13.9478, 13.9443) * CHOOSE( CONTROL!$C$15, $D$11, 100%, $F$11)</f>
        <v>13.947800000000001</v>
      </c>
      <c r="F479" s="4">
        <f>CHOOSE( CONTROL!$C$32, 14.6119, 14.6084) * CHOOSE(CONTROL!$C$15, $D$11, 100%, $F$11)</f>
        <v>14.6119</v>
      </c>
      <c r="G479" s="8">
        <f>CHOOSE( CONTROL!$C$32, 13.6852, 13.6818) * CHOOSE( CONTROL!$C$15, $D$11, 100%, $F$11)</f>
        <v>13.6852</v>
      </c>
      <c r="H479" s="4">
        <f>CHOOSE( CONTROL!$C$32, 14.604, 14.6006) * CHOOSE(CONTROL!$C$15, $D$11, 100%, $F$11)</f>
        <v>14.603999999999999</v>
      </c>
      <c r="I479" s="8">
        <f>CHOOSE( CONTROL!$C$32, 13.5375, 13.5342) * CHOOSE(CONTROL!$C$15, $D$11, 100%, $F$11)</f>
        <v>13.5375</v>
      </c>
      <c r="J479" s="4">
        <f>CHOOSE( CONTROL!$C$32, 13.4483, 13.4449) * CHOOSE(CONTROL!$C$15, $D$11, 100%, $F$11)</f>
        <v>13.4483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CONTROL!$C$32, 12.8586, 12.8551) * CHOOSE(CONTROL!$C$15, $D$11, 100%, $F$11)</f>
        <v>12.858599999999999</v>
      </c>
      <c r="C480" s="8">
        <f>CHOOSE( CONTROL!$C$32, 12.8689, 12.8655) * CHOOSE(CONTROL!$C$15, $D$11, 100%, $F$11)</f>
        <v>12.8689</v>
      </c>
      <c r="D480" s="8">
        <f>CHOOSE( CONTROL!$C$32, 12.8805, 12.877) * CHOOSE( CONTROL!$C$15, $D$11, 100%, $F$11)</f>
        <v>12.8805</v>
      </c>
      <c r="E480" s="12">
        <f>CHOOSE( CONTROL!$C$32, 12.8747, 12.8712) * CHOOSE( CONTROL!$C$15, $D$11, 100%, $F$11)</f>
        <v>12.874700000000001</v>
      </c>
      <c r="F480" s="4">
        <f>CHOOSE( CONTROL!$C$32, 13.5387, 13.5352) * CHOOSE(CONTROL!$C$15, $D$11, 100%, $F$11)</f>
        <v>13.5387</v>
      </c>
      <c r="G480" s="8">
        <f>CHOOSE( CONTROL!$C$32, 12.6296, 12.6262) * CHOOSE( CONTROL!$C$15, $D$11, 100%, $F$11)</f>
        <v>12.6296</v>
      </c>
      <c r="H480" s="4">
        <f>CHOOSE( CONTROL!$C$32, 13.5482, 13.5448) * CHOOSE(CONTROL!$C$15, $D$11, 100%, $F$11)</f>
        <v>13.5482</v>
      </c>
      <c r="I480" s="8">
        <f>CHOOSE( CONTROL!$C$32, 12.4998, 12.4964) * CHOOSE(CONTROL!$C$15, $D$11, 100%, $F$11)</f>
        <v>12.4998</v>
      </c>
      <c r="J480" s="4">
        <f>CHOOSE( CONTROL!$C$32, 12.4105, 12.4071) * CHOOSE(CONTROL!$C$15, $D$11, 100%, $F$11)</f>
        <v>12.410500000000001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CONTROL!$C$32, 12.5899, 12.5864) * CHOOSE(CONTROL!$C$15, $D$11, 100%, $F$11)</f>
        <v>12.5899</v>
      </c>
      <c r="C481" s="8">
        <f>CHOOSE( CONTROL!$C$32, 12.6002, 12.5967) * CHOOSE(CONTROL!$C$15, $D$11, 100%, $F$11)</f>
        <v>12.600199999999999</v>
      </c>
      <c r="D481" s="8">
        <f>CHOOSE( CONTROL!$C$32, 12.6118, 12.6083) * CHOOSE( CONTROL!$C$15, $D$11, 100%, $F$11)</f>
        <v>12.611800000000001</v>
      </c>
      <c r="E481" s="12">
        <f>CHOOSE( CONTROL!$C$32, 12.606, 12.6025) * CHOOSE( CONTROL!$C$15, $D$11, 100%, $F$11)</f>
        <v>12.606</v>
      </c>
      <c r="F481" s="4">
        <f>CHOOSE( CONTROL!$C$32, 13.27, 13.2665) * CHOOSE(CONTROL!$C$15, $D$11, 100%, $F$11)</f>
        <v>13.27</v>
      </c>
      <c r="G481" s="8">
        <f>CHOOSE( CONTROL!$C$32, 12.3653, 12.3618) * CHOOSE( CONTROL!$C$15, $D$11, 100%, $F$11)</f>
        <v>12.3653</v>
      </c>
      <c r="H481" s="4">
        <f>CHOOSE( CONTROL!$C$32, 13.2838, 13.2804) * CHOOSE(CONTROL!$C$15, $D$11, 100%, $F$11)</f>
        <v>13.283799999999999</v>
      </c>
      <c r="I481" s="8">
        <f>CHOOSE( CONTROL!$C$32, 12.24, 12.2366) * CHOOSE(CONTROL!$C$15, $D$11, 100%, $F$11)</f>
        <v>12.24</v>
      </c>
      <c r="J481" s="4">
        <f>CHOOSE( CONTROL!$C$32, 12.1506, 12.1472) * CHOOSE(CONTROL!$C$15, $D$11, 100%, $F$11)</f>
        <v>12.150600000000001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19.1754</v>
      </c>
      <c r="R481" s="9"/>
      <c r="S481" s="11"/>
    </row>
    <row r="482" spans="1:19" ht="15.75">
      <c r="A482" s="13">
        <v>56553</v>
      </c>
      <c r="B482" s="8">
        <f>13.1444 * CHOOSE(CONTROL!$C$15, $D$11, 100%, $F$11)</f>
        <v>13.144399999999999</v>
      </c>
      <c r="C482" s="8">
        <f>13.1547 * CHOOSE(CONTROL!$C$15, $D$11, 100%, $F$11)</f>
        <v>13.1547</v>
      </c>
      <c r="D482" s="8">
        <f>13.1673 * CHOOSE( CONTROL!$C$15, $D$11, 100%, $F$11)</f>
        <v>13.167299999999999</v>
      </c>
      <c r="E482" s="12">
        <f>13.162 * CHOOSE( CONTROL!$C$15, $D$11, 100%, $F$11)</f>
        <v>13.162000000000001</v>
      </c>
      <c r="F482" s="4">
        <f>13.8245 * CHOOSE(CONTROL!$C$15, $D$11, 100%, $F$11)</f>
        <v>13.8245</v>
      </c>
      <c r="G482" s="8">
        <f>12.9103 * CHOOSE( CONTROL!$C$15, $D$11, 100%, $F$11)</f>
        <v>12.910299999999999</v>
      </c>
      <c r="H482" s="4">
        <f>13.8294 * CHOOSE(CONTROL!$C$15, $D$11, 100%, $F$11)</f>
        <v>13.8294</v>
      </c>
      <c r="I482" s="8">
        <f>12.7774 * CHOOSE(CONTROL!$C$15, $D$11, 100%, $F$11)</f>
        <v>12.7774</v>
      </c>
      <c r="J482" s="4">
        <f>12.6868 * CHOOSE(CONTROL!$C$15, $D$11, 100%, $F$11)</f>
        <v>12.6868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14.1743 * CHOOSE(CONTROL!$C$15, $D$11, 100%, $F$11)</f>
        <v>14.174300000000001</v>
      </c>
      <c r="C483" s="8">
        <f>14.1846 * CHOOSE(CONTROL!$C$15, $D$11, 100%, $F$11)</f>
        <v>14.1846</v>
      </c>
      <c r="D483" s="8">
        <f>14.1696 * CHOOSE( CONTROL!$C$15, $D$11, 100%, $F$11)</f>
        <v>14.169600000000001</v>
      </c>
      <c r="E483" s="12">
        <f>14.174 * CHOOSE( CONTROL!$C$15, $D$11, 100%, $F$11)</f>
        <v>14.173999999999999</v>
      </c>
      <c r="F483" s="4">
        <f>14.8286 * CHOOSE(CONTROL!$C$15, $D$11, 100%, $F$11)</f>
        <v>14.8286</v>
      </c>
      <c r="G483" s="8">
        <f>13.933 * CHOOSE( CONTROL!$C$15, $D$11, 100%, $F$11)</f>
        <v>13.933</v>
      </c>
      <c r="H483" s="4">
        <f>14.8172 * CHOOSE(CONTROL!$C$15, $D$11, 100%, $F$11)</f>
        <v>14.8172</v>
      </c>
      <c r="I483" s="8">
        <f>13.7942 * CHOOSE(CONTROL!$C$15, $D$11, 100%, $F$11)</f>
        <v>13.7942</v>
      </c>
      <c r="J483" s="4">
        <f>13.6829 * CHOOSE(CONTROL!$C$15, $D$11, 100%, $F$11)</f>
        <v>13.6829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19.1754</v>
      </c>
      <c r="R483" s="9"/>
      <c r="S483" s="11"/>
    </row>
    <row r="484" spans="1:19" ht="15.75">
      <c r="A484" s="13">
        <v>56614</v>
      </c>
      <c r="B484" s="8">
        <f>14.1486 * CHOOSE(CONTROL!$C$15, $D$11, 100%, $F$11)</f>
        <v>14.1486</v>
      </c>
      <c r="C484" s="8">
        <f>14.1589 * CHOOSE(CONTROL!$C$15, $D$11, 100%, $F$11)</f>
        <v>14.158899999999999</v>
      </c>
      <c r="D484" s="8">
        <f>14.1455 * CHOOSE( CONTROL!$C$15, $D$11, 100%, $F$11)</f>
        <v>14.1455</v>
      </c>
      <c r="E484" s="12">
        <f>14.1493 * CHOOSE( CONTROL!$C$15, $D$11, 100%, $F$11)</f>
        <v>14.1493</v>
      </c>
      <c r="F484" s="4">
        <f>14.8028 * CHOOSE(CONTROL!$C$15, $D$11, 100%, $F$11)</f>
        <v>14.8028</v>
      </c>
      <c r="G484" s="8">
        <f>13.9089 * CHOOSE( CONTROL!$C$15, $D$11, 100%, $F$11)</f>
        <v>13.908899999999999</v>
      </c>
      <c r="H484" s="4">
        <f>14.7919 * CHOOSE(CONTROL!$C$15, $D$11, 100%, $F$11)</f>
        <v>14.7919</v>
      </c>
      <c r="I484" s="8">
        <f>13.7746 * CHOOSE(CONTROL!$C$15, $D$11, 100%, $F$11)</f>
        <v>13.7746</v>
      </c>
      <c r="J484" s="4">
        <f>13.658 * CHOOSE(CONTROL!$C$15, $D$11, 100%, $F$11)</f>
        <v>13.657999999999999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14.6883 * CHOOSE(CONTROL!$C$15, $D$11, 100%, $F$11)</f>
        <v>14.6883</v>
      </c>
      <c r="C485" s="8">
        <f>14.6987 * CHOOSE(CONTROL!$C$15, $D$11, 100%, $F$11)</f>
        <v>14.698700000000001</v>
      </c>
      <c r="D485" s="8">
        <f>14.6971 * CHOOSE( CONTROL!$C$15, $D$11, 100%, $F$11)</f>
        <v>14.697100000000001</v>
      </c>
      <c r="E485" s="12">
        <f>14.6966 * CHOOSE( CONTROL!$C$15, $D$11, 100%, $F$11)</f>
        <v>14.6966</v>
      </c>
      <c r="F485" s="4">
        <f>15.371 * CHOOSE(CONTROL!$C$15, $D$11, 100%, $F$11)</f>
        <v>15.371</v>
      </c>
      <c r="G485" s="8">
        <f>14.4525 * CHOOSE( CONTROL!$C$15, $D$11, 100%, $F$11)</f>
        <v>14.452500000000001</v>
      </c>
      <c r="H485" s="4">
        <f>15.3509 * CHOOSE(CONTROL!$C$15, $D$11, 100%, $F$11)</f>
        <v>15.350899999999999</v>
      </c>
      <c r="I485" s="8">
        <f>14.2957 * CHOOSE(CONTROL!$C$15, $D$11, 100%, $F$11)</f>
        <v>14.2957</v>
      </c>
      <c r="J485" s="4">
        <f>14.18 * CHOOSE(CONTROL!$C$15, $D$11, 100%, $F$11)</f>
        <v>14.18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13.7404 * CHOOSE(CONTROL!$C$15, $D$11, 100%, $F$11)</f>
        <v>13.740399999999999</v>
      </c>
      <c r="C486" s="8">
        <f>13.7508 * CHOOSE(CONTROL!$C$15, $D$11, 100%, $F$11)</f>
        <v>13.7508</v>
      </c>
      <c r="D486" s="8">
        <f>13.7513 * CHOOSE( CONTROL!$C$15, $D$11, 100%, $F$11)</f>
        <v>13.751300000000001</v>
      </c>
      <c r="E486" s="12">
        <f>13.75 * CHOOSE( CONTROL!$C$15, $D$11, 100%, $F$11)</f>
        <v>13.75</v>
      </c>
      <c r="F486" s="4">
        <f>14.4154 * CHOOSE(CONTROL!$C$15, $D$11, 100%, $F$11)</f>
        <v>14.4154</v>
      </c>
      <c r="G486" s="8">
        <f>13.5197 * CHOOSE( CONTROL!$C$15, $D$11, 100%, $F$11)</f>
        <v>13.5197</v>
      </c>
      <c r="H486" s="4">
        <f>14.4107 * CHOOSE(CONTROL!$C$15, $D$11, 100%, $F$11)</f>
        <v>14.4107</v>
      </c>
      <c r="I486" s="8">
        <f>13.3675 * CHOOSE(CONTROL!$C$15, $D$11, 100%, $F$11)</f>
        <v>13.3675</v>
      </c>
      <c r="J486" s="4">
        <f>13.2633 * CHOOSE(CONTROL!$C$15, $D$11, 100%, $F$11)</f>
        <v>13.263299999999999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17.8399</v>
      </c>
      <c r="R486" s="9"/>
      <c r="S486" s="11"/>
    </row>
    <row r="487" spans="1:19" ht="15.75">
      <c r="A487" s="13">
        <v>56704</v>
      </c>
      <c r="B487" s="8">
        <f>13.4485 * CHOOSE(CONTROL!$C$15, $D$11, 100%, $F$11)</f>
        <v>13.448499999999999</v>
      </c>
      <c r="C487" s="8">
        <f>13.4588 * CHOOSE(CONTROL!$C$15, $D$11, 100%, $F$11)</f>
        <v>13.4588</v>
      </c>
      <c r="D487" s="8">
        <f>13.454 * CHOOSE( CONTROL!$C$15, $D$11, 100%, $F$11)</f>
        <v>13.454000000000001</v>
      </c>
      <c r="E487" s="12">
        <f>13.4547 * CHOOSE( CONTROL!$C$15, $D$11, 100%, $F$11)</f>
        <v>13.454700000000001</v>
      </c>
      <c r="F487" s="4">
        <f>14.126 * CHOOSE(CONTROL!$C$15, $D$11, 100%, $F$11)</f>
        <v>14.125999999999999</v>
      </c>
      <c r="G487" s="8">
        <f>13.227 * CHOOSE( CONTROL!$C$15, $D$11, 100%, $F$11)</f>
        <v>13.227</v>
      </c>
      <c r="H487" s="4">
        <f>14.126 * CHOOSE(CONTROL!$C$15, $D$11, 100%, $F$11)</f>
        <v>14.125999999999999</v>
      </c>
      <c r="I487" s="8">
        <f>13.0732 * CHOOSE(CONTROL!$C$15, $D$11, 100%, $F$11)</f>
        <v>13.0732</v>
      </c>
      <c r="J487" s="4">
        <f>12.9809 * CHOOSE(CONTROL!$C$15, $D$11, 100%, $F$11)</f>
        <v>12.9809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13.6525 * CHOOSE(CONTROL!$C$15, $D$11, 100%, $F$11)</f>
        <v>13.6525</v>
      </c>
      <c r="C488" s="8">
        <f>13.6628 * CHOOSE(CONTROL!$C$15, $D$11, 100%, $F$11)</f>
        <v>13.662800000000001</v>
      </c>
      <c r="D488" s="8">
        <f>13.6741 * CHOOSE( CONTROL!$C$15, $D$11, 100%, $F$11)</f>
        <v>13.674099999999999</v>
      </c>
      <c r="E488" s="12">
        <f>13.6692 * CHOOSE( CONTROL!$C$15, $D$11, 100%, $F$11)</f>
        <v>13.6692</v>
      </c>
      <c r="F488" s="4">
        <f>14.3326 * CHOOSE(CONTROL!$C$15, $D$11, 100%, $F$11)</f>
        <v>14.332599999999999</v>
      </c>
      <c r="G488" s="8">
        <f>13.4083 * CHOOSE( CONTROL!$C$15, $D$11, 100%, $F$11)</f>
        <v>13.408300000000001</v>
      </c>
      <c r="H488" s="4">
        <f>14.3293 * CHOOSE(CONTROL!$C$15, $D$11, 100%, $F$11)</f>
        <v>14.3293</v>
      </c>
      <c r="I488" s="8">
        <f>13.2629 * CHOOSE(CONTROL!$C$15, $D$11, 100%, $F$11)</f>
        <v>13.2629</v>
      </c>
      <c r="J488" s="4">
        <f>13.1782 * CHOOSE(CONTROL!$C$15, $D$11, 100%, $F$11)</f>
        <v>13.1782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CONTROL!$C$32, 14.019, 14.0156) * CHOOSE(CONTROL!$C$15, $D$11, 100%, $F$11)</f>
        <v>14.019</v>
      </c>
      <c r="C489" s="8">
        <f>CHOOSE( CONTROL!$C$32, 14.0294, 14.0259) * CHOOSE(CONTROL!$C$15, $D$11, 100%, $F$11)</f>
        <v>14.029400000000001</v>
      </c>
      <c r="D489" s="8">
        <f>CHOOSE( CONTROL!$C$32, 14.0402, 14.0367) * CHOOSE( CONTROL!$C$15, $D$11, 100%, $F$11)</f>
        <v>14.0402</v>
      </c>
      <c r="E489" s="12">
        <f>CHOOSE( CONTROL!$C$32, 14.0347, 14.0312) * CHOOSE( CONTROL!$C$15, $D$11, 100%, $F$11)</f>
        <v>14.034700000000001</v>
      </c>
      <c r="F489" s="4">
        <f>CHOOSE( CONTROL!$C$32, 14.6992, 14.6957) * CHOOSE(CONTROL!$C$15, $D$11, 100%, $F$11)</f>
        <v>14.699199999999999</v>
      </c>
      <c r="G489" s="8">
        <f>CHOOSE( CONTROL!$C$32, 13.7702, 13.7667) * CHOOSE( CONTROL!$C$15, $D$11, 100%, $F$11)</f>
        <v>13.770200000000001</v>
      </c>
      <c r="H489" s="4">
        <f>CHOOSE( CONTROL!$C$32, 14.6899, 14.6865) * CHOOSE(CONTROL!$C$15, $D$11, 100%, $F$11)</f>
        <v>14.6899</v>
      </c>
      <c r="I489" s="8">
        <f>CHOOSE( CONTROL!$C$32, 13.6192, 13.6158) * CHOOSE(CONTROL!$C$15, $D$11, 100%, $F$11)</f>
        <v>13.619199999999999</v>
      </c>
      <c r="J489" s="4">
        <f>CHOOSE( CONTROL!$C$32, 13.5327, 13.5294) * CHOOSE(CONTROL!$C$15, $D$11, 100%, $F$11)</f>
        <v>13.5327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CONTROL!$C$32, 13.7941, 13.7907) * CHOOSE(CONTROL!$C$15, $D$11, 100%, $F$11)</f>
        <v>13.7941</v>
      </c>
      <c r="C490" s="8">
        <f>CHOOSE( CONTROL!$C$32, 13.8045, 13.801) * CHOOSE(CONTROL!$C$15, $D$11, 100%, $F$11)</f>
        <v>13.804500000000001</v>
      </c>
      <c r="D490" s="8">
        <f>CHOOSE( CONTROL!$C$32, 13.8156, 13.8121) * CHOOSE( CONTROL!$C$15, $D$11, 100%, $F$11)</f>
        <v>13.8156</v>
      </c>
      <c r="E490" s="12">
        <f>CHOOSE( CONTROL!$C$32, 13.81, 13.8065) * CHOOSE( CONTROL!$C$15, $D$11, 100%, $F$11)</f>
        <v>13.81</v>
      </c>
      <c r="F490" s="4">
        <f>CHOOSE( CONTROL!$C$32, 14.4742, 14.4708) * CHOOSE(CONTROL!$C$15, $D$11, 100%, $F$11)</f>
        <v>14.4742</v>
      </c>
      <c r="G490" s="8">
        <f>CHOOSE( CONTROL!$C$32, 13.5493, 13.5459) * CHOOSE( CONTROL!$C$15, $D$11, 100%, $F$11)</f>
        <v>13.549300000000001</v>
      </c>
      <c r="H490" s="4">
        <f>CHOOSE( CONTROL!$C$32, 14.4686, 14.4652) * CHOOSE(CONTROL!$C$15, $D$11, 100%, $F$11)</f>
        <v>14.4686</v>
      </c>
      <c r="I490" s="8">
        <f>CHOOSE( CONTROL!$C$32, 13.4029, 13.3995) * CHOOSE(CONTROL!$C$15, $D$11, 100%, $F$11)</f>
        <v>13.402900000000001</v>
      </c>
      <c r="J490" s="4">
        <f>CHOOSE( CONTROL!$C$32, 13.3152, 13.3118) * CHOOSE(CONTROL!$C$15, $D$11, 100%, $F$11)</f>
        <v>13.315200000000001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CONTROL!$C$32, 14.3864, 14.383) * CHOOSE(CONTROL!$C$15, $D$11, 100%, $F$11)</f>
        <v>14.3864</v>
      </c>
      <c r="C491" s="8">
        <f>CHOOSE( CONTROL!$C$32, 14.3968, 14.3933) * CHOOSE(CONTROL!$C$15, $D$11, 100%, $F$11)</f>
        <v>14.396800000000001</v>
      </c>
      <c r="D491" s="8">
        <f>CHOOSE( CONTROL!$C$32, 14.4082, 14.4047) * CHOOSE( CONTROL!$C$15, $D$11, 100%, $F$11)</f>
        <v>14.408200000000001</v>
      </c>
      <c r="E491" s="12">
        <f>CHOOSE( CONTROL!$C$32, 14.4025, 14.399) * CHOOSE( CONTROL!$C$15, $D$11, 100%, $F$11)</f>
        <v>14.4025</v>
      </c>
      <c r="F491" s="4">
        <f>CHOOSE( CONTROL!$C$32, 15.0665, 15.0631) * CHOOSE(CONTROL!$C$15, $D$11, 100%, $F$11)</f>
        <v>15.0665</v>
      </c>
      <c r="G491" s="8">
        <f>CHOOSE( CONTROL!$C$32, 14.1325, 14.1291) * CHOOSE( CONTROL!$C$15, $D$11, 100%, $F$11)</f>
        <v>14.1325</v>
      </c>
      <c r="H491" s="4">
        <f>CHOOSE( CONTROL!$C$32, 15.0513, 15.0479) * CHOOSE(CONTROL!$C$15, $D$11, 100%, $F$11)</f>
        <v>15.051299999999999</v>
      </c>
      <c r="I491" s="8">
        <f>CHOOSE( CONTROL!$C$32, 13.9774, 13.9741) * CHOOSE(CONTROL!$C$15, $D$11, 100%, $F$11)</f>
        <v>13.977399999999999</v>
      </c>
      <c r="J491" s="4">
        <f>CHOOSE( CONTROL!$C$32, 13.888, 13.8846) * CHOOSE(CONTROL!$C$15, $D$11, 100%, $F$11)</f>
        <v>13.888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CONTROL!$C$32, 13.2782, 13.2747) * CHOOSE(CONTROL!$C$15, $D$11, 100%, $F$11)</f>
        <v>13.2782</v>
      </c>
      <c r="C492" s="8">
        <f>CHOOSE( CONTROL!$C$32, 13.2885, 13.285) * CHOOSE(CONTROL!$C$15, $D$11, 100%, $F$11)</f>
        <v>13.288500000000001</v>
      </c>
      <c r="D492" s="8">
        <f>CHOOSE( CONTROL!$C$32, 13.3, 13.2966) * CHOOSE( CONTROL!$C$15, $D$11, 100%, $F$11)</f>
        <v>13.3</v>
      </c>
      <c r="E492" s="12">
        <f>CHOOSE( CONTROL!$C$32, 13.2943, 13.2908) * CHOOSE( CONTROL!$C$15, $D$11, 100%, $F$11)</f>
        <v>13.2943</v>
      </c>
      <c r="F492" s="4">
        <f>CHOOSE( CONTROL!$C$32, 13.9583, 13.9548) * CHOOSE(CONTROL!$C$15, $D$11, 100%, $F$11)</f>
        <v>13.958299999999999</v>
      </c>
      <c r="G492" s="8">
        <f>CHOOSE( CONTROL!$C$32, 13.0424, 13.0389) * CHOOSE( CONTROL!$C$15, $D$11, 100%, $F$11)</f>
        <v>13.042400000000001</v>
      </c>
      <c r="H492" s="4">
        <f>CHOOSE( CONTROL!$C$32, 13.961, 13.9576) * CHOOSE(CONTROL!$C$15, $D$11, 100%, $F$11)</f>
        <v>13.961</v>
      </c>
      <c r="I492" s="8">
        <f>CHOOSE( CONTROL!$C$32, 12.9058, 12.9024) * CHOOSE(CONTROL!$C$15, $D$11, 100%, $F$11)</f>
        <v>12.905799999999999</v>
      </c>
      <c r="J492" s="4">
        <f>CHOOSE( CONTROL!$C$32, 12.8162, 12.8129) * CHOOSE(CONTROL!$C$15, $D$11, 100%, $F$11)</f>
        <v>12.8162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CONTROL!$C$32, 13.0007, 12.9972) * CHOOSE(CONTROL!$C$15, $D$11, 100%, $F$11)</f>
        <v>13.0007</v>
      </c>
      <c r="C493" s="8">
        <f>CHOOSE( CONTROL!$C$32, 13.011, 13.0075) * CHOOSE(CONTROL!$C$15, $D$11, 100%, $F$11)</f>
        <v>13.010999999999999</v>
      </c>
      <c r="D493" s="8">
        <f>CHOOSE( CONTROL!$C$32, 13.0226, 13.0191) * CHOOSE( CONTROL!$C$15, $D$11, 100%, $F$11)</f>
        <v>13.022600000000001</v>
      </c>
      <c r="E493" s="12">
        <f>CHOOSE( CONTROL!$C$32, 13.0168, 13.0133) * CHOOSE( CONTROL!$C$15, $D$11, 100%, $F$11)</f>
        <v>13.0168</v>
      </c>
      <c r="F493" s="4">
        <f>CHOOSE( CONTROL!$C$32, 13.6808, 13.6773) * CHOOSE(CONTROL!$C$15, $D$11, 100%, $F$11)</f>
        <v>13.6808</v>
      </c>
      <c r="G493" s="8">
        <f>CHOOSE( CONTROL!$C$32, 12.7694, 12.766) * CHOOSE( CONTROL!$C$15, $D$11, 100%, $F$11)</f>
        <v>12.769399999999999</v>
      </c>
      <c r="H493" s="4">
        <f>CHOOSE( CONTROL!$C$32, 13.688, 13.6846) * CHOOSE(CONTROL!$C$15, $D$11, 100%, $F$11)</f>
        <v>13.688000000000001</v>
      </c>
      <c r="I493" s="8">
        <f>CHOOSE( CONTROL!$C$32, 12.6374, 12.6341) * CHOOSE(CONTROL!$C$15, $D$11, 100%, $F$11)</f>
        <v>12.6374</v>
      </c>
      <c r="J493" s="4">
        <f>CHOOSE( CONTROL!$C$32, 12.5478, 12.5445) * CHOOSE(CONTROL!$C$15, $D$11, 100%, $F$11)</f>
        <v>12.547800000000001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19.1142</v>
      </c>
      <c r="R493" s="9"/>
      <c r="S493" s="11"/>
    </row>
    <row r="494" spans="1:19" ht="15.75">
      <c r="A494" s="13">
        <v>56918</v>
      </c>
      <c r="B494" s="8">
        <f>13.5734 * CHOOSE(CONTROL!$C$15, $D$11, 100%, $F$11)</f>
        <v>13.573399999999999</v>
      </c>
      <c r="C494" s="8">
        <f>13.5837 * CHOOSE(CONTROL!$C$15, $D$11, 100%, $F$11)</f>
        <v>13.5837</v>
      </c>
      <c r="D494" s="8">
        <f>13.5963 * CHOOSE( CONTROL!$C$15, $D$11, 100%, $F$11)</f>
        <v>13.596299999999999</v>
      </c>
      <c r="E494" s="12">
        <f>13.591 * CHOOSE( CONTROL!$C$15, $D$11, 100%, $F$11)</f>
        <v>13.590999999999999</v>
      </c>
      <c r="F494" s="4">
        <f>14.2535 * CHOOSE(CONTROL!$C$15, $D$11, 100%, $F$11)</f>
        <v>14.253500000000001</v>
      </c>
      <c r="G494" s="8">
        <f>13.3324 * CHOOSE( CONTROL!$C$15, $D$11, 100%, $F$11)</f>
        <v>13.3324</v>
      </c>
      <c r="H494" s="4">
        <f>14.2515 * CHOOSE(CONTROL!$C$15, $D$11, 100%, $F$11)</f>
        <v>14.2515</v>
      </c>
      <c r="I494" s="8">
        <f>13.1925 * CHOOSE(CONTROL!$C$15, $D$11, 100%, $F$11)</f>
        <v>13.192500000000001</v>
      </c>
      <c r="J494" s="4">
        <f>13.1017 * CHOOSE(CONTROL!$C$15, $D$11, 100%, $F$11)</f>
        <v>13.101699999999999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14.637 * CHOOSE(CONTROL!$C$15, $D$11, 100%, $F$11)</f>
        <v>14.637</v>
      </c>
      <c r="C495" s="8">
        <f>14.6473 * CHOOSE(CONTROL!$C$15, $D$11, 100%, $F$11)</f>
        <v>14.6473</v>
      </c>
      <c r="D495" s="8">
        <f>14.6323 * CHOOSE( CONTROL!$C$15, $D$11, 100%, $F$11)</f>
        <v>14.632300000000001</v>
      </c>
      <c r="E495" s="12">
        <f>14.6367 * CHOOSE( CONTROL!$C$15, $D$11, 100%, $F$11)</f>
        <v>14.636699999999999</v>
      </c>
      <c r="F495" s="4">
        <f>15.2913 * CHOOSE(CONTROL!$C$15, $D$11, 100%, $F$11)</f>
        <v>15.2913</v>
      </c>
      <c r="G495" s="8">
        <f>14.3882 * CHOOSE( CONTROL!$C$15, $D$11, 100%, $F$11)</f>
        <v>14.388199999999999</v>
      </c>
      <c r="H495" s="4">
        <f>15.2724 * CHOOSE(CONTROL!$C$15, $D$11, 100%, $F$11)</f>
        <v>15.272399999999999</v>
      </c>
      <c r="I495" s="8">
        <f>14.2419 * CHOOSE(CONTROL!$C$15, $D$11, 100%, $F$11)</f>
        <v>14.241899999999999</v>
      </c>
      <c r="J495" s="4">
        <f>14.1303 * CHOOSE(CONTROL!$C$15, $D$11, 100%, $F$11)</f>
        <v>14.1303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19.1142</v>
      </c>
      <c r="R495" s="9"/>
      <c r="S495" s="11"/>
    </row>
    <row r="496" spans="1:19" ht="15.75">
      <c r="A496" s="13">
        <v>56979</v>
      </c>
      <c r="B496" s="8">
        <f>14.6104 * CHOOSE(CONTROL!$C$15, $D$11, 100%, $F$11)</f>
        <v>14.6104</v>
      </c>
      <c r="C496" s="8">
        <f>14.6208 * CHOOSE(CONTROL!$C$15, $D$11, 100%, $F$11)</f>
        <v>14.620799999999999</v>
      </c>
      <c r="D496" s="8">
        <f>14.6073 * CHOOSE( CONTROL!$C$15, $D$11, 100%, $F$11)</f>
        <v>14.6073</v>
      </c>
      <c r="E496" s="12">
        <f>14.6111 * CHOOSE( CONTROL!$C$15, $D$11, 100%, $F$11)</f>
        <v>14.6111</v>
      </c>
      <c r="F496" s="4">
        <f>15.2647 * CHOOSE(CONTROL!$C$15, $D$11, 100%, $F$11)</f>
        <v>15.264699999999999</v>
      </c>
      <c r="G496" s="8">
        <f>14.3633 * CHOOSE( CONTROL!$C$15, $D$11, 100%, $F$11)</f>
        <v>14.363300000000001</v>
      </c>
      <c r="H496" s="4">
        <f>15.2463 * CHOOSE(CONTROL!$C$15, $D$11, 100%, $F$11)</f>
        <v>15.2463</v>
      </c>
      <c r="I496" s="8">
        <f>14.2215 * CHOOSE(CONTROL!$C$15, $D$11, 100%, $F$11)</f>
        <v>14.221500000000001</v>
      </c>
      <c r="J496" s="4">
        <f>14.1046 * CHOOSE(CONTROL!$C$15, $D$11, 100%, $F$11)</f>
        <v>14.1046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15.1678 * CHOOSE(CONTROL!$C$15, $D$11, 100%, $F$11)</f>
        <v>15.1678</v>
      </c>
      <c r="C497" s="8">
        <f>15.1782 * CHOOSE(CONTROL!$C$15, $D$11, 100%, $F$11)</f>
        <v>15.1782</v>
      </c>
      <c r="D497" s="8">
        <f>15.1766 * CHOOSE( CONTROL!$C$15, $D$11, 100%, $F$11)</f>
        <v>15.176600000000001</v>
      </c>
      <c r="E497" s="12">
        <f>15.1761 * CHOOSE( CONTROL!$C$15, $D$11, 100%, $F$11)</f>
        <v>15.1761</v>
      </c>
      <c r="F497" s="4">
        <f>15.8505 * CHOOSE(CONTROL!$C$15, $D$11, 100%, $F$11)</f>
        <v>15.8505</v>
      </c>
      <c r="G497" s="8">
        <f>14.9242 * CHOOSE( CONTROL!$C$15, $D$11, 100%, $F$11)</f>
        <v>14.924200000000001</v>
      </c>
      <c r="H497" s="4">
        <f>15.8227 * CHOOSE(CONTROL!$C$15, $D$11, 100%, $F$11)</f>
        <v>15.822699999999999</v>
      </c>
      <c r="I497" s="8">
        <f>14.7596 * CHOOSE(CONTROL!$C$15, $D$11, 100%, $F$11)</f>
        <v>14.759600000000001</v>
      </c>
      <c r="J497" s="4">
        <f>14.6437 * CHOOSE(CONTROL!$C$15, $D$11, 100%, $F$11)</f>
        <v>14.643700000000001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14.1889 * CHOOSE(CONTROL!$C$15, $D$11, 100%, $F$11)</f>
        <v>14.1889</v>
      </c>
      <c r="C498" s="8">
        <f>14.1993 * CHOOSE(CONTROL!$C$15, $D$11, 100%, $F$11)</f>
        <v>14.199299999999999</v>
      </c>
      <c r="D498" s="8">
        <f>14.1998 * CHOOSE( CONTROL!$C$15, $D$11, 100%, $F$11)</f>
        <v>14.1998</v>
      </c>
      <c r="E498" s="12">
        <f>14.1985 * CHOOSE( CONTROL!$C$15, $D$11, 100%, $F$11)</f>
        <v>14.198499999999999</v>
      </c>
      <c r="F498" s="4">
        <f>14.8639 * CHOOSE(CONTROL!$C$15, $D$11, 100%, $F$11)</f>
        <v>14.863899999999999</v>
      </c>
      <c r="G498" s="8">
        <f>13.9609 * CHOOSE( CONTROL!$C$15, $D$11, 100%, $F$11)</f>
        <v>13.960900000000001</v>
      </c>
      <c r="H498" s="4">
        <f>14.852 * CHOOSE(CONTROL!$C$15, $D$11, 100%, $F$11)</f>
        <v>14.852</v>
      </c>
      <c r="I498" s="8">
        <f>13.8015 * CHOOSE(CONTROL!$C$15, $D$11, 100%, $F$11)</f>
        <v>13.801500000000001</v>
      </c>
      <c r="J498" s="4">
        <f>13.697 * CHOOSE(CONTROL!$C$15, $D$11, 100%, $F$11)</f>
        <v>13.696999999999999</v>
      </c>
      <c r="K498" s="4"/>
      <c r="L498" s="9">
        <v>27.415299999999998</v>
      </c>
      <c r="M498" s="9">
        <v>11.285299999999999</v>
      </c>
      <c r="N498" s="9">
        <v>4.6254999999999997</v>
      </c>
      <c r="O498" s="9">
        <v>0.34989999999999999</v>
      </c>
      <c r="P498" s="9">
        <v>1.2093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13.8874 * CHOOSE(CONTROL!$C$15, $D$11, 100%, $F$11)</f>
        <v>13.8874</v>
      </c>
      <c r="C499" s="8">
        <f>13.8978 * CHOOSE(CONTROL!$C$15, $D$11, 100%, $F$11)</f>
        <v>13.8978</v>
      </c>
      <c r="D499" s="8">
        <f>13.893 * CHOOSE( CONTROL!$C$15, $D$11, 100%, $F$11)</f>
        <v>13.893000000000001</v>
      </c>
      <c r="E499" s="12">
        <f>13.8936 * CHOOSE( CONTROL!$C$15, $D$11, 100%, $F$11)</f>
        <v>13.893599999999999</v>
      </c>
      <c r="F499" s="4">
        <f>14.565 * CHOOSE(CONTROL!$C$15, $D$11, 100%, $F$11)</f>
        <v>14.565</v>
      </c>
      <c r="G499" s="8">
        <f>13.6589 * CHOOSE( CONTROL!$C$15, $D$11, 100%, $F$11)</f>
        <v>13.658899999999999</v>
      </c>
      <c r="H499" s="4">
        <f>14.5579 * CHOOSE(CONTROL!$C$15, $D$11, 100%, $F$11)</f>
        <v>14.5579</v>
      </c>
      <c r="I499" s="8">
        <f>13.4979 * CHOOSE(CONTROL!$C$15, $D$11, 100%, $F$11)</f>
        <v>13.4979</v>
      </c>
      <c r="J499" s="4">
        <f>13.4054 * CHOOSE(CONTROL!$C$15, $D$11, 100%, $F$11)</f>
        <v>13.4054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14.0981 * CHOOSE(CONTROL!$C$15, $D$11, 100%, $F$11)</f>
        <v>14.098100000000001</v>
      </c>
      <c r="C500" s="8">
        <f>14.1085 * CHOOSE(CONTROL!$C$15, $D$11, 100%, $F$11)</f>
        <v>14.108499999999999</v>
      </c>
      <c r="D500" s="8">
        <f>14.1198 * CHOOSE( CONTROL!$C$15, $D$11, 100%, $F$11)</f>
        <v>14.1198</v>
      </c>
      <c r="E500" s="12">
        <f>14.1149 * CHOOSE( CONTROL!$C$15, $D$11, 100%, $F$11)</f>
        <v>14.1149</v>
      </c>
      <c r="F500" s="4">
        <f>14.7782 * CHOOSE(CONTROL!$C$15, $D$11, 100%, $F$11)</f>
        <v>14.7782</v>
      </c>
      <c r="G500" s="8">
        <f>13.8468 * CHOOSE( CONTROL!$C$15, $D$11, 100%, $F$11)</f>
        <v>13.8468</v>
      </c>
      <c r="H500" s="4">
        <f>14.7677 * CHOOSE(CONTROL!$C$15, $D$11, 100%, $F$11)</f>
        <v>14.7677</v>
      </c>
      <c r="I500" s="8">
        <f>13.6941 * CHOOSE(CONTROL!$C$15, $D$11, 100%, $F$11)</f>
        <v>13.694100000000001</v>
      </c>
      <c r="J500" s="4">
        <f>13.6092 * CHOOSE(CONTROL!$C$15, $D$11, 100%, $F$11)</f>
        <v>13.6092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CONTROL!$C$32, 14.4766, 14.4731) * CHOOSE(CONTROL!$C$15, $D$11, 100%, $F$11)</f>
        <v>14.476599999999999</v>
      </c>
      <c r="C501" s="8">
        <f>CHOOSE( CONTROL!$C$32, 14.4869, 14.4834) * CHOOSE(CONTROL!$C$15, $D$11, 100%, $F$11)</f>
        <v>14.4869</v>
      </c>
      <c r="D501" s="8">
        <f>CHOOSE( CONTROL!$C$32, 14.4977, 14.4942) * CHOOSE( CONTROL!$C$15, $D$11, 100%, $F$11)</f>
        <v>14.4977</v>
      </c>
      <c r="E501" s="12">
        <f>CHOOSE( CONTROL!$C$32, 14.4922, 14.4887) * CHOOSE( CONTROL!$C$15, $D$11, 100%, $F$11)</f>
        <v>14.4922</v>
      </c>
      <c r="F501" s="4">
        <f>CHOOSE( CONTROL!$C$32, 15.1567, 15.1532) * CHOOSE(CONTROL!$C$15, $D$11, 100%, $F$11)</f>
        <v>15.156700000000001</v>
      </c>
      <c r="G501" s="8">
        <f>CHOOSE( CONTROL!$C$32, 14.2203, 14.2169) * CHOOSE( CONTROL!$C$15, $D$11, 100%, $F$11)</f>
        <v>14.2203</v>
      </c>
      <c r="H501" s="4">
        <f>CHOOSE( CONTROL!$C$32, 15.14, 15.1366) * CHOOSE(CONTROL!$C$15, $D$11, 100%, $F$11)</f>
        <v>15.14</v>
      </c>
      <c r="I501" s="8">
        <f>CHOOSE( CONTROL!$C$32, 14.0619, 14.0585) * CHOOSE(CONTROL!$C$15, $D$11, 100%, $F$11)</f>
        <v>14.0619</v>
      </c>
      <c r="J501" s="4">
        <f>CHOOSE( CONTROL!$C$32, 13.9752, 13.9718) * CHOOSE(CONTROL!$C$15, $D$11, 100%, $F$11)</f>
        <v>13.975199999999999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CONTROL!$C$32, 14.2443, 14.2408) * CHOOSE(CONTROL!$C$15, $D$11, 100%, $F$11)</f>
        <v>14.244300000000001</v>
      </c>
      <c r="C502" s="8">
        <f>CHOOSE( CONTROL!$C$32, 14.2546, 14.2512) * CHOOSE(CONTROL!$C$15, $D$11, 100%, $F$11)</f>
        <v>14.2546</v>
      </c>
      <c r="D502" s="8">
        <f>CHOOSE( CONTROL!$C$32, 14.2657, 14.2623) * CHOOSE( CONTROL!$C$15, $D$11, 100%, $F$11)</f>
        <v>14.265700000000001</v>
      </c>
      <c r="E502" s="12">
        <f>CHOOSE( CONTROL!$C$32, 14.2601, 14.2567) * CHOOSE( CONTROL!$C$15, $D$11, 100%, $F$11)</f>
        <v>14.2601</v>
      </c>
      <c r="F502" s="4">
        <f>CHOOSE( CONTROL!$C$32, 14.9244, 14.9209) * CHOOSE(CONTROL!$C$15, $D$11, 100%, $F$11)</f>
        <v>14.9244</v>
      </c>
      <c r="G502" s="8">
        <f>CHOOSE( CONTROL!$C$32, 13.9922, 13.9888) * CHOOSE( CONTROL!$C$15, $D$11, 100%, $F$11)</f>
        <v>13.9922</v>
      </c>
      <c r="H502" s="4">
        <f>CHOOSE( CONTROL!$C$32, 14.9115, 14.9081) * CHOOSE(CONTROL!$C$15, $D$11, 100%, $F$11)</f>
        <v>14.9115</v>
      </c>
      <c r="I502" s="8">
        <f>CHOOSE( CONTROL!$C$32, 13.8385, 13.8351) * CHOOSE(CONTROL!$C$15, $D$11, 100%, $F$11)</f>
        <v>13.8385</v>
      </c>
      <c r="J502" s="4">
        <f>CHOOSE( CONTROL!$C$32, 13.7505, 13.7472) * CHOOSE(CONTROL!$C$15, $D$11, 100%, $F$11)</f>
        <v>13.750500000000001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CONTROL!$C$32, 14.856, 14.8525) * CHOOSE(CONTROL!$C$15, $D$11, 100%, $F$11)</f>
        <v>14.856</v>
      </c>
      <c r="C503" s="8">
        <f>CHOOSE( CONTROL!$C$32, 14.8663, 14.8628) * CHOOSE(CONTROL!$C$15, $D$11, 100%, $F$11)</f>
        <v>14.866300000000001</v>
      </c>
      <c r="D503" s="8">
        <f>CHOOSE( CONTROL!$C$32, 14.8777, 14.8742) * CHOOSE( CONTROL!$C$15, $D$11, 100%, $F$11)</f>
        <v>14.877700000000001</v>
      </c>
      <c r="E503" s="12">
        <f>CHOOSE( CONTROL!$C$32, 14.872, 14.8685) * CHOOSE( CONTROL!$C$15, $D$11, 100%, $F$11)</f>
        <v>14.872</v>
      </c>
      <c r="F503" s="4">
        <f>CHOOSE( CONTROL!$C$32, 15.5361, 15.5326) * CHOOSE(CONTROL!$C$15, $D$11, 100%, $F$11)</f>
        <v>15.536099999999999</v>
      </c>
      <c r="G503" s="8">
        <f>CHOOSE( CONTROL!$C$32, 14.5944, 14.591) * CHOOSE( CONTROL!$C$15, $D$11, 100%, $F$11)</f>
        <v>14.5944</v>
      </c>
      <c r="H503" s="4">
        <f>CHOOSE( CONTROL!$C$32, 15.5133, 15.5099) * CHOOSE(CONTROL!$C$15, $D$11, 100%, $F$11)</f>
        <v>15.513299999999999</v>
      </c>
      <c r="I503" s="8">
        <f>CHOOSE( CONTROL!$C$32, 14.4317, 14.4284) * CHOOSE(CONTROL!$C$15, $D$11, 100%, $F$11)</f>
        <v>14.431699999999999</v>
      </c>
      <c r="J503" s="4">
        <f>CHOOSE( CONTROL!$C$32, 14.3421, 14.3387) * CHOOSE(CONTROL!$C$15, $D$11, 100%, $F$11)</f>
        <v>14.3421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CONTROL!$C$32, 13.7115, 13.708) * CHOOSE(CONTROL!$C$15, $D$11, 100%, $F$11)</f>
        <v>13.711499999999999</v>
      </c>
      <c r="C504" s="8">
        <f>CHOOSE( CONTROL!$C$32, 13.7218, 13.7183) * CHOOSE(CONTROL!$C$15, $D$11, 100%, $F$11)</f>
        <v>13.7218</v>
      </c>
      <c r="D504" s="8">
        <f>CHOOSE( CONTROL!$C$32, 13.7333, 13.7299) * CHOOSE( CONTROL!$C$15, $D$11, 100%, $F$11)</f>
        <v>13.7333</v>
      </c>
      <c r="E504" s="12">
        <f>CHOOSE( CONTROL!$C$32, 13.7276, 13.7241) * CHOOSE( CONTROL!$C$15, $D$11, 100%, $F$11)</f>
        <v>13.727600000000001</v>
      </c>
      <c r="F504" s="4">
        <f>CHOOSE( CONTROL!$C$32, 14.3916, 14.3881) * CHOOSE(CONTROL!$C$15, $D$11, 100%, $F$11)</f>
        <v>14.3916</v>
      </c>
      <c r="G504" s="8">
        <f>CHOOSE( CONTROL!$C$32, 13.4686, 13.4652) * CHOOSE( CONTROL!$C$15, $D$11, 100%, $F$11)</f>
        <v>13.4686</v>
      </c>
      <c r="H504" s="4">
        <f>CHOOSE( CONTROL!$C$32, 14.3873, 14.3839) * CHOOSE(CONTROL!$C$15, $D$11, 100%, $F$11)</f>
        <v>14.3873</v>
      </c>
      <c r="I504" s="8">
        <f>CHOOSE( CONTROL!$C$32, 13.325, 13.3216) * CHOOSE(CONTROL!$C$15, $D$11, 100%, $F$11)</f>
        <v>13.324999999999999</v>
      </c>
      <c r="J504" s="4">
        <f>CHOOSE( CONTROL!$C$32, 13.2352, 13.2319) * CHOOSE(CONTROL!$C$15, $D$11, 100%, $F$11)</f>
        <v>13.235200000000001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CONTROL!$C$32, 13.4249, 13.4214) * CHOOSE(CONTROL!$C$15, $D$11, 100%, $F$11)</f>
        <v>13.424899999999999</v>
      </c>
      <c r="C505" s="8">
        <f>CHOOSE( CONTROL!$C$32, 13.4352, 13.4317) * CHOOSE(CONTROL!$C$15, $D$11, 100%, $F$11)</f>
        <v>13.4352</v>
      </c>
      <c r="D505" s="8">
        <f>CHOOSE( CONTROL!$C$32, 13.4468, 13.4433) * CHOOSE( CONTROL!$C$15, $D$11, 100%, $F$11)</f>
        <v>13.4468</v>
      </c>
      <c r="E505" s="12">
        <f>CHOOSE( CONTROL!$C$32, 13.441, 13.4375) * CHOOSE( CONTROL!$C$15, $D$11, 100%, $F$11)</f>
        <v>13.441000000000001</v>
      </c>
      <c r="F505" s="4">
        <f>CHOOSE( CONTROL!$C$32, 14.105, 14.1015) * CHOOSE(CONTROL!$C$15, $D$11, 100%, $F$11)</f>
        <v>14.105</v>
      </c>
      <c r="G505" s="8">
        <f>CHOOSE( CONTROL!$C$32, 13.1867, 13.1833) * CHOOSE( CONTROL!$C$15, $D$11, 100%, $F$11)</f>
        <v>13.1867</v>
      </c>
      <c r="H505" s="4">
        <f>CHOOSE( CONTROL!$C$32, 14.1053, 14.1019) * CHOOSE(CONTROL!$C$15, $D$11, 100%, $F$11)</f>
        <v>14.1053</v>
      </c>
      <c r="I505" s="8">
        <f>CHOOSE( CONTROL!$C$32, 13.0479, 13.0445) * CHOOSE(CONTROL!$C$15, $D$11, 100%, $F$11)</f>
        <v>13.0479</v>
      </c>
      <c r="J505" s="4">
        <f>CHOOSE( CONTROL!$C$32, 12.9581, 12.9547) * CHOOSE(CONTROL!$C$15, $D$11, 100%, $F$11)</f>
        <v>12.9581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14.0165 * CHOOSE(CONTROL!$C$15, $D$11, 100%, $F$11)</f>
        <v>14.016500000000001</v>
      </c>
      <c r="C506" s="8">
        <f>14.0268 * CHOOSE(CONTROL!$C$15, $D$11, 100%, $F$11)</f>
        <v>14.0268</v>
      </c>
      <c r="D506" s="8">
        <f>14.0393 * CHOOSE( CONTROL!$C$15, $D$11, 100%, $F$11)</f>
        <v>14.039300000000001</v>
      </c>
      <c r="E506" s="12">
        <f>14.0341 * CHOOSE( CONTROL!$C$15, $D$11, 100%, $F$11)</f>
        <v>14.0341</v>
      </c>
      <c r="F506" s="4">
        <f>14.6966 * CHOOSE(CONTROL!$C$15, $D$11, 100%, $F$11)</f>
        <v>14.6966</v>
      </c>
      <c r="G506" s="8">
        <f>13.7683 * CHOOSE( CONTROL!$C$15, $D$11, 100%, $F$11)</f>
        <v>13.7683</v>
      </c>
      <c r="H506" s="4">
        <f>14.6874 * CHOOSE(CONTROL!$C$15, $D$11, 100%, $F$11)</f>
        <v>14.6874</v>
      </c>
      <c r="I506" s="8">
        <f>13.6212 * CHOOSE(CONTROL!$C$15, $D$11, 100%, $F$11)</f>
        <v>13.6212</v>
      </c>
      <c r="J506" s="4">
        <f>13.5302 * CHOOSE(CONTROL!$C$15, $D$11, 100%, $F$11)</f>
        <v>13.530200000000001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15.1148 * CHOOSE(CONTROL!$C$15, $D$11, 100%, $F$11)</f>
        <v>15.114800000000001</v>
      </c>
      <c r="C507" s="8">
        <f>15.1252 * CHOOSE(CONTROL!$C$15, $D$11, 100%, $F$11)</f>
        <v>15.1252</v>
      </c>
      <c r="D507" s="8">
        <f>15.1101 * CHOOSE( CONTROL!$C$15, $D$11, 100%, $F$11)</f>
        <v>15.110099999999999</v>
      </c>
      <c r="E507" s="12">
        <f>15.1145 * CHOOSE( CONTROL!$C$15, $D$11, 100%, $F$11)</f>
        <v>15.1145</v>
      </c>
      <c r="F507" s="4">
        <f>15.7691 * CHOOSE(CONTROL!$C$15, $D$11, 100%, $F$11)</f>
        <v>15.7691</v>
      </c>
      <c r="G507" s="8">
        <f>14.8583 * CHOOSE( CONTROL!$C$15, $D$11, 100%, $F$11)</f>
        <v>14.8583</v>
      </c>
      <c r="H507" s="4">
        <f>15.7425 * CHOOSE(CONTROL!$C$15, $D$11, 100%, $F$11)</f>
        <v>15.7425</v>
      </c>
      <c r="I507" s="8">
        <f>14.7043 * CHOOSE(CONTROL!$C$15, $D$11, 100%, $F$11)</f>
        <v>14.7043</v>
      </c>
      <c r="J507" s="4">
        <f>14.5925 * CHOOSE(CONTROL!$C$15, $D$11, 100%, $F$11)</f>
        <v>14.592499999999999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15.0874 * CHOOSE(CONTROL!$C$15, $D$11, 100%, $F$11)</f>
        <v>15.087400000000001</v>
      </c>
      <c r="C508" s="8">
        <f>15.0977 * CHOOSE(CONTROL!$C$15, $D$11, 100%, $F$11)</f>
        <v>15.0977</v>
      </c>
      <c r="D508" s="8">
        <f>15.0843 * CHOOSE( CONTROL!$C$15, $D$11, 100%, $F$11)</f>
        <v>15.084300000000001</v>
      </c>
      <c r="E508" s="12">
        <f>15.0881 * CHOOSE( CONTROL!$C$15, $D$11, 100%, $F$11)</f>
        <v>15.088100000000001</v>
      </c>
      <c r="F508" s="4">
        <f>15.7417 * CHOOSE(CONTROL!$C$15, $D$11, 100%, $F$11)</f>
        <v>15.7417</v>
      </c>
      <c r="G508" s="8">
        <f>14.8326 * CHOOSE( CONTROL!$C$15, $D$11, 100%, $F$11)</f>
        <v>14.832599999999999</v>
      </c>
      <c r="H508" s="4">
        <f>15.7155 * CHOOSE(CONTROL!$C$15, $D$11, 100%, $F$11)</f>
        <v>15.7155</v>
      </c>
      <c r="I508" s="8">
        <f>14.683 * CHOOSE(CONTROL!$C$15, $D$11, 100%, $F$11)</f>
        <v>14.683</v>
      </c>
      <c r="J508" s="4">
        <f>14.5659 * CHOOSE(CONTROL!$C$15, $D$11, 100%, $F$11)</f>
        <v>14.565899999999999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15.663 * CHOOSE(CONTROL!$C$15, $D$11, 100%, $F$11)</f>
        <v>15.663</v>
      </c>
      <c r="C509" s="8">
        <f>15.6734 * CHOOSE(CONTROL!$C$15, $D$11, 100%, $F$11)</f>
        <v>15.673400000000001</v>
      </c>
      <c r="D509" s="8">
        <f>15.6718 * CHOOSE( CONTROL!$C$15, $D$11, 100%, $F$11)</f>
        <v>15.671799999999999</v>
      </c>
      <c r="E509" s="12">
        <f>15.6713 * CHOOSE( CONTROL!$C$15, $D$11, 100%, $F$11)</f>
        <v>15.6713</v>
      </c>
      <c r="F509" s="4">
        <f>16.3457 * CHOOSE(CONTROL!$C$15, $D$11, 100%, $F$11)</f>
        <v>16.345700000000001</v>
      </c>
      <c r="G509" s="8">
        <f>15.4114 * CHOOSE( CONTROL!$C$15, $D$11, 100%, $F$11)</f>
        <v>15.4114</v>
      </c>
      <c r="H509" s="4">
        <f>16.3098 * CHOOSE(CONTROL!$C$15, $D$11, 100%, $F$11)</f>
        <v>16.309799999999999</v>
      </c>
      <c r="I509" s="8">
        <f>15.2388 * CHOOSE(CONTROL!$C$15, $D$11, 100%, $F$11)</f>
        <v>15.238799999999999</v>
      </c>
      <c r="J509" s="4">
        <f>15.1226 * CHOOSE(CONTROL!$C$15, $D$11, 100%, $F$11)</f>
        <v>15.1226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14.6521 * CHOOSE(CONTROL!$C$15, $D$11, 100%, $F$11)</f>
        <v>14.652100000000001</v>
      </c>
      <c r="C510" s="8">
        <f>14.6625 * CHOOSE(CONTROL!$C$15, $D$11, 100%, $F$11)</f>
        <v>14.6625</v>
      </c>
      <c r="D510" s="8">
        <f>14.663 * CHOOSE( CONTROL!$C$15, $D$11, 100%, $F$11)</f>
        <v>14.663</v>
      </c>
      <c r="E510" s="12">
        <f>14.6617 * CHOOSE( CONTROL!$C$15, $D$11, 100%, $F$11)</f>
        <v>14.6617</v>
      </c>
      <c r="F510" s="4">
        <f>15.3271 * CHOOSE(CONTROL!$C$15, $D$11, 100%, $F$11)</f>
        <v>15.3271</v>
      </c>
      <c r="G510" s="8">
        <f>14.4166 * CHOOSE( CONTROL!$C$15, $D$11, 100%, $F$11)</f>
        <v>14.416600000000001</v>
      </c>
      <c r="H510" s="4">
        <f>15.3077 * CHOOSE(CONTROL!$C$15, $D$11, 100%, $F$11)</f>
        <v>15.307700000000001</v>
      </c>
      <c r="I510" s="8">
        <f>14.2497 * CHOOSE(CONTROL!$C$15, $D$11, 100%, $F$11)</f>
        <v>14.249700000000001</v>
      </c>
      <c r="J510" s="4">
        <f>14.145 * CHOOSE(CONTROL!$C$15, $D$11, 100%, $F$11)</f>
        <v>14.145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14.3408 * CHOOSE(CONTROL!$C$15, $D$11, 100%, $F$11)</f>
        <v>14.3408</v>
      </c>
      <c r="C511" s="8">
        <f>14.3511 * CHOOSE(CONTROL!$C$15, $D$11, 100%, $F$11)</f>
        <v>14.351100000000001</v>
      </c>
      <c r="D511" s="8">
        <f>14.3463 * CHOOSE( CONTROL!$C$15, $D$11, 100%, $F$11)</f>
        <v>14.346299999999999</v>
      </c>
      <c r="E511" s="12">
        <f>14.347 * CHOOSE( CONTROL!$C$15, $D$11, 100%, $F$11)</f>
        <v>14.347</v>
      </c>
      <c r="F511" s="4">
        <f>15.0183 * CHOOSE(CONTROL!$C$15, $D$11, 100%, $F$11)</f>
        <v>15.0183</v>
      </c>
      <c r="G511" s="8">
        <f>14.1049 * CHOOSE( CONTROL!$C$15, $D$11, 100%, $F$11)</f>
        <v>14.104900000000001</v>
      </c>
      <c r="H511" s="4">
        <f>15.0039 * CHOOSE(CONTROL!$C$15, $D$11, 100%, $F$11)</f>
        <v>15.0039</v>
      </c>
      <c r="I511" s="8">
        <f>13.9366 * CHOOSE(CONTROL!$C$15, $D$11, 100%, $F$11)</f>
        <v>13.9366</v>
      </c>
      <c r="J511" s="4">
        <f>13.8439 * CHOOSE(CONTROL!$C$15, $D$11, 100%, $F$11)</f>
        <v>13.8439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14.5583 * CHOOSE(CONTROL!$C$15, $D$11, 100%, $F$11)</f>
        <v>14.558299999999999</v>
      </c>
      <c r="C512" s="8">
        <f>14.5687 * CHOOSE(CONTROL!$C$15, $D$11, 100%, $F$11)</f>
        <v>14.5687</v>
      </c>
      <c r="D512" s="8">
        <f>14.58 * CHOOSE( CONTROL!$C$15, $D$11, 100%, $F$11)</f>
        <v>14.58</v>
      </c>
      <c r="E512" s="12">
        <f>14.5751 * CHOOSE( CONTROL!$C$15, $D$11, 100%, $F$11)</f>
        <v>14.575100000000001</v>
      </c>
      <c r="F512" s="4">
        <f>15.2384 * CHOOSE(CONTROL!$C$15, $D$11, 100%, $F$11)</f>
        <v>15.2384</v>
      </c>
      <c r="G512" s="8">
        <f>14.2995 * CHOOSE( CONTROL!$C$15, $D$11, 100%, $F$11)</f>
        <v>14.2995</v>
      </c>
      <c r="H512" s="4">
        <f>15.2205 * CHOOSE(CONTROL!$C$15, $D$11, 100%, $F$11)</f>
        <v>15.220499999999999</v>
      </c>
      <c r="I512" s="8">
        <f>14.1394 * CHOOSE(CONTROL!$C$15, $D$11, 100%, $F$11)</f>
        <v>14.1394</v>
      </c>
      <c r="J512" s="4">
        <f>14.0543 * CHOOSE(CONTROL!$C$15, $D$11, 100%, $F$11)</f>
        <v>14.0543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CONTROL!$C$32, 14.949, 14.9456) * CHOOSE(CONTROL!$C$15, $D$11, 100%, $F$11)</f>
        <v>14.949</v>
      </c>
      <c r="C513" s="8">
        <f>CHOOSE( CONTROL!$C$32, 14.9594, 14.9559) * CHOOSE(CONTROL!$C$15, $D$11, 100%, $F$11)</f>
        <v>14.9594</v>
      </c>
      <c r="D513" s="8">
        <f>CHOOSE( CONTROL!$C$32, 14.9702, 14.9667) * CHOOSE( CONTROL!$C$15, $D$11, 100%, $F$11)</f>
        <v>14.9702</v>
      </c>
      <c r="E513" s="12">
        <f>CHOOSE( CONTROL!$C$32, 14.9647, 14.9612) * CHOOSE( CONTROL!$C$15, $D$11, 100%, $F$11)</f>
        <v>14.964700000000001</v>
      </c>
      <c r="F513" s="4">
        <f>CHOOSE( CONTROL!$C$32, 15.6291, 15.6257) * CHOOSE(CONTROL!$C$15, $D$11, 100%, $F$11)</f>
        <v>15.629099999999999</v>
      </c>
      <c r="G513" s="8">
        <f>CHOOSE( CONTROL!$C$32, 14.6851, 14.6817) * CHOOSE( CONTROL!$C$15, $D$11, 100%, $F$11)</f>
        <v>14.6851</v>
      </c>
      <c r="H513" s="4">
        <f>CHOOSE( CONTROL!$C$32, 15.6048, 15.6014) * CHOOSE(CONTROL!$C$15, $D$11, 100%, $F$11)</f>
        <v>15.604799999999999</v>
      </c>
      <c r="I513" s="8">
        <f>CHOOSE( CONTROL!$C$32, 14.519, 14.5157) * CHOOSE(CONTROL!$C$15, $D$11, 100%, $F$11)</f>
        <v>14.519</v>
      </c>
      <c r="J513" s="4">
        <f>CHOOSE( CONTROL!$C$32, 14.4321, 14.4287) * CHOOSE(CONTROL!$C$15, $D$11, 100%, $F$11)</f>
        <v>14.4321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CONTROL!$C$32, 14.7092, 14.7057) * CHOOSE(CONTROL!$C$15, $D$11, 100%, $F$11)</f>
        <v>14.709199999999999</v>
      </c>
      <c r="C514" s="8">
        <f>CHOOSE( CONTROL!$C$32, 14.7195, 14.716) * CHOOSE(CONTROL!$C$15, $D$11, 100%, $F$11)</f>
        <v>14.7195</v>
      </c>
      <c r="D514" s="8">
        <f>CHOOSE( CONTROL!$C$32, 14.7306, 14.7271) * CHOOSE( CONTROL!$C$15, $D$11, 100%, $F$11)</f>
        <v>14.730600000000001</v>
      </c>
      <c r="E514" s="12">
        <f>CHOOSE( CONTROL!$C$32, 14.725, 14.7215) * CHOOSE( CONTROL!$C$15, $D$11, 100%, $F$11)</f>
        <v>14.725</v>
      </c>
      <c r="F514" s="4">
        <f>CHOOSE( CONTROL!$C$32, 15.3893, 15.3858) * CHOOSE(CONTROL!$C$15, $D$11, 100%, $F$11)</f>
        <v>15.3893</v>
      </c>
      <c r="G514" s="8">
        <f>CHOOSE( CONTROL!$C$32, 14.4495, 14.4461) * CHOOSE( CONTROL!$C$15, $D$11, 100%, $F$11)</f>
        <v>14.4495</v>
      </c>
      <c r="H514" s="4">
        <f>CHOOSE( CONTROL!$C$32, 15.3689, 15.3654) * CHOOSE(CONTROL!$C$15, $D$11, 100%, $F$11)</f>
        <v>15.3689</v>
      </c>
      <c r="I514" s="8">
        <f>CHOOSE( CONTROL!$C$32, 14.2883, 14.2849) * CHOOSE(CONTROL!$C$15, $D$11, 100%, $F$11)</f>
        <v>14.2883</v>
      </c>
      <c r="J514" s="4">
        <f>CHOOSE( CONTROL!$C$32, 14.2001, 14.1968) * CHOOSE(CONTROL!$C$15, $D$11, 100%, $F$11)</f>
        <v>14.200100000000001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CONTROL!$C$32, 15.3408, 15.3374) * CHOOSE(CONTROL!$C$15, $D$11, 100%, $F$11)</f>
        <v>15.3408</v>
      </c>
      <c r="C515" s="8">
        <f>CHOOSE( CONTROL!$C$32, 15.3512, 15.3477) * CHOOSE(CONTROL!$C$15, $D$11, 100%, $F$11)</f>
        <v>15.3512</v>
      </c>
      <c r="D515" s="8">
        <f>CHOOSE( CONTROL!$C$32, 15.3626, 15.3591) * CHOOSE( CONTROL!$C$15, $D$11, 100%, $F$11)</f>
        <v>15.3626</v>
      </c>
      <c r="E515" s="12">
        <f>CHOOSE( CONTROL!$C$32, 15.3569, 15.3534) * CHOOSE( CONTROL!$C$15, $D$11, 100%, $F$11)</f>
        <v>15.3569</v>
      </c>
      <c r="F515" s="4">
        <f>CHOOSE( CONTROL!$C$32, 16.0209, 16.0175) * CHOOSE(CONTROL!$C$15, $D$11, 100%, $F$11)</f>
        <v>16.020900000000001</v>
      </c>
      <c r="G515" s="8">
        <f>CHOOSE( CONTROL!$C$32, 15.0714, 15.068) * CHOOSE( CONTROL!$C$15, $D$11, 100%, $F$11)</f>
        <v>15.071400000000001</v>
      </c>
      <c r="H515" s="4">
        <f>CHOOSE( CONTROL!$C$32, 15.9903, 15.9869) * CHOOSE(CONTROL!$C$15, $D$11, 100%, $F$11)</f>
        <v>15.9903</v>
      </c>
      <c r="I515" s="8">
        <f>CHOOSE( CONTROL!$C$32, 14.9009, 14.8975) * CHOOSE(CONTROL!$C$15, $D$11, 100%, $F$11)</f>
        <v>14.9009</v>
      </c>
      <c r="J515" s="4">
        <f>CHOOSE( CONTROL!$C$32, 14.811, 14.8077) * CHOOSE(CONTROL!$C$15, $D$11, 100%, $F$11)</f>
        <v>14.811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CONTROL!$C$32, 14.1589, 14.1554) * CHOOSE(CONTROL!$C$15, $D$11, 100%, $F$11)</f>
        <v>14.158899999999999</v>
      </c>
      <c r="C516" s="8">
        <f>CHOOSE( CONTROL!$C$32, 14.1692, 14.1658) * CHOOSE(CONTROL!$C$15, $D$11, 100%, $F$11)</f>
        <v>14.1692</v>
      </c>
      <c r="D516" s="8">
        <f>CHOOSE( CONTROL!$C$32, 14.1808, 14.1773) * CHOOSE( CONTROL!$C$15, $D$11, 100%, $F$11)</f>
        <v>14.1808</v>
      </c>
      <c r="E516" s="12">
        <f>CHOOSE( CONTROL!$C$32, 14.175, 14.1715) * CHOOSE( CONTROL!$C$15, $D$11, 100%, $F$11)</f>
        <v>14.175000000000001</v>
      </c>
      <c r="F516" s="4">
        <f>CHOOSE( CONTROL!$C$32, 14.839, 14.8355) * CHOOSE(CONTROL!$C$15, $D$11, 100%, $F$11)</f>
        <v>14.839</v>
      </c>
      <c r="G516" s="8">
        <f>CHOOSE( CONTROL!$C$32, 13.9088, 13.9054) * CHOOSE( CONTROL!$C$15, $D$11, 100%, $F$11)</f>
        <v>13.908799999999999</v>
      </c>
      <c r="H516" s="4">
        <f>CHOOSE( CONTROL!$C$32, 14.8275, 14.8241) * CHOOSE(CONTROL!$C$15, $D$11, 100%, $F$11)</f>
        <v>14.827500000000001</v>
      </c>
      <c r="I516" s="8">
        <f>CHOOSE( CONTROL!$C$32, 13.758, 13.7546) * CHOOSE(CONTROL!$C$15, $D$11, 100%, $F$11)</f>
        <v>13.757999999999999</v>
      </c>
      <c r="J516" s="4">
        <f>CHOOSE( CONTROL!$C$32, 13.668, 13.6646) * CHOOSE(CONTROL!$C$15, $D$11, 100%, $F$11)</f>
        <v>13.667999999999999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CONTROL!$C$32, 13.8629, 13.8595) * CHOOSE(CONTROL!$C$15, $D$11, 100%, $F$11)</f>
        <v>13.8629</v>
      </c>
      <c r="C517" s="8">
        <f>CHOOSE( CONTROL!$C$32, 13.8733, 13.8698) * CHOOSE(CONTROL!$C$15, $D$11, 100%, $F$11)</f>
        <v>13.8733</v>
      </c>
      <c r="D517" s="8">
        <f>CHOOSE( CONTROL!$C$32, 13.8849, 13.8814) * CHOOSE( CONTROL!$C$15, $D$11, 100%, $F$11)</f>
        <v>13.8849</v>
      </c>
      <c r="E517" s="12">
        <f>CHOOSE( CONTROL!$C$32, 13.8791, 13.8756) * CHOOSE( CONTROL!$C$15, $D$11, 100%, $F$11)</f>
        <v>13.879099999999999</v>
      </c>
      <c r="F517" s="4">
        <f>CHOOSE( CONTROL!$C$32, 14.543, 14.5396) * CHOOSE(CONTROL!$C$15, $D$11, 100%, $F$11)</f>
        <v>14.542999999999999</v>
      </c>
      <c r="G517" s="8">
        <f>CHOOSE( CONTROL!$C$32, 13.6177, 13.6143) * CHOOSE( CONTROL!$C$15, $D$11, 100%, $F$11)</f>
        <v>13.617699999999999</v>
      </c>
      <c r="H517" s="4">
        <f>CHOOSE( CONTROL!$C$32, 14.5363, 14.5329) * CHOOSE(CONTROL!$C$15, $D$11, 100%, $F$11)</f>
        <v>14.536300000000001</v>
      </c>
      <c r="I517" s="8">
        <f>CHOOSE( CONTROL!$C$32, 13.4718, 13.4684) * CHOOSE(CONTROL!$C$15, $D$11, 100%, $F$11)</f>
        <v>13.4718</v>
      </c>
      <c r="J517" s="4">
        <f>CHOOSE( CONTROL!$C$32, 13.3817, 13.3784) * CHOOSE(CONTROL!$C$15, $D$11, 100%, $F$11)</f>
        <v>13.3817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14.474 * CHOOSE(CONTROL!$C$15, $D$11, 100%, $F$11)</f>
        <v>14.474</v>
      </c>
      <c r="C518" s="8">
        <f>14.4843 * CHOOSE(CONTROL!$C$15, $D$11, 100%, $F$11)</f>
        <v>14.484299999999999</v>
      </c>
      <c r="D518" s="8">
        <f>14.4969 * CHOOSE( CONTROL!$C$15, $D$11, 100%, $F$11)</f>
        <v>14.4969</v>
      </c>
      <c r="E518" s="12">
        <f>14.4916 * CHOOSE( CONTROL!$C$15, $D$11, 100%, $F$11)</f>
        <v>14.4916</v>
      </c>
      <c r="F518" s="4">
        <f>15.1541 * CHOOSE(CONTROL!$C$15, $D$11, 100%, $F$11)</f>
        <v>15.1541</v>
      </c>
      <c r="G518" s="8">
        <f>14.2185 * CHOOSE( CONTROL!$C$15, $D$11, 100%, $F$11)</f>
        <v>14.218500000000001</v>
      </c>
      <c r="H518" s="4">
        <f>15.1375 * CHOOSE(CONTROL!$C$15, $D$11, 100%, $F$11)</f>
        <v>15.137499999999999</v>
      </c>
      <c r="I518" s="8">
        <f>14.0639 * CHOOSE(CONTROL!$C$15, $D$11, 100%, $F$11)</f>
        <v>14.0639</v>
      </c>
      <c r="J518" s="4">
        <f>13.9727 * CHOOSE(CONTROL!$C$15, $D$11, 100%, $F$11)</f>
        <v>13.9727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15.6083 * CHOOSE(CONTROL!$C$15, $D$11, 100%, $F$11)</f>
        <v>15.6083</v>
      </c>
      <c r="C519" s="8">
        <f>15.6186 * CHOOSE(CONTROL!$C$15, $D$11, 100%, $F$11)</f>
        <v>15.618600000000001</v>
      </c>
      <c r="D519" s="8">
        <f>15.6036 * CHOOSE( CONTROL!$C$15, $D$11, 100%, $F$11)</f>
        <v>15.6036</v>
      </c>
      <c r="E519" s="12">
        <f>15.608 * CHOOSE( CONTROL!$C$15, $D$11, 100%, $F$11)</f>
        <v>15.608000000000001</v>
      </c>
      <c r="F519" s="4">
        <f>16.2626 * CHOOSE(CONTROL!$C$15, $D$11, 100%, $F$11)</f>
        <v>16.262599999999999</v>
      </c>
      <c r="G519" s="8">
        <f>15.3438 * CHOOSE( CONTROL!$C$15, $D$11, 100%, $F$11)</f>
        <v>15.3438</v>
      </c>
      <c r="H519" s="4">
        <f>16.228 * CHOOSE(CONTROL!$C$15, $D$11, 100%, $F$11)</f>
        <v>16.228000000000002</v>
      </c>
      <c r="I519" s="8">
        <f>15.1818 * CHOOSE(CONTROL!$C$15, $D$11, 100%, $F$11)</f>
        <v>15.181800000000001</v>
      </c>
      <c r="J519" s="4">
        <f>15.0697 * CHOOSE(CONTROL!$C$15, $D$11, 100%, $F$11)</f>
        <v>15.069699999999999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15.58 * CHOOSE(CONTROL!$C$15, $D$11, 100%, $F$11)</f>
        <v>15.58</v>
      </c>
      <c r="C520" s="8">
        <f>15.5903 * CHOOSE(CONTROL!$C$15, $D$11, 100%, $F$11)</f>
        <v>15.590299999999999</v>
      </c>
      <c r="D520" s="8">
        <f>15.5769 * CHOOSE( CONTROL!$C$15, $D$11, 100%, $F$11)</f>
        <v>15.5769</v>
      </c>
      <c r="E520" s="12">
        <f>15.5807 * CHOOSE( CONTROL!$C$15, $D$11, 100%, $F$11)</f>
        <v>15.5807</v>
      </c>
      <c r="F520" s="4">
        <f>16.2342 * CHOOSE(CONTROL!$C$15, $D$11, 100%, $F$11)</f>
        <v>16.234200000000001</v>
      </c>
      <c r="G520" s="8">
        <f>15.3171 * CHOOSE( CONTROL!$C$15, $D$11, 100%, $F$11)</f>
        <v>15.3171</v>
      </c>
      <c r="H520" s="4">
        <f>16.2001 * CHOOSE(CONTROL!$C$15, $D$11, 100%, $F$11)</f>
        <v>16.200099999999999</v>
      </c>
      <c r="I520" s="8">
        <f>15.1596 * CHOOSE(CONTROL!$C$15, $D$11, 100%, $F$11)</f>
        <v>15.159599999999999</v>
      </c>
      <c r="J520" s="4">
        <f>15.0423 * CHOOSE(CONTROL!$C$15, $D$11, 100%, $F$11)</f>
        <v>15.042299999999999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16.1744 * CHOOSE(CONTROL!$C$15, $D$11, 100%, $F$11)</f>
        <v>16.174399999999999</v>
      </c>
      <c r="C521" s="8">
        <f>16.1848 * CHOOSE(CONTROL!$C$15, $D$11, 100%, $F$11)</f>
        <v>16.184799999999999</v>
      </c>
      <c r="D521" s="8">
        <f>16.1832 * CHOOSE( CONTROL!$C$15, $D$11, 100%, $F$11)</f>
        <v>16.183199999999999</v>
      </c>
      <c r="E521" s="12">
        <f>16.1827 * CHOOSE( CONTROL!$C$15, $D$11, 100%, $F$11)</f>
        <v>16.182700000000001</v>
      </c>
      <c r="F521" s="4">
        <f>16.8571 * CHOOSE(CONTROL!$C$15, $D$11, 100%, $F$11)</f>
        <v>16.857099999999999</v>
      </c>
      <c r="G521" s="8">
        <f>15.9145 * CHOOSE( CONTROL!$C$15, $D$11, 100%, $F$11)</f>
        <v>15.9145</v>
      </c>
      <c r="H521" s="4">
        <f>16.813 * CHOOSE(CONTROL!$C$15, $D$11, 100%, $F$11)</f>
        <v>16.812999999999999</v>
      </c>
      <c r="I521" s="8">
        <f>15.7336 * CHOOSE(CONTROL!$C$15, $D$11, 100%, $F$11)</f>
        <v>15.733599999999999</v>
      </c>
      <c r="J521" s="4">
        <f>15.6172 * CHOOSE(CONTROL!$C$15, $D$11, 100%, $F$11)</f>
        <v>15.6172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15.1305 * CHOOSE(CONTROL!$C$15, $D$11, 100%, $F$11)</f>
        <v>15.1305</v>
      </c>
      <c r="C522" s="8">
        <f>15.1408 * CHOOSE(CONTROL!$C$15, $D$11, 100%, $F$11)</f>
        <v>15.1408</v>
      </c>
      <c r="D522" s="8">
        <f>15.1413 * CHOOSE( CONTROL!$C$15, $D$11, 100%, $F$11)</f>
        <v>15.141299999999999</v>
      </c>
      <c r="E522" s="12">
        <f>15.14 * CHOOSE( CONTROL!$C$15, $D$11, 100%, $F$11)</f>
        <v>15.14</v>
      </c>
      <c r="F522" s="4">
        <f>15.8054 * CHOOSE(CONTROL!$C$15, $D$11, 100%, $F$11)</f>
        <v>15.805400000000001</v>
      </c>
      <c r="G522" s="8">
        <f>14.8872 * CHOOSE( CONTROL!$C$15, $D$11, 100%, $F$11)</f>
        <v>14.8872</v>
      </c>
      <c r="H522" s="4">
        <f>15.7782 * CHOOSE(CONTROL!$C$15, $D$11, 100%, $F$11)</f>
        <v>15.7782</v>
      </c>
      <c r="I522" s="8">
        <f>14.7125 * CHOOSE(CONTROL!$C$15, $D$11, 100%, $F$11)</f>
        <v>14.7125</v>
      </c>
      <c r="J522" s="4">
        <f>14.6076 * CHOOSE(CONTROL!$C$15, $D$11, 100%, $F$11)</f>
        <v>14.6076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14.8089 * CHOOSE(CONTROL!$C$15, $D$11, 100%, $F$11)</f>
        <v>14.8089</v>
      </c>
      <c r="C523" s="8">
        <f>14.8193 * CHOOSE(CONTROL!$C$15, $D$11, 100%, $F$11)</f>
        <v>14.8193</v>
      </c>
      <c r="D523" s="8">
        <f>14.8145 * CHOOSE( CONTROL!$C$15, $D$11, 100%, $F$11)</f>
        <v>14.814500000000001</v>
      </c>
      <c r="E523" s="12">
        <f>14.8151 * CHOOSE( CONTROL!$C$15, $D$11, 100%, $F$11)</f>
        <v>14.815099999999999</v>
      </c>
      <c r="F523" s="4">
        <f>15.4864 * CHOOSE(CONTROL!$C$15, $D$11, 100%, $F$11)</f>
        <v>15.4864</v>
      </c>
      <c r="G523" s="8">
        <f>14.5654 * CHOOSE( CONTROL!$C$15, $D$11, 100%, $F$11)</f>
        <v>14.5654</v>
      </c>
      <c r="H523" s="4">
        <f>15.4645 * CHOOSE(CONTROL!$C$15, $D$11, 100%, $F$11)</f>
        <v>15.464499999999999</v>
      </c>
      <c r="I523" s="8">
        <f>14.3895 * CHOOSE(CONTROL!$C$15, $D$11, 100%, $F$11)</f>
        <v>14.3895</v>
      </c>
      <c r="J523" s="4">
        <f>14.2966 * CHOOSE(CONTROL!$C$15, $D$11, 100%, $F$11)</f>
        <v>14.2966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15.0336 * CHOOSE(CONTROL!$C$15, $D$11, 100%, $F$11)</f>
        <v>15.0336</v>
      </c>
      <c r="C524" s="8">
        <f>15.0439 * CHOOSE(CONTROL!$C$15, $D$11, 100%, $F$11)</f>
        <v>15.043900000000001</v>
      </c>
      <c r="D524" s="8">
        <f>15.0552 * CHOOSE( CONTROL!$C$15, $D$11, 100%, $F$11)</f>
        <v>15.055199999999999</v>
      </c>
      <c r="E524" s="12">
        <f>15.0503 * CHOOSE( CONTROL!$C$15, $D$11, 100%, $F$11)</f>
        <v>15.0503</v>
      </c>
      <c r="F524" s="4">
        <f>15.7137 * CHOOSE(CONTROL!$C$15, $D$11, 100%, $F$11)</f>
        <v>15.713699999999999</v>
      </c>
      <c r="G524" s="8">
        <f>14.7671 * CHOOSE( CONTROL!$C$15, $D$11, 100%, $F$11)</f>
        <v>14.767099999999999</v>
      </c>
      <c r="H524" s="4">
        <f>15.688 * CHOOSE(CONTROL!$C$15, $D$11, 100%, $F$11)</f>
        <v>15.688000000000001</v>
      </c>
      <c r="I524" s="8">
        <f>14.5993 * CHOOSE(CONTROL!$C$15, $D$11, 100%, $F$11)</f>
        <v>14.599299999999999</v>
      </c>
      <c r="J524" s="4">
        <f>14.5139 * CHOOSE(CONTROL!$C$15, $D$11, 100%, $F$11)</f>
        <v>14.5139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CONTROL!$C$32, 15.437, 15.4335) * CHOOSE(CONTROL!$C$15, $D$11, 100%, $F$11)</f>
        <v>15.436999999999999</v>
      </c>
      <c r="C525" s="8">
        <f>CHOOSE( CONTROL!$C$32, 15.4473, 15.4438) * CHOOSE(CONTROL!$C$15, $D$11, 100%, $F$11)</f>
        <v>15.4473</v>
      </c>
      <c r="D525" s="8">
        <f>CHOOSE( CONTROL!$C$32, 15.4581, 15.4546) * CHOOSE( CONTROL!$C$15, $D$11, 100%, $F$11)</f>
        <v>15.4581</v>
      </c>
      <c r="E525" s="12">
        <f>CHOOSE( CONTROL!$C$32, 15.4526, 15.4491) * CHOOSE( CONTROL!$C$15, $D$11, 100%, $F$11)</f>
        <v>15.4526</v>
      </c>
      <c r="F525" s="4">
        <f>CHOOSE( CONTROL!$C$32, 16.1171, 16.1136) * CHOOSE(CONTROL!$C$15, $D$11, 100%, $F$11)</f>
        <v>16.117100000000001</v>
      </c>
      <c r="G525" s="8">
        <f>CHOOSE( CONTROL!$C$32, 15.1651, 15.1617) * CHOOSE( CONTROL!$C$15, $D$11, 100%, $F$11)</f>
        <v>15.165100000000001</v>
      </c>
      <c r="H525" s="4">
        <f>CHOOSE( CONTROL!$C$32, 16.0849, 16.0815) * CHOOSE(CONTROL!$C$15, $D$11, 100%, $F$11)</f>
        <v>16.084900000000001</v>
      </c>
      <c r="I525" s="8">
        <f>CHOOSE( CONTROL!$C$32, 14.9911, 14.9878) * CHOOSE(CONTROL!$C$15, $D$11, 100%, $F$11)</f>
        <v>14.991099999999999</v>
      </c>
      <c r="J525" s="4">
        <f>CHOOSE( CONTROL!$C$32, 14.904, 14.9006) * CHOOSE(CONTROL!$C$15, $D$11, 100%, $F$11)</f>
        <v>14.904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CONTROL!$C$32, 15.1892, 15.1858) * CHOOSE(CONTROL!$C$15, $D$11, 100%, $F$11)</f>
        <v>15.1892</v>
      </c>
      <c r="C526" s="8">
        <f>CHOOSE( CONTROL!$C$32, 15.1996, 15.1961) * CHOOSE(CONTROL!$C$15, $D$11, 100%, $F$11)</f>
        <v>15.1996</v>
      </c>
      <c r="D526" s="8">
        <f>CHOOSE( CONTROL!$C$32, 15.2107, 15.2072) * CHOOSE( CONTROL!$C$15, $D$11, 100%, $F$11)</f>
        <v>15.210699999999999</v>
      </c>
      <c r="E526" s="12">
        <f>CHOOSE( CONTROL!$C$32, 15.2051, 15.2016) * CHOOSE( CONTROL!$C$15, $D$11, 100%, $F$11)</f>
        <v>15.2051</v>
      </c>
      <c r="F526" s="4">
        <f>CHOOSE( CONTROL!$C$32, 15.8693, 15.8659) * CHOOSE(CONTROL!$C$15, $D$11, 100%, $F$11)</f>
        <v>15.869300000000001</v>
      </c>
      <c r="G526" s="8">
        <f>CHOOSE( CONTROL!$C$32, 14.9219, 14.9184) * CHOOSE( CONTROL!$C$15, $D$11, 100%, $F$11)</f>
        <v>14.921900000000001</v>
      </c>
      <c r="H526" s="4">
        <f>CHOOSE( CONTROL!$C$32, 15.8412, 15.8378) * CHOOSE(CONTROL!$C$15, $D$11, 100%, $F$11)</f>
        <v>15.841200000000001</v>
      </c>
      <c r="I526" s="8">
        <f>CHOOSE( CONTROL!$C$32, 14.7528, 14.7494) * CHOOSE(CONTROL!$C$15, $D$11, 100%, $F$11)</f>
        <v>14.752800000000001</v>
      </c>
      <c r="J526" s="4">
        <f>CHOOSE( CONTROL!$C$32, 14.6644, 14.6611) * CHOOSE(CONTROL!$C$15, $D$11, 100%, $F$11)</f>
        <v>14.664400000000001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CONTROL!$C$32, 15.8416, 15.8381) * CHOOSE(CONTROL!$C$15, $D$11, 100%, $F$11)</f>
        <v>15.8416</v>
      </c>
      <c r="C527" s="8">
        <f>CHOOSE( CONTROL!$C$32, 15.8519, 15.8484) * CHOOSE(CONTROL!$C$15, $D$11, 100%, $F$11)</f>
        <v>15.851900000000001</v>
      </c>
      <c r="D527" s="8">
        <f>CHOOSE( CONTROL!$C$32, 15.8633, 15.8598) * CHOOSE( CONTROL!$C$15, $D$11, 100%, $F$11)</f>
        <v>15.863300000000001</v>
      </c>
      <c r="E527" s="12">
        <f>CHOOSE( CONTROL!$C$32, 15.8576, 15.8541) * CHOOSE( CONTROL!$C$15, $D$11, 100%, $F$11)</f>
        <v>15.8576</v>
      </c>
      <c r="F527" s="4">
        <f>CHOOSE( CONTROL!$C$32, 16.5217, 16.5182) * CHOOSE(CONTROL!$C$15, $D$11, 100%, $F$11)</f>
        <v>16.521699999999999</v>
      </c>
      <c r="G527" s="8">
        <f>CHOOSE( CONTROL!$C$32, 15.5641, 15.5607) * CHOOSE( CONTROL!$C$15, $D$11, 100%, $F$11)</f>
        <v>15.5641</v>
      </c>
      <c r="H527" s="4">
        <f>CHOOSE( CONTROL!$C$32, 16.483, 16.4795) * CHOOSE(CONTROL!$C$15, $D$11, 100%, $F$11)</f>
        <v>16.483000000000001</v>
      </c>
      <c r="I527" s="8">
        <f>CHOOSE( CONTROL!$C$32, 15.3854, 15.3821) * CHOOSE(CONTROL!$C$15, $D$11, 100%, $F$11)</f>
        <v>15.385400000000001</v>
      </c>
      <c r="J527" s="4">
        <f>CHOOSE( CONTROL!$C$32, 15.2953, 15.2919) * CHOOSE(CONTROL!$C$15, $D$11, 100%, $F$11)</f>
        <v>15.295299999999999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CONTROL!$C$32, 14.621, 14.6175) * CHOOSE(CONTROL!$C$15, $D$11, 100%, $F$11)</f>
        <v>14.621</v>
      </c>
      <c r="C528" s="8">
        <f>CHOOSE( CONTROL!$C$32, 14.6313, 14.6279) * CHOOSE(CONTROL!$C$15, $D$11, 100%, $F$11)</f>
        <v>14.6313</v>
      </c>
      <c r="D528" s="8">
        <f>CHOOSE( CONTROL!$C$32, 14.6429, 14.6394) * CHOOSE( CONTROL!$C$15, $D$11, 100%, $F$11)</f>
        <v>14.642899999999999</v>
      </c>
      <c r="E528" s="12">
        <f>CHOOSE( CONTROL!$C$32, 14.6371, 14.6336) * CHOOSE( CONTROL!$C$15, $D$11, 100%, $F$11)</f>
        <v>14.6371</v>
      </c>
      <c r="F528" s="4">
        <f>CHOOSE( CONTROL!$C$32, 15.3011, 15.2976) * CHOOSE(CONTROL!$C$15, $D$11, 100%, $F$11)</f>
        <v>15.3011</v>
      </c>
      <c r="G528" s="8">
        <f>CHOOSE( CONTROL!$C$32, 14.3635, 14.36) * CHOOSE( CONTROL!$C$15, $D$11, 100%, $F$11)</f>
        <v>14.3635</v>
      </c>
      <c r="H528" s="4">
        <f>CHOOSE( CONTROL!$C$32, 15.2821, 15.2787) * CHOOSE(CONTROL!$C$15, $D$11, 100%, $F$11)</f>
        <v>15.2821</v>
      </c>
      <c r="I528" s="8">
        <f>CHOOSE( CONTROL!$C$32, 14.2051, 14.2017) * CHOOSE(CONTROL!$C$15, $D$11, 100%, $F$11)</f>
        <v>14.2051</v>
      </c>
      <c r="J528" s="4">
        <f>CHOOSE( CONTROL!$C$32, 14.1149, 14.1115) * CHOOSE(CONTROL!$C$15, $D$11, 100%, $F$11)</f>
        <v>14.1149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CONTROL!$C$32, 14.3153, 14.3119) * CHOOSE(CONTROL!$C$15, $D$11, 100%, $F$11)</f>
        <v>14.315300000000001</v>
      </c>
      <c r="C529" s="8">
        <f>CHOOSE( CONTROL!$C$32, 14.3257, 14.3222) * CHOOSE(CONTROL!$C$15, $D$11, 100%, $F$11)</f>
        <v>14.325699999999999</v>
      </c>
      <c r="D529" s="8">
        <f>CHOOSE( CONTROL!$C$32, 14.3373, 14.3338) * CHOOSE( CONTROL!$C$15, $D$11, 100%, $F$11)</f>
        <v>14.337300000000001</v>
      </c>
      <c r="E529" s="12">
        <f>CHOOSE( CONTROL!$C$32, 14.3315, 14.328) * CHOOSE( CONTROL!$C$15, $D$11, 100%, $F$11)</f>
        <v>14.3315</v>
      </c>
      <c r="F529" s="4">
        <f>CHOOSE( CONTROL!$C$32, 14.9955, 14.992) * CHOOSE(CONTROL!$C$15, $D$11, 100%, $F$11)</f>
        <v>14.9955</v>
      </c>
      <c r="G529" s="8">
        <f>CHOOSE( CONTROL!$C$32, 14.0628, 14.0594) * CHOOSE( CONTROL!$C$15, $D$11, 100%, $F$11)</f>
        <v>14.062799999999999</v>
      </c>
      <c r="H529" s="4">
        <f>CHOOSE( CONTROL!$C$32, 14.9814, 14.978) * CHOOSE(CONTROL!$C$15, $D$11, 100%, $F$11)</f>
        <v>14.981400000000001</v>
      </c>
      <c r="I529" s="8">
        <f>CHOOSE( CONTROL!$C$32, 13.9095, 13.9062) * CHOOSE(CONTROL!$C$15, $D$11, 100%, $F$11)</f>
        <v>13.9095</v>
      </c>
      <c r="J529" s="4">
        <f>CHOOSE( CONTROL!$C$32, 13.8193, 13.8159) * CHOOSE(CONTROL!$C$15, $D$11, 100%, $F$11)</f>
        <v>13.8193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14.9465 * CHOOSE(CONTROL!$C$15, $D$11, 100%, $F$11)</f>
        <v>14.9465</v>
      </c>
      <c r="C530" s="8">
        <f>14.9568 * CHOOSE(CONTROL!$C$15, $D$11, 100%, $F$11)</f>
        <v>14.956799999999999</v>
      </c>
      <c r="D530" s="8">
        <f>14.9694 * CHOOSE( CONTROL!$C$15, $D$11, 100%, $F$11)</f>
        <v>14.9694</v>
      </c>
      <c r="E530" s="12">
        <f>14.9641 * CHOOSE( CONTROL!$C$15, $D$11, 100%, $F$11)</f>
        <v>14.9641</v>
      </c>
      <c r="F530" s="4">
        <f>15.6266 * CHOOSE(CONTROL!$C$15, $D$11, 100%, $F$11)</f>
        <v>15.6266</v>
      </c>
      <c r="G530" s="8">
        <f>14.6833 * CHOOSE( CONTROL!$C$15, $D$11, 100%, $F$11)</f>
        <v>14.683299999999999</v>
      </c>
      <c r="H530" s="4">
        <f>15.6024 * CHOOSE(CONTROL!$C$15, $D$11, 100%, $F$11)</f>
        <v>15.602399999999999</v>
      </c>
      <c r="I530" s="8">
        <f>14.5211 * CHOOSE(CONTROL!$C$15, $D$11, 100%, $F$11)</f>
        <v>14.521100000000001</v>
      </c>
      <c r="J530" s="4">
        <f>14.4297 * CHOOSE(CONTROL!$C$15, $D$11, 100%, $F$11)</f>
        <v>14.4297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16.1179 * CHOOSE(CONTROL!$C$15, $D$11, 100%, $F$11)</f>
        <v>16.117899999999999</v>
      </c>
      <c r="C531" s="8">
        <f>16.1282 * CHOOSE(CONTROL!$C$15, $D$11, 100%, $F$11)</f>
        <v>16.1282</v>
      </c>
      <c r="D531" s="8">
        <f>16.1132 * CHOOSE( CONTROL!$C$15, $D$11, 100%, $F$11)</f>
        <v>16.113199999999999</v>
      </c>
      <c r="E531" s="12">
        <f>16.1176 * CHOOSE( CONTROL!$C$15, $D$11, 100%, $F$11)</f>
        <v>16.117599999999999</v>
      </c>
      <c r="F531" s="4">
        <f>16.7722 * CHOOSE(CONTROL!$C$15, $D$11, 100%, $F$11)</f>
        <v>16.772200000000002</v>
      </c>
      <c r="G531" s="8">
        <f>15.8452 * CHOOSE( CONTROL!$C$15, $D$11, 100%, $F$11)</f>
        <v>15.8452</v>
      </c>
      <c r="H531" s="4">
        <f>16.7294 * CHOOSE(CONTROL!$C$15, $D$11, 100%, $F$11)</f>
        <v>16.729399999999998</v>
      </c>
      <c r="I531" s="8">
        <f>15.6748 * CHOOSE(CONTROL!$C$15, $D$11, 100%, $F$11)</f>
        <v>15.674799999999999</v>
      </c>
      <c r="J531" s="4">
        <f>15.5625 * CHOOSE(CONTROL!$C$15, $D$11, 100%, $F$11)</f>
        <v>15.5625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16.0886 * CHOOSE(CONTROL!$C$15, $D$11, 100%, $F$11)</f>
        <v>16.0886</v>
      </c>
      <c r="C532" s="8">
        <f>16.099 * CHOOSE(CONTROL!$C$15, $D$11, 100%, $F$11)</f>
        <v>16.099</v>
      </c>
      <c r="D532" s="8">
        <f>16.0855 * CHOOSE( CONTROL!$C$15, $D$11, 100%, $F$11)</f>
        <v>16.0855</v>
      </c>
      <c r="E532" s="12">
        <f>16.0893 * CHOOSE( CONTROL!$C$15, $D$11, 100%, $F$11)</f>
        <v>16.089300000000001</v>
      </c>
      <c r="F532" s="4">
        <f>16.7429 * CHOOSE(CONTROL!$C$15, $D$11, 100%, $F$11)</f>
        <v>16.742899999999999</v>
      </c>
      <c r="G532" s="8">
        <f>15.8176 * CHOOSE( CONTROL!$C$15, $D$11, 100%, $F$11)</f>
        <v>15.817600000000001</v>
      </c>
      <c r="H532" s="4">
        <f>16.7006 * CHOOSE(CONTROL!$C$15, $D$11, 100%, $F$11)</f>
        <v>16.700600000000001</v>
      </c>
      <c r="I532" s="8">
        <f>15.6518 * CHOOSE(CONTROL!$C$15, $D$11, 100%, $F$11)</f>
        <v>15.6518</v>
      </c>
      <c r="J532" s="4">
        <f>15.5342 * CHOOSE(CONTROL!$C$15, $D$11, 100%, $F$11)</f>
        <v>15.5342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16.7025 * CHOOSE(CONTROL!$C$15, $D$11, 100%, $F$11)</f>
        <v>16.702500000000001</v>
      </c>
      <c r="C533" s="8">
        <f>16.7129 * CHOOSE(CONTROL!$C$15, $D$11, 100%, $F$11)</f>
        <v>16.712900000000001</v>
      </c>
      <c r="D533" s="8">
        <f>16.7113 * CHOOSE( CONTROL!$C$15, $D$11, 100%, $F$11)</f>
        <v>16.711300000000001</v>
      </c>
      <c r="E533" s="12">
        <f>16.7108 * CHOOSE( CONTROL!$C$15, $D$11, 100%, $F$11)</f>
        <v>16.710799999999999</v>
      </c>
      <c r="F533" s="4">
        <f>17.3852 * CHOOSE(CONTROL!$C$15, $D$11, 100%, $F$11)</f>
        <v>17.385200000000001</v>
      </c>
      <c r="G533" s="8">
        <f>16.4341 * CHOOSE( CONTROL!$C$15, $D$11, 100%, $F$11)</f>
        <v>16.434100000000001</v>
      </c>
      <c r="H533" s="4">
        <f>17.3325 * CHOOSE(CONTROL!$C$15, $D$11, 100%, $F$11)</f>
        <v>17.3325</v>
      </c>
      <c r="I533" s="8">
        <f>16.2446 * CHOOSE(CONTROL!$C$15, $D$11, 100%, $F$11)</f>
        <v>16.244599999999998</v>
      </c>
      <c r="J533" s="4">
        <f>16.1279 * CHOOSE(CONTROL!$C$15, $D$11, 100%, $F$11)</f>
        <v>16.1279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15.6244 * CHOOSE(CONTROL!$C$15, $D$11, 100%, $F$11)</f>
        <v>15.6244</v>
      </c>
      <c r="C534" s="8">
        <f>15.6348 * CHOOSE(CONTROL!$C$15, $D$11, 100%, $F$11)</f>
        <v>15.6348</v>
      </c>
      <c r="D534" s="8">
        <f>15.6353 * CHOOSE( CONTROL!$C$15, $D$11, 100%, $F$11)</f>
        <v>15.635300000000001</v>
      </c>
      <c r="E534" s="12">
        <f>15.634 * CHOOSE( CONTROL!$C$15, $D$11, 100%, $F$11)</f>
        <v>15.634</v>
      </c>
      <c r="F534" s="4">
        <f>16.2994 * CHOOSE(CONTROL!$C$15, $D$11, 100%, $F$11)</f>
        <v>16.299399999999999</v>
      </c>
      <c r="G534" s="8">
        <f>15.3732 * CHOOSE( CONTROL!$C$15, $D$11, 100%, $F$11)</f>
        <v>15.373200000000001</v>
      </c>
      <c r="H534" s="4">
        <f>16.2642 * CHOOSE(CONTROL!$C$15, $D$11, 100%, $F$11)</f>
        <v>16.264199999999999</v>
      </c>
      <c r="I534" s="8">
        <f>15.1905 * CHOOSE(CONTROL!$C$15, $D$11, 100%, $F$11)</f>
        <v>15.1905</v>
      </c>
      <c r="J534" s="4">
        <f>15.0853 * CHOOSE(CONTROL!$C$15, $D$11, 100%, $F$11)</f>
        <v>15.0853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15.2924 * CHOOSE(CONTROL!$C$15, $D$11, 100%, $F$11)</f>
        <v>15.292400000000001</v>
      </c>
      <c r="C535" s="8">
        <f>15.3027 * CHOOSE(CONTROL!$C$15, $D$11, 100%, $F$11)</f>
        <v>15.3027</v>
      </c>
      <c r="D535" s="8">
        <f>15.2979 * CHOOSE( CONTROL!$C$15, $D$11, 100%, $F$11)</f>
        <v>15.2979</v>
      </c>
      <c r="E535" s="12">
        <f>15.2986 * CHOOSE( CONTROL!$C$15, $D$11, 100%, $F$11)</f>
        <v>15.2986</v>
      </c>
      <c r="F535" s="4">
        <f>15.9699 * CHOOSE(CONTROL!$C$15, $D$11, 100%, $F$11)</f>
        <v>15.969900000000001</v>
      </c>
      <c r="G535" s="8">
        <f>15.0411 * CHOOSE( CONTROL!$C$15, $D$11, 100%, $F$11)</f>
        <v>15.0411</v>
      </c>
      <c r="H535" s="4">
        <f>15.9401 * CHOOSE(CONTROL!$C$15, $D$11, 100%, $F$11)</f>
        <v>15.940099999999999</v>
      </c>
      <c r="I535" s="8">
        <f>14.8573 * CHOOSE(CONTROL!$C$15, $D$11, 100%, $F$11)</f>
        <v>14.8573</v>
      </c>
      <c r="J535" s="4">
        <f>14.7641 * CHOOSE(CONTROL!$C$15, $D$11, 100%, $F$11)</f>
        <v>14.764099999999999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15.5244 * CHOOSE(CONTROL!$C$15, $D$11, 100%, $F$11)</f>
        <v>15.5244</v>
      </c>
      <c r="C536" s="8">
        <f>15.5347 * CHOOSE(CONTROL!$C$15, $D$11, 100%, $F$11)</f>
        <v>15.534700000000001</v>
      </c>
      <c r="D536" s="8">
        <f>15.546 * CHOOSE( CONTROL!$C$15, $D$11, 100%, $F$11)</f>
        <v>15.545999999999999</v>
      </c>
      <c r="E536" s="12">
        <f>15.5411 * CHOOSE( CONTROL!$C$15, $D$11, 100%, $F$11)</f>
        <v>15.5411</v>
      </c>
      <c r="F536" s="4">
        <f>16.2045 * CHOOSE(CONTROL!$C$15, $D$11, 100%, $F$11)</f>
        <v>16.204499999999999</v>
      </c>
      <c r="G536" s="8">
        <f>15.25 * CHOOSE( CONTROL!$C$15, $D$11, 100%, $F$11)</f>
        <v>15.25</v>
      </c>
      <c r="H536" s="4">
        <f>16.1709 * CHOOSE(CONTROL!$C$15, $D$11, 100%, $F$11)</f>
        <v>16.1709</v>
      </c>
      <c r="I536" s="8">
        <f>15.0742 * CHOOSE(CONTROL!$C$15, $D$11, 100%, $F$11)</f>
        <v>15.074199999999999</v>
      </c>
      <c r="J536" s="4">
        <f>14.9885 * CHOOSE(CONTROL!$C$15, $D$11, 100%, $F$11)</f>
        <v>14.9885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CONTROL!$C$32, 15.9408, 15.9374) * CHOOSE(CONTROL!$C$15, $D$11, 100%, $F$11)</f>
        <v>15.940799999999999</v>
      </c>
      <c r="C537" s="8">
        <f>CHOOSE( CONTROL!$C$32, 15.9512, 15.9477) * CHOOSE(CONTROL!$C$15, $D$11, 100%, $F$11)</f>
        <v>15.9512</v>
      </c>
      <c r="D537" s="8">
        <f>CHOOSE( CONTROL!$C$32, 15.962, 15.9585) * CHOOSE( CONTROL!$C$15, $D$11, 100%, $F$11)</f>
        <v>15.962</v>
      </c>
      <c r="E537" s="12">
        <f>CHOOSE( CONTROL!$C$32, 15.9565, 15.953) * CHOOSE( CONTROL!$C$15, $D$11, 100%, $F$11)</f>
        <v>15.9565</v>
      </c>
      <c r="F537" s="4">
        <f>CHOOSE( CONTROL!$C$32, 16.6209, 16.6175) * CHOOSE(CONTROL!$C$15, $D$11, 100%, $F$11)</f>
        <v>16.620899999999999</v>
      </c>
      <c r="G537" s="8">
        <f>CHOOSE( CONTROL!$C$32, 15.6609, 15.6575) * CHOOSE( CONTROL!$C$15, $D$11, 100%, $F$11)</f>
        <v>15.6609</v>
      </c>
      <c r="H537" s="4">
        <f>CHOOSE( CONTROL!$C$32, 16.5806, 16.5772) * CHOOSE(CONTROL!$C$15, $D$11, 100%, $F$11)</f>
        <v>16.5806</v>
      </c>
      <c r="I537" s="8">
        <f>CHOOSE( CONTROL!$C$32, 15.4787, 15.4753) * CHOOSE(CONTROL!$C$15, $D$11, 100%, $F$11)</f>
        <v>15.4787</v>
      </c>
      <c r="J537" s="4">
        <f>CHOOSE( CONTROL!$C$32, 15.3913, 15.3879) * CHOOSE(CONTROL!$C$15, $D$11, 100%, $F$11)</f>
        <v>15.391299999999999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CONTROL!$C$32, 15.685, 15.6816) * CHOOSE(CONTROL!$C$15, $D$11, 100%, $F$11)</f>
        <v>15.685</v>
      </c>
      <c r="C538" s="8">
        <f>CHOOSE( CONTROL!$C$32, 15.6954, 15.6919) * CHOOSE(CONTROL!$C$15, $D$11, 100%, $F$11)</f>
        <v>15.695399999999999</v>
      </c>
      <c r="D538" s="8">
        <f>CHOOSE( CONTROL!$C$32, 15.7065, 15.703) * CHOOSE( CONTROL!$C$15, $D$11, 100%, $F$11)</f>
        <v>15.7065</v>
      </c>
      <c r="E538" s="12">
        <f>CHOOSE( CONTROL!$C$32, 15.7009, 15.6974) * CHOOSE( CONTROL!$C$15, $D$11, 100%, $F$11)</f>
        <v>15.700900000000001</v>
      </c>
      <c r="F538" s="4">
        <f>CHOOSE( CONTROL!$C$32, 16.3651, 16.3617) * CHOOSE(CONTROL!$C$15, $D$11, 100%, $F$11)</f>
        <v>16.365100000000002</v>
      </c>
      <c r="G538" s="8">
        <f>CHOOSE( CONTROL!$C$32, 15.4096, 15.4062) * CHOOSE( CONTROL!$C$15, $D$11, 100%, $F$11)</f>
        <v>15.409599999999999</v>
      </c>
      <c r="H538" s="4">
        <f>CHOOSE( CONTROL!$C$32, 16.3289, 16.3255) * CHOOSE(CONTROL!$C$15, $D$11, 100%, $F$11)</f>
        <v>16.328900000000001</v>
      </c>
      <c r="I538" s="8">
        <f>CHOOSE( CONTROL!$C$32, 15.2325, 15.2291) * CHOOSE(CONTROL!$C$15, $D$11, 100%, $F$11)</f>
        <v>15.2325</v>
      </c>
      <c r="J538" s="4">
        <f>CHOOSE( CONTROL!$C$32, 15.1439, 15.1405) * CHOOSE(CONTROL!$C$15, $D$11, 100%, $F$11)</f>
        <v>15.1439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CONTROL!$C$32, 16.3587, 16.3552) * CHOOSE(CONTROL!$C$15, $D$11, 100%, $F$11)</f>
        <v>16.358699999999999</v>
      </c>
      <c r="C539" s="8">
        <f>CHOOSE( CONTROL!$C$32, 16.369, 16.3656) * CHOOSE(CONTROL!$C$15, $D$11, 100%, $F$11)</f>
        <v>16.369</v>
      </c>
      <c r="D539" s="8">
        <f>CHOOSE( CONTROL!$C$32, 16.3804, 16.377) * CHOOSE( CONTROL!$C$15, $D$11, 100%, $F$11)</f>
        <v>16.380400000000002</v>
      </c>
      <c r="E539" s="12">
        <f>CHOOSE( CONTROL!$C$32, 16.3747, 16.3713) * CHOOSE( CONTROL!$C$15, $D$11, 100%, $F$11)</f>
        <v>16.374700000000001</v>
      </c>
      <c r="F539" s="4">
        <f>CHOOSE( CONTROL!$C$32, 17.0388, 17.0353) * CHOOSE(CONTROL!$C$15, $D$11, 100%, $F$11)</f>
        <v>17.038799999999998</v>
      </c>
      <c r="G539" s="8">
        <f>CHOOSE( CONTROL!$C$32, 16.0728, 16.0694) * CHOOSE( CONTROL!$C$15, $D$11, 100%, $F$11)</f>
        <v>16.072800000000001</v>
      </c>
      <c r="H539" s="4">
        <f>CHOOSE( CONTROL!$C$32, 16.9917, 16.9883) * CHOOSE(CONTROL!$C$15, $D$11, 100%, $F$11)</f>
        <v>16.991700000000002</v>
      </c>
      <c r="I539" s="8">
        <f>CHOOSE( CONTROL!$C$32, 15.8858, 15.8824) * CHOOSE(CONTROL!$C$15, $D$11, 100%, $F$11)</f>
        <v>15.8858</v>
      </c>
      <c r="J539" s="4">
        <f>CHOOSE( CONTROL!$C$32, 15.7954, 15.792) * CHOOSE(CONTROL!$C$15, $D$11, 100%, $F$11)</f>
        <v>15.795400000000001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CONTROL!$C$32, 15.0982, 15.0947) * CHOOSE(CONTROL!$C$15, $D$11, 100%, $F$11)</f>
        <v>15.0982</v>
      </c>
      <c r="C540" s="8">
        <f>CHOOSE( CONTROL!$C$32, 15.1085, 15.1051) * CHOOSE(CONTROL!$C$15, $D$11, 100%, $F$11)</f>
        <v>15.108499999999999</v>
      </c>
      <c r="D540" s="8">
        <f>CHOOSE( CONTROL!$C$32, 15.1201, 15.1166) * CHOOSE( CONTROL!$C$15, $D$11, 100%, $F$11)</f>
        <v>15.120100000000001</v>
      </c>
      <c r="E540" s="12">
        <f>CHOOSE( CONTROL!$C$32, 15.1143, 15.1108) * CHOOSE( CONTROL!$C$15, $D$11, 100%, $F$11)</f>
        <v>15.1143</v>
      </c>
      <c r="F540" s="4">
        <f>CHOOSE( CONTROL!$C$32, 15.7783, 15.7748) * CHOOSE(CONTROL!$C$15, $D$11, 100%, $F$11)</f>
        <v>15.7783</v>
      </c>
      <c r="G540" s="8">
        <f>CHOOSE( CONTROL!$C$32, 14.8329, 14.8295) * CHOOSE( CONTROL!$C$15, $D$11, 100%, $F$11)</f>
        <v>14.8329</v>
      </c>
      <c r="H540" s="4">
        <f>CHOOSE( CONTROL!$C$32, 15.7516, 15.7482) * CHOOSE(CONTROL!$C$15, $D$11, 100%, $F$11)</f>
        <v>15.7516</v>
      </c>
      <c r="I540" s="8">
        <f>CHOOSE( CONTROL!$C$32, 14.6668, 14.6634) * CHOOSE(CONTROL!$C$15, $D$11, 100%, $F$11)</f>
        <v>14.6668</v>
      </c>
      <c r="J540" s="4">
        <f>CHOOSE( CONTROL!$C$32, 14.5764, 14.573) * CHOOSE(CONTROL!$C$15, $D$11, 100%, $F$11)</f>
        <v>14.5764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CONTROL!$C$32, 14.7825, 14.7791) * CHOOSE(CONTROL!$C$15, $D$11, 100%, $F$11)</f>
        <v>14.782500000000001</v>
      </c>
      <c r="C541" s="8">
        <f>CHOOSE( CONTROL!$C$32, 14.7929, 14.7894) * CHOOSE(CONTROL!$C$15, $D$11, 100%, $F$11)</f>
        <v>14.792899999999999</v>
      </c>
      <c r="D541" s="8">
        <f>CHOOSE( CONTROL!$C$32, 14.8045, 14.801) * CHOOSE( CONTROL!$C$15, $D$11, 100%, $F$11)</f>
        <v>14.804500000000001</v>
      </c>
      <c r="E541" s="12">
        <f>CHOOSE( CONTROL!$C$32, 14.7987, 14.7952) * CHOOSE( CONTROL!$C$15, $D$11, 100%, $F$11)</f>
        <v>14.7987</v>
      </c>
      <c r="F541" s="4">
        <f>CHOOSE( CONTROL!$C$32, 15.4627, 15.4592) * CHOOSE(CONTROL!$C$15, $D$11, 100%, $F$11)</f>
        <v>15.4627</v>
      </c>
      <c r="G541" s="8">
        <f>CHOOSE( CONTROL!$C$32, 14.5225, 14.519) * CHOOSE( CONTROL!$C$15, $D$11, 100%, $F$11)</f>
        <v>14.522500000000001</v>
      </c>
      <c r="H541" s="4">
        <f>CHOOSE( CONTROL!$C$32, 15.4411, 15.4376) * CHOOSE(CONTROL!$C$15, $D$11, 100%, $F$11)</f>
        <v>15.4411</v>
      </c>
      <c r="I541" s="8">
        <f>CHOOSE( CONTROL!$C$32, 14.3616, 14.3582) * CHOOSE(CONTROL!$C$15, $D$11, 100%, $F$11)</f>
        <v>14.361599999999999</v>
      </c>
      <c r="J541" s="4">
        <f>CHOOSE( CONTROL!$C$32, 14.2711, 14.2677) * CHOOSE(CONTROL!$C$15, $D$11, 100%, $F$11)</f>
        <v>14.271100000000001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15.4345 * CHOOSE(CONTROL!$C$15, $D$11, 100%, $F$11)</f>
        <v>15.4345</v>
      </c>
      <c r="C542" s="8">
        <f>15.4448 * CHOOSE(CONTROL!$C$15, $D$11, 100%, $F$11)</f>
        <v>15.444800000000001</v>
      </c>
      <c r="D542" s="8">
        <f>15.4573 * CHOOSE( CONTROL!$C$15, $D$11, 100%, $F$11)</f>
        <v>15.4573</v>
      </c>
      <c r="E542" s="12">
        <f>15.4521 * CHOOSE( CONTROL!$C$15, $D$11, 100%, $F$11)</f>
        <v>15.4521</v>
      </c>
      <c r="F542" s="4">
        <f>16.1146 * CHOOSE(CONTROL!$C$15, $D$11, 100%, $F$11)</f>
        <v>16.114599999999999</v>
      </c>
      <c r="G542" s="8">
        <f>15.1634 * CHOOSE( CONTROL!$C$15, $D$11, 100%, $F$11)</f>
        <v>15.163399999999999</v>
      </c>
      <c r="H542" s="4">
        <f>16.0824 * CHOOSE(CONTROL!$C$15, $D$11, 100%, $F$11)</f>
        <v>16.0824</v>
      </c>
      <c r="I542" s="8">
        <f>14.9932 * CHOOSE(CONTROL!$C$15, $D$11, 100%, $F$11)</f>
        <v>14.9932</v>
      </c>
      <c r="J542" s="4">
        <f>14.9016 * CHOOSE(CONTROL!$C$15, $D$11, 100%, $F$11)</f>
        <v>14.9016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16.6442 * CHOOSE(CONTROL!$C$15, $D$11, 100%, $F$11)</f>
        <v>16.644200000000001</v>
      </c>
      <c r="C543" s="8">
        <f>16.6545 * CHOOSE(CONTROL!$C$15, $D$11, 100%, $F$11)</f>
        <v>16.654499999999999</v>
      </c>
      <c r="D543" s="8">
        <f>16.6394 * CHOOSE( CONTROL!$C$15, $D$11, 100%, $F$11)</f>
        <v>16.639399999999998</v>
      </c>
      <c r="E543" s="12">
        <f>16.6438 * CHOOSE( CONTROL!$C$15, $D$11, 100%, $F$11)</f>
        <v>16.643799999999999</v>
      </c>
      <c r="F543" s="4">
        <f>17.2984 * CHOOSE(CONTROL!$C$15, $D$11, 100%, $F$11)</f>
        <v>17.298400000000001</v>
      </c>
      <c r="G543" s="8">
        <f>16.3629 * CHOOSE( CONTROL!$C$15, $D$11, 100%, $F$11)</f>
        <v>16.3629</v>
      </c>
      <c r="H543" s="4">
        <f>17.2471 * CHOOSE(CONTROL!$C$15, $D$11, 100%, $F$11)</f>
        <v>17.2471</v>
      </c>
      <c r="I543" s="8">
        <f>16.184 * CHOOSE(CONTROL!$C$15, $D$11, 100%, $F$11)</f>
        <v>16.184000000000001</v>
      </c>
      <c r="J543" s="4">
        <f>16.0715 * CHOOSE(CONTROL!$C$15, $D$11, 100%, $F$11)</f>
        <v>16.0715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16.6139 * CHOOSE(CONTROL!$C$15, $D$11, 100%, $F$11)</f>
        <v>16.613900000000001</v>
      </c>
      <c r="C544" s="8">
        <f>16.6243 * CHOOSE(CONTROL!$C$15, $D$11, 100%, $F$11)</f>
        <v>16.624300000000002</v>
      </c>
      <c r="D544" s="8">
        <f>16.6109 * CHOOSE( CONTROL!$C$15, $D$11, 100%, $F$11)</f>
        <v>16.610900000000001</v>
      </c>
      <c r="E544" s="12">
        <f>16.6147 * CHOOSE( CONTROL!$C$15, $D$11, 100%, $F$11)</f>
        <v>16.614699999999999</v>
      </c>
      <c r="F544" s="4">
        <f>17.2682 * CHOOSE(CONTROL!$C$15, $D$11, 100%, $F$11)</f>
        <v>17.2682</v>
      </c>
      <c r="G544" s="8">
        <f>16.3344 * CHOOSE( CONTROL!$C$15, $D$11, 100%, $F$11)</f>
        <v>16.334399999999999</v>
      </c>
      <c r="H544" s="4">
        <f>17.2174 * CHOOSE(CONTROL!$C$15, $D$11, 100%, $F$11)</f>
        <v>17.217400000000001</v>
      </c>
      <c r="I544" s="8">
        <f>16.1601 * CHOOSE(CONTROL!$C$15, $D$11, 100%, $F$11)</f>
        <v>16.1601</v>
      </c>
      <c r="J544" s="4">
        <f>16.0422 * CHOOSE(CONTROL!$C$15, $D$11, 100%, $F$11)</f>
        <v>16.042200000000001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17.2479 * CHOOSE(CONTROL!$C$15, $D$11, 100%, $F$11)</f>
        <v>17.247900000000001</v>
      </c>
      <c r="C545" s="8">
        <f>17.2583 * CHOOSE(CONTROL!$C$15, $D$11, 100%, $F$11)</f>
        <v>17.258299999999998</v>
      </c>
      <c r="D545" s="8">
        <f>17.2567 * CHOOSE( CONTROL!$C$15, $D$11, 100%, $F$11)</f>
        <v>17.256699999999999</v>
      </c>
      <c r="E545" s="12">
        <f>17.2562 * CHOOSE( CONTROL!$C$15, $D$11, 100%, $F$11)</f>
        <v>17.2562</v>
      </c>
      <c r="F545" s="4">
        <f>17.9306 * CHOOSE(CONTROL!$C$15, $D$11, 100%, $F$11)</f>
        <v>17.930599999999998</v>
      </c>
      <c r="G545" s="8">
        <f>16.9707 * CHOOSE( CONTROL!$C$15, $D$11, 100%, $F$11)</f>
        <v>16.970700000000001</v>
      </c>
      <c r="H545" s="4">
        <f>17.8691 * CHOOSE(CONTROL!$C$15, $D$11, 100%, $F$11)</f>
        <v>17.8691</v>
      </c>
      <c r="I545" s="8">
        <f>16.7723 * CHOOSE(CONTROL!$C$15, $D$11, 100%, $F$11)</f>
        <v>16.772300000000001</v>
      </c>
      <c r="J545" s="4">
        <f>16.6554 * CHOOSE(CONTROL!$C$15, $D$11, 100%, $F$11)</f>
        <v>16.6554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16.1346 * CHOOSE(CONTROL!$C$15, $D$11, 100%, $F$11)</f>
        <v>16.134599999999999</v>
      </c>
      <c r="C546" s="8">
        <f>16.1449 * CHOOSE(CONTROL!$C$15, $D$11, 100%, $F$11)</f>
        <v>16.1449</v>
      </c>
      <c r="D546" s="8">
        <f>16.1454 * CHOOSE( CONTROL!$C$15, $D$11, 100%, $F$11)</f>
        <v>16.145399999999999</v>
      </c>
      <c r="E546" s="12">
        <f>16.1441 * CHOOSE( CONTROL!$C$15, $D$11, 100%, $F$11)</f>
        <v>16.144100000000002</v>
      </c>
      <c r="F546" s="4">
        <f>16.8095 * CHOOSE(CONTROL!$C$15, $D$11, 100%, $F$11)</f>
        <v>16.8095</v>
      </c>
      <c r="G546" s="8">
        <f>15.8751 * CHOOSE( CONTROL!$C$15, $D$11, 100%, $F$11)</f>
        <v>15.8751</v>
      </c>
      <c r="H546" s="4">
        <f>16.7661 * CHOOSE(CONTROL!$C$15, $D$11, 100%, $F$11)</f>
        <v>16.766100000000002</v>
      </c>
      <c r="I546" s="8">
        <f>15.6841 * CHOOSE(CONTROL!$C$15, $D$11, 100%, $F$11)</f>
        <v>15.684100000000001</v>
      </c>
      <c r="J546" s="4">
        <f>15.5786 * CHOOSE(CONTROL!$C$15, $D$11, 100%, $F$11)</f>
        <v>15.5786</v>
      </c>
      <c r="K546" s="4"/>
      <c r="L546" s="9">
        <v>27.415299999999998</v>
      </c>
      <c r="M546" s="9">
        <v>11.285299999999999</v>
      </c>
      <c r="N546" s="9">
        <v>4.6254999999999997</v>
      </c>
      <c r="O546" s="9">
        <v>0.34989999999999999</v>
      </c>
      <c r="P546" s="9">
        <v>1.2093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15.7916 * CHOOSE(CONTROL!$C$15, $D$11, 100%, $F$11)</f>
        <v>15.791600000000001</v>
      </c>
      <c r="C547" s="8">
        <f>15.802 * CHOOSE(CONTROL!$C$15, $D$11, 100%, $F$11)</f>
        <v>15.802</v>
      </c>
      <c r="D547" s="8">
        <f>15.7972 * CHOOSE( CONTROL!$C$15, $D$11, 100%, $F$11)</f>
        <v>15.7972</v>
      </c>
      <c r="E547" s="12">
        <f>15.7978 * CHOOSE( CONTROL!$C$15, $D$11, 100%, $F$11)</f>
        <v>15.797800000000001</v>
      </c>
      <c r="F547" s="4">
        <f>16.4692 * CHOOSE(CONTROL!$C$15, $D$11, 100%, $F$11)</f>
        <v>16.469200000000001</v>
      </c>
      <c r="G547" s="8">
        <f>15.5323 * CHOOSE( CONTROL!$C$15, $D$11, 100%, $F$11)</f>
        <v>15.532299999999999</v>
      </c>
      <c r="H547" s="4">
        <f>16.4313 * CHOOSE(CONTROL!$C$15, $D$11, 100%, $F$11)</f>
        <v>16.4313</v>
      </c>
      <c r="I547" s="8">
        <f>15.3404 * CHOOSE(CONTROL!$C$15, $D$11, 100%, $F$11)</f>
        <v>15.340400000000001</v>
      </c>
      <c r="J547" s="4">
        <f>15.247 * CHOOSE(CONTROL!$C$15, $D$11, 100%, $F$11)</f>
        <v>15.247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16.0313 * CHOOSE(CONTROL!$C$15, $D$11, 100%, $F$11)</f>
        <v>16.031300000000002</v>
      </c>
      <c r="C548" s="8">
        <f>16.0416 * CHOOSE(CONTROL!$C$15, $D$11, 100%, $F$11)</f>
        <v>16.041599999999999</v>
      </c>
      <c r="D548" s="8">
        <f>16.0529 * CHOOSE( CONTROL!$C$15, $D$11, 100%, $F$11)</f>
        <v>16.052900000000001</v>
      </c>
      <c r="E548" s="12">
        <f>16.048 * CHOOSE( CONTROL!$C$15, $D$11, 100%, $F$11)</f>
        <v>16.047999999999998</v>
      </c>
      <c r="F548" s="4">
        <f>16.7114 * CHOOSE(CONTROL!$C$15, $D$11, 100%, $F$11)</f>
        <v>16.711400000000001</v>
      </c>
      <c r="G548" s="8">
        <f>15.7486 * CHOOSE( CONTROL!$C$15, $D$11, 100%, $F$11)</f>
        <v>15.7486</v>
      </c>
      <c r="H548" s="4">
        <f>16.6696 * CHOOSE(CONTROL!$C$15, $D$11, 100%, $F$11)</f>
        <v>16.669599999999999</v>
      </c>
      <c r="I548" s="8">
        <f>15.5646 * CHOOSE(CONTROL!$C$15, $D$11, 100%, $F$11)</f>
        <v>15.5646</v>
      </c>
      <c r="J548" s="4">
        <f>15.4787 * CHOOSE(CONTROL!$C$15, $D$11, 100%, $F$11)</f>
        <v>15.4787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CONTROL!$C$32, 16.4612, 16.4577) * CHOOSE(CONTROL!$C$15, $D$11, 100%, $F$11)</f>
        <v>16.461200000000002</v>
      </c>
      <c r="C549" s="8">
        <f>CHOOSE( CONTROL!$C$32, 16.4715, 16.4681) * CHOOSE(CONTROL!$C$15, $D$11, 100%, $F$11)</f>
        <v>16.471499999999999</v>
      </c>
      <c r="D549" s="8">
        <f>CHOOSE( CONTROL!$C$32, 16.4824, 16.4789) * CHOOSE( CONTROL!$C$15, $D$11, 100%, $F$11)</f>
        <v>16.482399999999998</v>
      </c>
      <c r="E549" s="12">
        <f>CHOOSE( CONTROL!$C$32, 16.4769, 16.4734) * CHOOSE( CONTROL!$C$15, $D$11, 100%, $F$11)</f>
        <v>16.476900000000001</v>
      </c>
      <c r="F549" s="4">
        <f>CHOOSE( CONTROL!$C$32, 17.1413, 17.1378) * CHOOSE(CONTROL!$C$15, $D$11, 100%, $F$11)</f>
        <v>17.141300000000001</v>
      </c>
      <c r="G549" s="8">
        <f>CHOOSE( CONTROL!$C$32, 16.1728, 16.1694) * CHOOSE( CONTROL!$C$15, $D$11, 100%, $F$11)</f>
        <v>16.172799999999999</v>
      </c>
      <c r="H549" s="4">
        <f>CHOOSE( CONTROL!$C$32, 17.0926, 17.0891) * CHOOSE(CONTROL!$C$15, $D$11, 100%, $F$11)</f>
        <v>17.092600000000001</v>
      </c>
      <c r="I549" s="8">
        <f>CHOOSE( CONTROL!$C$32, 15.9822, 15.9788) * CHOOSE(CONTROL!$C$15, $D$11, 100%, $F$11)</f>
        <v>15.982200000000001</v>
      </c>
      <c r="J549" s="4">
        <f>CHOOSE( CONTROL!$C$32, 15.8945, 15.8912) * CHOOSE(CONTROL!$C$15, $D$11, 100%, $F$11)</f>
        <v>15.894500000000001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CONTROL!$C$32, 16.197, 16.1935) * CHOOSE(CONTROL!$C$15, $D$11, 100%, $F$11)</f>
        <v>16.196999999999999</v>
      </c>
      <c r="C550" s="8">
        <f>CHOOSE( CONTROL!$C$32, 16.2074, 16.2039) * CHOOSE(CONTROL!$C$15, $D$11, 100%, $F$11)</f>
        <v>16.2074</v>
      </c>
      <c r="D550" s="8">
        <f>CHOOSE( CONTROL!$C$32, 16.2185, 16.215) * CHOOSE( CONTROL!$C$15, $D$11, 100%, $F$11)</f>
        <v>16.218499999999999</v>
      </c>
      <c r="E550" s="12">
        <f>CHOOSE( CONTROL!$C$32, 16.2129, 16.2094) * CHOOSE( CONTROL!$C$15, $D$11, 100%, $F$11)</f>
        <v>16.212900000000001</v>
      </c>
      <c r="F550" s="4">
        <f>CHOOSE( CONTROL!$C$32, 16.8771, 16.8737) * CHOOSE(CONTROL!$C$15, $D$11, 100%, $F$11)</f>
        <v>16.877099999999999</v>
      </c>
      <c r="G550" s="8">
        <f>CHOOSE( CONTROL!$C$32, 15.9133, 15.9099) * CHOOSE( CONTROL!$C$15, $D$11, 100%, $F$11)</f>
        <v>15.9133</v>
      </c>
      <c r="H550" s="4">
        <f>CHOOSE( CONTROL!$C$32, 16.8326, 16.8292) * CHOOSE(CONTROL!$C$15, $D$11, 100%, $F$11)</f>
        <v>16.832599999999999</v>
      </c>
      <c r="I550" s="8">
        <f>CHOOSE( CONTROL!$C$32, 15.7279, 15.7245) * CHOOSE(CONTROL!$C$15, $D$11, 100%, $F$11)</f>
        <v>15.7279</v>
      </c>
      <c r="J550" s="4">
        <f>CHOOSE( CONTROL!$C$32, 15.639, 15.6357) * CHOOSE(CONTROL!$C$15, $D$11, 100%, $F$11)</f>
        <v>15.638999999999999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CONTROL!$C$32, 16.8927, 16.8892) * CHOOSE(CONTROL!$C$15, $D$11, 100%, $F$11)</f>
        <v>16.892700000000001</v>
      </c>
      <c r="C551" s="8">
        <f>CHOOSE( CONTROL!$C$32, 16.9031, 16.8996) * CHOOSE(CONTROL!$C$15, $D$11, 100%, $F$11)</f>
        <v>16.903099999999998</v>
      </c>
      <c r="D551" s="8">
        <f>CHOOSE( CONTROL!$C$32, 16.9145, 16.911) * CHOOSE( CONTROL!$C$15, $D$11, 100%, $F$11)</f>
        <v>16.9145</v>
      </c>
      <c r="E551" s="12">
        <f>CHOOSE( CONTROL!$C$32, 16.9088, 16.9053) * CHOOSE( CONTROL!$C$15, $D$11, 100%, $F$11)</f>
        <v>16.908799999999999</v>
      </c>
      <c r="F551" s="4">
        <f>CHOOSE( CONTROL!$C$32, 17.5728, 17.5694) * CHOOSE(CONTROL!$C$15, $D$11, 100%, $F$11)</f>
        <v>17.572800000000001</v>
      </c>
      <c r="G551" s="8">
        <f>CHOOSE( CONTROL!$C$32, 16.5982, 16.5948) * CHOOSE( CONTROL!$C$15, $D$11, 100%, $F$11)</f>
        <v>16.598199999999999</v>
      </c>
      <c r="H551" s="4">
        <f>CHOOSE( CONTROL!$C$32, 17.5171, 17.5137) * CHOOSE(CONTROL!$C$15, $D$11, 100%, $F$11)</f>
        <v>17.517099999999999</v>
      </c>
      <c r="I551" s="8">
        <f>CHOOSE( CONTROL!$C$32, 16.4025, 16.3991) * CHOOSE(CONTROL!$C$15, $D$11, 100%, $F$11)</f>
        <v>16.4025</v>
      </c>
      <c r="J551" s="4">
        <f>CHOOSE( CONTROL!$C$32, 16.3118, 16.3085) * CHOOSE(CONTROL!$C$15, $D$11, 100%, $F$11)</f>
        <v>16.311800000000002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CONTROL!$C$32, 15.591, 15.5875) * CHOOSE(CONTROL!$C$15, $D$11, 100%, $F$11)</f>
        <v>15.590999999999999</v>
      </c>
      <c r="C552" s="8">
        <f>CHOOSE( CONTROL!$C$32, 15.6013, 15.5979) * CHOOSE(CONTROL!$C$15, $D$11, 100%, $F$11)</f>
        <v>15.6013</v>
      </c>
      <c r="D552" s="8">
        <f>CHOOSE( CONTROL!$C$32, 15.6129, 15.6094) * CHOOSE( CONTROL!$C$15, $D$11, 100%, $F$11)</f>
        <v>15.6129</v>
      </c>
      <c r="E552" s="12">
        <f>CHOOSE( CONTROL!$C$32, 15.6071, 15.6036) * CHOOSE( CONTROL!$C$15, $D$11, 100%, $F$11)</f>
        <v>15.607100000000001</v>
      </c>
      <c r="F552" s="4">
        <f>CHOOSE( CONTROL!$C$32, 16.2711, 16.2676) * CHOOSE(CONTROL!$C$15, $D$11, 100%, $F$11)</f>
        <v>16.271100000000001</v>
      </c>
      <c r="G552" s="8">
        <f>CHOOSE( CONTROL!$C$32, 15.3178, 15.3144) * CHOOSE( CONTROL!$C$15, $D$11, 100%, $F$11)</f>
        <v>15.3178</v>
      </c>
      <c r="H552" s="4">
        <f>CHOOSE( CONTROL!$C$32, 16.2364, 16.233) * CHOOSE(CONTROL!$C$15, $D$11, 100%, $F$11)</f>
        <v>16.2364</v>
      </c>
      <c r="I552" s="8">
        <f>CHOOSE( CONTROL!$C$32, 15.1436, 15.1403) * CHOOSE(CONTROL!$C$15, $D$11, 100%, $F$11)</f>
        <v>15.143599999999999</v>
      </c>
      <c r="J552" s="4">
        <f>CHOOSE( CONTROL!$C$32, 15.0529, 15.0496) * CHOOSE(CONTROL!$C$15, $D$11, 100%, $F$11)</f>
        <v>15.052899999999999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CONTROL!$C$32, 15.265, 15.2616) * CHOOSE(CONTROL!$C$15, $D$11, 100%, $F$11)</f>
        <v>15.265000000000001</v>
      </c>
      <c r="C553" s="8">
        <f>CHOOSE( CONTROL!$C$32, 15.2754, 15.2719) * CHOOSE(CONTROL!$C$15, $D$11, 100%, $F$11)</f>
        <v>15.275399999999999</v>
      </c>
      <c r="D553" s="8">
        <f>CHOOSE( CONTROL!$C$32, 15.2869, 15.2835) * CHOOSE( CONTROL!$C$15, $D$11, 100%, $F$11)</f>
        <v>15.286899999999999</v>
      </c>
      <c r="E553" s="12">
        <f>CHOOSE( CONTROL!$C$32, 15.2811, 15.2777) * CHOOSE( CONTROL!$C$15, $D$11, 100%, $F$11)</f>
        <v>15.2811</v>
      </c>
      <c r="F553" s="4">
        <f>CHOOSE( CONTROL!$C$32, 15.9451, 15.9417) * CHOOSE(CONTROL!$C$15, $D$11, 100%, $F$11)</f>
        <v>15.9451</v>
      </c>
      <c r="G553" s="8">
        <f>CHOOSE( CONTROL!$C$32, 14.9971, 14.9937) * CHOOSE( CONTROL!$C$15, $D$11, 100%, $F$11)</f>
        <v>14.9971</v>
      </c>
      <c r="H553" s="4">
        <f>CHOOSE( CONTROL!$C$32, 15.9157, 15.9123) * CHOOSE(CONTROL!$C$15, $D$11, 100%, $F$11)</f>
        <v>15.915699999999999</v>
      </c>
      <c r="I553" s="8">
        <f>CHOOSE( CONTROL!$C$32, 14.8284, 14.8251) * CHOOSE(CONTROL!$C$15, $D$11, 100%, $F$11)</f>
        <v>14.8284</v>
      </c>
      <c r="J553" s="4">
        <f>CHOOSE( CONTROL!$C$32, 14.7377, 14.7343) * CHOOSE(CONTROL!$C$15, $D$11, 100%, $F$11)</f>
        <v>14.7377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15.9384 * CHOOSE(CONTROL!$C$15, $D$11, 100%, $F$11)</f>
        <v>15.9384</v>
      </c>
      <c r="C554" s="8">
        <f>15.9487 * CHOOSE(CONTROL!$C$15, $D$11, 100%, $F$11)</f>
        <v>15.948700000000001</v>
      </c>
      <c r="D554" s="8">
        <f>15.9613 * CHOOSE( CONTROL!$C$15, $D$11, 100%, $F$11)</f>
        <v>15.9613</v>
      </c>
      <c r="E554" s="12">
        <f>15.956 * CHOOSE( CONTROL!$C$15, $D$11, 100%, $F$11)</f>
        <v>15.956</v>
      </c>
      <c r="F554" s="4">
        <f>16.6185 * CHOOSE(CONTROL!$C$15, $D$11, 100%, $F$11)</f>
        <v>16.618500000000001</v>
      </c>
      <c r="G554" s="8">
        <f>15.6591 * CHOOSE( CONTROL!$C$15, $D$11, 100%, $F$11)</f>
        <v>15.6591</v>
      </c>
      <c r="H554" s="4">
        <f>16.5782 * CHOOSE(CONTROL!$C$15, $D$11, 100%, $F$11)</f>
        <v>16.578199999999999</v>
      </c>
      <c r="I554" s="8">
        <f>15.4808 * CHOOSE(CONTROL!$C$15, $D$11, 100%, $F$11)</f>
        <v>15.4808</v>
      </c>
      <c r="J554" s="4">
        <f>15.3889 * CHOOSE(CONTROL!$C$15, $D$11, 100%, $F$11)</f>
        <v>15.3889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17.1876 * CHOOSE(CONTROL!$C$15, $D$11, 100%, $F$11)</f>
        <v>17.1876</v>
      </c>
      <c r="C555" s="8">
        <f>17.198 * CHOOSE(CONTROL!$C$15, $D$11, 100%, $F$11)</f>
        <v>17.198</v>
      </c>
      <c r="D555" s="8">
        <f>17.1829 * CHOOSE( CONTROL!$C$15, $D$11, 100%, $F$11)</f>
        <v>17.1829</v>
      </c>
      <c r="E555" s="12">
        <f>17.1873 * CHOOSE( CONTROL!$C$15, $D$11, 100%, $F$11)</f>
        <v>17.1873</v>
      </c>
      <c r="F555" s="4">
        <f>17.8419 * CHOOSE(CONTROL!$C$15, $D$11, 100%, $F$11)</f>
        <v>17.841899999999999</v>
      </c>
      <c r="G555" s="8">
        <f>16.8976 * CHOOSE( CONTROL!$C$15, $D$11, 100%, $F$11)</f>
        <v>16.897600000000001</v>
      </c>
      <c r="H555" s="4">
        <f>17.7818 * CHOOSE(CONTROL!$C$15, $D$11, 100%, $F$11)</f>
        <v>17.7818</v>
      </c>
      <c r="I555" s="8">
        <f>16.7099 * CHOOSE(CONTROL!$C$15, $D$11, 100%, $F$11)</f>
        <v>16.709900000000001</v>
      </c>
      <c r="J555" s="4">
        <f>16.5971 * CHOOSE(CONTROL!$C$15, $D$11, 100%, $F$11)</f>
        <v>16.597100000000001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17.1564 * CHOOSE(CONTROL!$C$15, $D$11, 100%, $F$11)</f>
        <v>17.156400000000001</v>
      </c>
      <c r="C556" s="8">
        <f>17.1668 * CHOOSE(CONTROL!$C$15, $D$11, 100%, $F$11)</f>
        <v>17.166799999999999</v>
      </c>
      <c r="D556" s="8">
        <f>17.1533 * CHOOSE( CONTROL!$C$15, $D$11, 100%, $F$11)</f>
        <v>17.153300000000002</v>
      </c>
      <c r="E556" s="12">
        <f>17.1571 * CHOOSE( CONTROL!$C$15, $D$11, 100%, $F$11)</f>
        <v>17.1571</v>
      </c>
      <c r="F556" s="4">
        <f>17.8107 * CHOOSE(CONTROL!$C$15, $D$11, 100%, $F$11)</f>
        <v>17.810700000000001</v>
      </c>
      <c r="G556" s="8">
        <f>16.8681 * CHOOSE( CONTROL!$C$15, $D$11, 100%, $F$11)</f>
        <v>16.868099999999998</v>
      </c>
      <c r="H556" s="4">
        <f>17.7511 * CHOOSE(CONTROL!$C$15, $D$11, 100%, $F$11)</f>
        <v>17.751100000000001</v>
      </c>
      <c r="I556" s="8">
        <f>16.685 * CHOOSE(CONTROL!$C$15, $D$11, 100%, $F$11)</f>
        <v>16.684999999999999</v>
      </c>
      <c r="J556" s="4">
        <f>16.5669 * CHOOSE(CONTROL!$C$15, $D$11, 100%, $F$11)</f>
        <v>16.5669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17.8111 * CHOOSE(CONTROL!$C$15, $D$11, 100%, $F$11)</f>
        <v>17.8111</v>
      </c>
      <c r="C557" s="8">
        <f>17.8215 * CHOOSE(CONTROL!$C$15, $D$11, 100%, $F$11)</f>
        <v>17.8215</v>
      </c>
      <c r="D557" s="8">
        <f>17.8199 * CHOOSE( CONTROL!$C$15, $D$11, 100%, $F$11)</f>
        <v>17.819900000000001</v>
      </c>
      <c r="E557" s="12">
        <f>17.8194 * CHOOSE( CONTROL!$C$15, $D$11, 100%, $F$11)</f>
        <v>17.819400000000002</v>
      </c>
      <c r="F557" s="4">
        <f>18.4938 * CHOOSE(CONTROL!$C$15, $D$11, 100%, $F$11)</f>
        <v>18.4938</v>
      </c>
      <c r="G557" s="8">
        <f>17.5248 * CHOOSE( CONTROL!$C$15, $D$11, 100%, $F$11)</f>
        <v>17.524799999999999</v>
      </c>
      <c r="H557" s="4">
        <f>18.4232 * CHOOSE(CONTROL!$C$15, $D$11, 100%, $F$11)</f>
        <v>18.423200000000001</v>
      </c>
      <c r="I557" s="8">
        <f>17.3172 * CHOOSE(CONTROL!$C$15, $D$11, 100%, $F$11)</f>
        <v>17.3172</v>
      </c>
      <c r="J557" s="4">
        <f>17.2001 * CHOOSE(CONTROL!$C$15, $D$11, 100%, $F$11)</f>
        <v>17.200099999999999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16.6614 * CHOOSE(CONTROL!$C$15, $D$11, 100%, $F$11)</f>
        <v>16.6614</v>
      </c>
      <c r="C558" s="8">
        <f>16.6717 * CHOOSE(CONTROL!$C$15, $D$11, 100%, $F$11)</f>
        <v>16.671700000000001</v>
      </c>
      <c r="D558" s="8">
        <f>16.6722 * CHOOSE( CONTROL!$C$15, $D$11, 100%, $F$11)</f>
        <v>16.6722</v>
      </c>
      <c r="E558" s="12">
        <f>16.6709 * CHOOSE( CONTROL!$C$15, $D$11, 100%, $F$11)</f>
        <v>16.6709</v>
      </c>
      <c r="F558" s="4">
        <f>17.3363 * CHOOSE(CONTROL!$C$15, $D$11, 100%, $F$11)</f>
        <v>17.336300000000001</v>
      </c>
      <c r="G558" s="8">
        <f>16.3934 * CHOOSE( CONTROL!$C$15, $D$11, 100%, $F$11)</f>
        <v>16.3934</v>
      </c>
      <c r="H558" s="4">
        <f>17.2844 * CHOOSE(CONTROL!$C$15, $D$11, 100%, $F$11)</f>
        <v>17.284400000000002</v>
      </c>
      <c r="I558" s="8">
        <f>16.1938 * CHOOSE(CONTROL!$C$15, $D$11, 100%, $F$11)</f>
        <v>16.1938</v>
      </c>
      <c r="J558" s="4">
        <f>16.0881 * CHOOSE(CONTROL!$C$15, $D$11, 100%, $F$11)</f>
        <v>16.088100000000001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16.3072 * CHOOSE(CONTROL!$C$15, $D$11, 100%, $F$11)</f>
        <v>16.307200000000002</v>
      </c>
      <c r="C559" s="8">
        <f>16.3176 * CHOOSE(CONTROL!$C$15, $D$11, 100%, $F$11)</f>
        <v>16.317599999999999</v>
      </c>
      <c r="D559" s="8">
        <f>16.3128 * CHOOSE( CONTROL!$C$15, $D$11, 100%, $F$11)</f>
        <v>16.312799999999999</v>
      </c>
      <c r="E559" s="12">
        <f>16.3134 * CHOOSE( CONTROL!$C$15, $D$11, 100%, $F$11)</f>
        <v>16.313400000000001</v>
      </c>
      <c r="F559" s="4">
        <f>16.9848 * CHOOSE(CONTROL!$C$15, $D$11, 100%, $F$11)</f>
        <v>16.9848</v>
      </c>
      <c r="G559" s="8">
        <f>16.0395 * CHOOSE( CONTROL!$C$15, $D$11, 100%, $F$11)</f>
        <v>16.0395</v>
      </c>
      <c r="H559" s="4">
        <f>16.9385 * CHOOSE(CONTROL!$C$15, $D$11, 100%, $F$11)</f>
        <v>16.938500000000001</v>
      </c>
      <c r="I559" s="8">
        <f>15.8393 * CHOOSE(CONTROL!$C$15, $D$11, 100%, $F$11)</f>
        <v>15.8393</v>
      </c>
      <c r="J559" s="4">
        <f>15.7456 * CHOOSE(CONTROL!$C$15, $D$11, 100%, $F$11)</f>
        <v>15.7456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16.5547 * CHOOSE(CONTROL!$C$15, $D$11, 100%, $F$11)</f>
        <v>16.5547</v>
      </c>
      <c r="C560" s="8">
        <f>16.565 * CHOOSE(CONTROL!$C$15, $D$11, 100%, $F$11)</f>
        <v>16.565000000000001</v>
      </c>
      <c r="D560" s="8">
        <f>16.5763 * CHOOSE( CONTROL!$C$15, $D$11, 100%, $F$11)</f>
        <v>16.5763</v>
      </c>
      <c r="E560" s="12">
        <f>16.5714 * CHOOSE( CONTROL!$C$15, $D$11, 100%, $F$11)</f>
        <v>16.571400000000001</v>
      </c>
      <c r="F560" s="4">
        <f>17.2348 * CHOOSE(CONTROL!$C$15, $D$11, 100%, $F$11)</f>
        <v>17.2348</v>
      </c>
      <c r="G560" s="8">
        <f>16.2636 * CHOOSE( CONTROL!$C$15, $D$11, 100%, $F$11)</f>
        <v>16.2636</v>
      </c>
      <c r="H560" s="4">
        <f>17.1845 * CHOOSE(CONTROL!$C$15, $D$11, 100%, $F$11)</f>
        <v>17.1845</v>
      </c>
      <c r="I560" s="8">
        <f>16.0711 * CHOOSE(CONTROL!$C$15, $D$11, 100%, $F$11)</f>
        <v>16.071100000000001</v>
      </c>
      <c r="J560" s="4">
        <f>15.9849 * CHOOSE(CONTROL!$C$15, $D$11, 100%, $F$11)</f>
        <v>15.9849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CONTROL!$C$32, 16.9986, 16.9951) * CHOOSE(CONTROL!$C$15, $D$11, 100%, $F$11)</f>
        <v>16.9986</v>
      </c>
      <c r="C561" s="8">
        <f>CHOOSE( CONTROL!$C$32, 17.0089, 17.0055) * CHOOSE(CONTROL!$C$15, $D$11, 100%, $F$11)</f>
        <v>17.008900000000001</v>
      </c>
      <c r="D561" s="8">
        <f>CHOOSE( CONTROL!$C$32, 17.0197, 17.0163) * CHOOSE( CONTROL!$C$15, $D$11, 100%, $F$11)</f>
        <v>17.0197</v>
      </c>
      <c r="E561" s="12">
        <f>CHOOSE( CONTROL!$C$32, 17.0142, 17.0108) * CHOOSE( CONTROL!$C$15, $D$11, 100%, $F$11)</f>
        <v>17.014199999999999</v>
      </c>
      <c r="F561" s="4">
        <f>CHOOSE( CONTROL!$C$32, 17.6787, 17.6752) * CHOOSE(CONTROL!$C$15, $D$11, 100%, $F$11)</f>
        <v>17.678699999999999</v>
      </c>
      <c r="G561" s="8">
        <f>CHOOSE( CONTROL!$C$32, 16.7015, 16.6981) * CHOOSE( CONTROL!$C$15, $D$11, 100%, $F$11)</f>
        <v>16.701499999999999</v>
      </c>
      <c r="H561" s="4">
        <f>CHOOSE( CONTROL!$C$32, 17.6212, 17.6178) * CHOOSE(CONTROL!$C$15, $D$11, 100%, $F$11)</f>
        <v>17.621200000000002</v>
      </c>
      <c r="I561" s="8">
        <f>CHOOSE( CONTROL!$C$32, 16.5021, 16.4988) * CHOOSE(CONTROL!$C$15, $D$11, 100%, $F$11)</f>
        <v>16.502099999999999</v>
      </c>
      <c r="J561" s="4">
        <f>CHOOSE( CONTROL!$C$32, 16.4142, 16.4109) * CHOOSE(CONTROL!$C$15, $D$11, 100%, $F$11)</f>
        <v>16.414200000000001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CONTROL!$C$32, 16.7258, 16.7223) * CHOOSE(CONTROL!$C$15, $D$11, 100%, $F$11)</f>
        <v>16.7258</v>
      </c>
      <c r="C562" s="8">
        <f>CHOOSE( CONTROL!$C$32, 16.7361, 16.7326) * CHOOSE(CONTROL!$C$15, $D$11, 100%, $F$11)</f>
        <v>16.7361</v>
      </c>
      <c r="D562" s="8">
        <f>CHOOSE( CONTROL!$C$32, 16.7472, 16.7437) * CHOOSE( CONTROL!$C$15, $D$11, 100%, $F$11)</f>
        <v>16.747199999999999</v>
      </c>
      <c r="E562" s="12">
        <f>CHOOSE( CONTROL!$C$32, 16.7416, 16.7381) * CHOOSE( CONTROL!$C$15, $D$11, 100%, $F$11)</f>
        <v>16.741599999999998</v>
      </c>
      <c r="F562" s="4">
        <f>CHOOSE( CONTROL!$C$32, 17.4059, 17.4024) * CHOOSE(CONTROL!$C$15, $D$11, 100%, $F$11)</f>
        <v>17.405899999999999</v>
      </c>
      <c r="G562" s="8">
        <f>CHOOSE( CONTROL!$C$32, 16.4335, 16.4301) * CHOOSE( CONTROL!$C$15, $D$11, 100%, $F$11)</f>
        <v>16.433499999999999</v>
      </c>
      <c r="H562" s="4">
        <f>CHOOSE( CONTROL!$C$32, 17.3528, 17.3494) * CHOOSE(CONTROL!$C$15, $D$11, 100%, $F$11)</f>
        <v>17.352799999999998</v>
      </c>
      <c r="I562" s="8">
        <f>CHOOSE( CONTROL!$C$32, 16.2395, 16.2361) * CHOOSE(CONTROL!$C$15, $D$11, 100%, $F$11)</f>
        <v>16.2395</v>
      </c>
      <c r="J562" s="4">
        <f>CHOOSE( CONTROL!$C$32, 16.1504, 16.147) * CHOOSE(CONTROL!$C$15, $D$11, 100%, $F$11)</f>
        <v>16.150400000000001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CONTROL!$C$32, 17.4442, 17.4407) * CHOOSE(CONTROL!$C$15, $D$11, 100%, $F$11)</f>
        <v>17.444199999999999</v>
      </c>
      <c r="C563" s="8">
        <f>CHOOSE( CONTROL!$C$32, 17.4545, 17.4511) * CHOOSE(CONTROL!$C$15, $D$11, 100%, $F$11)</f>
        <v>17.454499999999999</v>
      </c>
      <c r="D563" s="8">
        <f>CHOOSE( CONTROL!$C$32, 17.466, 17.4625) * CHOOSE( CONTROL!$C$15, $D$11, 100%, $F$11)</f>
        <v>17.466000000000001</v>
      </c>
      <c r="E563" s="12">
        <f>CHOOSE( CONTROL!$C$32, 17.4603, 17.4568) * CHOOSE( CONTROL!$C$15, $D$11, 100%, $F$11)</f>
        <v>17.4603</v>
      </c>
      <c r="F563" s="4">
        <f>CHOOSE( CONTROL!$C$32, 18.1243, 18.1208) * CHOOSE(CONTROL!$C$15, $D$11, 100%, $F$11)</f>
        <v>18.124300000000002</v>
      </c>
      <c r="G563" s="8">
        <f>CHOOSE( CONTROL!$C$32, 17.1408, 17.1374) * CHOOSE( CONTROL!$C$15, $D$11, 100%, $F$11)</f>
        <v>17.140799999999999</v>
      </c>
      <c r="H563" s="4">
        <f>CHOOSE( CONTROL!$C$32, 18.0597, 18.0562) * CHOOSE(CONTROL!$C$15, $D$11, 100%, $F$11)</f>
        <v>18.059699999999999</v>
      </c>
      <c r="I563" s="8">
        <f>CHOOSE( CONTROL!$C$32, 16.9361, 16.9327) * CHOOSE(CONTROL!$C$15, $D$11, 100%, $F$11)</f>
        <v>16.9361</v>
      </c>
      <c r="J563" s="4">
        <f>CHOOSE( CONTROL!$C$32, 16.8452, 16.8418) * CHOOSE(CONTROL!$C$15, $D$11, 100%, $F$11)</f>
        <v>16.845199999999998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CONTROL!$C$32, 16.0999, 16.0964) * CHOOSE(CONTROL!$C$15, $D$11, 100%, $F$11)</f>
        <v>16.099900000000002</v>
      </c>
      <c r="C564" s="8">
        <f>CHOOSE( CONTROL!$C$32, 16.1103, 16.1068) * CHOOSE(CONTROL!$C$15, $D$11, 100%, $F$11)</f>
        <v>16.110299999999999</v>
      </c>
      <c r="D564" s="8">
        <f>CHOOSE( CONTROL!$C$32, 16.1218, 16.1183) * CHOOSE( CONTROL!$C$15, $D$11, 100%, $F$11)</f>
        <v>16.1218</v>
      </c>
      <c r="E564" s="12">
        <f>CHOOSE( CONTROL!$C$32, 16.116, 16.1125) * CHOOSE( CONTROL!$C$15, $D$11, 100%, $F$11)</f>
        <v>16.116</v>
      </c>
      <c r="F564" s="4">
        <f>CHOOSE( CONTROL!$C$32, 16.78, 16.7766) * CHOOSE(CONTROL!$C$15, $D$11, 100%, $F$11)</f>
        <v>16.78</v>
      </c>
      <c r="G564" s="8">
        <f>CHOOSE( CONTROL!$C$32, 15.8185, 15.815) * CHOOSE( CONTROL!$C$15, $D$11, 100%, $F$11)</f>
        <v>15.8185</v>
      </c>
      <c r="H564" s="4">
        <f>CHOOSE( CONTROL!$C$32, 16.7371, 16.7337) * CHOOSE(CONTROL!$C$15, $D$11, 100%, $F$11)</f>
        <v>16.737100000000002</v>
      </c>
      <c r="I564" s="8">
        <f>CHOOSE( CONTROL!$C$32, 15.636, 15.6327) * CHOOSE(CONTROL!$C$15, $D$11, 100%, $F$11)</f>
        <v>15.635999999999999</v>
      </c>
      <c r="J564" s="4">
        <f>CHOOSE( CONTROL!$C$32, 15.5451, 15.5418) * CHOOSE(CONTROL!$C$15, $D$11, 100%, $F$11)</f>
        <v>15.5451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CONTROL!$C$32, 15.7633, 15.7598) * CHOOSE(CONTROL!$C$15, $D$11, 100%, $F$11)</f>
        <v>15.763299999999999</v>
      </c>
      <c r="C565" s="8">
        <f>CHOOSE( CONTROL!$C$32, 15.7736, 15.7702) * CHOOSE(CONTROL!$C$15, $D$11, 100%, $F$11)</f>
        <v>15.7736</v>
      </c>
      <c r="D565" s="8">
        <f>CHOOSE( CONTROL!$C$32, 15.7852, 15.7817) * CHOOSE( CONTROL!$C$15, $D$11, 100%, $F$11)</f>
        <v>15.7852</v>
      </c>
      <c r="E565" s="12">
        <f>CHOOSE( CONTROL!$C$32, 15.7794, 15.7759) * CHOOSE( CONTROL!$C$15, $D$11, 100%, $F$11)</f>
        <v>15.779400000000001</v>
      </c>
      <c r="F565" s="4">
        <f>CHOOSE( CONTROL!$C$32, 16.4434, 16.4399) * CHOOSE(CONTROL!$C$15, $D$11, 100%, $F$11)</f>
        <v>16.4434</v>
      </c>
      <c r="G565" s="8">
        <f>CHOOSE( CONTROL!$C$32, 15.4873, 15.4839) * CHOOSE( CONTROL!$C$15, $D$11, 100%, $F$11)</f>
        <v>15.487299999999999</v>
      </c>
      <c r="H565" s="4">
        <f>CHOOSE( CONTROL!$C$32, 16.4059, 16.4025) * CHOOSE(CONTROL!$C$15, $D$11, 100%, $F$11)</f>
        <v>16.405899999999999</v>
      </c>
      <c r="I565" s="8">
        <f>CHOOSE( CONTROL!$C$32, 15.3105, 15.3072) * CHOOSE(CONTROL!$C$15, $D$11, 100%, $F$11)</f>
        <v>15.310499999999999</v>
      </c>
      <c r="J565" s="4">
        <f>CHOOSE( CONTROL!$C$32, 15.2196, 15.2162) * CHOOSE(CONTROL!$C$15, $D$11, 100%, $F$11)</f>
        <v>15.2196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16.4588 * CHOOSE(CONTROL!$C$15, $D$11, 100%, $F$11)</f>
        <v>16.4588</v>
      </c>
      <c r="C566" s="8">
        <f>16.4691 * CHOOSE(CONTROL!$C$15, $D$11, 100%, $F$11)</f>
        <v>16.469100000000001</v>
      </c>
      <c r="D566" s="8">
        <f>16.4817 * CHOOSE( CONTROL!$C$15, $D$11, 100%, $F$11)</f>
        <v>16.4817</v>
      </c>
      <c r="E566" s="12">
        <f>16.4764 * CHOOSE( CONTROL!$C$15, $D$11, 100%, $F$11)</f>
        <v>16.476400000000002</v>
      </c>
      <c r="F566" s="4">
        <f>17.1389 * CHOOSE(CONTROL!$C$15, $D$11, 100%, $F$11)</f>
        <v>17.1389</v>
      </c>
      <c r="G566" s="8">
        <f>16.1711 * CHOOSE( CONTROL!$C$15, $D$11, 100%, $F$11)</f>
        <v>16.171099999999999</v>
      </c>
      <c r="H566" s="4">
        <f>17.0902 * CHOOSE(CONTROL!$C$15, $D$11, 100%, $F$11)</f>
        <v>17.090199999999999</v>
      </c>
      <c r="I566" s="8">
        <f>15.9843 * CHOOSE(CONTROL!$C$15, $D$11, 100%, $F$11)</f>
        <v>15.984299999999999</v>
      </c>
      <c r="J566" s="4">
        <f>15.8922 * CHOOSE(CONTROL!$C$15, $D$11, 100%, $F$11)</f>
        <v>15.892200000000001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17.7489 * CHOOSE(CONTROL!$C$15, $D$11, 100%, $F$11)</f>
        <v>17.748899999999999</v>
      </c>
      <c r="C567" s="8">
        <f>17.7592 * CHOOSE(CONTROL!$C$15, $D$11, 100%, $F$11)</f>
        <v>17.7592</v>
      </c>
      <c r="D567" s="8">
        <f>17.7442 * CHOOSE( CONTROL!$C$15, $D$11, 100%, $F$11)</f>
        <v>17.744199999999999</v>
      </c>
      <c r="E567" s="12">
        <f>17.7486 * CHOOSE( CONTROL!$C$15, $D$11, 100%, $F$11)</f>
        <v>17.7486</v>
      </c>
      <c r="F567" s="4">
        <f>18.4032 * CHOOSE(CONTROL!$C$15, $D$11, 100%, $F$11)</f>
        <v>18.403199999999998</v>
      </c>
      <c r="G567" s="8">
        <f>17.4498 * CHOOSE( CONTROL!$C$15, $D$11, 100%, $F$11)</f>
        <v>17.4498</v>
      </c>
      <c r="H567" s="4">
        <f>18.334 * CHOOSE(CONTROL!$C$15, $D$11, 100%, $F$11)</f>
        <v>18.334</v>
      </c>
      <c r="I567" s="8">
        <f>17.253 * CHOOSE(CONTROL!$C$15, $D$11, 100%, $F$11)</f>
        <v>17.253</v>
      </c>
      <c r="J567" s="4">
        <f>17.1399 * CHOOSE(CONTROL!$C$15, $D$11, 100%, $F$11)</f>
        <v>17.139900000000001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17.7167 * CHOOSE(CONTROL!$C$15, $D$11, 100%, $F$11)</f>
        <v>17.716699999999999</v>
      </c>
      <c r="C568" s="8">
        <f>17.727 * CHOOSE(CONTROL!$C$15, $D$11, 100%, $F$11)</f>
        <v>17.727</v>
      </c>
      <c r="D568" s="8">
        <f>17.7136 * CHOOSE( CONTROL!$C$15, $D$11, 100%, $F$11)</f>
        <v>17.7136</v>
      </c>
      <c r="E568" s="12">
        <f>17.7174 * CHOOSE( CONTROL!$C$15, $D$11, 100%, $F$11)</f>
        <v>17.717400000000001</v>
      </c>
      <c r="F568" s="4">
        <f>18.3709 * CHOOSE(CONTROL!$C$15, $D$11, 100%, $F$11)</f>
        <v>18.370899999999999</v>
      </c>
      <c r="G568" s="8">
        <f>17.4193 * CHOOSE( CONTROL!$C$15, $D$11, 100%, $F$11)</f>
        <v>17.4193</v>
      </c>
      <c r="H568" s="4">
        <f>18.3023 * CHOOSE(CONTROL!$C$15, $D$11, 100%, $F$11)</f>
        <v>18.302299999999999</v>
      </c>
      <c r="I568" s="8">
        <f>17.227 * CHOOSE(CONTROL!$C$15, $D$11, 100%, $F$11)</f>
        <v>17.227</v>
      </c>
      <c r="J568" s="4">
        <f>17.1087 * CHOOSE(CONTROL!$C$15, $D$11, 100%, $F$11)</f>
        <v>17.108699999999999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18.3928 * CHOOSE(CONTROL!$C$15, $D$11, 100%, $F$11)</f>
        <v>18.392800000000001</v>
      </c>
      <c r="C569" s="8">
        <f>18.4031 * CHOOSE(CONTROL!$C$15, $D$11, 100%, $F$11)</f>
        <v>18.403099999999998</v>
      </c>
      <c r="D569" s="8">
        <f>18.4016 * CHOOSE( CONTROL!$C$15, $D$11, 100%, $F$11)</f>
        <v>18.401599999999998</v>
      </c>
      <c r="E569" s="12">
        <f>18.4011 * CHOOSE( CONTROL!$C$15, $D$11, 100%, $F$11)</f>
        <v>18.4011</v>
      </c>
      <c r="F569" s="4">
        <f>19.0755 * CHOOSE(CONTROL!$C$15, $D$11, 100%, $F$11)</f>
        <v>19.075500000000002</v>
      </c>
      <c r="G569" s="8">
        <f>18.097 * CHOOSE( CONTROL!$C$15, $D$11, 100%, $F$11)</f>
        <v>18.097000000000001</v>
      </c>
      <c r="H569" s="4">
        <f>18.9954 * CHOOSE(CONTROL!$C$15, $D$11, 100%, $F$11)</f>
        <v>18.9954</v>
      </c>
      <c r="I569" s="8">
        <f>17.88 * CHOOSE(CONTROL!$C$15, $D$11, 100%, $F$11)</f>
        <v>17.88</v>
      </c>
      <c r="J569" s="4">
        <f>17.7626 * CHOOSE(CONTROL!$C$15, $D$11, 100%, $F$11)</f>
        <v>17.762599999999999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17.2054 * CHOOSE(CONTROL!$C$15, $D$11, 100%, $F$11)</f>
        <v>17.205400000000001</v>
      </c>
      <c r="C570" s="8">
        <f>17.2157 * CHOOSE(CONTROL!$C$15, $D$11, 100%, $F$11)</f>
        <v>17.215699999999998</v>
      </c>
      <c r="D570" s="8">
        <f>17.2163 * CHOOSE( CONTROL!$C$15, $D$11, 100%, $F$11)</f>
        <v>17.2163</v>
      </c>
      <c r="E570" s="12">
        <f>17.215 * CHOOSE( CONTROL!$C$15, $D$11, 100%, $F$11)</f>
        <v>17.215</v>
      </c>
      <c r="F570" s="4">
        <f>17.8803 * CHOOSE(CONTROL!$C$15, $D$11, 100%, $F$11)</f>
        <v>17.880299999999998</v>
      </c>
      <c r="G570" s="8">
        <f>16.9286 * CHOOSE( CONTROL!$C$15, $D$11, 100%, $F$11)</f>
        <v>16.928599999999999</v>
      </c>
      <c r="H570" s="4">
        <f>17.8196 * CHOOSE(CONTROL!$C$15, $D$11, 100%, $F$11)</f>
        <v>17.819600000000001</v>
      </c>
      <c r="I570" s="8">
        <f>16.7202 * CHOOSE(CONTROL!$C$15, $D$11, 100%, $F$11)</f>
        <v>16.720199999999998</v>
      </c>
      <c r="J570" s="4">
        <f>16.6142 * CHOOSE(CONTROL!$C$15, $D$11, 100%, $F$11)</f>
        <v>16.6142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16.8397 * CHOOSE(CONTROL!$C$15, $D$11, 100%, $F$11)</f>
        <v>16.839700000000001</v>
      </c>
      <c r="C571" s="8">
        <f>16.85 * CHOOSE(CONTROL!$C$15, $D$11, 100%, $F$11)</f>
        <v>16.850000000000001</v>
      </c>
      <c r="D571" s="8">
        <f>16.8452 * CHOOSE( CONTROL!$C$15, $D$11, 100%, $F$11)</f>
        <v>16.845199999999998</v>
      </c>
      <c r="E571" s="12">
        <f>16.8459 * CHOOSE( CONTROL!$C$15, $D$11, 100%, $F$11)</f>
        <v>16.8459</v>
      </c>
      <c r="F571" s="4">
        <f>17.5172 * CHOOSE(CONTROL!$C$15, $D$11, 100%, $F$11)</f>
        <v>17.517199999999999</v>
      </c>
      <c r="G571" s="8">
        <f>16.5634 * CHOOSE( CONTROL!$C$15, $D$11, 100%, $F$11)</f>
        <v>16.563400000000001</v>
      </c>
      <c r="H571" s="4">
        <f>17.4624 * CHOOSE(CONTROL!$C$15, $D$11, 100%, $F$11)</f>
        <v>17.462399999999999</v>
      </c>
      <c r="I571" s="8">
        <f>16.3545 * CHOOSE(CONTROL!$C$15, $D$11, 100%, $F$11)</f>
        <v>16.354500000000002</v>
      </c>
      <c r="J571" s="4">
        <f>16.2606 * CHOOSE(CONTROL!$C$15, $D$11, 100%, $F$11)</f>
        <v>16.2606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17.0952 * CHOOSE(CONTROL!$C$15, $D$11, 100%, $F$11)</f>
        <v>17.095199999999998</v>
      </c>
      <c r="C572" s="8">
        <f>17.1056 * CHOOSE(CONTROL!$C$15, $D$11, 100%, $F$11)</f>
        <v>17.105599999999999</v>
      </c>
      <c r="D572" s="8">
        <f>17.1169 * CHOOSE( CONTROL!$C$15, $D$11, 100%, $F$11)</f>
        <v>17.116900000000001</v>
      </c>
      <c r="E572" s="12">
        <f>17.112 * CHOOSE( CONTROL!$C$15, $D$11, 100%, $F$11)</f>
        <v>17.111999999999998</v>
      </c>
      <c r="F572" s="4">
        <f>17.7754 * CHOOSE(CONTROL!$C$15, $D$11, 100%, $F$11)</f>
        <v>17.775400000000001</v>
      </c>
      <c r="G572" s="8">
        <f>16.7954 * CHOOSE( CONTROL!$C$15, $D$11, 100%, $F$11)</f>
        <v>16.795400000000001</v>
      </c>
      <c r="H572" s="4">
        <f>17.7163 * CHOOSE(CONTROL!$C$15, $D$11, 100%, $F$11)</f>
        <v>17.7163</v>
      </c>
      <c r="I572" s="8">
        <f>16.5941 * CHOOSE(CONTROL!$C$15, $D$11, 100%, $F$11)</f>
        <v>16.594100000000001</v>
      </c>
      <c r="J572" s="4">
        <f>16.5077 * CHOOSE(CONTROL!$C$15, $D$11, 100%, $F$11)</f>
        <v>16.5077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CONTROL!$C$32, 17.5535, 17.5501) * CHOOSE(CONTROL!$C$15, $D$11, 100%, $F$11)</f>
        <v>17.5535</v>
      </c>
      <c r="C573" s="8">
        <f>CHOOSE( CONTROL!$C$32, 17.5639, 17.5604) * CHOOSE(CONTROL!$C$15, $D$11, 100%, $F$11)</f>
        <v>17.5639</v>
      </c>
      <c r="D573" s="8">
        <f>CHOOSE( CONTROL!$C$32, 17.5747, 17.5712) * CHOOSE( CONTROL!$C$15, $D$11, 100%, $F$11)</f>
        <v>17.5747</v>
      </c>
      <c r="E573" s="12">
        <f>CHOOSE( CONTROL!$C$32, 17.5692, 17.5657) * CHOOSE( CONTROL!$C$15, $D$11, 100%, $F$11)</f>
        <v>17.569199999999999</v>
      </c>
      <c r="F573" s="4">
        <f>CHOOSE( CONTROL!$C$32, 18.2336, 18.2302) * CHOOSE(CONTROL!$C$15, $D$11, 100%, $F$11)</f>
        <v>18.233599999999999</v>
      </c>
      <c r="G573" s="8">
        <f>CHOOSE( CONTROL!$C$32, 17.2475, 17.2441) * CHOOSE( CONTROL!$C$15, $D$11, 100%, $F$11)</f>
        <v>17.247499999999999</v>
      </c>
      <c r="H573" s="4">
        <f>CHOOSE( CONTROL!$C$32, 18.1672, 18.1638) * CHOOSE(CONTROL!$C$15, $D$11, 100%, $F$11)</f>
        <v>18.167200000000001</v>
      </c>
      <c r="I573" s="8">
        <f>CHOOSE( CONTROL!$C$32, 17.0391, 17.0357) * CHOOSE(CONTROL!$C$15, $D$11, 100%, $F$11)</f>
        <v>17.039100000000001</v>
      </c>
      <c r="J573" s="4">
        <f>CHOOSE( CONTROL!$C$32, 16.9509, 16.9476) * CHOOSE(CONTROL!$C$15, $D$11, 100%, $F$11)</f>
        <v>16.950900000000001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CONTROL!$C$32, 17.2718, 17.2683) * CHOOSE(CONTROL!$C$15, $D$11, 100%, $F$11)</f>
        <v>17.271799999999999</v>
      </c>
      <c r="C574" s="8">
        <f>CHOOSE( CONTROL!$C$32, 17.2821, 17.2787) * CHOOSE(CONTROL!$C$15, $D$11, 100%, $F$11)</f>
        <v>17.2821</v>
      </c>
      <c r="D574" s="8">
        <f>CHOOSE( CONTROL!$C$32, 17.2932, 17.2898) * CHOOSE( CONTROL!$C$15, $D$11, 100%, $F$11)</f>
        <v>17.293199999999999</v>
      </c>
      <c r="E574" s="12">
        <f>CHOOSE( CONTROL!$C$32, 17.2876, 17.2842) * CHOOSE( CONTROL!$C$15, $D$11, 100%, $F$11)</f>
        <v>17.287600000000001</v>
      </c>
      <c r="F574" s="4">
        <f>CHOOSE( CONTROL!$C$32, 17.9519, 17.9484) * CHOOSE(CONTROL!$C$15, $D$11, 100%, $F$11)</f>
        <v>17.951899999999998</v>
      </c>
      <c r="G574" s="8">
        <f>CHOOSE( CONTROL!$C$32, 16.9707, 16.9673) * CHOOSE( CONTROL!$C$15, $D$11, 100%, $F$11)</f>
        <v>16.970700000000001</v>
      </c>
      <c r="H574" s="4">
        <f>CHOOSE( CONTROL!$C$32, 17.89, 17.8866) * CHOOSE(CONTROL!$C$15, $D$11, 100%, $F$11)</f>
        <v>17.89</v>
      </c>
      <c r="I574" s="8">
        <f>CHOOSE( CONTROL!$C$32, 16.7678, 16.7645) * CHOOSE(CONTROL!$C$15, $D$11, 100%, $F$11)</f>
        <v>16.767800000000001</v>
      </c>
      <c r="J574" s="4">
        <f>CHOOSE( CONTROL!$C$32, 16.6784, 16.6751) * CHOOSE(CONTROL!$C$15, $D$11, 100%, $F$11)</f>
        <v>16.6784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CONTROL!$C$32, 18.0137, 18.0103) * CHOOSE(CONTROL!$C$15, $D$11, 100%, $F$11)</f>
        <v>18.0137</v>
      </c>
      <c r="C575" s="8">
        <f>CHOOSE( CONTROL!$C$32, 18.0241, 18.0206) * CHOOSE(CONTROL!$C$15, $D$11, 100%, $F$11)</f>
        <v>18.024100000000001</v>
      </c>
      <c r="D575" s="8">
        <f>CHOOSE( CONTROL!$C$32, 18.0355, 18.032) * CHOOSE( CONTROL!$C$15, $D$11, 100%, $F$11)</f>
        <v>18.035499999999999</v>
      </c>
      <c r="E575" s="12">
        <f>CHOOSE( CONTROL!$C$32, 18.0298, 18.0263) * CHOOSE( CONTROL!$C$15, $D$11, 100%, $F$11)</f>
        <v>18.029800000000002</v>
      </c>
      <c r="F575" s="4">
        <f>CHOOSE( CONTROL!$C$32, 18.6938, 18.6904) * CHOOSE(CONTROL!$C$15, $D$11, 100%, $F$11)</f>
        <v>18.6938</v>
      </c>
      <c r="G575" s="8">
        <f>CHOOSE( CONTROL!$C$32, 17.7011, 17.6977) * CHOOSE( CONTROL!$C$15, $D$11, 100%, $F$11)</f>
        <v>17.7011</v>
      </c>
      <c r="H575" s="4">
        <f>CHOOSE( CONTROL!$C$32, 18.62, 18.6166) * CHOOSE(CONTROL!$C$15, $D$11, 100%, $F$11)</f>
        <v>18.62</v>
      </c>
      <c r="I575" s="8">
        <f>CHOOSE( CONTROL!$C$32, 17.4872, 17.4838) * CHOOSE(CONTROL!$C$15, $D$11, 100%, $F$11)</f>
        <v>17.487200000000001</v>
      </c>
      <c r="J575" s="4">
        <f>CHOOSE( CONTROL!$C$32, 17.396, 17.3926) * CHOOSE(CONTROL!$C$15, $D$11, 100%, $F$11)</f>
        <v>17.396000000000001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CONTROL!$C$32, 16.6255, 16.622) * CHOOSE(CONTROL!$C$15, $D$11, 100%, $F$11)</f>
        <v>16.625499999999999</v>
      </c>
      <c r="C576" s="8">
        <f>CHOOSE( CONTROL!$C$32, 16.6358, 16.6323) * CHOOSE(CONTROL!$C$15, $D$11, 100%, $F$11)</f>
        <v>16.6358</v>
      </c>
      <c r="D576" s="8">
        <f>CHOOSE( CONTROL!$C$32, 16.6474, 16.6439) * CHOOSE( CONTROL!$C$15, $D$11, 100%, $F$11)</f>
        <v>16.647400000000001</v>
      </c>
      <c r="E576" s="12">
        <f>CHOOSE( CONTROL!$C$32, 16.6416, 16.6381) * CHOOSE( CONTROL!$C$15, $D$11, 100%, $F$11)</f>
        <v>16.6416</v>
      </c>
      <c r="F576" s="4">
        <f>CHOOSE( CONTROL!$C$32, 17.3056, 17.3021) * CHOOSE(CONTROL!$C$15, $D$11, 100%, $F$11)</f>
        <v>17.305599999999998</v>
      </c>
      <c r="G576" s="8">
        <f>CHOOSE( CONTROL!$C$32, 16.3355, 16.3321) * CHOOSE( CONTROL!$C$15, $D$11, 100%, $F$11)</f>
        <v>16.3355</v>
      </c>
      <c r="H576" s="4">
        <f>CHOOSE( CONTROL!$C$32, 17.2542, 17.2508) * CHOOSE(CONTROL!$C$15, $D$11, 100%, $F$11)</f>
        <v>17.254200000000001</v>
      </c>
      <c r="I576" s="8">
        <f>CHOOSE( CONTROL!$C$32, 16.1446, 16.1412) * CHOOSE(CONTROL!$C$15, $D$11, 100%, $F$11)</f>
        <v>16.144600000000001</v>
      </c>
      <c r="J576" s="4">
        <f>CHOOSE( CONTROL!$C$32, 16.0534, 16.05) * CHOOSE(CONTROL!$C$15, $D$11, 100%, $F$11)</f>
        <v>16.0534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CONTROL!$C$32, 16.2778, 16.2744) * CHOOSE(CONTROL!$C$15, $D$11, 100%, $F$11)</f>
        <v>16.277799999999999</v>
      </c>
      <c r="C577" s="8">
        <f>CHOOSE( CONTROL!$C$32, 16.2882, 16.2847) * CHOOSE(CONTROL!$C$15, $D$11, 100%, $F$11)</f>
        <v>16.2882</v>
      </c>
      <c r="D577" s="8">
        <f>CHOOSE( CONTROL!$C$32, 16.2998, 16.2963) * CHOOSE( CONTROL!$C$15, $D$11, 100%, $F$11)</f>
        <v>16.299800000000001</v>
      </c>
      <c r="E577" s="12">
        <f>CHOOSE( CONTROL!$C$32, 16.294, 16.2905) * CHOOSE( CONTROL!$C$15, $D$11, 100%, $F$11)</f>
        <v>16.294</v>
      </c>
      <c r="F577" s="4">
        <f>CHOOSE( CONTROL!$C$32, 16.958, 16.9545) * CHOOSE(CONTROL!$C$15, $D$11, 100%, $F$11)</f>
        <v>16.957999999999998</v>
      </c>
      <c r="G577" s="8">
        <f>CHOOSE( CONTROL!$C$32, 15.9936, 15.9902) * CHOOSE( CONTROL!$C$15, $D$11, 100%, $F$11)</f>
        <v>15.993600000000001</v>
      </c>
      <c r="H577" s="4">
        <f>CHOOSE( CONTROL!$C$32, 16.9122, 16.9087) * CHOOSE(CONTROL!$C$15, $D$11, 100%, $F$11)</f>
        <v>16.912199999999999</v>
      </c>
      <c r="I577" s="8">
        <f>CHOOSE( CONTROL!$C$32, 15.8084, 15.805) * CHOOSE(CONTROL!$C$15, $D$11, 100%, $F$11)</f>
        <v>15.808400000000001</v>
      </c>
      <c r="J577" s="4">
        <f>CHOOSE( CONTROL!$C$32, 15.7172, 15.7138) * CHOOSE(CONTROL!$C$15, $D$11, 100%, $F$11)</f>
        <v>15.7172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16.9962 * CHOOSE(CONTROL!$C$15, $D$11, 100%, $F$11)</f>
        <v>16.996200000000002</v>
      </c>
      <c r="C578" s="8">
        <f>17.0065 * CHOOSE(CONTROL!$C$15, $D$11, 100%, $F$11)</f>
        <v>17.006499999999999</v>
      </c>
      <c r="D578" s="8">
        <f>17.0191 * CHOOSE( CONTROL!$C$15, $D$11, 100%, $F$11)</f>
        <v>17.019100000000002</v>
      </c>
      <c r="E578" s="12">
        <f>17.0138 * CHOOSE( CONTROL!$C$15, $D$11, 100%, $F$11)</f>
        <v>17.0138</v>
      </c>
      <c r="F578" s="4">
        <f>17.6763 * CHOOSE(CONTROL!$C$15, $D$11, 100%, $F$11)</f>
        <v>17.676300000000001</v>
      </c>
      <c r="G578" s="8">
        <f>16.6998 * CHOOSE( CONTROL!$C$15, $D$11, 100%, $F$11)</f>
        <v>16.6998</v>
      </c>
      <c r="H578" s="4">
        <f>17.6189 * CHOOSE(CONTROL!$C$15, $D$11, 100%, $F$11)</f>
        <v>17.6189</v>
      </c>
      <c r="I578" s="8">
        <f>16.5043 * CHOOSE(CONTROL!$C$15, $D$11, 100%, $F$11)</f>
        <v>16.504300000000001</v>
      </c>
      <c r="J578" s="4">
        <f>16.4119 * CHOOSE(CONTROL!$C$15, $D$11, 100%, $F$11)</f>
        <v>16.411899999999999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18.3285 * CHOOSE(CONTROL!$C$15, $D$11, 100%, $F$11)</f>
        <v>18.328499999999998</v>
      </c>
      <c r="C579" s="8">
        <f>18.3388 * CHOOSE(CONTROL!$C$15, $D$11, 100%, $F$11)</f>
        <v>18.338799999999999</v>
      </c>
      <c r="D579" s="8">
        <f>18.3238 * CHOOSE( CONTROL!$C$15, $D$11, 100%, $F$11)</f>
        <v>18.323799999999999</v>
      </c>
      <c r="E579" s="12">
        <f>18.3282 * CHOOSE( CONTROL!$C$15, $D$11, 100%, $F$11)</f>
        <v>18.328199999999999</v>
      </c>
      <c r="F579" s="4">
        <f>18.9828 * CHOOSE(CONTROL!$C$15, $D$11, 100%, $F$11)</f>
        <v>18.982800000000001</v>
      </c>
      <c r="G579" s="8">
        <f>18.02 * CHOOSE( CONTROL!$C$15, $D$11, 100%, $F$11)</f>
        <v>18.02</v>
      </c>
      <c r="H579" s="4">
        <f>18.9042 * CHOOSE(CONTROL!$C$15, $D$11, 100%, $F$11)</f>
        <v>18.904199999999999</v>
      </c>
      <c r="I579" s="8">
        <f>17.8138 * CHOOSE(CONTROL!$C$15, $D$11, 100%, $F$11)</f>
        <v>17.813800000000001</v>
      </c>
      <c r="J579" s="4">
        <f>17.7004 * CHOOSE(CONTROL!$C$15, $D$11, 100%, $F$11)</f>
        <v>17.700399999999998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18.2952 * CHOOSE(CONTROL!$C$15, $D$11, 100%, $F$11)</f>
        <v>18.295200000000001</v>
      </c>
      <c r="C580" s="8">
        <f>18.3056 * CHOOSE(CONTROL!$C$15, $D$11, 100%, $F$11)</f>
        <v>18.305599999999998</v>
      </c>
      <c r="D580" s="8">
        <f>18.2921 * CHOOSE( CONTROL!$C$15, $D$11, 100%, $F$11)</f>
        <v>18.292100000000001</v>
      </c>
      <c r="E580" s="12">
        <f>18.2959 * CHOOSE( CONTROL!$C$15, $D$11, 100%, $F$11)</f>
        <v>18.2959</v>
      </c>
      <c r="F580" s="4">
        <f>18.9495 * CHOOSE(CONTROL!$C$15, $D$11, 100%, $F$11)</f>
        <v>18.9495</v>
      </c>
      <c r="G580" s="8">
        <f>17.9885 * CHOOSE( CONTROL!$C$15, $D$11, 100%, $F$11)</f>
        <v>17.988499999999998</v>
      </c>
      <c r="H580" s="4">
        <f>18.8715 * CHOOSE(CONTROL!$C$15, $D$11, 100%, $F$11)</f>
        <v>18.871500000000001</v>
      </c>
      <c r="I580" s="8">
        <f>17.7868 * CHOOSE(CONTROL!$C$15, $D$11, 100%, $F$11)</f>
        <v>17.786799999999999</v>
      </c>
      <c r="J580" s="4">
        <f>17.6682 * CHOOSE(CONTROL!$C$15, $D$11, 100%, $F$11)</f>
        <v>17.668199999999999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18.9935 * CHOOSE(CONTROL!$C$15, $D$11, 100%, $F$11)</f>
        <v>18.993500000000001</v>
      </c>
      <c r="C581" s="8">
        <f>19.0038 * CHOOSE(CONTROL!$C$15, $D$11, 100%, $F$11)</f>
        <v>19.003799999999998</v>
      </c>
      <c r="D581" s="8">
        <f>19.0022 * CHOOSE( CONTROL!$C$15, $D$11, 100%, $F$11)</f>
        <v>19.002199999999998</v>
      </c>
      <c r="E581" s="12">
        <f>19.0017 * CHOOSE( CONTROL!$C$15, $D$11, 100%, $F$11)</f>
        <v>19.0017</v>
      </c>
      <c r="F581" s="4">
        <f>19.6761 * CHOOSE(CONTROL!$C$15, $D$11, 100%, $F$11)</f>
        <v>19.676100000000002</v>
      </c>
      <c r="G581" s="8">
        <f>18.688 * CHOOSE( CONTROL!$C$15, $D$11, 100%, $F$11)</f>
        <v>18.687999999999999</v>
      </c>
      <c r="H581" s="4">
        <f>19.5864 * CHOOSE(CONTROL!$C$15, $D$11, 100%, $F$11)</f>
        <v>19.586400000000001</v>
      </c>
      <c r="I581" s="8">
        <f>18.4612 * CHOOSE(CONTROL!$C$15, $D$11, 100%, $F$11)</f>
        <v>18.461200000000002</v>
      </c>
      <c r="J581" s="4">
        <f>18.3435 * CHOOSE(CONTROL!$C$15, $D$11, 100%, $F$11)</f>
        <v>18.343499999999999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17.7672 * CHOOSE(CONTROL!$C$15, $D$11, 100%, $F$11)</f>
        <v>17.767199999999999</v>
      </c>
      <c r="C582" s="8">
        <f>17.7776 * CHOOSE(CONTROL!$C$15, $D$11, 100%, $F$11)</f>
        <v>17.7776</v>
      </c>
      <c r="D582" s="8">
        <f>17.7781 * CHOOSE( CONTROL!$C$15, $D$11, 100%, $F$11)</f>
        <v>17.778099999999998</v>
      </c>
      <c r="E582" s="12">
        <f>17.7768 * CHOOSE( CONTROL!$C$15, $D$11, 100%, $F$11)</f>
        <v>17.776800000000001</v>
      </c>
      <c r="F582" s="4">
        <f>18.4422 * CHOOSE(CONTROL!$C$15, $D$11, 100%, $F$11)</f>
        <v>18.4422</v>
      </c>
      <c r="G582" s="8">
        <f>17.4814 * CHOOSE( CONTROL!$C$15, $D$11, 100%, $F$11)</f>
        <v>17.481400000000001</v>
      </c>
      <c r="H582" s="4">
        <f>18.3724 * CHOOSE(CONTROL!$C$15, $D$11, 100%, $F$11)</f>
        <v>18.372399999999999</v>
      </c>
      <c r="I582" s="8">
        <f>17.2638 * CHOOSE(CONTROL!$C$15, $D$11, 100%, $F$11)</f>
        <v>17.2638</v>
      </c>
      <c r="J582" s="4">
        <f>17.1576 * CHOOSE(CONTROL!$C$15, $D$11, 100%, $F$11)</f>
        <v>17.157599999999999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17.3896 * CHOOSE(CONTROL!$C$15, $D$11, 100%, $F$11)</f>
        <v>17.389600000000002</v>
      </c>
      <c r="C583" s="8">
        <f>17.3999 * CHOOSE(CONTROL!$C$15, $D$11, 100%, $F$11)</f>
        <v>17.399899999999999</v>
      </c>
      <c r="D583" s="8">
        <f>17.3951 * CHOOSE( CONTROL!$C$15, $D$11, 100%, $F$11)</f>
        <v>17.395099999999999</v>
      </c>
      <c r="E583" s="12">
        <f>17.3958 * CHOOSE( CONTROL!$C$15, $D$11, 100%, $F$11)</f>
        <v>17.395800000000001</v>
      </c>
      <c r="F583" s="4">
        <f>18.0671 * CHOOSE(CONTROL!$C$15, $D$11, 100%, $F$11)</f>
        <v>18.0671</v>
      </c>
      <c r="G583" s="8">
        <f>17.1043 * CHOOSE( CONTROL!$C$15, $D$11, 100%, $F$11)</f>
        <v>17.104299999999999</v>
      </c>
      <c r="H583" s="4">
        <f>18.0034 * CHOOSE(CONTROL!$C$15, $D$11, 100%, $F$11)</f>
        <v>18.003399999999999</v>
      </c>
      <c r="I583" s="8">
        <f>16.8865 * CHOOSE(CONTROL!$C$15, $D$11, 100%, $F$11)</f>
        <v>16.886500000000002</v>
      </c>
      <c r="J583" s="4">
        <f>16.7923 * CHOOSE(CONTROL!$C$15, $D$11, 100%, $F$11)</f>
        <v>16.792300000000001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17.6535 * CHOOSE(CONTROL!$C$15, $D$11, 100%, $F$11)</f>
        <v>17.653500000000001</v>
      </c>
      <c r="C584" s="8">
        <f>17.6638 * CHOOSE(CONTROL!$C$15, $D$11, 100%, $F$11)</f>
        <v>17.663799999999998</v>
      </c>
      <c r="D584" s="8">
        <f>17.6751 * CHOOSE( CONTROL!$C$15, $D$11, 100%, $F$11)</f>
        <v>17.6751</v>
      </c>
      <c r="E584" s="12">
        <f>17.6702 * CHOOSE( CONTROL!$C$15, $D$11, 100%, $F$11)</f>
        <v>17.670200000000001</v>
      </c>
      <c r="F584" s="4">
        <f>18.3336 * CHOOSE(CONTROL!$C$15, $D$11, 100%, $F$11)</f>
        <v>18.333600000000001</v>
      </c>
      <c r="G584" s="8">
        <f>17.3446 * CHOOSE( CONTROL!$C$15, $D$11, 100%, $F$11)</f>
        <v>17.3446</v>
      </c>
      <c r="H584" s="4">
        <f>18.2655 * CHOOSE(CONTROL!$C$15, $D$11, 100%, $F$11)</f>
        <v>18.265499999999999</v>
      </c>
      <c r="I584" s="8">
        <f>17.1342 * CHOOSE(CONTROL!$C$15, $D$11, 100%, $F$11)</f>
        <v>17.1342</v>
      </c>
      <c r="J584" s="4">
        <f>17.0476 * CHOOSE(CONTROL!$C$15, $D$11, 100%, $F$11)</f>
        <v>17.047599999999999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CONTROL!$C$32, 18.1266, 18.1232) * CHOOSE(CONTROL!$C$15, $D$11, 100%, $F$11)</f>
        <v>18.1266</v>
      </c>
      <c r="C585" s="8">
        <f>CHOOSE( CONTROL!$C$32, 18.137, 18.1335) * CHOOSE(CONTROL!$C$15, $D$11, 100%, $F$11)</f>
        <v>18.137</v>
      </c>
      <c r="D585" s="8">
        <f>CHOOSE( CONTROL!$C$32, 18.1478, 18.1443) * CHOOSE( CONTROL!$C$15, $D$11, 100%, $F$11)</f>
        <v>18.1478</v>
      </c>
      <c r="E585" s="12">
        <f>CHOOSE( CONTROL!$C$32, 18.1423, 18.1388) * CHOOSE( CONTROL!$C$15, $D$11, 100%, $F$11)</f>
        <v>18.142299999999999</v>
      </c>
      <c r="F585" s="4">
        <f>CHOOSE( CONTROL!$C$32, 18.8067, 18.8033) * CHOOSE(CONTROL!$C$15, $D$11, 100%, $F$11)</f>
        <v>18.806699999999999</v>
      </c>
      <c r="G585" s="8">
        <f>CHOOSE( CONTROL!$C$32, 17.8113, 17.8079) * CHOOSE( CONTROL!$C$15, $D$11, 100%, $F$11)</f>
        <v>17.811299999999999</v>
      </c>
      <c r="H585" s="4">
        <f>CHOOSE( CONTROL!$C$32, 18.7311, 18.7276) * CHOOSE(CONTROL!$C$15, $D$11, 100%, $F$11)</f>
        <v>18.731100000000001</v>
      </c>
      <c r="I585" s="8">
        <f>CHOOSE( CONTROL!$C$32, 17.5936, 17.5903) * CHOOSE(CONTROL!$C$15, $D$11, 100%, $F$11)</f>
        <v>17.593599999999999</v>
      </c>
      <c r="J585" s="4">
        <f>CHOOSE( CONTROL!$C$32, 17.5052, 17.5018) * CHOOSE(CONTROL!$C$15, $D$11, 100%, $F$11)</f>
        <v>17.505199999999999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CONTROL!$C$32, 17.8357, 17.8322) * CHOOSE(CONTROL!$C$15, $D$11, 100%, $F$11)</f>
        <v>17.835699999999999</v>
      </c>
      <c r="C586" s="8">
        <f>CHOOSE( CONTROL!$C$32, 17.846, 17.8426) * CHOOSE(CONTROL!$C$15, $D$11, 100%, $F$11)</f>
        <v>17.846</v>
      </c>
      <c r="D586" s="8">
        <f>CHOOSE( CONTROL!$C$32, 17.8571, 17.8537) * CHOOSE( CONTROL!$C$15, $D$11, 100%, $F$11)</f>
        <v>17.857099999999999</v>
      </c>
      <c r="E586" s="12">
        <f>CHOOSE( CONTROL!$C$32, 17.8515, 17.8481) * CHOOSE( CONTROL!$C$15, $D$11, 100%, $F$11)</f>
        <v>17.851500000000001</v>
      </c>
      <c r="F586" s="4">
        <f>CHOOSE( CONTROL!$C$32, 18.5158, 18.5123) * CHOOSE(CONTROL!$C$15, $D$11, 100%, $F$11)</f>
        <v>18.515799999999999</v>
      </c>
      <c r="G586" s="8">
        <f>CHOOSE( CONTROL!$C$32, 17.5255, 17.5221) * CHOOSE( CONTROL!$C$15, $D$11, 100%, $F$11)</f>
        <v>17.525500000000001</v>
      </c>
      <c r="H586" s="4">
        <f>CHOOSE( CONTROL!$C$32, 18.4448, 18.4414) * CHOOSE(CONTROL!$C$15, $D$11, 100%, $F$11)</f>
        <v>18.444800000000001</v>
      </c>
      <c r="I586" s="8">
        <f>CHOOSE( CONTROL!$C$32, 17.3134, 17.3101) * CHOOSE(CONTROL!$C$15, $D$11, 100%, $F$11)</f>
        <v>17.313400000000001</v>
      </c>
      <c r="J586" s="4">
        <f>CHOOSE( CONTROL!$C$32, 17.2238, 17.2204) * CHOOSE(CONTROL!$C$15, $D$11, 100%, $F$11)</f>
        <v>17.223800000000001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CONTROL!$C$32, 18.6019, 18.5984) * CHOOSE(CONTROL!$C$15, $D$11, 100%, $F$11)</f>
        <v>18.601900000000001</v>
      </c>
      <c r="C587" s="8">
        <f>CHOOSE( CONTROL!$C$32, 18.6122, 18.6088) * CHOOSE(CONTROL!$C$15, $D$11, 100%, $F$11)</f>
        <v>18.612200000000001</v>
      </c>
      <c r="D587" s="8">
        <f>CHOOSE( CONTROL!$C$32, 18.6236, 18.6202) * CHOOSE( CONTROL!$C$15, $D$11, 100%, $F$11)</f>
        <v>18.6236</v>
      </c>
      <c r="E587" s="12">
        <f>CHOOSE( CONTROL!$C$32, 18.6179, 18.6145) * CHOOSE( CONTROL!$C$15, $D$11, 100%, $F$11)</f>
        <v>18.617899999999999</v>
      </c>
      <c r="F587" s="4">
        <f>CHOOSE( CONTROL!$C$32, 19.282, 19.2785) * CHOOSE(CONTROL!$C$15, $D$11, 100%, $F$11)</f>
        <v>19.282</v>
      </c>
      <c r="G587" s="8">
        <f>CHOOSE( CONTROL!$C$32, 18.2798, 18.2763) * CHOOSE( CONTROL!$C$15, $D$11, 100%, $F$11)</f>
        <v>18.279800000000002</v>
      </c>
      <c r="H587" s="4">
        <f>CHOOSE( CONTROL!$C$32, 19.1986, 19.1952) * CHOOSE(CONTROL!$C$15, $D$11, 100%, $F$11)</f>
        <v>19.198599999999999</v>
      </c>
      <c r="I587" s="8">
        <f>CHOOSE( CONTROL!$C$32, 18.0563, 18.0529) * CHOOSE(CONTROL!$C$15, $D$11, 100%, $F$11)</f>
        <v>18.0563</v>
      </c>
      <c r="J587" s="4">
        <f>CHOOSE( CONTROL!$C$32, 17.9648, 17.9614) * CHOOSE(CONTROL!$C$15, $D$11, 100%, $F$11)</f>
        <v>17.9648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CONTROL!$C$32, 17.1682, 17.1648) * CHOOSE(CONTROL!$C$15, $D$11, 100%, $F$11)</f>
        <v>17.168199999999999</v>
      </c>
      <c r="C588" s="8">
        <f>CHOOSE( CONTROL!$C$32, 17.1786, 17.1751) * CHOOSE(CONTROL!$C$15, $D$11, 100%, $F$11)</f>
        <v>17.178599999999999</v>
      </c>
      <c r="D588" s="8">
        <f>CHOOSE( CONTROL!$C$32, 17.1901, 17.1866) * CHOOSE( CONTROL!$C$15, $D$11, 100%, $F$11)</f>
        <v>17.190100000000001</v>
      </c>
      <c r="E588" s="12">
        <f>CHOOSE( CONTROL!$C$32, 17.1843, 17.1809) * CHOOSE( CONTROL!$C$15, $D$11, 100%, $F$11)</f>
        <v>17.1843</v>
      </c>
      <c r="F588" s="4">
        <f>CHOOSE( CONTROL!$C$32, 17.8483, 17.8449) * CHOOSE(CONTROL!$C$15, $D$11, 100%, $F$11)</f>
        <v>17.848299999999998</v>
      </c>
      <c r="G588" s="8">
        <f>CHOOSE( CONTROL!$C$32, 16.8695, 16.8661) * CHOOSE( CONTROL!$C$15, $D$11, 100%, $F$11)</f>
        <v>16.869499999999999</v>
      </c>
      <c r="H588" s="4">
        <f>CHOOSE( CONTROL!$C$32, 17.7882, 17.7847) * CHOOSE(CONTROL!$C$15, $D$11, 100%, $F$11)</f>
        <v>17.7882</v>
      </c>
      <c r="I588" s="8">
        <f>CHOOSE( CONTROL!$C$32, 16.6697, 16.6664) * CHOOSE(CONTROL!$C$15, $D$11, 100%, $F$11)</f>
        <v>16.669699999999999</v>
      </c>
      <c r="J588" s="4">
        <f>CHOOSE( CONTROL!$C$32, 16.5783, 16.5749) * CHOOSE(CONTROL!$C$15, $D$11, 100%, $F$11)</f>
        <v>16.578299999999999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CONTROL!$C$32, 16.8092, 16.8058) * CHOOSE(CONTROL!$C$15, $D$11, 100%, $F$11)</f>
        <v>16.809200000000001</v>
      </c>
      <c r="C589" s="8">
        <f>CHOOSE( CONTROL!$C$32, 16.8196, 16.8161) * CHOOSE(CONTROL!$C$15, $D$11, 100%, $F$11)</f>
        <v>16.819600000000001</v>
      </c>
      <c r="D589" s="8">
        <f>CHOOSE( CONTROL!$C$32, 16.8311, 16.8277) * CHOOSE( CONTROL!$C$15, $D$11, 100%, $F$11)</f>
        <v>16.831099999999999</v>
      </c>
      <c r="E589" s="12">
        <f>CHOOSE( CONTROL!$C$32, 16.8253, 16.8219) * CHOOSE( CONTROL!$C$15, $D$11, 100%, $F$11)</f>
        <v>16.825299999999999</v>
      </c>
      <c r="F589" s="4">
        <f>CHOOSE( CONTROL!$C$32, 17.4893, 17.4859) * CHOOSE(CONTROL!$C$15, $D$11, 100%, $F$11)</f>
        <v>17.4893</v>
      </c>
      <c r="G589" s="8">
        <f>CHOOSE( CONTROL!$C$32, 16.5164, 16.5129) * CHOOSE( CONTROL!$C$15, $D$11, 100%, $F$11)</f>
        <v>16.516400000000001</v>
      </c>
      <c r="H589" s="4">
        <f>CHOOSE( CONTROL!$C$32, 17.435, 17.4315) * CHOOSE(CONTROL!$C$15, $D$11, 100%, $F$11)</f>
        <v>17.434999999999999</v>
      </c>
      <c r="I589" s="8">
        <f>CHOOSE( CONTROL!$C$32, 16.3226, 16.3192) * CHOOSE(CONTROL!$C$15, $D$11, 100%, $F$11)</f>
        <v>16.322600000000001</v>
      </c>
      <c r="J589" s="4">
        <f>CHOOSE( CONTROL!$C$32, 16.2311, 16.2277) * CHOOSE(CONTROL!$C$15, $D$11, 100%, $F$11)</f>
        <v>16.231100000000001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17.5512 * CHOOSE(CONTROL!$C$15, $D$11, 100%, $F$11)</f>
        <v>17.551200000000001</v>
      </c>
      <c r="C590" s="8">
        <f>17.5615 * CHOOSE(CONTROL!$C$15, $D$11, 100%, $F$11)</f>
        <v>17.561499999999999</v>
      </c>
      <c r="D590" s="8">
        <f>17.5741 * CHOOSE( CONTROL!$C$15, $D$11, 100%, $F$11)</f>
        <v>17.574100000000001</v>
      </c>
      <c r="E590" s="12">
        <f>17.5688 * CHOOSE( CONTROL!$C$15, $D$11, 100%, $F$11)</f>
        <v>17.5688</v>
      </c>
      <c r="F590" s="4">
        <f>18.2313 * CHOOSE(CONTROL!$C$15, $D$11, 100%, $F$11)</f>
        <v>18.231300000000001</v>
      </c>
      <c r="G590" s="8">
        <f>17.2459 * CHOOSE( CONTROL!$C$15, $D$11, 100%, $F$11)</f>
        <v>17.245899999999999</v>
      </c>
      <c r="H590" s="4">
        <f>18.1649 * CHOOSE(CONTROL!$C$15, $D$11, 100%, $F$11)</f>
        <v>18.164899999999999</v>
      </c>
      <c r="I590" s="8">
        <f>17.0413 * CHOOSE(CONTROL!$C$15, $D$11, 100%, $F$11)</f>
        <v>17.0413</v>
      </c>
      <c r="J590" s="4">
        <f>16.9486 * CHOOSE(CONTROL!$C$15, $D$11, 100%, $F$11)</f>
        <v>16.948599999999999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18.9271 * CHOOSE(CONTROL!$C$15, $D$11, 100%, $F$11)</f>
        <v>18.927099999999999</v>
      </c>
      <c r="C591" s="8">
        <f>18.9374 * CHOOSE(CONTROL!$C$15, $D$11, 100%, $F$11)</f>
        <v>18.9374</v>
      </c>
      <c r="D591" s="8">
        <f>18.9223 * CHOOSE( CONTROL!$C$15, $D$11, 100%, $F$11)</f>
        <v>18.9223</v>
      </c>
      <c r="E591" s="12">
        <f>18.9267 * CHOOSE( CONTROL!$C$15, $D$11, 100%, $F$11)</f>
        <v>18.9267</v>
      </c>
      <c r="F591" s="4">
        <f>19.5813 * CHOOSE(CONTROL!$C$15, $D$11, 100%, $F$11)</f>
        <v>19.581299999999999</v>
      </c>
      <c r="G591" s="8">
        <f>18.6089 * CHOOSE( CONTROL!$C$15, $D$11, 100%, $F$11)</f>
        <v>18.608899999999998</v>
      </c>
      <c r="H591" s="4">
        <f>19.4931 * CHOOSE(CONTROL!$C$15, $D$11, 100%, $F$11)</f>
        <v>19.493099999999998</v>
      </c>
      <c r="I591" s="8">
        <f>18.3929 * CHOOSE(CONTROL!$C$15, $D$11, 100%, $F$11)</f>
        <v>18.392900000000001</v>
      </c>
      <c r="J591" s="4">
        <f>18.2793 * CHOOSE(CONTROL!$C$15, $D$11, 100%, $F$11)</f>
        <v>18.279299999999999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18.8927 * CHOOSE(CONTROL!$C$15, $D$11, 100%, $F$11)</f>
        <v>18.892700000000001</v>
      </c>
      <c r="C592" s="8">
        <f>18.903 * CHOOSE(CONTROL!$C$15, $D$11, 100%, $F$11)</f>
        <v>18.902999999999999</v>
      </c>
      <c r="D592" s="8">
        <f>18.8896 * CHOOSE( CONTROL!$C$15, $D$11, 100%, $F$11)</f>
        <v>18.889600000000002</v>
      </c>
      <c r="E592" s="12">
        <f>18.8934 * CHOOSE( CONTROL!$C$15, $D$11, 100%, $F$11)</f>
        <v>18.8934</v>
      </c>
      <c r="F592" s="4">
        <f>19.5469 * CHOOSE(CONTROL!$C$15, $D$11, 100%, $F$11)</f>
        <v>19.546900000000001</v>
      </c>
      <c r="G592" s="8">
        <f>18.5763 * CHOOSE( CONTROL!$C$15, $D$11, 100%, $F$11)</f>
        <v>18.5763</v>
      </c>
      <c r="H592" s="4">
        <f>19.4593 * CHOOSE(CONTROL!$C$15, $D$11, 100%, $F$11)</f>
        <v>19.459299999999999</v>
      </c>
      <c r="I592" s="8">
        <f>18.3649 * CHOOSE(CONTROL!$C$15, $D$11, 100%, $F$11)</f>
        <v>18.364899999999999</v>
      </c>
      <c r="J592" s="4">
        <f>18.246 * CHOOSE(CONTROL!$C$15, $D$11, 100%, $F$11)</f>
        <v>18.245999999999999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19.6138 * CHOOSE(CONTROL!$C$15, $D$11, 100%, $F$11)</f>
        <v>19.613800000000001</v>
      </c>
      <c r="C593" s="8">
        <f>19.6241 * CHOOSE(CONTROL!$C$15, $D$11, 100%, $F$11)</f>
        <v>19.624099999999999</v>
      </c>
      <c r="D593" s="8">
        <f>19.6225 * CHOOSE( CONTROL!$C$15, $D$11, 100%, $F$11)</f>
        <v>19.622499999999999</v>
      </c>
      <c r="E593" s="12">
        <f>19.622 * CHOOSE( CONTROL!$C$15, $D$11, 100%, $F$11)</f>
        <v>19.622</v>
      </c>
      <c r="F593" s="4">
        <f>20.2965 * CHOOSE(CONTROL!$C$15, $D$11, 100%, $F$11)</f>
        <v>20.296500000000002</v>
      </c>
      <c r="G593" s="8">
        <f>19.2982 * CHOOSE( CONTROL!$C$15, $D$11, 100%, $F$11)</f>
        <v>19.298200000000001</v>
      </c>
      <c r="H593" s="4">
        <f>20.1967 * CHOOSE(CONTROL!$C$15, $D$11, 100%, $F$11)</f>
        <v>20.1967</v>
      </c>
      <c r="I593" s="8">
        <f>19.0614 * CHOOSE(CONTROL!$C$15, $D$11, 100%, $F$11)</f>
        <v>19.061399999999999</v>
      </c>
      <c r="J593" s="4">
        <f>18.9434 * CHOOSE(CONTROL!$C$15, $D$11, 100%, $F$11)</f>
        <v>18.9434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18.3474 * CHOOSE(CONTROL!$C$15, $D$11, 100%, $F$11)</f>
        <v>18.3474</v>
      </c>
      <c r="C594" s="8">
        <f>18.3578 * CHOOSE(CONTROL!$C$15, $D$11, 100%, $F$11)</f>
        <v>18.357800000000001</v>
      </c>
      <c r="D594" s="8">
        <f>18.3583 * CHOOSE( CONTROL!$C$15, $D$11, 100%, $F$11)</f>
        <v>18.3583</v>
      </c>
      <c r="E594" s="12">
        <f>18.357 * CHOOSE( CONTROL!$C$15, $D$11, 100%, $F$11)</f>
        <v>18.356999999999999</v>
      </c>
      <c r="F594" s="4">
        <f>19.0224 * CHOOSE(CONTROL!$C$15, $D$11, 100%, $F$11)</f>
        <v>19.022400000000001</v>
      </c>
      <c r="G594" s="8">
        <f>18.0522 * CHOOSE( CONTROL!$C$15, $D$11, 100%, $F$11)</f>
        <v>18.052199999999999</v>
      </c>
      <c r="H594" s="4">
        <f>18.9432 * CHOOSE(CONTROL!$C$15, $D$11, 100%, $F$11)</f>
        <v>18.943200000000001</v>
      </c>
      <c r="I594" s="8">
        <f>17.8252 * CHOOSE(CONTROL!$C$15, $D$11, 100%, $F$11)</f>
        <v>17.825199999999999</v>
      </c>
      <c r="J594" s="4">
        <f>17.7187 * CHOOSE(CONTROL!$C$15, $D$11, 100%, $F$11)</f>
        <v>17.718699999999998</v>
      </c>
      <c r="K594" s="4"/>
      <c r="L594" s="9">
        <v>27.415299999999998</v>
      </c>
      <c r="M594" s="9">
        <v>11.285299999999999</v>
      </c>
      <c r="N594" s="9">
        <v>4.6254999999999997</v>
      </c>
      <c r="O594" s="9">
        <v>0.34989999999999999</v>
      </c>
      <c r="P594" s="9">
        <v>1.2093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17.9574 * CHOOSE(CONTROL!$C$15, $D$11, 100%, $F$11)</f>
        <v>17.9574</v>
      </c>
      <c r="C595" s="8">
        <f>17.9678 * CHOOSE(CONTROL!$C$15, $D$11, 100%, $F$11)</f>
        <v>17.9678</v>
      </c>
      <c r="D595" s="8">
        <f>17.963 * CHOOSE( CONTROL!$C$15, $D$11, 100%, $F$11)</f>
        <v>17.963000000000001</v>
      </c>
      <c r="E595" s="12">
        <f>17.9636 * CHOOSE( CONTROL!$C$15, $D$11, 100%, $F$11)</f>
        <v>17.9636</v>
      </c>
      <c r="F595" s="4">
        <f>18.6349 * CHOOSE(CONTROL!$C$15, $D$11, 100%, $F$11)</f>
        <v>18.634899999999998</v>
      </c>
      <c r="G595" s="8">
        <f>17.663 * CHOOSE( CONTROL!$C$15, $D$11, 100%, $F$11)</f>
        <v>17.663</v>
      </c>
      <c r="H595" s="4">
        <f>18.562 * CHOOSE(CONTROL!$C$15, $D$11, 100%, $F$11)</f>
        <v>18.562000000000001</v>
      </c>
      <c r="I595" s="8">
        <f>17.436 * CHOOSE(CONTROL!$C$15, $D$11, 100%, $F$11)</f>
        <v>17.436</v>
      </c>
      <c r="J595" s="4">
        <f>17.3415 * CHOOSE(CONTROL!$C$15, $D$11, 100%, $F$11)</f>
        <v>17.3415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18.23 * CHOOSE(CONTROL!$C$15, $D$11, 100%, $F$11)</f>
        <v>18.23</v>
      </c>
      <c r="C596" s="8">
        <f>18.2403 * CHOOSE(CONTROL!$C$15, $D$11, 100%, $F$11)</f>
        <v>18.240300000000001</v>
      </c>
      <c r="D596" s="8">
        <f>18.2516 * CHOOSE( CONTROL!$C$15, $D$11, 100%, $F$11)</f>
        <v>18.2516</v>
      </c>
      <c r="E596" s="12">
        <f>18.2467 * CHOOSE( CONTROL!$C$15, $D$11, 100%, $F$11)</f>
        <v>18.246700000000001</v>
      </c>
      <c r="F596" s="4">
        <f>18.9101 * CHOOSE(CONTROL!$C$15, $D$11, 100%, $F$11)</f>
        <v>18.9101</v>
      </c>
      <c r="G596" s="8">
        <f>17.9118 * CHOOSE( CONTROL!$C$15, $D$11, 100%, $F$11)</f>
        <v>17.911799999999999</v>
      </c>
      <c r="H596" s="4">
        <f>18.8327 * CHOOSE(CONTROL!$C$15, $D$11, 100%, $F$11)</f>
        <v>18.832699999999999</v>
      </c>
      <c r="I596" s="8">
        <f>17.692 * CHOOSE(CONTROL!$C$15, $D$11, 100%, $F$11)</f>
        <v>17.692</v>
      </c>
      <c r="J596" s="4">
        <f>17.6051 * CHOOSE(CONTROL!$C$15, $D$11, 100%, $F$11)</f>
        <v>17.6051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CONTROL!$C$32, 18.7185, 18.715) * CHOOSE(CONTROL!$C$15, $D$11, 100%, $F$11)</f>
        <v>18.718499999999999</v>
      </c>
      <c r="C597" s="8">
        <f>CHOOSE( CONTROL!$C$32, 18.7288, 18.7254) * CHOOSE(CONTROL!$C$15, $D$11, 100%, $F$11)</f>
        <v>18.7288</v>
      </c>
      <c r="D597" s="8">
        <f>CHOOSE( CONTROL!$C$32, 18.7396, 18.7362) * CHOOSE( CONTROL!$C$15, $D$11, 100%, $F$11)</f>
        <v>18.739599999999999</v>
      </c>
      <c r="E597" s="12">
        <f>CHOOSE( CONTROL!$C$32, 18.7341, 18.7307) * CHOOSE( CONTROL!$C$15, $D$11, 100%, $F$11)</f>
        <v>18.734100000000002</v>
      </c>
      <c r="F597" s="4">
        <f>CHOOSE( CONTROL!$C$32, 19.3986, 19.3951) * CHOOSE(CONTROL!$C$15, $D$11, 100%, $F$11)</f>
        <v>19.398599999999998</v>
      </c>
      <c r="G597" s="8">
        <f>CHOOSE( CONTROL!$C$32, 18.3936, 18.3902) * CHOOSE( CONTROL!$C$15, $D$11, 100%, $F$11)</f>
        <v>18.393599999999999</v>
      </c>
      <c r="H597" s="4">
        <f>CHOOSE( CONTROL!$C$32, 19.3133, 19.3099) * CHOOSE(CONTROL!$C$15, $D$11, 100%, $F$11)</f>
        <v>19.313300000000002</v>
      </c>
      <c r="I597" s="8">
        <f>CHOOSE( CONTROL!$C$32, 18.1663, 18.1629) * CHOOSE(CONTROL!$C$15, $D$11, 100%, $F$11)</f>
        <v>18.1663</v>
      </c>
      <c r="J597" s="4">
        <f>CHOOSE( CONTROL!$C$32, 18.0775, 18.0742) * CHOOSE(CONTROL!$C$15, $D$11, 100%, $F$11)</f>
        <v>18.077500000000001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CONTROL!$C$32, 18.418, 18.4145) * CHOOSE(CONTROL!$C$15, $D$11, 100%, $F$11)</f>
        <v>18.417999999999999</v>
      </c>
      <c r="C598" s="8">
        <f>CHOOSE( CONTROL!$C$32, 18.4284, 18.4249) * CHOOSE(CONTROL!$C$15, $D$11, 100%, $F$11)</f>
        <v>18.4284</v>
      </c>
      <c r="D598" s="8">
        <f>CHOOSE( CONTROL!$C$32, 18.4395, 18.436) * CHOOSE( CONTROL!$C$15, $D$11, 100%, $F$11)</f>
        <v>18.439499999999999</v>
      </c>
      <c r="E598" s="12">
        <f>CHOOSE( CONTROL!$C$32, 18.4339, 18.4304) * CHOOSE( CONTROL!$C$15, $D$11, 100%, $F$11)</f>
        <v>18.433900000000001</v>
      </c>
      <c r="F598" s="4">
        <f>CHOOSE( CONTROL!$C$32, 19.0981, 19.0946) * CHOOSE(CONTROL!$C$15, $D$11, 100%, $F$11)</f>
        <v>19.098099999999999</v>
      </c>
      <c r="G598" s="8">
        <f>CHOOSE( CONTROL!$C$32, 18.0984, 18.095) * CHOOSE( CONTROL!$C$15, $D$11, 100%, $F$11)</f>
        <v>18.098400000000002</v>
      </c>
      <c r="H598" s="4">
        <f>CHOOSE( CONTROL!$C$32, 19.0177, 19.0143) * CHOOSE(CONTROL!$C$15, $D$11, 100%, $F$11)</f>
        <v>19.017700000000001</v>
      </c>
      <c r="I598" s="8">
        <f>CHOOSE( CONTROL!$C$32, 17.8769, 17.8735) * CHOOSE(CONTROL!$C$15, $D$11, 100%, $F$11)</f>
        <v>17.876899999999999</v>
      </c>
      <c r="J598" s="4">
        <f>CHOOSE( CONTROL!$C$32, 17.787, 17.7836) * CHOOSE(CONTROL!$C$15, $D$11, 100%, $F$11)</f>
        <v>17.786999999999999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CONTROL!$C$32, 19.2093, 19.2058) * CHOOSE(CONTROL!$C$15, $D$11, 100%, $F$11)</f>
        <v>19.209299999999999</v>
      </c>
      <c r="C599" s="8">
        <f>CHOOSE( CONTROL!$C$32, 19.2196, 19.2161) * CHOOSE(CONTROL!$C$15, $D$11, 100%, $F$11)</f>
        <v>19.2196</v>
      </c>
      <c r="D599" s="8">
        <f>CHOOSE( CONTROL!$C$32, 19.231, 19.2275) * CHOOSE( CONTROL!$C$15, $D$11, 100%, $F$11)</f>
        <v>19.231000000000002</v>
      </c>
      <c r="E599" s="12">
        <f>CHOOSE( CONTROL!$C$32, 19.2253, 19.2218) * CHOOSE( CONTROL!$C$15, $D$11, 100%, $F$11)</f>
        <v>19.225300000000001</v>
      </c>
      <c r="F599" s="4">
        <f>CHOOSE( CONTROL!$C$32, 19.8894, 19.8859) * CHOOSE(CONTROL!$C$15, $D$11, 100%, $F$11)</f>
        <v>19.889399999999998</v>
      </c>
      <c r="G599" s="8">
        <f>CHOOSE( CONTROL!$C$32, 18.8773, 18.8739) * CHOOSE( CONTROL!$C$15, $D$11, 100%, $F$11)</f>
        <v>18.877300000000002</v>
      </c>
      <c r="H599" s="4">
        <f>CHOOSE( CONTROL!$C$32, 19.7962, 19.7928) * CHOOSE(CONTROL!$C$15, $D$11, 100%, $F$11)</f>
        <v>19.796199999999999</v>
      </c>
      <c r="I599" s="8">
        <f>CHOOSE( CONTROL!$C$32, 18.644, 18.6406) * CHOOSE(CONTROL!$C$15, $D$11, 100%, $F$11)</f>
        <v>18.643999999999998</v>
      </c>
      <c r="J599" s="4">
        <f>CHOOSE( CONTROL!$C$32, 18.5522, 18.5488) * CHOOSE(CONTROL!$C$15, $D$11, 100%, $F$11)</f>
        <v>18.552199999999999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CONTROL!$C$32, 17.7287, 17.7253) * CHOOSE(CONTROL!$C$15, $D$11, 100%, $F$11)</f>
        <v>17.7287</v>
      </c>
      <c r="C600" s="8">
        <f>CHOOSE( CONTROL!$C$32, 17.7391, 17.7356) * CHOOSE(CONTROL!$C$15, $D$11, 100%, $F$11)</f>
        <v>17.739100000000001</v>
      </c>
      <c r="D600" s="8">
        <f>CHOOSE( CONTROL!$C$32, 17.7506, 17.7471) * CHOOSE( CONTROL!$C$15, $D$11, 100%, $F$11)</f>
        <v>17.750599999999999</v>
      </c>
      <c r="E600" s="12">
        <f>CHOOSE( CONTROL!$C$32, 17.7448, 17.7414) * CHOOSE( CONTROL!$C$15, $D$11, 100%, $F$11)</f>
        <v>17.744800000000001</v>
      </c>
      <c r="F600" s="4">
        <f>CHOOSE( CONTROL!$C$32, 18.4088, 18.4054) * CHOOSE(CONTROL!$C$15, $D$11, 100%, $F$11)</f>
        <v>18.408799999999999</v>
      </c>
      <c r="G600" s="8">
        <f>CHOOSE( CONTROL!$C$32, 17.4209, 17.4175) * CHOOSE( CONTROL!$C$15, $D$11, 100%, $F$11)</f>
        <v>17.4209</v>
      </c>
      <c r="H600" s="4">
        <f>CHOOSE( CONTROL!$C$32, 18.3396, 18.3362) * CHOOSE(CONTROL!$C$15, $D$11, 100%, $F$11)</f>
        <v>18.339600000000001</v>
      </c>
      <c r="I600" s="8">
        <f>CHOOSE( CONTROL!$C$32, 17.2121, 17.2087) * CHOOSE(CONTROL!$C$15, $D$11, 100%, $F$11)</f>
        <v>17.2121</v>
      </c>
      <c r="J600" s="4">
        <f>CHOOSE( CONTROL!$C$32, 17.1204, 17.117) * CHOOSE(CONTROL!$C$15, $D$11, 100%, $F$11)</f>
        <v>17.1204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CONTROL!$C$32, 17.358, 17.3545) * CHOOSE(CONTROL!$C$15, $D$11, 100%, $F$11)</f>
        <v>17.358000000000001</v>
      </c>
      <c r="C601" s="8">
        <f>CHOOSE( CONTROL!$C$32, 17.3683, 17.3649) * CHOOSE(CONTROL!$C$15, $D$11, 100%, $F$11)</f>
        <v>17.368300000000001</v>
      </c>
      <c r="D601" s="8">
        <f>CHOOSE( CONTROL!$C$32, 17.3799, 17.3764) * CHOOSE( CONTROL!$C$15, $D$11, 100%, $F$11)</f>
        <v>17.379899999999999</v>
      </c>
      <c r="E601" s="12">
        <f>CHOOSE( CONTROL!$C$32, 17.3741, 17.3706) * CHOOSE( CONTROL!$C$15, $D$11, 100%, $F$11)</f>
        <v>17.374099999999999</v>
      </c>
      <c r="F601" s="4">
        <f>CHOOSE( CONTROL!$C$32, 18.0381, 18.0346) * CHOOSE(CONTROL!$C$15, $D$11, 100%, $F$11)</f>
        <v>18.0381</v>
      </c>
      <c r="G601" s="8">
        <f>CHOOSE( CONTROL!$C$32, 17.0562, 17.0528) * CHOOSE( CONTROL!$C$15, $D$11, 100%, $F$11)</f>
        <v>17.0562</v>
      </c>
      <c r="H601" s="4">
        <f>CHOOSE( CONTROL!$C$32, 17.9748, 17.9714) * CHOOSE(CONTROL!$C$15, $D$11, 100%, $F$11)</f>
        <v>17.974799999999998</v>
      </c>
      <c r="I601" s="8">
        <f>CHOOSE( CONTROL!$C$32, 16.8535, 16.8502) * CHOOSE(CONTROL!$C$15, $D$11, 100%, $F$11)</f>
        <v>16.8535</v>
      </c>
      <c r="J601" s="4">
        <f>CHOOSE( CONTROL!$C$32, 16.7618, 16.7584) * CHOOSE(CONTROL!$C$15, $D$11, 100%, $F$11)</f>
        <v>16.761800000000001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18.1243 * CHOOSE(CONTROL!$C$15, $D$11, 100%, $F$11)</f>
        <v>18.124300000000002</v>
      </c>
      <c r="C602" s="8">
        <f>18.1347 * CHOOSE(CONTROL!$C$15, $D$11, 100%, $F$11)</f>
        <v>18.134699999999999</v>
      </c>
      <c r="D602" s="8">
        <f>18.1472 * CHOOSE( CONTROL!$C$15, $D$11, 100%, $F$11)</f>
        <v>18.147200000000002</v>
      </c>
      <c r="E602" s="12">
        <f>18.142 * CHOOSE( CONTROL!$C$15, $D$11, 100%, $F$11)</f>
        <v>18.141999999999999</v>
      </c>
      <c r="F602" s="4">
        <f>18.8044 * CHOOSE(CONTROL!$C$15, $D$11, 100%, $F$11)</f>
        <v>18.804400000000001</v>
      </c>
      <c r="G602" s="8">
        <f>17.8097 * CHOOSE( CONTROL!$C$15, $D$11, 100%, $F$11)</f>
        <v>17.809699999999999</v>
      </c>
      <c r="H602" s="4">
        <f>18.7288 * CHOOSE(CONTROL!$C$15, $D$11, 100%, $F$11)</f>
        <v>18.7288</v>
      </c>
      <c r="I602" s="8">
        <f>17.5959 * CHOOSE(CONTROL!$C$15, $D$11, 100%, $F$11)</f>
        <v>17.5959</v>
      </c>
      <c r="J602" s="4">
        <f>17.5029 * CHOOSE(CONTROL!$C$15, $D$11, 100%, $F$11)</f>
        <v>17.5029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19.5452 * CHOOSE(CONTROL!$C$15, $D$11, 100%, $F$11)</f>
        <v>19.545200000000001</v>
      </c>
      <c r="C603" s="8">
        <f>19.5555 * CHOOSE(CONTROL!$C$15, $D$11, 100%, $F$11)</f>
        <v>19.555499999999999</v>
      </c>
      <c r="D603" s="8">
        <f>19.5405 * CHOOSE( CONTROL!$C$15, $D$11, 100%, $F$11)</f>
        <v>19.540500000000002</v>
      </c>
      <c r="E603" s="12">
        <f>19.5449 * CHOOSE( CONTROL!$C$15, $D$11, 100%, $F$11)</f>
        <v>19.544899999999998</v>
      </c>
      <c r="F603" s="4">
        <f>20.1995 * CHOOSE(CONTROL!$C$15, $D$11, 100%, $F$11)</f>
        <v>20.1995</v>
      </c>
      <c r="G603" s="8">
        <f>19.217 * CHOOSE( CONTROL!$C$15, $D$11, 100%, $F$11)</f>
        <v>19.216999999999999</v>
      </c>
      <c r="H603" s="4">
        <f>20.1012 * CHOOSE(CONTROL!$C$15, $D$11, 100%, $F$11)</f>
        <v>20.101199999999999</v>
      </c>
      <c r="I603" s="8">
        <f>18.991 * CHOOSE(CONTROL!$C$15, $D$11, 100%, $F$11)</f>
        <v>18.991</v>
      </c>
      <c r="J603" s="4">
        <f>18.8771 * CHOOSE(CONTROL!$C$15, $D$11, 100%, $F$11)</f>
        <v>18.877099999999999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19.5097 * CHOOSE(CONTROL!$C$15, $D$11, 100%, $F$11)</f>
        <v>19.509699999999999</v>
      </c>
      <c r="C604" s="8">
        <f>19.52 * CHOOSE(CONTROL!$C$15, $D$11, 100%, $F$11)</f>
        <v>19.52</v>
      </c>
      <c r="D604" s="8">
        <f>19.5066 * CHOOSE( CONTROL!$C$15, $D$11, 100%, $F$11)</f>
        <v>19.506599999999999</v>
      </c>
      <c r="E604" s="12">
        <f>19.5104 * CHOOSE( CONTROL!$C$15, $D$11, 100%, $F$11)</f>
        <v>19.510400000000001</v>
      </c>
      <c r="F604" s="4">
        <f>20.164 * CHOOSE(CONTROL!$C$15, $D$11, 100%, $F$11)</f>
        <v>20.164000000000001</v>
      </c>
      <c r="G604" s="8">
        <f>19.1833 * CHOOSE( CONTROL!$C$15, $D$11, 100%, $F$11)</f>
        <v>19.183299999999999</v>
      </c>
      <c r="H604" s="4">
        <f>20.0663 * CHOOSE(CONTROL!$C$15, $D$11, 100%, $F$11)</f>
        <v>20.066299999999998</v>
      </c>
      <c r="I604" s="8">
        <f>18.962 * CHOOSE(CONTROL!$C$15, $D$11, 100%, $F$11)</f>
        <v>18.962</v>
      </c>
      <c r="J604" s="4">
        <f>18.8427 * CHOOSE(CONTROL!$C$15, $D$11, 100%, $F$11)</f>
        <v>18.842700000000001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20.2544 * CHOOSE(CONTROL!$C$15, $D$11, 100%, $F$11)</f>
        <v>20.2544</v>
      </c>
      <c r="C605" s="8">
        <f>20.2647 * CHOOSE(CONTROL!$C$15, $D$11, 100%, $F$11)</f>
        <v>20.264700000000001</v>
      </c>
      <c r="D605" s="8">
        <f>20.2631 * CHOOSE( CONTROL!$C$15, $D$11, 100%, $F$11)</f>
        <v>20.263100000000001</v>
      </c>
      <c r="E605" s="12">
        <f>20.2626 * CHOOSE( CONTROL!$C$15, $D$11, 100%, $F$11)</f>
        <v>20.262599999999999</v>
      </c>
      <c r="F605" s="4">
        <f>20.937 * CHOOSE(CONTROL!$C$15, $D$11, 100%, $F$11)</f>
        <v>20.937000000000001</v>
      </c>
      <c r="G605" s="8">
        <f>19.9285 * CHOOSE( CONTROL!$C$15, $D$11, 100%, $F$11)</f>
        <v>19.9285</v>
      </c>
      <c r="H605" s="4">
        <f>20.8269 * CHOOSE(CONTROL!$C$15, $D$11, 100%, $F$11)</f>
        <v>20.826899999999998</v>
      </c>
      <c r="I605" s="8">
        <f>19.6813 * CHOOSE(CONTROL!$C$15, $D$11, 100%, $F$11)</f>
        <v>19.6813</v>
      </c>
      <c r="J605" s="4">
        <f>19.5629 * CHOOSE(CONTROL!$C$15, $D$11, 100%, $F$11)</f>
        <v>19.562899999999999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18.9466 * CHOOSE(CONTROL!$C$15, $D$11, 100%, $F$11)</f>
        <v>18.9466</v>
      </c>
      <c r="C606" s="8">
        <f>18.957 * CHOOSE(CONTROL!$C$15, $D$11, 100%, $F$11)</f>
        <v>18.957000000000001</v>
      </c>
      <c r="D606" s="8">
        <f>18.9575 * CHOOSE( CONTROL!$C$15, $D$11, 100%, $F$11)</f>
        <v>18.9575</v>
      </c>
      <c r="E606" s="12">
        <f>18.9562 * CHOOSE( CONTROL!$C$15, $D$11, 100%, $F$11)</f>
        <v>18.956199999999999</v>
      </c>
      <c r="F606" s="4">
        <f>19.6216 * CHOOSE(CONTROL!$C$15, $D$11, 100%, $F$11)</f>
        <v>19.621600000000001</v>
      </c>
      <c r="G606" s="8">
        <f>18.6417 * CHOOSE( CONTROL!$C$15, $D$11, 100%, $F$11)</f>
        <v>18.6417</v>
      </c>
      <c r="H606" s="4">
        <f>19.5327 * CHOOSE(CONTROL!$C$15, $D$11, 100%, $F$11)</f>
        <v>19.532699999999998</v>
      </c>
      <c r="I606" s="8">
        <f>18.405 * CHOOSE(CONTROL!$C$15, $D$11, 100%, $F$11)</f>
        <v>18.405000000000001</v>
      </c>
      <c r="J606" s="4">
        <f>18.2982 * CHOOSE(CONTROL!$C$15, $D$11, 100%, $F$11)</f>
        <v>18.298200000000001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18.5438 * CHOOSE(CONTROL!$C$15, $D$11, 100%, $F$11)</f>
        <v>18.543800000000001</v>
      </c>
      <c r="C607" s="8">
        <f>18.5542 * CHOOSE(CONTROL!$C$15, $D$11, 100%, $F$11)</f>
        <v>18.554200000000002</v>
      </c>
      <c r="D607" s="8">
        <f>18.5494 * CHOOSE( CONTROL!$C$15, $D$11, 100%, $F$11)</f>
        <v>18.549399999999999</v>
      </c>
      <c r="E607" s="12">
        <f>18.55 * CHOOSE( CONTROL!$C$15, $D$11, 100%, $F$11)</f>
        <v>18.55</v>
      </c>
      <c r="F607" s="4">
        <f>19.2214 * CHOOSE(CONTROL!$C$15, $D$11, 100%, $F$11)</f>
        <v>19.221399999999999</v>
      </c>
      <c r="G607" s="8">
        <f>18.2399 * CHOOSE( CONTROL!$C$15, $D$11, 100%, $F$11)</f>
        <v>18.239899999999999</v>
      </c>
      <c r="H607" s="4">
        <f>19.139 * CHOOSE(CONTROL!$C$15, $D$11, 100%, $F$11)</f>
        <v>19.138999999999999</v>
      </c>
      <c r="I607" s="8">
        <f>18.0034 * CHOOSE(CONTROL!$C$15, $D$11, 100%, $F$11)</f>
        <v>18.003399999999999</v>
      </c>
      <c r="J607" s="4">
        <f>17.9086 * CHOOSE(CONTROL!$C$15, $D$11, 100%, $F$11)</f>
        <v>17.9086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18.8253 * CHOOSE(CONTROL!$C$15, $D$11, 100%, $F$11)</f>
        <v>18.825299999999999</v>
      </c>
      <c r="C608" s="8">
        <f>18.8356 * CHOOSE(CONTROL!$C$15, $D$11, 100%, $F$11)</f>
        <v>18.835599999999999</v>
      </c>
      <c r="D608" s="8">
        <f>18.8469 * CHOOSE( CONTROL!$C$15, $D$11, 100%, $F$11)</f>
        <v>18.846900000000002</v>
      </c>
      <c r="E608" s="12">
        <f>18.842 * CHOOSE( CONTROL!$C$15, $D$11, 100%, $F$11)</f>
        <v>18.841999999999999</v>
      </c>
      <c r="F608" s="4">
        <f>19.5054 * CHOOSE(CONTROL!$C$15, $D$11, 100%, $F$11)</f>
        <v>19.505400000000002</v>
      </c>
      <c r="G608" s="8">
        <f>18.4975 * CHOOSE( CONTROL!$C$15, $D$11, 100%, $F$11)</f>
        <v>18.497499999999999</v>
      </c>
      <c r="H608" s="4">
        <f>19.4184 * CHOOSE(CONTROL!$C$15, $D$11, 100%, $F$11)</f>
        <v>19.418399999999998</v>
      </c>
      <c r="I608" s="8">
        <f>18.2681 * CHOOSE(CONTROL!$C$15, $D$11, 100%, $F$11)</f>
        <v>18.2681</v>
      </c>
      <c r="J608" s="4">
        <f>18.1808 * CHOOSE(CONTROL!$C$15, $D$11, 100%, $F$11)</f>
        <v>18.180800000000001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CONTROL!$C$32, 19.3297, 19.3262) * CHOOSE(CONTROL!$C$15, $D$11, 100%, $F$11)</f>
        <v>19.329699999999999</v>
      </c>
      <c r="C609" s="8">
        <f>CHOOSE( CONTROL!$C$32, 19.34, 19.3366) * CHOOSE(CONTROL!$C$15, $D$11, 100%, $F$11)</f>
        <v>19.34</v>
      </c>
      <c r="D609" s="8">
        <f>CHOOSE( CONTROL!$C$32, 19.3509, 19.3474) * CHOOSE( CONTROL!$C$15, $D$11, 100%, $F$11)</f>
        <v>19.350899999999999</v>
      </c>
      <c r="E609" s="12">
        <f>CHOOSE( CONTROL!$C$32, 19.3454, 19.3419) * CHOOSE( CONTROL!$C$15, $D$11, 100%, $F$11)</f>
        <v>19.345400000000001</v>
      </c>
      <c r="F609" s="4">
        <f>CHOOSE( CONTROL!$C$32, 20.0098, 20.0063) * CHOOSE(CONTROL!$C$15, $D$11, 100%, $F$11)</f>
        <v>20.009799999999998</v>
      </c>
      <c r="G609" s="8">
        <f>CHOOSE( CONTROL!$C$32, 18.9949, 18.9915) * CHOOSE( CONTROL!$C$15, $D$11, 100%, $F$11)</f>
        <v>18.994900000000001</v>
      </c>
      <c r="H609" s="4">
        <f>CHOOSE( CONTROL!$C$32, 19.9146, 19.9112) * CHOOSE(CONTROL!$C$15, $D$11, 100%, $F$11)</f>
        <v>19.9146</v>
      </c>
      <c r="I609" s="8">
        <f>CHOOSE( CONTROL!$C$32, 18.7577, 18.7543) * CHOOSE(CONTROL!$C$15, $D$11, 100%, $F$11)</f>
        <v>18.7577</v>
      </c>
      <c r="J609" s="4">
        <f>CHOOSE( CONTROL!$C$32, 18.6686, 18.6653) * CHOOSE(CONTROL!$C$15, $D$11, 100%, $F$11)</f>
        <v>18.668600000000001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CONTROL!$C$32, 19.0194, 19.0159) * CHOOSE(CONTROL!$C$15, $D$11, 100%, $F$11)</f>
        <v>19.019400000000001</v>
      </c>
      <c r="C610" s="8">
        <f>CHOOSE( CONTROL!$C$32, 19.0297, 19.0263) * CHOOSE(CONTROL!$C$15, $D$11, 100%, $F$11)</f>
        <v>19.029699999999998</v>
      </c>
      <c r="D610" s="8">
        <f>CHOOSE( CONTROL!$C$32, 19.0408, 19.0374) * CHOOSE( CONTROL!$C$15, $D$11, 100%, $F$11)</f>
        <v>19.040800000000001</v>
      </c>
      <c r="E610" s="12">
        <f>CHOOSE( CONTROL!$C$32, 19.0352, 19.0318) * CHOOSE( CONTROL!$C$15, $D$11, 100%, $F$11)</f>
        <v>19.0352</v>
      </c>
      <c r="F610" s="4">
        <f>CHOOSE( CONTROL!$C$32, 19.6995, 19.696) * CHOOSE(CONTROL!$C$15, $D$11, 100%, $F$11)</f>
        <v>19.6995</v>
      </c>
      <c r="G610" s="8">
        <f>CHOOSE( CONTROL!$C$32, 18.69, 18.6866) * CHOOSE( CONTROL!$C$15, $D$11, 100%, $F$11)</f>
        <v>18.690000000000001</v>
      </c>
      <c r="H610" s="4">
        <f>CHOOSE( CONTROL!$C$32, 19.6094, 19.6059) * CHOOSE(CONTROL!$C$15, $D$11, 100%, $F$11)</f>
        <v>19.609400000000001</v>
      </c>
      <c r="I610" s="8">
        <f>CHOOSE( CONTROL!$C$32, 18.4588, 18.4554) * CHOOSE(CONTROL!$C$15, $D$11, 100%, $F$11)</f>
        <v>18.4588</v>
      </c>
      <c r="J610" s="4">
        <f>CHOOSE( CONTROL!$C$32, 18.3685, 18.3652) * CHOOSE(CONTROL!$C$15, $D$11, 100%, $F$11)</f>
        <v>18.368500000000001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CONTROL!$C$32, 19.8365, 19.8331) * CHOOSE(CONTROL!$C$15, $D$11, 100%, $F$11)</f>
        <v>19.836500000000001</v>
      </c>
      <c r="C611" s="8">
        <f>CHOOSE( CONTROL!$C$32, 19.8469, 19.8434) * CHOOSE(CONTROL!$C$15, $D$11, 100%, $F$11)</f>
        <v>19.846900000000002</v>
      </c>
      <c r="D611" s="8">
        <f>CHOOSE( CONTROL!$C$32, 19.8583, 19.8548) * CHOOSE( CONTROL!$C$15, $D$11, 100%, $F$11)</f>
        <v>19.8583</v>
      </c>
      <c r="E611" s="12">
        <f>CHOOSE( CONTROL!$C$32, 19.8526, 19.8491) * CHOOSE( CONTROL!$C$15, $D$11, 100%, $F$11)</f>
        <v>19.852599999999999</v>
      </c>
      <c r="F611" s="4">
        <f>CHOOSE( CONTROL!$C$32, 20.5166, 20.5132) * CHOOSE(CONTROL!$C$15, $D$11, 100%, $F$11)</f>
        <v>20.5166</v>
      </c>
      <c r="G611" s="8">
        <f>CHOOSE( CONTROL!$C$32, 19.4944, 19.491) * CHOOSE( CONTROL!$C$15, $D$11, 100%, $F$11)</f>
        <v>19.494399999999999</v>
      </c>
      <c r="H611" s="4">
        <f>CHOOSE( CONTROL!$C$32, 20.4133, 20.4099) * CHOOSE(CONTROL!$C$15, $D$11, 100%, $F$11)</f>
        <v>20.4133</v>
      </c>
      <c r="I611" s="8">
        <f>CHOOSE( CONTROL!$C$32, 19.2509, 19.2475) * CHOOSE(CONTROL!$C$15, $D$11, 100%, $F$11)</f>
        <v>19.250900000000001</v>
      </c>
      <c r="J611" s="4">
        <f>CHOOSE( CONTROL!$C$32, 19.1588, 19.1554) * CHOOSE(CONTROL!$C$15, $D$11, 100%, $F$11)</f>
        <v>19.158799999999999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CONTROL!$C$32, 18.3076, 18.3041) * CHOOSE(CONTROL!$C$15, $D$11, 100%, $F$11)</f>
        <v>18.307600000000001</v>
      </c>
      <c r="C612" s="8">
        <f>CHOOSE( CONTROL!$C$32, 18.3179, 18.3144) * CHOOSE(CONTROL!$C$15, $D$11, 100%, $F$11)</f>
        <v>18.317900000000002</v>
      </c>
      <c r="D612" s="8">
        <f>CHOOSE( CONTROL!$C$32, 18.3294, 18.326) * CHOOSE( CONTROL!$C$15, $D$11, 100%, $F$11)</f>
        <v>18.3294</v>
      </c>
      <c r="E612" s="12">
        <f>CHOOSE( CONTROL!$C$32, 18.3237, 18.3202) * CHOOSE( CONTROL!$C$15, $D$11, 100%, $F$11)</f>
        <v>18.323699999999999</v>
      </c>
      <c r="F612" s="4">
        <f>CHOOSE( CONTROL!$C$32, 18.9877, 18.9842) * CHOOSE(CONTROL!$C$15, $D$11, 100%, $F$11)</f>
        <v>18.9877</v>
      </c>
      <c r="G612" s="8">
        <f>CHOOSE( CONTROL!$C$32, 17.9904, 17.987) * CHOOSE( CONTROL!$C$15, $D$11, 100%, $F$11)</f>
        <v>17.990400000000001</v>
      </c>
      <c r="H612" s="4">
        <f>CHOOSE( CONTROL!$C$32, 18.9091, 18.9056) * CHOOSE(CONTROL!$C$15, $D$11, 100%, $F$11)</f>
        <v>18.909099999999999</v>
      </c>
      <c r="I612" s="8">
        <f>CHOOSE( CONTROL!$C$32, 17.7721, 17.7688) * CHOOSE(CONTROL!$C$15, $D$11, 100%, $F$11)</f>
        <v>17.772099999999998</v>
      </c>
      <c r="J612" s="4">
        <f>CHOOSE( CONTROL!$C$32, 17.6801, 17.6768) * CHOOSE(CONTROL!$C$15, $D$11, 100%, $F$11)</f>
        <v>17.680099999999999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CONTROL!$C$32, 17.9247, 17.9212) * CHOOSE(CONTROL!$C$15, $D$11, 100%, $F$11)</f>
        <v>17.924700000000001</v>
      </c>
      <c r="C613" s="8">
        <f>CHOOSE( CONTROL!$C$32, 17.935, 17.9316) * CHOOSE(CONTROL!$C$15, $D$11, 100%, $F$11)</f>
        <v>17.934999999999999</v>
      </c>
      <c r="D613" s="8">
        <f>CHOOSE( CONTROL!$C$32, 17.9466, 17.9431) * CHOOSE( CONTROL!$C$15, $D$11, 100%, $F$11)</f>
        <v>17.9466</v>
      </c>
      <c r="E613" s="12">
        <f>CHOOSE( CONTROL!$C$32, 17.9408, 17.9373) * CHOOSE( CONTROL!$C$15, $D$11, 100%, $F$11)</f>
        <v>17.940799999999999</v>
      </c>
      <c r="F613" s="4">
        <f>CHOOSE( CONTROL!$C$32, 18.6048, 18.6013) * CHOOSE(CONTROL!$C$15, $D$11, 100%, $F$11)</f>
        <v>18.604800000000001</v>
      </c>
      <c r="G613" s="8">
        <f>CHOOSE( CONTROL!$C$32, 17.6138, 17.6104) * CHOOSE( CONTROL!$C$15, $D$11, 100%, $F$11)</f>
        <v>17.613800000000001</v>
      </c>
      <c r="H613" s="4">
        <f>CHOOSE( CONTROL!$C$32, 18.5324, 18.529) * CHOOSE(CONTROL!$C$15, $D$11, 100%, $F$11)</f>
        <v>18.532399999999999</v>
      </c>
      <c r="I613" s="8">
        <f>CHOOSE( CONTROL!$C$32, 17.4019, 17.3985) * CHOOSE(CONTROL!$C$15, $D$11, 100%, $F$11)</f>
        <v>17.401900000000001</v>
      </c>
      <c r="J613" s="4">
        <f>CHOOSE( CONTROL!$C$32, 17.3099, 17.3065) * CHOOSE(CONTROL!$C$15, $D$11, 100%, $F$11)</f>
        <v>17.309899999999999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18.7162 * CHOOSE(CONTROL!$C$15, $D$11, 100%, $F$11)</f>
        <v>18.716200000000001</v>
      </c>
      <c r="C614" s="8">
        <f>18.7265 * CHOOSE(CONTROL!$C$15, $D$11, 100%, $F$11)</f>
        <v>18.726500000000001</v>
      </c>
      <c r="D614" s="8">
        <f>18.7391 * CHOOSE( CONTROL!$C$15, $D$11, 100%, $F$11)</f>
        <v>18.739100000000001</v>
      </c>
      <c r="E614" s="12">
        <f>18.7338 * CHOOSE( CONTROL!$C$15, $D$11, 100%, $F$11)</f>
        <v>18.733799999999999</v>
      </c>
      <c r="F614" s="4">
        <f>19.3963 * CHOOSE(CONTROL!$C$15, $D$11, 100%, $F$11)</f>
        <v>19.3963</v>
      </c>
      <c r="G614" s="8">
        <f>18.392 * CHOOSE( CONTROL!$C$15, $D$11, 100%, $F$11)</f>
        <v>18.391999999999999</v>
      </c>
      <c r="H614" s="4">
        <f>19.3111 * CHOOSE(CONTROL!$C$15, $D$11, 100%, $F$11)</f>
        <v>19.3111</v>
      </c>
      <c r="I614" s="8">
        <f>18.1686 * CHOOSE(CONTROL!$C$15, $D$11, 100%, $F$11)</f>
        <v>18.168600000000001</v>
      </c>
      <c r="J614" s="4">
        <f>18.0753 * CHOOSE(CONTROL!$C$15, $D$11, 100%, $F$11)</f>
        <v>18.075299999999999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20.1836 * CHOOSE(CONTROL!$C$15, $D$11, 100%, $F$11)</f>
        <v>20.183599999999998</v>
      </c>
      <c r="C615" s="8">
        <f>20.1939 * CHOOSE(CONTROL!$C$15, $D$11, 100%, $F$11)</f>
        <v>20.193899999999999</v>
      </c>
      <c r="D615" s="8">
        <f>20.1788 * CHOOSE( CONTROL!$C$15, $D$11, 100%, $F$11)</f>
        <v>20.178799999999999</v>
      </c>
      <c r="E615" s="12">
        <f>20.1832 * CHOOSE( CONTROL!$C$15, $D$11, 100%, $F$11)</f>
        <v>20.183199999999999</v>
      </c>
      <c r="F615" s="4">
        <f>20.8378 * CHOOSE(CONTROL!$C$15, $D$11, 100%, $F$11)</f>
        <v>20.837800000000001</v>
      </c>
      <c r="G615" s="8">
        <f>19.8451 * CHOOSE( CONTROL!$C$15, $D$11, 100%, $F$11)</f>
        <v>19.845099999999999</v>
      </c>
      <c r="H615" s="4">
        <f>20.7293 * CHOOSE(CONTROL!$C$15, $D$11, 100%, $F$11)</f>
        <v>20.729299999999999</v>
      </c>
      <c r="I615" s="8">
        <f>19.6087 * CHOOSE(CONTROL!$C$15, $D$11, 100%, $F$11)</f>
        <v>19.608699999999999</v>
      </c>
      <c r="J615" s="4">
        <f>19.4944 * CHOOSE(CONTROL!$C$15, $D$11, 100%, $F$11)</f>
        <v>19.494399999999999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20.1469 * CHOOSE(CONTROL!$C$15, $D$11, 100%, $F$11)</f>
        <v>20.146899999999999</v>
      </c>
      <c r="C616" s="8">
        <f>20.1572 * CHOOSE(CONTROL!$C$15, $D$11, 100%, $F$11)</f>
        <v>20.1572</v>
      </c>
      <c r="D616" s="8">
        <f>20.1438 * CHOOSE( CONTROL!$C$15, $D$11, 100%, $F$11)</f>
        <v>20.143799999999999</v>
      </c>
      <c r="E616" s="12">
        <f>20.1476 * CHOOSE( CONTROL!$C$15, $D$11, 100%, $F$11)</f>
        <v>20.147600000000001</v>
      </c>
      <c r="F616" s="4">
        <f>20.8011 * CHOOSE(CONTROL!$C$15, $D$11, 100%, $F$11)</f>
        <v>20.801100000000002</v>
      </c>
      <c r="G616" s="8">
        <f>19.8102 * CHOOSE( CONTROL!$C$15, $D$11, 100%, $F$11)</f>
        <v>19.810199999999998</v>
      </c>
      <c r="H616" s="4">
        <f>20.6932 * CHOOSE(CONTROL!$C$15, $D$11, 100%, $F$11)</f>
        <v>20.693200000000001</v>
      </c>
      <c r="I616" s="8">
        <f>19.5785 * CHOOSE(CONTROL!$C$15, $D$11, 100%, $F$11)</f>
        <v>19.578499999999998</v>
      </c>
      <c r="J616" s="4">
        <f>19.459 * CHOOSE(CONTROL!$C$15, $D$11, 100%, $F$11)</f>
        <v>19.459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20.9159 * CHOOSE(CONTROL!$C$15, $D$11, 100%, $F$11)</f>
        <v>20.915900000000001</v>
      </c>
      <c r="C617" s="8">
        <f>20.9262 * CHOOSE(CONTROL!$C$15, $D$11, 100%, $F$11)</f>
        <v>20.926200000000001</v>
      </c>
      <c r="D617" s="8">
        <f>20.9247 * CHOOSE( CONTROL!$C$15, $D$11, 100%, $F$11)</f>
        <v>20.924700000000001</v>
      </c>
      <c r="E617" s="12">
        <f>20.9242 * CHOOSE( CONTROL!$C$15, $D$11, 100%, $F$11)</f>
        <v>20.924199999999999</v>
      </c>
      <c r="F617" s="4">
        <f>21.5986 * CHOOSE(CONTROL!$C$15, $D$11, 100%, $F$11)</f>
        <v>21.598600000000001</v>
      </c>
      <c r="G617" s="8">
        <f>20.5793 * CHOOSE( CONTROL!$C$15, $D$11, 100%, $F$11)</f>
        <v>20.5793</v>
      </c>
      <c r="H617" s="4">
        <f>21.4777 * CHOOSE(CONTROL!$C$15, $D$11, 100%, $F$11)</f>
        <v>21.477699999999999</v>
      </c>
      <c r="I617" s="8">
        <f>20.3214 * CHOOSE(CONTROL!$C$15, $D$11, 100%, $F$11)</f>
        <v>20.321400000000001</v>
      </c>
      <c r="J617" s="4">
        <f>20.2027 * CHOOSE(CONTROL!$C$15, $D$11, 100%, $F$11)</f>
        <v>20.2027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19.5654 * CHOOSE(CONTROL!$C$15, $D$11, 100%, $F$11)</f>
        <v>19.5654</v>
      </c>
      <c r="C618" s="8">
        <f>19.5757 * CHOOSE(CONTROL!$C$15, $D$11, 100%, $F$11)</f>
        <v>19.575700000000001</v>
      </c>
      <c r="D618" s="8">
        <f>19.5763 * CHOOSE( CONTROL!$C$15, $D$11, 100%, $F$11)</f>
        <v>19.5763</v>
      </c>
      <c r="E618" s="12">
        <f>19.575 * CHOOSE( CONTROL!$C$15, $D$11, 100%, $F$11)</f>
        <v>19.574999999999999</v>
      </c>
      <c r="F618" s="4">
        <f>20.2403 * CHOOSE(CONTROL!$C$15, $D$11, 100%, $F$11)</f>
        <v>20.240300000000001</v>
      </c>
      <c r="G618" s="8">
        <f>19.2504 * CHOOSE( CONTROL!$C$15, $D$11, 100%, $F$11)</f>
        <v>19.250399999999999</v>
      </c>
      <c r="H618" s="4">
        <f>20.1415 * CHOOSE(CONTROL!$C$15, $D$11, 100%, $F$11)</f>
        <v>20.141500000000001</v>
      </c>
      <c r="I618" s="8">
        <f>19.0037 * CHOOSE(CONTROL!$C$15, $D$11, 100%, $F$11)</f>
        <v>19.003699999999998</v>
      </c>
      <c r="J618" s="4">
        <f>18.8966 * CHOOSE(CONTROL!$C$15, $D$11, 100%, $F$11)</f>
        <v>18.896599999999999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19.1495 * CHOOSE(CONTROL!$C$15, $D$11, 100%, $F$11)</f>
        <v>19.1495</v>
      </c>
      <c r="C619" s="8">
        <f>19.1598 * CHOOSE(CONTROL!$C$15, $D$11, 100%, $F$11)</f>
        <v>19.159800000000001</v>
      </c>
      <c r="D619" s="8">
        <f>19.155 * CHOOSE( CONTROL!$C$15, $D$11, 100%, $F$11)</f>
        <v>19.155000000000001</v>
      </c>
      <c r="E619" s="12">
        <f>19.1557 * CHOOSE( CONTROL!$C$15, $D$11, 100%, $F$11)</f>
        <v>19.1557</v>
      </c>
      <c r="F619" s="4">
        <f>19.827 * CHOOSE(CONTROL!$C$15, $D$11, 100%, $F$11)</f>
        <v>19.827000000000002</v>
      </c>
      <c r="G619" s="8">
        <f>18.8358 * CHOOSE( CONTROL!$C$15, $D$11, 100%, $F$11)</f>
        <v>18.835799999999999</v>
      </c>
      <c r="H619" s="4">
        <f>19.7348 * CHOOSE(CONTROL!$C$15, $D$11, 100%, $F$11)</f>
        <v>19.7348</v>
      </c>
      <c r="I619" s="8">
        <f>18.5894 * CHOOSE(CONTROL!$C$15, $D$11, 100%, $F$11)</f>
        <v>18.589400000000001</v>
      </c>
      <c r="J619" s="4">
        <f>18.4943 * CHOOSE(CONTROL!$C$15, $D$11, 100%, $F$11)</f>
        <v>18.494299999999999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19.4401 * CHOOSE(CONTROL!$C$15, $D$11, 100%, $F$11)</f>
        <v>19.440100000000001</v>
      </c>
      <c r="C620" s="8">
        <f>19.4504 * CHOOSE(CONTROL!$C$15, $D$11, 100%, $F$11)</f>
        <v>19.450399999999998</v>
      </c>
      <c r="D620" s="8">
        <f>19.4617 * CHOOSE( CONTROL!$C$15, $D$11, 100%, $F$11)</f>
        <v>19.4617</v>
      </c>
      <c r="E620" s="12">
        <f>19.4568 * CHOOSE( CONTROL!$C$15, $D$11, 100%, $F$11)</f>
        <v>19.456800000000001</v>
      </c>
      <c r="F620" s="4">
        <f>20.1202 * CHOOSE(CONTROL!$C$15, $D$11, 100%, $F$11)</f>
        <v>20.120200000000001</v>
      </c>
      <c r="G620" s="8">
        <f>19.1023 * CHOOSE( CONTROL!$C$15, $D$11, 100%, $F$11)</f>
        <v>19.1023</v>
      </c>
      <c r="H620" s="4">
        <f>20.0233 * CHOOSE(CONTROL!$C$15, $D$11, 100%, $F$11)</f>
        <v>20.023299999999999</v>
      </c>
      <c r="I620" s="8">
        <f>18.8629 * CHOOSE(CONTROL!$C$15, $D$11, 100%, $F$11)</f>
        <v>18.8629</v>
      </c>
      <c r="J620" s="4">
        <f>18.7754 * CHOOSE(CONTROL!$C$15, $D$11, 100%, $F$11)</f>
        <v>18.775400000000001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CONTROL!$C$32, 19.9609, 19.9574) * CHOOSE(CONTROL!$C$15, $D$11, 100%, $F$11)</f>
        <v>19.960899999999999</v>
      </c>
      <c r="C621" s="8">
        <f>CHOOSE( CONTROL!$C$32, 19.9712, 19.9677) * CHOOSE(CONTROL!$C$15, $D$11, 100%, $F$11)</f>
        <v>19.9712</v>
      </c>
      <c r="D621" s="8">
        <f>CHOOSE( CONTROL!$C$32, 19.982, 19.9786) * CHOOSE( CONTROL!$C$15, $D$11, 100%, $F$11)</f>
        <v>19.981999999999999</v>
      </c>
      <c r="E621" s="12">
        <f>CHOOSE( CONTROL!$C$32, 19.9765, 19.9731) * CHOOSE( CONTROL!$C$15, $D$11, 100%, $F$11)</f>
        <v>19.976500000000001</v>
      </c>
      <c r="F621" s="4">
        <f>CHOOSE( CONTROL!$C$32, 20.641, 20.6375) * CHOOSE(CONTROL!$C$15, $D$11, 100%, $F$11)</f>
        <v>20.640999999999998</v>
      </c>
      <c r="G621" s="8">
        <f>CHOOSE( CONTROL!$C$32, 19.6159, 19.6125) * CHOOSE( CONTROL!$C$15, $D$11, 100%, $F$11)</f>
        <v>19.6159</v>
      </c>
      <c r="H621" s="4">
        <f>CHOOSE( CONTROL!$C$32, 20.5356, 20.5322) * CHOOSE(CONTROL!$C$15, $D$11, 100%, $F$11)</f>
        <v>20.535599999999999</v>
      </c>
      <c r="I621" s="8">
        <f>CHOOSE( CONTROL!$C$32, 19.3684, 19.365) * CHOOSE(CONTROL!$C$15, $D$11, 100%, $F$11)</f>
        <v>19.368400000000001</v>
      </c>
      <c r="J621" s="4">
        <f>CHOOSE( CONTROL!$C$32, 19.2791, 19.2757) * CHOOSE(CONTROL!$C$15, $D$11, 100%, $F$11)</f>
        <v>19.2791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CONTROL!$C$32, 19.6404, 19.637) * CHOOSE(CONTROL!$C$15, $D$11, 100%, $F$11)</f>
        <v>19.6404</v>
      </c>
      <c r="C622" s="8">
        <f>CHOOSE( CONTROL!$C$32, 19.6508, 19.6473) * CHOOSE(CONTROL!$C$15, $D$11, 100%, $F$11)</f>
        <v>19.6508</v>
      </c>
      <c r="D622" s="8">
        <f>CHOOSE( CONTROL!$C$32, 19.6619, 19.6584) * CHOOSE( CONTROL!$C$15, $D$11, 100%, $F$11)</f>
        <v>19.661899999999999</v>
      </c>
      <c r="E622" s="12">
        <f>CHOOSE( CONTROL!$C$32, 19.6563, 19.6528) * CHOOSE( CONTROL!$C$15, $D$11, 100%, $F$11)</f>
        <v>19.656300000000002</v>
      </c>
      <c r="F622" s="4">
        <f>CHOOSE( CONTROL!$C$32, 20.3205, 20.3171) * CHOOSE(CONTROL!$C$15, $D$11, 100%, $F$11)</f>
        <v>20.320499999999999</v>
      </c>
      <c r="G622" s="8">
        <f>CHOOSE( CONTROL!$C$32, 19.301, 19.2976) * CHOOSE( CONTROL!$C$15, $D$11, 100%, $F$11)</f>
        <v>19.300999999999998</v>
      </c>
      <c r="H622" s="4">
        <f>CHOOSE( CONTROL!$C$32, 20.2204, 20.2169) * CHOOSE(CONTROL!$C$15, $D$11, 100%, $F$11)</f>
        <v>20.220400000000001</v>
      </c>
      <c r="I622" s="8">
        <f>CHOOSE( CONTROL!$C$32, 19.0597, 19.0563) * CHOOSE(CONTROL!$C$15, $D$11, 100%, $F$11)</f>
        <v>19.059699999999999</v>
      </c>
      <c r="J622" s="4">
        <f>CHOOSE( CONTROL!$C$32, 18.9692, 18.9658) * CHOOSE(CONTROL!$C$15, $D$11, 100%, $F$11)</f>
        <v>18.969200000000001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CONTROL!$C$32, 20.4843, 20.4808) * CHOOSE(CONTROL!$C$15, $D$11, 100%, $F$11)</f>
        <v>20.484300000000001</v>
      </c>
      <c r="C623" s="8">
        <f>CHOOSE( CONTROL!$C$32, 20.4946, 20.4912) * CHOOSE(CONTROL!$C$15, $D$11, 100%, $F$11)</f>
        <v>20.494599999999998</v>
      </c>
      <c r="D623" s="8">
        <f>CHOOSE( CONTROL!$C$32, 20.506, 20.5026) * CHOOSE( CONTROL!$C$15, $D$11, 100%, $F$11)</f>
        <v>20.506</v>
      </c>
      <c r="E623" s="12">
        <f>CHOOSE( CONTROL!$C$32, 20.5003, 20.4969) * CHOOSE( CONTROL!$C$15, $D$11, 100%, $F$11)</f>
        <v>20.500299999999999</v>
      </c>
      <c r="F623" s="4">
        <f>CHOOSE( CONTROL!$C$32, 21.1644, 21.1609) * CHOOSE(CONTROL!$C$15, $D$11, 100%, $F$11)</f>
        <v>21.164400000000001</v>
      </c>
      <c r="G623" s="8">
        <f>CHOOSE( CONTROL!$C$32, 20.1317, 20.1283) * CHOOSE( CONTROL!$C$15, $D$11, 100%, $F$11)</f>
        <v>20.131699999999999</v>
      </c>
      <c r="H623" s="4">
        <f>CHOOSE( CONTROL!$C$32, 21.0506, 21.0472) * CHOOSE(CONTROL!$C$15, $D$11, 100%, $F$11)</f>
        <v>21.050599999999999</v>
      </c>
      <c r="I623" s="8">
        <f>CHOOSE( CONTROL!$C$32, 19.8776, 19.8743) * CHOOSE(CONTROL!$C$15, $D$11, 100%, $F$11)</f>
        <v>19.877600000000001</v>
      </c>
      <c r="J623" s="4">
        <f>CHOOSE( CONTROL!$C$32, 19.7853, 19.7819) * CHOOSE(CONTROL!$C$15, $D$11, 100%, $F$11)</f>
        <v>19.785299999999999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CONTROL!$C$32, 18.9053, 18.9019) * CHOOSE(CONTROL!$C$15, $D$11, 100%, $F$11)</f>
        <v>18.9053</v>
      </c>
      <c r="C624" s="8">
        <f>CHOOSE( CONTROL!$C$32, 18.9157, 18.9122) * CHOOSE(CONTROL!$C$15, $D$11, 100%, $F$11)</f>
        <v>18.915700000000001</v>
      </c>
      <c r="D624" s="8">
        <f>CHOOSE( CONTROL!$C$32, 18.9272, 18.9237) * CHOOSE( CONTROL!$C$15, $D$11, 100%, $F$11)</f>
        <v>18.927199999999999</v>
      </c>
      <c r="E624" s="12">
        <f>CHOOSE( CONTROL!$C$32, 18.9214, 18.918) * CHOOSE( CONTROL!$C$15, $D$11, 100%, $F$11)</f>
        <v>18.921399999999998</v>
      </c>
      <c r="F624" s="4">
        <f>CHOOSE( CONTROL!$C$32, 19.5854, 19.582) * CHOOSE(CONTROL!$C$15, $D$11, 100%, $F$11)</f>
        <v>19.5854</v>
      </c>
      <c r="G624" s="8">
        <f>CHOOSE( CONTROL!$C$32, 18.5785, 18.5751) * CHOOSE( CONTROL!$C$15, $D$11, 100%, $F$11)</f>
        <v>18.578499999999998</v>
      </c>
      <c r="H624" s="4">
        <f>CHOOSE( CONTROL!$C$32, 19.4972, 19.4937) * CHOOSE(CONTROL!$C$15, $D$11, 100%, $F$11)</f>
        <v>19.497199999999999</v>
      </c>
      <c r="I624" s="8">
        <f>CHOOSE( CONTROL!$C$32, 18.3505, 18.3472) * CHOOSE(CONTROL!$C$15, $D$11, 100%, $F$11)</f>
        <v>18.3505</v>
      </c>
      <c r="J624" s="4">
        <f>CHOOSE( CONTROL!$C$32, 18.2582, 18.2549) * CHOOSE(CONTROL!$C$15, $D$11, 100%, $F$11)</f>
        <v>18.258199999999999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CONTROL!$C$32, 18.5099, 18.5065) * CHOOSE(CONTROL!$C$15, $D$11, 100%, $F$11)</f>
        <v>18.509899999999998</v>
      </c>
      <c r="C625" s="8">
        <f>CHOOSE( CONTROL!$C$32, 18.5203, 18.5168) * CHOOSE(CONTROL!$C$15, $D$11, 100%, $F$11)</f>
        <v>18.520299999999999</v>
      </c>
      <c r="D625" s="8">
        <f>CHOOSE( CONTROL!$C$32, 18.5319, 18.5284) * CHOOSE( CONTROL!$C$15, $D$11, 100%, $F$11)</f>
        <v>18.5319</v>
      </c>
      <c r="E625" s="12">
        <f>CHOOSE( CONTROL!$C$32, 18.5261, 18.5226) * CHOOSE( CONTROL!$C$15, $D$11, 100%, $F$11)</f>
        <v>18.5261</v>
      </c>
      <c r="F625" s="4">
        <f>CHOOSE( CONTROL!$C$32, 19.19, 19.1866) * CHOOSE(CONTROL!$C$15, $D$11, 100%, $F$11)</f>
        <v>19.190000000000001</v>
      </c>
      <c r="G625" s="8">
        <f>CHOOSE( CONTROL!$C$32, 18.1896, 18.1861) * CHOOSE( CONTROL!$C$15, $D$11, 100%, $F$11)</f>
        <v>18.189599999999999</v>
      </c>
      <c r="H625" s="4">
        <f>CHOOSE( CONTROL!$C$32, 19.1082, 19.1047) * CHOOSE(CONTROL!$C$15, $D$11, 100%, $F$11)</f>
        <v>19.1082</v>
      </c>
      <c r="I625" s="8">
        <f>CHOOSE( CONTROL!$C$32, 17.9681, 17.9648) * CHOOSE(CONTROL!$C$15, $D$11, 100%, $F$11)</f>
        <v>17.9681</v>
      </c>
      <c r="J625" s="4">
        <f>CHOOSE( CONTROL!$C$32, 17.8759, 17.8725) * CHOOSE(CONTROL!$C$15, $D$11, 100%, $F$11)</f>
        <v>17.875900000000001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19.3274 * CHOOSE(CONTROL!$C$15, $D$11, 100%, $F$11)</f>
        <v>19.327400000000001</v>
      </c>
      <c r="C626" s="8">
        <f>19.3378 * CHOOSE(CONTROL!$C$15, $D$11, 100%, $F$11)</f>
        <v>19.337800000000001</v>
      </c>
      <c r="D626" s="8">
        <f>19.3503 * CHOOSE( CONTROL!$C$15, $D$11, 100%, $F$11)</f>
        <v>19.350300000000001</v>
      </c>
      <c r="E626" s="12">
        <f>19.3451 * CHOOSE( CONTROL!$C$15, $D$11, 100%, $F$11)</f>
        <v>19.345099999999999</v>
      </c>
      <c r="F626" s="4">
        <f>20.0075 * CHOOSE(CONTROL!$C$15, $D$11, 100%, $F$11)</f>
        <v>20.0075</v>
      </c>
      <c r="G626" s="8">
        <f>18.9934 * CHOOSE( CONTROL!$C$15, $D$11, 100%, $F$11)</f>
        <v>18.993400000000001</v>
      </c>
      <c r="H626" s="4">
        <f>19.9124 * CHOOSE(CONTROL!$C$15, $D$11, 100%, $F$11)</f>
        <v>19.912400000000002</v>
      </c>
      <c r="I626" s="8">
        <f>18.76 * CHOOSE(CONTROL!$C$15, $D$11, 100%, $F$11)</f>
        <v>18.760000000000002</v>
      </c>
      <c r="J626" s="4">
        <f>18.6665 * CHOOSE(CONTROL!$C$15, $D$11, 100%, $F$11)</f>
        <v>18.666499999999999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20.8428 * CHOOSE(CONTROL!$C$15, $D$11, 100%, $F$11)</f>
        <v>20.8428</v>
      </c>
      <c r="C627" s="8">
        <f>20.8531 * CHOOSE(CONTROL!$C$15, $D$11, 100%, $F$11)</f>
        <v>20.853100000000001</v>
      </c>
      <c r="D627" s="8">
        <f>20.838 * CHOOSE( CONTROL!$C$15, $D$11, 100%, $F$11)</f>
        <v>20.838000000000001</v>
      </c>
      <c r="E627" s="12">
        <f>20.8424 * CHOOSE( CONTROL!$C$15, $D$11, 100%, $F$11)</f>
        <v>20.842400000000001</v>
      </c>
      <c r="F627" s="4">
        <f>21.497 * CHOOSE(CONTROL!$C$15, $D$11, 100%, $F$11)</f>
        <v>21.497</v>
      </c>
      <c r="G627" s="8">
        <f>20.4936 * CHOOSE( CONTROL!$C$15, $D$11, 100%, $F$11)</f>
        <v>20.493600000000001</v>
      </c>
      <c r="H627" s="4">
        <f>21.3778 * CHOOSE(CONTROL!$C$15, $D$11, 100%, $F$11)</f>
        <v>21.377800000000001</v>
      </c>
      <c r="I627" s="8">
        <f>20.2465 * CHOOSE(CONTROL!$C$15, $D$11, 100%, $F$11)</f>
        <v>20.246500000000001</v>
      </c>
      <c r="J627" s="4">
        <f>20.1319 * CHOOSE(CONTROL!$C$15, $D$11, 100%, $F$11)</f>
        <v>20.131900000000002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20.8049 * CHOOSE(CONTROL!$C$15, $D$11, 100%, $F$11)</f>
        <v>20.8049</v>
      </c>
      <c r="C628" s="8">
        <f>20.8153 * CHOOSE(CONTROL!$C$15, $D$11, 100%, $F$11)</f>
        <v>20.815300000000001</v>
      </c>
      <c r="D628" s="8">
        <f>20.8018 * CHOOSE( CONTROL!$C$15, $D$11, 100%, $F$11)</f>
        <v>20.8018</v>
      </c>
      <c r="E628" s="12">
        <f>20.8056 * CHOOSE( CONTROL!$C$15, $D$11, 100%, $F$11)</f>
        <v>20.805599999999998</v>
      </c>
      <c r="F628" s="4">
        <f>21.4592 * CHOOSE(CONTROL!$C$15, $D$11, 100%, $F$11)</f>
        <v>21.459199999999999</v>
      </c>
      <c r="G628" s="8">
        <f>20.4576 * CHOOSE( CONTROL!$C$15, $D$11, 100%, $F$11)</f>
        <v>20.457599999999999</v>
      </c>
      <c r="H628" s="4">
        <f>21.3406 * CHOOSE(CONTROL!$C$15, $D$11, 100%, $F$11)</f>
        <v>21.340599999999998</v>
      </c>
      <c r="I628" s="8">
        <f>20.2152 * CHOOSE(CONTROL!$C$15, $D$11, 100%, $F$11)</f>
        <v>20.215199999999999</v>
      </c>
      <c r="J628" s="4">
        <f>20.0953 * CHOOSE(CONTROL!$C$15, $D$11, 100%, $F$11)</f>
        <v>20.095300000000002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21.5991 * CHOOSE(CONTROL!$C$15, $D$11, 100%, $F$11)</f>
        <v>21.5991</v>
      </c>
      <c r="C629" s="8">
        <f>21.6094 * CHOOSE(CONTROL!$C$15, $D$11, 100%, $F$11)</f>
        <v>21.609400000000001</v>
      </c>
      <c r="D629" s="8">
        <f>21.6078 * CHOOSE( CONTROL!$C$15, $D$11, 100%, $F$11)</f>
        <v>21.607800000000001</v>
      </c>
      <c r="E629" s="12">
        <f>21.6073 * CHOOSE( CONTROL!$C$15, $D$11, 100%, $F$11)</f>
        <v>21.607299999999999</v>
      </c>
      <c r="F629" s="4">
        <f>22.2818 * CHOOSE(CONTROL!$C$15, $D$11, 100%, $F$11)</f>
        <v>22.2818</v>
      </c>
      <c r="G629" s="8">
        <f>21.2514 * CHOOSE( CONTROL!$C$15, $D$11, 100%, $F$11)</f>
        <v>21.2514</v>
      </c>
      <c r="H629" s="4">
        <f>22.1499 * CHOOSE(CONTROL!$C$15, $D$11, 100%, $F$11)</f>
        <v>22.149899999999999</v>
      </c>
      <c r="I629" s="8">
        <f>20.9824 * CHOOSE(CONTROL!$C$15, $D$11, 100%, $F$11)</f>
        <v>20.982399999999998</v>
      </c>
      <c r="J629" s="4">
        <f>20.8634 * CHOOSE(CONTROL!$C$15, $D$11, 100%, $F$11)</f>
        <v>20.863399999999999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20.2044 * CHOOSE(CONTROL!$C$15, $D$11, 100%, $F$11)</f>
        <v>20.2044</v>
      </c>
      <c r="C630" s="8">
        <f>20.2148 * CHOOSE(CONTROL!$C$15, $D$11, 100%, $F$11)</f>
        <v>20.2148</v>
      </c>
      <c r="D630" s="8">
        <f>20.2153 * CHOOSE( CONTROL!$C$15, $D$11, 100%, $F$11)</f>
        <v>20.215299999999999</v>
      </c>
      <c r="E630" s="12">
        <f>20.214 * CHOOSE( CONTROL!$C$15, $D$11, 100%, $F$11)</f>
        <v>20.213999999999999</v>
      </c>
      <c r="F630" s="4">
        <f>20.8793 * CHOOSE(CONTROL!$C$15, $D$11, 100%, $F$11)</f>
        <v>20.879300000000001</v>
      </c>
      <c r="G630" s="8">
        <f>19.8791 * CHOOSE( CONTROL!$C$15, $D$11, 100%, $F$11)</f>
        <v>19.879100000000001</v>
      </c>
      <c r="H630" s="4">
        <f>20.7701 * CHOOSE(CONTROL!$C$15, $D$11, 100%, $F$11)</f>
        <v>20.770099999999999</v>
      </c>
      <c r="I630" s="8">
        <f>19.622 * CHOOSE(CONTROL!$C$15, $D$11, 100%, $F$11)</f>
        <v>19.622</v>
      </c>
      <c r="J630" s="4">
        <f>19.5146 * CHOOSE(CONTROL!$C$15, $D$11, 100%, $F$11)</f>
        <v>19.514600000000002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19.7749 * CHOOSE(CONTROL!$C$15, $D$11, 100%, $F$11)</f>
        <v>19.774899999999999</v>
      </c>
      <c r="C631" s="8">
        <f>19.7852 * CHOOSE(CONTROL!$C$15, $D$11, 100%, $F$11)</f>
        <v>19.7852</v>
      </c>
      <c r="D631" s="8">
        <f>19.7804 * CHOOSE( CONTROL!$C$15, $D$11, 100%, $F$11)</f>
        <v>19.7804</v>
      </c>
      <c r="E631" s="12">
        <f>19.7811 * CHOOSE( CONTROL!$C$15, $D$11, 100%, $F$11)</f>
        <v>19.781099999999999</v>
      </c>
      <c r="F631" s="4">
        <f>20.4524 * CHOOSE(CONTROL!$C$15, $D$11, 100%, $F$11)</f>
        <v>20.452400000000001</v>
      </c>
      <c r="G631" s="8">
        <f>19.451 * CHOOSE( CONTROL!$C$15, $D$11, 100%, $F$11)</f>
        <v>19.451000000000001</v>
      </c>
      <c r="H631" s="4">
        <f>20.3501 * CHOOSE(CONTROL!$C$15, $D$11, 100%, $F$11)</f>
        <v>20.350100000000001</v>
      </c>
      <c r="I631" s="8">
        <f>19.1945 * CHOOSE(CONTROL!$C$15, $D$11, 100%, $F$11)</f>
        <v>19.194500000000001</v>
      </c>
      <c r="J631" s="4">
        <f>19.0992 * CHOOSE(CONTROL!$C$15, $D$11, 100%, $F$11)</f>
        <v>19.0992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20.075 * CHOOSE(CONTROL!$C$15, $D$11, 100%, $F$11)</f>
        <v>20.074999999999999</v>
      </c>
      <c r="C632" s="8">
        <f>20.0854 * CHOOSE(CONTROL!$C$15, $D$11, 100%, $F$11)</f>
        <v>20.0854</v>
      </c>
      <c r="D632" s="8">
        <f>20.0967 * CHOOSE( CONTROL!$C$15, $D$11, 100%, $F$11)</f>
        <v>20.096699999999998</v>
      </c>
      <c r="E632" s="12">
        <f>20.0918 * CHOOSE( CONTROL!$C$15, $D$11, 100%, $F$11)</f>
        <v>20.091799999999999</v>
      </c>
      <c r="F632" s="4">
        <f>20.7551 * CHOOSE(CONTROL!$C$15, $D$11, 100%, $F$11)</f>
        <v>20.755099999999999</v>
      </c>
      <c r="G632" s="8">
        <f>19.727 * CHOOSE( CONTROL!$C$15, $D$11, 100%, $F$11)</f>
        <v>19.727</v>
      </c>
      <c r="H632" s="4">
        <f>20.6479 * CHOOSE(CONTROL!$C$15, $D$11, 100%, $F$11)</f>
        <v>20.6479</v>
      </c>
      <c r="I632" s="8">
        <f>19.4773 * CHOOSE(CONTROL!$C$15, $D$11, 100%, $F$11)</f>
        <v>19.4773</v>
      </c>
      <c r="J632" s="4">
        <f>19.3894 * CHOOSE(CONTROL!$C$15, $D$11, 100%, $F$11)</f>
        <v>19.389399999999998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CONTROL!$C$32, 20.6127, 20.6092) * CHOOSE(CONTROL!$C$15, $D$11, 100%, $F$11)</f>
        <v>20.6127</v>
      </c>
      <c r="C633" s="8">
        <f>CHOOSE( CONTROL!$C$32, 20.6231, 20.6196) * CHOOSE(CONTROL!$C$15, $D$11, 100%, $F$11)</f>
        <v>20.623100000000001</v>
      </c>
      <c r="D633" s="8">
        <f>CHOOSE( CONTROL!$C$32, 20.6339, 20.6304) * CHOOSE( CONTROL!$C$15, $D$11, 100%, $F$11)</f>
        <v>20.633900000000001</v>
      </c>
      <c r="E633" s="12">
        <f>CHOOSE( CONTROL!$C$32, 20.6284, 20.6249) * CHOOSE( CONTROL!$C$15, $D$11, 100%, $F$11)</f>
        <v>20.628399999999999</v>
      </c>
      <c r="F633" s="4">
        <f>CHOOSE( CONTROL!$C$32, 21.2928, 21.2893) * CHOOSE(CONTROL!$C$15, $D$11, 100%, $F$11)</f>
        <v>21.2928</v>
      </c>
      <c r="G633" s="8">
        <f>CHOOSE( CONTROL!$C$32, 20.2572, 20.2538) * CHOOSE( CONTROL!$C$15, $D$11, 100%, $F$11)</f>
        <v>20.257200000000001</v>
      </c>
      <c r="H633" s="4">
        <f>CHOOSE( CONTROL!$C$32, 21.1769, 21.1735) * CHOOSE(CONTROL!$C$15, $D$11, 100%, $F$11)</f>
        <v>21.1769</v>
      </c>
      <c r="I633" s="8">
        <f>CHOOSE( CONTROL!$C$32, 19.9991, 19.9957) * CHOOSE(CONTROL!$C$15, $D$11, 100%, $F$11)</f>
        <v>19.999099999999999</v>
      </c>
      <c r="J633" s="4">
        <f>CHOOSE( CONTROL!$C$32, 19.9094, 19.9061) * CHOOSE(CONTROL!$C$15, $D$11, 100%, $F$11)</f>
        <v>19.909400000000002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CONTROL!$C$32, 20.2818, 20.2783) * CHOOSE(CONTROL!$C$15, $D$11, 100%, $F$11)</f>
        <v>20.2818</v>
      </c>
      <c r="C634" s="8">
        <f>CHOOSE( CONTROL!$C$32, 20.2921, 20.2887) * CHOOSE(CONTROL!$C$15, $D$11, 100%, $F$11)</f>
        <v>20.292100000000001</v>
      </c>
      <c r="D634" s="8">
        <f>CHOOSE( CONTROL!$C$32, 20.3032, 20.2998) * CHOOSE( CONTROL!$C$15, $D$11, 100%, $F$11)</f>
        <v>20.3032</v>
      </c>
      <c r="E634" s="12">
        <f>CHOOSE( CONTROL!$C$32, 20.2976, 20.2942) * CHOOSE( CONTROL!$C$15, $D$11, 100%, $F$11)</f>
        <v>20.297599999999999</v>
      </c>
      <c r="F634" s="4">
        <f>CHOOSE( CONTROL!$C$32, 20.9619, 20.9584) * CHOOSE(CONTROL!$C$15, $D$11, 100%, $F$11)</f>
        <v>20.9619</v>
      </c>
      <c r="G634" s="8">
        <f>CHOOSE( CONTROL!$C$32, 19.932, 19.9286) * CHOOSE( CONTROL!$C$15, $D$11, 100%, $F$11)</f>
        <v>19.931999999999999</v>
      </c>
      <c r="H634" s="4">
        <f>CHOOSE( CONTROL!$C$32, 20.8513, 20.8479) * CHOOSE(CONTROL!$C$15, $D$11, 100%, $F$11)</f>
        <v>20.851299999999998</v>
      </c>
      <c r="I634" s="8">
        <f>CHOOSE( CONTROL!$C$32, 19.6802, 19.6769) * CHOOSE(CONTROL!$C$15, $D$11, 100%, $F$11)</f>
        <v>19.680199999999999</v>
      </c>
      <c r="J634" s="4">
        <f>CHOOSE( CONTROL!$C$32, 19.5894, 19.586) * CHOOSE(CONTROL!$C$15, $D$11, 100%, $F$11)</f>
        <v>19.589400000000001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CONTROL!$C$32, 21.1532, 21.1498) * CHOOSE(CONTROL!$C$15, $D$11, 100%, $F$11)</f>
        <v>21.153199999999998</v>
      </c>
      <c r="C635" s="8">
        <f>CHOOSE( CONTROL!$C$32, 21.1636, 21.1601) * CHOOSE(CONTROL!$C$15, $D$11, 100%, $F$11)</f>
        <v>21.163599999999999</v>
      </c>
      <c r="D635" s="8">
        <f>CHOOSE( CONTROL!$C$32, 21.175, 21.1715) * CHOOSE( CONTROL!$C$15, $D$11, 100%, $F$11)</f>
        <v>21.175000000000001</v>
      </c>
      <c r="E635" s="12">
        <f>CHOOSE( CONTROL!$C$32, 21.1693, 21.1658) * CHOOSE( CONTROL!$C$15, $D$11, 100%, $F$11)</f>
        <v>21.1693</v>
      </c>
      <c r="F635" s="4">
        <f>CHOOSE( CONTROL!$C$32, 21.8334, 21.8299) * CHOOSE(CONTROL!$C$15, $D$11, 100%, $F$11)</f>
        <v>21.833400000000001</v>
      </c>
      <c r="G635" s="8">
        <f>CHOOSE( CONTROL!$C$32, 20.7898, 20.7864) * CHOOSE( CONTROL!$C$15, $D$11, 100%, $F$11)</f>
        <v>20.7898</v>
      </c>
      <c r="H635" s="4">
        <f>CHOOSE( CONTROL!$C$32, 21.7087, 21.7053) * CHOOSE(CONTROL!$C$15, $D$11, 100%, $F$11)</f>
        <v>21.7087</v>
      </c>
      <c r="I635" s="8">
        <f>CHOOSE( CONTROL!$C$32, 20.5249, 20.5215) * CHOOSE(CONTROL!$C$15, $D$11, 100%, $F$11)</f>
        <v>20.524899999999999</v>
      </c>
      <c r="J635" s="4">
        <f>CHOOSE( CONTROL!$C$32, 20.4322, 20.4288) * CHOOSE(CONTROL!$C$15, $D$11, 100%, $F$11)</f>
        <v>20.432200000000002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CONTROL!$C$32, 19.5226, 19.5192) * CHOOSE(CONTROL!$C$15, $D$11, 100%, $F$11)</f>
        <v>19.522600000000001</v>
      </c>
      <c r="C636" s="8">
        <f>CHOOSE( CONTROL!$C$32, 19.533, 19.5295) * CHOOSE(CONTROL!$C$15, $D$11, 100%, $F$11)</f>
        <v>19.533000000000001</v>
      </c>
      <c r="D636" s="8">
        <f>CHOOSE( CONTROL!$C$32, 19.5445, 19.541) * CHOOSE( CONTROL!$C$15, $D$11, 100%, $F$11)</f>
        <v>19.544499999999999</v>
      </c>
      <c r="E636" s="12">
        <f>CHOOSE( CONTROL!$C$32, 19.5387, 19.5353) * CHOOSE( CONTROL!$C$15, $D$11, 100%, $F$11)</f>
        <v>19.538699999999999</v>
      </c>
      <c r="F636" s="4">
        <f>CHOOSE( CONTROL!$C$32, 20.2027, 20.1993) * CHOOSE(CONTROL!$C$15, $D$11, 100%, $F$11)</f>
        <v>20.2027</v>
      </c>
      <c r="G636" s="8">
        <f>CHOOSE( CONTROL!$C$32, 19.1858, 19.1824) * CHOOSE( CONTROL!$C$15, $D$11, 100%, $F$11)</f>
        <v>19.1858</v>
      </c>
      <c r="H636" s="4">
        <f>CHOOSE( CONTROL!$C$32, 20.1045, 20.1011) * CHOOSE(CONTROL!$C$15, $D$11, 100%, $F$11)</f>
        <v>20.104500000000002</v>
      </c>
      <c r="I636" s="8">
        <f>CHOOSE( CONTROL!$C$32, 18.9478, 18.9445) * CHOOSE(CONTROL!$C$15, $D$11, 100%, $F$11)</f>
        <v>18.947800000000001</v>
      </c>
      <c r="J636" s="4">
        <f>CHOOSE( CONTROL!$C$32, 18.8552, 18.8519) * CHOOSE(CONTROL!$C$15, $D$11, 100%, $F$11)</f>
        <v>18.8552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CONTROL!$C$32, 19.1143, 19.1108) * CHOOSE(CONTROL!$C$15, $D$11, 100%, $F$11)</f>
        <v>19.1143</v>
      </c>
      <c r="C637" s="8">
        <f>CHOOSE( CONTROL!$C$32, 19.1247, 19.1212) * CHOOSE(CONTROL!$C$15, $D$11, 100%, $F$11)</f>
        <v>19.124700000000001</v>
      </c>
      <c r="D637" s="8">
        <f>CHOOSE( CONTROL!$C$32, 19.1362, 19.1328) * CHOOSE( CONTROL!$C$15, $D$11, 100%, $F$11)</f>
        <v>19.136199999999999</v>
      </c>
      <c r="E637" s="12">
        <f>CHOOSE( CONTROL!$C$32, 19.1304, 19.127) * CHOOSE( CONTROL!$C$15, $D$11, 100%, $F$11)</f>
        <v>19.130400000000002</v>
      </c>
      <c r="F637" s="4">
        <f>CHOOSE( CONTROL!$C$32, 19.7944, 19.791) * CHOOSE(CONTROL!$C$15, $D$11, 100%, $F$11)</f>
        <v>19.7944</v>
      </c>
      <c r="G637" s="8">
        <f>CHOOSE( CONTROL!$C$32, 18.7842, 18.7807) * CHOOSE( CONTROL!$C$15, $D$11, 100%, $F$11)</f>
        <v>18.784199999999998</v>
      </c>
      <c r="H637" s="4">
        <f>CHOOSE( CONTROL!$C$32, 19.7028, 19.6993) * CHOOSE(CONTROL!$C$15, $D$11, 100%, $F$11)</f>
        <v>19.7028</v>
      </c>
      <c r="I637" s="8">
        <f>CHOOSE( CONTROL!$C$32, 18.5529, 18.5496) * CHOOSE(CONTROL!$C$15, $D$11, 100%, $F$11)</f>
        <v>18.552900000000001</v>
      </c>
      <c r="J637" s="4">
        <f>CHOOSE( CONTROL!$C$32, 18.4604, 18.457) * CHOOSE(CONTROL!$C$15, $D$11, 100%, $F$11)</f>
        <v>18.4604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19.9587 * CHOOSE(CONTROL!$C$15, $D$11, 100%, $F$11)</f>
        <v>19.9587</v>
      </c>
      <c r="C638" s="8">
        <f>19.969 * CHOOSE(CONTROL!$C$15, $D$11, 100%, $F$11)</f>
        <v>19.969000000000001</v>
      </c>
      <c r="D638" s="8">
        <f>19.9815 * CHOOSE( CONTROL!$C$15, $D$11, 100%, $F$11)</f>
        <v>19.9815</v>
      </c>
      <c r="E638" s="12">
        <f>19.9763 * CHOOSE( CONTROL!$C$15, $D$11, 100%, $F$11)</f>
        <v>19.976299999999998</v>
      </c>
      <c r="F638" s="4">
        <f>20.6388 * CHOOSE(CONTROL!$C$15, $D$11, 100%, $F$11)</f>
        <v>20.6388</v>
      </c>
      <c r="G638" s="8">
        <f>19.6144 * CHOOSE( CONTROL!$C$15, $D$11, 100%, $F$11)</f>
        <v>19.6144</v>
      </c>
      <c r="H638" s="4">
        <f>20.5334 * CHOOSE(CONTROL!$C$15, $D$11, 100%, $F$11)</f>
        <v>20.5334</v>
      </c>
      <c r="I638" s="8">
        <f>19.3708 * CHOOSE(CONTROL!$C$15, $D$11, 100%, $F$11)</f>
        <v>19.370799999999999</v>
      </c>
      <c r="J638" s="4">
        <f>19.2769 * CHOOSE(CONTROL!$C$15, $D$11, 100%, $F$11)</f>
        <v>19.276900000000001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21.5236 * CHOOSE(CONTROL!$C$15, $D$11, 100%, $F$11)</f>
        <v>21.523599999999998</v>
      </c>
      <c r="C639" s="8">
        <f>21.5339 * CHOOSE(CONTROL!$C$15, $D$11, 100%, $F$11)</f>
        <v>21.533899999999999</v>
      </c>
      <c r="D639" s="8">
        <f>21.5188 * CHOOSE( CONTROL!$C$15, $D$11, 100%, $F$11)</f>
        <v>21.518799999999999</v>
      </c>
      <c r="E639" s="12">
        <f>21.5232 * CHOOSE( CONTROL!$C$15, $D$11, 100%, $F$11)</f>
        <v>21.523199999999999</v>
      </c>
      <c r="F639" s="4">
        <f>22.1778 * CHOOSE(CONTROL!$C$15, $D$11, 100%, $F$11)</f>
        <v>22.177800000000001</v>
      </c>
      <c r="G639" s="8">
        <f>21.1634 * CHOOSE( CONTROL!$C$15, $D$11, 100%, $F$11)</f>
        <v>21.163399999999999</v>
      </c>
      <c r="H639" s="4">
        <f>22.0476 * CHOOSE(CONTROL!$C$15, $D$11, 100%, $F$11)</f>
        <v>22.047599999999999</v>
      </c>
      <c r="I639" s="8">
        <f>20.9053 * CHOOSE(CONTROL!$C$15, $D$11, 100%, $F$11)</f>
        <v>20.9053</v>
      </c>
      <c r="J639" s="4">
        <f>20.7903 * CHOOSE(CONTROL!$C$15, $D$11, 100%, $F$11)</f>
        <v>20.790299999999998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21.4845 * CHOOSE(CONTROL!$C$15, $D$11, 100%, $F$11)</f>
        <v>21.484500000000001</v>
      </c>
      <c r="C640" s="8">
        <f>21.4948 * CHOOSE(CONTROL!$C$15, $D$11, 100%, $F$11)</f>
        <v>21.494800000000001</v>
      </c>
      <c r="D640" s="8">
        <f>21.4814 * CHOOSE( CONTROL!$C$15, $D$11, 100%, $F$11)</f>
        <v>21.481400000000001</v>
      </c>
      <c r="E640" s="12">
        <f>21.4852 * CHOOSE( CONTROL!$C$15, $D$11, 100%, $F$11)</f>
        <v>21.485199999999999</v>
      </c>
      <c r="F640" s="4">
        <f>22.1387 * CHOOSE(CONTROL!$C$15, $D$11, 100%, $F$11)</f>
        <v>22.1387</v>
      </c>
      <c r="G640" s="8">
        <f>21.1262 * CHOOSE( CONTROL!$C$15, $D$11, 100%, $F$11)</f>
        <v>21.126200000000001</v>
      </c>
      <c r="H640" s="4">
        <f>22.0091 * CHOOSE(CONTROL!$C$15, $D$11, 100%, $F$11)</f>
        <v>22.0091</v>
      </c>
      <c r="I640" s="8">
        <f>20.8727 * CHOOSE(CONTROL!$C$15, $D$11, 100%, $F$11)</f>
        <v>20.872699999999998</v>
      </c>
      <c r="J640" s="4">
        <f>20.7525 * CHOOSE(CONTROL!$C$15, $D$11, 100%, $F$11)</f>
        <v>20.752500000000001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22.3046 * CHOOSE(CONTROL!$C$15, $D$11, 100%, $F$11)</f>
        <v>22.304600000000001</v>
      </c>
      <c r="C641" s="8">
        <f>22.3149 * CHOOSE(CONTROL!$C$15, $D$11, 100%, $F$11)</f>
        <v>22.314900000000002</v>
      </c>
      <c r="D641" s="8">
        <f>22.3134 * CHOOSE( CONTROL!$C$15, $D$11, 100%, $F$11)</f>
        <v>22.313400000000001</v>
      </c>
      <c r="E641" s="12">
        <f>22.3129 * CHOOSE( CONTROL!$C$15, $D$11, 100%, $F$11)</f>
        <v>22.312899999999999</v>
      </c>
      <c r="F641" s="4">
        <f>22.9873 * CHOOSE(CONTROL!$C$15, $D$11, 100%, $F$11)</f>
        <v>22.987300000000001</v>
      </c>
      <c r="G641" s="8">
        <f>21.9456 * CHOOSE( CONTROL!$C$15, $D$11, 100%, $F$11)</f>
        <v>21.945599999999999</v>
      </c>
      <c r="H641" s="4">
        <f>22.844 * CHOOSE(CONTROL!$C$15, $D$11, 100%, $F$11)</f>
        <v>22.844000000000001</v>
      </c>
      <c r="I641" s="8">
        <f>21.665 * CHOOSE(CONTROL!$C$15, $D$11, 100%, $F$11)</f>
        <v>21.664999999999999</v>
      </c>
      <c r="J641" s="4">
        <f>21.5457 * CHOOSE(CONTROL!$C$15, $D$11, 100%, $F$11)</f>
        <v>21.5457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20.8643 * CHOOSE(CONTROL!$C$15, $D$11, 100%, $F$11)</f>
        <v>20.8643</v>
      </c>
      <c r="C642" s="8">
        <f>20.8747 * CHOOSE(CONTROL!$C$15, $D$11, 100%, $F$11)</f>
        <v>20.874700000000001</v>
      </c>
      <c r="D642" s="8">
        <f>20.8752 * CHOOSE( CONTROL!$C$15, $D$11, 100%, $F$11)</f>
        <v>20.8752</v>
      </c>
      <c r="E642" s="12">
        <f>20.8739 * CHOOSE( CONTROL!$C$15, $D$11, 100%, $F$11)</f>
        <v>20.873899999999999</v>
      </c>
      <c r="F642" s="4">
        <f>21.5393 * CHOOSE(CONTROL!$C$15, $D$11, 100%, $F$11)</f>
        <v>21.539300000000001</v>
      </c>
      <c r="G642" s="8">
        <f>20.5283 * CHOOSE( CONTROL!$C$15, $D$11, 100%, $F$11)</f>
        <v>20.528300000000002</v>
      </c>
      <c r="H642" s="4">
        <f>21.4194 * CHOOSE(CONTROL!$C$15, $D$11, 100%, $F$11)</f>
        <v>21.4194</v>
      </c>
      <c r="I642" s="8">
        <f>20.2605 * CHOOSE(CONTROL!$C$15, $D$11, 100%, $F$11)</f>
        <v>20.2605</v>
      </c>
      <c r="J642" s="4">
        <f>20.1528 * CHOOSE(CONTROL!$C$15, $D$11, 100%, $F$11)</f>
        <v>20.152799999999999</v>
      </c>
      <c r="K642" s="4"/>
      <c r="L642" s="9">
        <v>27.415299999999998</v>
      </c>
      <c r="M642" s="9">
        <v>11.285299999999999</v>
      </c>
      <c r="N642" s="9">
        <v>4.6254999999999997</v>
      </c>
      <c r="O642" s="9">
        <v>0.34989999999999999</v>
      </c>
      <c r="P642" s="9">
        <v>1.2093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20.4207 * CHOOSE(CONTROL!$C$15, $D$11, 100%, $F$11)</f>
        <v>20.4207</v>
      </c>
      <c r="C643" s="8">
        <f>20.4311 * CHOOSE(CONTROL!$C$15, $D$11, 100%, $F$11)</f>
        <v>20.431100000000001</v>
      </c>
      <c r="D643" s="8">
        <f>20.4263 * CHOOSE( CONTROL!$C$15, $D$11, 100%, $F$11)</f>
        <v>20.426300000000001</v>
      </c>
      <c r="E643" s="12">
        <f>20.4269 * CHOOSE( CONTROL!$C$15, $D$11, 100%, $F$11)</f>
        <v>20.4269</v>
      </c>
      <c r="F643" s="4">
        <f>21.0982 * CHOOSE(CONTROL!$C$15, $D$11, 100%, $F$11)</f>
        <v>21.098199999999999</v>
      </c>
      <c r="G643" s="8">
        <f>20.0865 * CHOOSE( CONTROL!$C$15, $D$11, 100%, $F$11)</f>
        <v>20.086500000000001</v>
      </c>
      <c r="H643" s="4">
        <f>20.9855 * CHOOSE(CONTROL!$C$15, $D$11, 100%, $F$11)</f>
        <v>20.985499999999998</v>
      </c>
      <c r="I643" s="8">
        <f>19.8194 * CHOOSE(CONTROL!$C$15, $D$11, 100%, $F$11)</f>
        <v>19.819400000000002</v>
      </c>
      <c r="J643" s="4">
        <f>19.7238 * CHOOSE(CONTROL!$C$15, $D$11, 100%, $F$11)</f>
        <v>19.723800000000001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20.7307 * CHOOSE(CONTROL!$C$15, $D$11, 100%, $F$11)</f>
        <v>20.730699999999999</v>
      </c>
      <c r="C644" s="8">
        <f>20.741 * CHOOSE(CONTROL!$C$15, $D$11, 100%, $F$11)</f>
        <v>20.741</v>
      </c>
      <c r="D644" s="8">
        <f>20.7523 * CHOOSE( CONTROL!$C$15, $D$11, 100%, $F$11)</f>
        <v>20.752300000000002</v>
      </c>
      <c r="E644" s="12">
        <f>20.7474 * CHOOSE( CONTROL!$C$15, $D$11, 100%, $F$11)</f>
        <v>20.747399999999999</v>
      </c>
      <c r="F644" s="4">
        <f>21.4108 * CHOOSE(CONTROL!$C$15, $D$11, 100%, $F$11)</f>
        <v>21.410799999999998</v>
      </c>
      <c r="G644" s="8">
        <f>20.3721 * CHOOSE( CONTROL!$C$15, $D$11, 100%, $F$11)</f>
        <v>20.3721</v>
      </c>
      <c r="H644" s="4">
        <f>21.293 * CHOOSE(CONTROL!$C$15, $D$11, 100%, $F$11)</f>
        <v>21.292999999999999</v>
      </c>
      <c r="I644" s="8">
        <f>20.1117 * CHOOSE(CONTROL!$C$15, $D$11, 100%, $F$11)</f>
        <v>20.111699999999999</v>
      </c>
      <c r="J644" s="4">
        <f>20.0236 * CHOOSE(CONTROL!$C$15, $D$11, 100%, $F$11)</f>
        <v>20.023599999999998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CONTROL!$C$32, 21.2859, 21.2824) * CHOOSE(CONTROL!$C$15, $D$11, 100%, $F$11)</f>
        <v>21.285900000000002</v>
      </c>
      <c r="C645" s="8">
        <f>CHOOSE( CONTROL!$C$32, 21.2962, 21.2927) * CHOOSE(CONTROL!$C$15, $D$11, 100%, $F$11)</f>
        <v>21.296199999999999</v>
      </c>
      <c r="D645" s="8">
        <f>CHOOSE( CONTROL!$C$32, 21.307, 21.3036) * CHOOSE( CONTROL!$C$15, $D$11, 100%, $F$11)</f>
        <v>21.306999999999999</v>
      </c>
      <c r="E645" s="12">
        <f>CHOOSE( CONTROL!$C$32, 21.3015, 21.2981) * CHOOSE( CONTROL!$C$15, $D$11, 100%, $F$11)</f>
        <v>21.301500000000001</v>
      </c>
      <c r="F645" s="4">
        <f>CHOOSE( CONTROL!$C$32, 21.966, 21.9625) * CHOOSE(CONTROL!$C$15, $D$11, 100%, $F$11)</f>
        <v>21.966000000000001</v>
      </c>
      <c r="G645" s="8">
        <f>CHOOSE( CONTROL!$C$32, 20.9194, 20.916) * CHOOSE( CONTROL!$C$15, $D$11, 100%, $F$11)</f>
        <v>20.9194</v>
      </c>
      <c r="H645" s="4">
        <f>CHOOSE( CONTROL!$C$32, 21.8392, 21.8358) * CHOOSE(CONTROL!$C$15, $D$11, 100%, $F$11)</f>
        <v>21.839200000000002</v>
      </c>
      <c r="I645" s="8">
        <f>CHOOSE( CONTROL!$C$32, 20.6504, 20.6471) * CHOOSE(CONTROL!$C$15, $D$11, 100%, $F$11)</f>
        <v>20.650400000000001</v>
      </c>
      <c r="J645" s="4">
        <f>CHOOSE( CONTROL!$C$32, 20.5605, 20.5571) * CHOOSE(CONTROL!$C$15, $D$11, 100%, $F$11)</f>
        <v>20.560500000000001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CONTROL!$C$32, 20.9441, 20.9406) * CHOOSE(CONTROL!$C$15, $D$11, 100%, $F$11)</f>
        <v>20.944099999999999</v>
      </c>
      <c r="C646" s="8">
        <f>CHOOSE( CONTROL!$C$32, 20.9544, 20.951) * CHOOSE(CONTROL!$C$15, $D$11, 100%, $F$11)</f>
        <v>20.9544</v>
      </c>
      <c r="D646" s="8">
        <f>CHOOSE( CONTROL!$C$32, 20.9656, 20.9621) * CHOOSE( CONTROL!$C$15, $D$11, 100%, $F$11)</f>
        <v>20.965599999999998</v>
      </c>
      <c r="E646" s="12">
        <f>CHOOSE( CONTROL!$C$32, 20.96, 20.9565) * CHOOSE( CONTROL!$C$15, $D$11, 100%, $F$11)</f>
        <v>20.96</v>
      </c>
      <c r="F646" s="4">
        <f>CHOOSE( CONTROL!$C$32, 21.6242, 21.6207) * CHOOSE(CONTROL!$C$15, $D$11, 100%, $F$11)</f>
        <v>21.624199999999998</v>
      </c>
      <c r="G646" s="8">
        <f>CHOOSE( CONTROL!$C$32, 20.5836, 20.5802) * CHOOSE( CONTROL!$C$15, $D$11, 100%, $F$11)</f>
        <v>20.583600000000001</v>
      </c>
      <c r="H646" s="4">
        <f>CHOOSE( CONTROL!$C$32, 21.503, 21.4995) * CHOOSE(CONTROL!$C$15, $D$11, 100%, $F$11)</f>
        <v>21.503</v>
      </c>
      <c r="I646" s="8">
        <f>CHOOSE( CONTROL!$C$32, 20.3211, 20.3177) * CHOOSE(CONTROL!$C$15, $D$11, 100%, $F$11)</f>
        <v>20.321100000000001</v>
      </c>
      <c r="J646" s="4">
        <f>CHOOSE( CONTROL!$C$32, 20.2299, 20.2266) * CHOOSE(CONTROL!$C$15, $D$11, 100%, $F$11)</f>
        <v>20.229900000000001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CONTROL!$C$32, 21.8441, 21.8406) * CHOOSE(CONTROL!$C$15, $D$11, 100%, $F$11)</f>
        <v>21.844100000000001</v>
      </c>
      <c r="C647" s="8">
        <f>CHOOSE( CONTROL!$C$32, 21.8544, 21.8509) * CHOOSE(CONTROL!$C$15, $D$11, 100%, $F$11)</f>
        <v>21.854399999999998</v>
      </c>
      <c r="D647" s="8">
        <f>CHOOSE( CONTROL!$C$32, 21.8658, 21.8623) * CHOOSE( CONTROL!$C$15, $D$11, 100%, $F$11)</f>
        <v>21.8658</v>
      </c>
      <c r="E647" s="12">
        <f>CHOOSE( CONTROL!$C$32, 21.8601, 21.8566) * CHOOSE( CONTROL!$C$15, $D$11, 100%, $F$11)</f>
        <v>21.860099999999999</v>
      </c>
      <c r="F647" s="4">
        <f>CHOOSE( CONTROL!$C$32, 22.5242, 22.5207) * CHOOSE(CONTROL!$C$15, $D$11, 100%, $F$11)</f>
        <v>22.5242</v>
      </c>
      <c r="G647" s="8">
        <f>CHOOSE( CONTROL!$C$32, 21.4695, 21.4661) * CHOOSE( CONTROL!$C$15, $D$11, 100%, $F$11)</f>
        <v>21.4695</v>
      </c>
      <c r="H647" s="4">
        <f>CHOOSE( CONTROL!$C$32, 22.3884, 22.3849) * CHOOSE(CONTROL!$C$15, $D$11, 100%, $F$11)</f>
        <v>22.388400000000001</v>
      </c>
      <c r="I647" s="8">
        <f>CHOOSE( CONTROL!$C$32, 21.1933, 21.19) * CHOOSE(CONTROL!$C$15, $D$11, 100%, $F$11)</f>
        <v>21.193300000000001</v>
      </c>
      <c r="J647" s="4">
        <f>CHOOSE( CONTROL!$C$32, 21.1003, 21.0969) * CHOOSE(CONTROL!$C$15, $D$11, 100%, $F$11)</f>
        <v>21.100300000000001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CONTROL!$C$32, 20.1601, 20.1567) * CHOOSE(CONTROL!$C$15, $D$11, 100%, $F$11)</f>
        <v>20.1601</v>
      </c>
      <c r="C648" s="8">
        <f>CHOOSE( CONTROL!$C$32, 20.1705, 20.167) * CHOOSE(CONTROL!$C$15, $D$11, 100%, $F$11)</f>
        <v>20.170500000000001</v>
      </c>
      <c r="D648" s="8">
        <f>CHOOSE( CONTROL!$C$32, 20.182, 20.1786) * CHOOSE( CONTROL!$C$15, $D$11, 100%, $F$11)</f>
        <v>20.181999999999999</v>
      </c>
      <c r="E648" s="12">
        <f>CHOOSE( CONTROL!$C$32, 20.1762, 20.1728) * CHOOSE( CONTROL!$C$15, $D$11, 100%, $F$11)</f>
        <v>20.176200000000001</v>
      </c>
      <c r="F648" s="4">
        <f>CHOOSE( CONTROL!$C$32, 20.8403, 20.8368) * CHOOSE(CONTROL!$C$15, $D$11, 100%, $F$11)</f>
        <v>20.840299999999999</v>
      </c>
      <c r="G648" s="8">
        <f>CHOOSE( CONTROL!$C$32, 19.813, 19.8096) * CHOOSE( CONTROL!$C$15, $D$11, 100%, $F$11)</f>
        <v>19.812999999999999</v>
      </c>
      <c r="H648" s="4">
        <f>CHOOSE( CONTROL!$C$32, 20.7317, 20.7283) * CHOOSE(CONTROL!$C$15, $D$11, 100%, $F$11)</f>
        <v>20.7317</v>
      </c>
      <c r="I648" s="8">
        <f>CHOOSE( CONTROL!$C$32, 19.5647, 19.5613) * CHOOSE(CONTROL!$C$15, $D$11, 100%, $F$11)</f>
        <v>19.564699999999998</v>
      </c>
      <c r="J648" s="4">
        <f>CHOOSE( CONTROL!$C$32, 19.4718, 19.4684) * CHOOSE(CONTROL!$C$15, $D$11, 100%, $F$11)</f>
        <v>19.471800000000002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CONTROL!$C$32, 19.7385, 19.735) * CHOOSE(CONTROL!$C$15, $D$11, 100%, $F$11)</f>
        <v>19.738499999999998</v>
      </c>
      <c r="C649" s="8">
        <f>CHOOSE( CONTROL!$C$32, 19.7488, 19.7453) * CHOOSE(CONTROL!$C$15, $D$11, 100%, $F$11)</f>
        <v>19.748799999999999</v>
      </c>
      <c r="D649" s="8">
        <f>CHOOSE( CONTROL!$C$32, 19.7604, 19.7569) * CHOOSE( CONTROL!$C$15, $D$11, 100%, $F$11)</f>
        <v>19.760400000000001</v>
      </c>
      <c r="E649" s="12">
        <f>CHOOSE( CONTROL!$C$32, 19.7546, 19.7511) * CHOOSE( CONTROL!$C$15, $D$11, 100%, $F$11)</f>
        <v>19.7546</v>
      </c>
      <c r="F649" s="4">
        <f>CHOOSE( CONTROL!$C$32, 20.4186, 20.4151) * CHOOSE(CONTROL!$C$15, $D$11, 100%, $F$11)</f>
        <v>20.418600000000001</v>
      </c>
      <c r="G649" s="8">
        <f>CHOOSE( CONTROL!$C$32, 19.3982, 19.3948) * CHOOSE( CONTROL!$C$15, $D$11, 100%, $F$11)</f>
        <v>19.398199999999999</v>
      </c>
      <c r="H649" s="4">
        <f>CHOOSE( CONTROL!$C$32, 20.3168, 20.3134) * CHOOSE(CONTROL!$C$15, $D$11, 100%, $F$11)</f>
        <v>20.316800000000001</v>
      </c>
      <c r="I649" s="8">
        <f>CHOOSE( CONTROL!$C$32, 19.1568, 19.1535) * CHOOSE(CONTROL!$C$15, $D$11, 100%, $F$11)</f>
        <v>19.1568</v>
      </c>
      <c r="J649" s="4">
        <f>CHOOSE( CONTROL!$C$32, 19.064, 19.0606) * CHOOSE(CONTROL!$C$15, $D$11, 100%, $F$11)</f>
        <v>19.064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20.6105 * CHOOSE(CONTROL!$C$15, $D$11, 100%, $F$11)</f>
        <v>20.610499999999998</v>
      </c>
      <c r="C650" s="8">
        <f>20.6209 * CHOOSE(CONTROL!$C$15, $D$11, 100%, $F$11)</f>
        <v>20.620899999999999</v>
      </c>
      <c r="D650" s="8">
        <f>20.6334 * CHOOSE( CONTROL!$C$15, $D$11, 100%, $F$11)</f>
        <v>20.633400000000002</v>
      </c>
      <c r="E650" s="12">
        <f>20.6282 * CHOOSE( CONTROL!$C$15, $D$11, 100%, $F$11)</f>
        <v>20.6282</v>
      </c>
      <c r="F650" s="4">
        <f>21.2906 * CHOOSE(CONTROL!$C$15, $D$11, 100%, $F$11)</f>
        <v>21.290600000000001</v>
      </c>
      <c r="G650" s="8">
        <f>20.2557 * CHOOSE( CONTROL!$C$15, $D$11, 100%, $F$11)</f>
        <v>20.255700000000001</v>
      </c>
      <c r="H650" s="4">
        <f>21.1748 * CHOOSE(CONTROL!$C$15, $D$11, 100%, $F$11)</f>
        <v>21.174800000000001</v>
      </c>
      <c r="I650" s="8">
        <f>20.0015 * CHOOSE(CONTROL!$C$15, $D$11, 100%, $F$11)</f>
        <v>20.0015</v>
      </c>
      <c r="J650" s="4">
        <f>19.9073 * CHOOSE(CONTROL!$C$15, $D$11, 100%, $F$11)</f>
        <v>19.907299999999999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22.2266 * CHOOSE(CONTROL!$C$15, $D$11, 100%, $F$11)</f>
        <v>22.226600000000001</v>
      </c>
      <c r="C651" s="8">
        <f>22.237 * CHOOSE(CONTROL!$C$15, $D$11, 100%, $F$11)</f>
        <v>22.236999999999998</v>
      </c>
      <c r="D651" s="8">
        <f>22.2219 * CHOOSE( CONTROL!$C$15, $D$11, 100%, $F$11)</f>
        <v>22.221900000000002</v>
      </c>
      <c r="E651" s="12">
        <f>22.2263 * CHOOSE( CONTROL!$C$15, $D$11, 100%, $F$11)</f>
        <v>22.226299999999998</v>
      </c>
      <c r="F651" s="4">
        <f>22.8809 * CHOOSE(CONTROL!$C$15, $D$11, 100%, $F$11)</f>
        <v>22.8809</v>
      </c>
      <c r="G651" s="8">
        <f>21.8551 * CHOOSE( CONTROL!$C$15, $D$11, 100%, $F$11)</f>
        <v>21.8551</v>
      </c>
      <c r="H651" s="4">
        <f>22.7393 * CHOOSE(CONTROL!$C$15, $D$11, 100%, $F$11)</f>
        <v>22.7393</v>
      </c>
      <c r="I651" s="8">
        <f>21.5855 * CHOOSE(CONTROL!$C$15, $D$11, 100%, $F$11)</f>
        <v>21.5855</v>
      </c>
      <c r="J651" s="4">
        <f>21.4703 * CHOOSE(CONTROL!$C$15, $D$11, 100%, $F$11)</f>
        <v>21.470300000000002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22.1862 * CHOOSE(CONTROL!$C$15, $D$11, 100%, $F$11)</f>
        <v>22.186199999999999</v>
      </c>
      <c r="C652" s="8">
        <f>22.1966 * CHOOSE(CONTROL!$C$15, $D$11, 100%, $F$11)</f>
        <v>22.1966</v>
      </c>
      <c r="D652" s="8">
        <f>22.1831 * CHOOSE( CONTROL!$C$15, $D$11, 100%, $F$11)</f>
        <v>22.1831</v>
      </c>
      <c r="E652" s="12">
        <f>22.1869 * CHOOSE( CONTROL!$C$15, $D$11, 100%, $F$11)</f>
        <v>22.186900000000001</v>
      </c>
      <c r="F652" s="4">
        <f>22.8405 * CHOOSE(CONTROL!$C$15, $D$11, 100%, $F$11)</f>
        <v>22.840499999999999</v>
      </c>
      <c r="G652" s="8">
        <f>21.8166 * CHOOSE( CONTROL!$C$15, $D$11, 100%, $F$11)</f>
        <v>21.816600000000001</v>
      </c>
      <c r="H652" s="4">
        <f>22.6996 * CHOOSE(CONTROL!$C$15, $D$11, 100%, $F$11)</f>
        <v>22.6996</v>
      </c>
      <c r="I652" s="8">
        <f>21.5517 * CHOOSE(CONTROL!$C$15, $D$11, 100%, $F$11)</f>
        <v>21.5517</v>
      </c>
      <c r="J652" s="4">
        <f>21.4312 * CHOOSE(CONTROL!$C$15, $D$11, 100%, $F$11)</f>
        <v>21.4312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23.0332 * CHOOSE(CONTROL!$C$15, $D$11, 100%, $F$11)</f>
        <v>23.033200000000001</v>
      </c>
      <c r="C653" s="8">
        <f>23.0435 * CHOOSE(CONTROL!$C$15, $D$11, 100%, $F$11)</f>
        <v>23.043500000000002</v>
      </c>
      <c r="D653" s="8">
        <f>23.042 * CHOOSE( CONTROL!$C$15, $D$11, 100%, $F$11)</f>
        <v>23.042000000000002</v>
      </c>
      <c r="E653" s="12">
        <f>23.0415 * CHOOSE( CONTROL!$C$15, $D$11, 100%, $F$11)</f>
        <v>23.041499999999999</v>
      </c>
      <c r="F653" s="4">
        <f>23.7159 * CHOOSE(CONTROL!$C$15, $D$11, 100%, $F$11)</f>
        <v>23.715900000000001</v>
      </c>
      <c r="G653" s="8">
        <f>22.6624 * CHOOSE( CONTROL!$C$15, $D$11, 100%, $F$11)</f>
        <v>22.662400000000002</v>
      </c>
      <c r="H653" s="4">
        <f>23.5608 * CHOOSE(CONTROL!$C$15, $D$11, 100%, $F$11)</f>
        <v>23.5608</v>
      </c>
      <c r="I653" s="8">
        <f>22.37 * CHOOSE(CONTROL!$C$15, $D$11, 100%, $F$11)</f>
        <v>22.37</v>
      </c>
      <c r="J653" s="4">
        <f>22.2503 * CHOOSE(CONTROL!$C$15, $D$11, 100%, $F$11)</f>
        <v>22.250299999999999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21.5458 * CHOOSE(CONTROL!$C$15, $D$11, 100%, $F$11)</f>
        <v>21.5458</v>
      </c>
      <c r="C654" s="8">
        <f>21.5562 * CHOOSE(CONTROL!$C$15, $D$11, 100%, $F$11)</f>
        <v>21.5562</v>
      </c>
      <c r="D654" s="8">
        <f>21.5567 * CHOOSE( CONTROL!$C$15, $D$11, 100%, $F$11)</f>
        <v>21.556699999999999</v>
      </c>
      <c r="E654" s="12">
        <f>21.5554 * CHOOSE( CONTROL!$C$15, $D$11, 100%, $F$11)</f>
        <v>21.555399999999999</v>
      </c>
      <c r="F654" s="4">
        <f>22.2208 * CHOOSE(CONTROL!$C$15, $D$11, 100%, $F$11)</f>
        <v>22.220800000000001</v>
      </c>
      <c r="G654" s="8">
        <f>21.1988 * CHOOSE( CONTROL!$C$15, $D$11, 100%, $F$11)</f>
        <v>21.198799999999999</v>
      </c>
      <c r="H654" s="4">
        <f>22.0898 * CHOOSE(CONTROL!$C$15, $D$11, 100%, $F$11)</f>
        <v>22.0898</v>
      </c>
      <c r="I654" s="8">
        <f>20.9199 * CHOOSE(CONTROL!$C$15, $D$11, 100%, $F$11)</f>
        <v>20.919899999999998</v>
      </c>
      <c r="J654" s="4">
        <f>20.8119 * CHOOSE(CONTROL!$C$15, $D$11, 100%, $F$11)</f>
        <v>20.811900000000001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21.0877 * CHOOSE(CONTROL!$C$15, $D$11, 100%, $F$11)</f>
        <v>21.087700000000002</v>
      </c>
      <c r="C655" s="8">
        <f>21.098 * CHOOSE(CONTROL!$C$15, $D$11, 100%, $F$11)</f>
        <v>21.097999999999999</v>
      </c>
      <c r="D655" s="8">
        <f>21.0933 * CHOOSE( CONTROL!$C$15, $D$11, 100%, $F$11)</f>
        <v>21.093299999999999</v>
      </c>
      <c r="E655" s="12">
        <f>21.0939 * CHOOSE( CONTROL!$C$15, $D$11, 100%, $F$11)</f>
        <v>21.093900000000001</v>
      </c>
      <c r="F655" s="4">
        <f>21.7652 * CHOOSE(CONTROL!$C$15, $D$11, 100%, $F$11)</f>
        <v>21.7652</v>
      </c>
      <c r="G655" s="8">
        <f>20.7427 * CHOOSE( CONTROL!$C$15, $D$11, 100%, $F$11)</f>
        <v>20.742699999999999</v>
      </c>
      <c r="H655" s="4">
        <f>21.6417 * CHOOSE(CONTROL!$C$15, $D$11, 100%, $F$11)</f>
        <v>21.6417</v>
      </c>
      <c r="I655" s="8">
        <f>20.4648 * CHOOSE(CONTROL!$C$15, $D$11, 100%, $F$11)</f>
        <v>20.4648</v>
      </c>
      <c r="J655" s="4">
        <f>20.3688 * CHOOSE(CONTROL!$C$15, $D$11, 100%, $F$11)</f>
        <v>20.3688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21.4078 * CHOOSE(CONTROL!$C$15, $D$11, 100%, $F$11)</f>
        <v>21.407800000000002</v>
      </c>
      <c r="C656" s="8">
        <f>21.4182 * CHOOSE(CONTROL!$C$15, $D$11, 100%, $F$11)</f>
        <v>21.418199999999999</v>
      </c>
      <c r="D656" s="8">
        <f>21.4295 * CHOOSE( CONTROL!$C$15, $D$11, 100%, $F$11)</f>
        <v>21.429500000000001</v>
      </c>
      <c r="E656" s="12">
        <f>21.4246 * CHOOSE( CONTROL!$C$15, $D$11, 100%, $F$11)</f>
        <v>21.424600000000002</v>
      </c>
      <c r="F656" s="4">
        <f>22.0879 * CHOOSE(CONTROL!$C$15, $D$11, 100%, $F$11)</f>
        <v>22.087900000000001</v>
      </c>
      <c r="G656" s="8">
        <f>21.0382 * CHOOSE( CONTROL!$C$15, $D$11, 100%, $F$11)</f>
        <v>21.0382</v>
      </c>
      <c r="H656" s="4">
        <f>21.9592 * CHOOSE(CONTROL!$C$15, $D$11, 100%, $F$11)</f>
        <v>21.959199999999999</v>
      </c>
      <c r="I656" s="8">
        <f>20.7669 * CHOOSE(CONTROL!$C$15, $D$11, 100%, $F$11)</f>
        <v>20.7669</v>
      </c>
      <c r="J656" s="4">
        <f>20.6784 * CHOOSE(CONTROL!$C$15, $D$11, 100%, $F$11)</f>
        <v>20.6784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CONTROL!$C$32, 21.981, 21.9776) * CHOOSE(CONTROL!$C$15, $D$11, 100%, $F$11)</f>
        <v>21.981000000000002</v>
      </c>
      <c r="C657" s="8">
        <f>CHOOSE( CONTROL!$C$32, 21.9914, 21.9879) * CHOOSE(CONTROL!$C$15, $D$11, 100%, $F$11)</f>
        <v>21.991399999999999</v>
      </c>
      <c r="D657" s="8">
        <f>CHOOSE( CONTROL!$C$32, 22.0022, 21.9987) * CHOOSE( CONTROL!$C$15, $D$11, 100%, $F$11)</f>
        <v>22.002199999999998</v>
      </c>
      <c r="E657" s="12">
        <f>CHOOSE( CONTROL!$C$32, 21.9967, 21.9932) * CHOOSE( CONTROL!$C$15, $D$11, 100%, $F$11)</f>
        <v>21.996700000000001</v>
      </c>
      <c r="F657" s="4">
        <f>CHOOSE( CONTROL!$C$32, 22.6611, 22.6577) * CHOOSE(CONTROL!$C$15, $D$11, 100%, $F$11)</f>
        <v>22.661100000000001</v>
      </c>
      <c r="G657" s="8">
        <f>CHOOSE( CONTROL!$C$32, 21.6034, 21.5999) * CHOOSE( CONTROL!$C$15, $D$11, 100%, $F$11)</f>
        <v>21.603400000000001</v>
      </c>
      <c r="H657" s="4">
        <f>CHOOSE( CONTROL!$C$32, 22.5231, 22.5197) * CHOOSE(CONTROL!$C$15, $D$11, 100%, $F$11)</f>
        <v>22.523099999999999</v>
      </c>
      <c r="I657" s="8">
        <f>CHOOSE( CONTROL!$C$32, 21.3231, 21.3197) * CHOOSE(CONTROL!$C$15, $D$11, 100%, $F$11)</f>
        <v>21.3231</v>
      </c>
      <c r="J657" s="4">
        <f>CHOOSE( CONTROL!$C$32, 21.2327, 21.2294) * CHOOSE(CONTROL!$C$15, $D$11, 100%, $F$11)</f>
        <v>21.232700000000001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CONTROL!$C$32, 21.6281, 21.6246) * CHOOSE(CONTROL!$C$15, $D$11, 100%, $F$11)</f>
        <v>21.6281</v>
      </c>
      <c r="C658" s="8">
        <f>CHOOSE( CONTROL!$C$32, 21.6384, 21.635) * CHOOSE(CONTROL!$C$15, $D$11, 100%, $F$11)</f>
        <v>21.638400000000001</v>
      </c>
      <c r="D658" s="8">
        <f>CHOOSE( CONTROL!$C$32, 21.6495, 21.6461) * CHOOSE( CONTROL!$C$15, $D$11, 100%, $F$11)</f>
        <v>21.6495</v>
      </c>
      <c r="E658" s="12">
        <f>CHOOSE( CONTROL!$C$32, 21.6439, 21.6405) * CHOOSE( CONTROL!$C$15, $D$11, 100%, $F$11)</f>
        <v>21.643899999999999</v>
      </c>
      <c r="F658" s="4">
        <f>CHOOSE( CONTROL!$C$32, 22.3082, 22.3047) * CHOOSE(CONTROL!$C$15, $D$11, 100%, $F$11)</f>
        <v>22.308199999999999</v>
      </c>
      <c r="G658" s="8">
        <f>CHOOSE( CONTROL!$C$32, 21.2566, 21.2531) * CHOOSE( CONTROL!$C$15, $D$11, 100%, $F$11)</f>
        <v>21.256599999999999</v>
      </c>
      <c r="H658" s="4">
        <f>CHOOSE( CONTROL!$C$32, 22.1759, 22.1725) * CHOOSE(CONTROL!$C$15, $D$11, 100%, $F$11)</f>
        <v>22.175899999999999</v>
      </c>
      <c r="I658" s="8">
        <f>CHOOSE( CONTROL!$C$32, 20.9829, 20.9796) * CHOOSE(CONTROL!$C$15, $D$11, 100%, $F$11)</f>
        <v>20.982900000000001</v>
      </c>
      <c r="J658" s="4">
        <f>CHOOSE( CONTROL!$C$32, 20.8914, 20.8881) * CHOOSE(CONTROL!$C$15, $D$11, 100%, $F$11)</f>
        <v>20.891400000000001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CONTROL!$C$32, 22.5575, 22.554) * CHOOSE(CONTROL!$C$15, $D$11, 100%, $F$11)</f>
        <v>22.557500000000001</v>
      </c>
      <c r="C659" s="8">
        <f>CHOOSE( CONTROL!$C$32, 22.5678, 22.5644) * CHOOSE(CONTROL!$C$15, $D$11, 100%, $F$11)</f>
        <v>22.567799999999998</v>
      </c>
      <c r="D659" s="8">
        <f>CHOOSE( CONTROL!$C$32, 22.5792, 22.5758) * CHOOSE( CONTROL!$C$15, $D$11, 100%, $F$11)</f>
        <v>22.5792</v>
      </c>
      <c r="E659" s="12">
        <f>CHOOSE( CONTROL!$C$32, 22.5735, 22.5701) * CHOOSE( CONTROL!$C$15, $D$11, 100%, $F$11)</f>
        <v>22.573499999999999</v>
      </c>
      <c r="F659" s="4">
        <f>CHOOSE( CONTROL!$C$32, 23.2376, 23.2341) * CHOOSE(CONTROL!$C$15, $D$11, 100%, $F$11)</f>
        <v>23.2376</v>
      </c>
      <c r="G659" s="8">
        <f>CHOOSE( CONTROL!$C$32, 22.1714, 22.168) * CHOOSE( CONTROL!$C$15, $D$11, 100%, $F$11)</f>
        <v>22.171399999999998</v>
      </c>
      <c r="H659" s="4">
        <f>CHOOSE( CONTROL!$C$32, 23.0902, 23.0868) * CHOOSE(CONTROL!$C$15, $D$11, 100%, $F$11)</f>
        <v>23.090199999999999</v>
      </c>
      <c r="I659" s="8">
        <f>CHOOSE( CONTROL!$C$32, 21.8836, 21.8803) * CHOOSE(CONTROL!$C$15, $D$11, 100%, $F$11)</f>
        <v>21.883600000000001</v>
      </c>
      <c r="J659" s="4">
        <f>CHOOSE( CONTROL!$C$32, 21.7902, 21.7869) * CHOOSE(CONTROL!$C$15, $D$11, 100%, $F$11)</f>
        <v>21.790199999999999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CONTROL!$C$32, 20.8185, 20.815) * CHOOSE(CONTROL!$C$15, $D$11, 100%, $F$11)</f>
        <v>20.8185</v>
      </c>
      <c r="C660" s="8">
        <f>CHOOSE( CONTROL!$C$32, 20.8288, 20.8254) * CHOOSE(CONTROL!$C$15, $D$11, 100%, $F$11)</f>
        <v>20.828800000000001</v>
      </c>
      <c r="D660" s="8">
        <f>CHOOSE( CONTROL!$C$32, 20.8404, 20.8369) * CHOOSE( CONTROL!$C$15, $D$11, 100%, $F$11)</f>
        <v>20.840399999999999</v>
      </c>
      <c r="E660" s="12">
        <f>CHOOSE( CONTROL!$C$32, 20.8346, 20.8311) * CHOOSE( CONTROL!$C$15, $D$11, 100%, $F$11)</f>
        <v>20.834599999999998</v>
      </c>
      <c r="F660" s="4">
        <f>CHOOSE( CONTROL!$C$32, 21.4986, 21.4951) * CHOOSE(CONTROL!$C$15, $D$11, 100%, $F$11)</f>
        <v>21.4986</v>
      </c>
      <c r="G660" s="8">
        <f>CHOOSE( CONTROL!$C$32, 20.4607, 20.4573) * CHOOSE( CONTROL!$C$15, $D$11, 100%, $F$11)</f>
        <v>20.460699999999999</v>
      </c>
      <c r="H660" s="4">
        <f>CHOOSE( CONTROL!$C$32, 21.3794, 21.376) * CHOOSE(CONTROL!$C$15, $D$11, 100%, $F$11)</f>
        <v>21.3794</v>
      </c>
      <c r="I660" s="8">
        <f>CHOOSE( CONTROL!$C$32, 20.2017, 20.1983) * CHOOSE(CONTROL!$C$15, $D$11, 100%, $F$11)</f>
        <v>20.201699999999999</v>
      </c>
      <c r="J660" s="4">
        <f>CHOOSE( CONTROL!$C$32, 20.1085, 20.1051) * CHOOSE(CONTROL!$C$15, $D$11, 100%, $F$11)</f>
        <v>20.108499999999999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CONTROL!$C$32, 20.383, 20.3796) * CHOOSE(CONTROL!$C$15, $D$11, 100%, $F$11)</f>
        <v>20.382999999999999</v>
      </c>
      <c r="C661" s="8">
        <f>CHOOSE( CONTROL!$C$32, 20.3934, 20.3899) * CHOOSE(CONTROL!$C$15, $D$11, 100%, $F$11)</f>
        <v>20.3934</v>
      </c>
      <c r="D661" s="8">
        <f>CHOOSE( CONTROL!$C$32, 20.4049, 20.4015) * CHOOSE( CONTROL!$C$15, $D$11, 100%, $F$11)</f>
        <v>20.404900000000001</v>
      </c>
      <c r="E661" s="12">
        <f>CHOOSE( CONTROL!$C$32, 20.3991, 20.3957) * CHOOSE( CONTROL!$C$15, $D$11, 100%, $F$11)</f>
        <v>20.399100000000001</v>
      </c>
      <c r="F661" s="4">
        <f>CHOOSE( CONTROL!$C$32, 21.0631, 21.0597) * CHOOSE(CONTROL!$C$15, $D$11, 100%, $F$11)</f>
        <v>21.063099999999999</v>
      </c>
      <c r="G661" s="8">
        <f>CHOOSE( CONTROL!$C$32, 20.0324, 20.0289) * CHOOSE( CONTROL!$C$15, $D$11, 100%, $F$11)</f>
        <v>20.032399999999999</v>
      </c>
      <c r="H661" s="4">
        <f>CHOOSE( CONTROL!$C$32, 20.9509, 20.9475) * CHOOSE(CONTROL!$C$15, $D$11, 100%, $F$11)</f>
        <v>20.950900000000001</v>
      </c>
      <c r="I661" s="8">
        <f>CHOOSE( CONTROL!$C$32, 19.7805, 19.7772) * CHOOSE(CONTROL!$C$15, $D$11, 100%, $F$11)</f>
        <v>19.7805</v>
      </c>
      <c r="J661" s="4">
        <f>CHOOSE( CONTROL!$C$32, 19.6873, 19.684) * CHOOSE(CONTROL!$C$15, $D$11, 100%, $F$11)</f>
        <v>19.6873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21.2837 * CHOOSE(CONTROL!$C$15, $D$11, 100%, $F$11)</f>
        <v>21.2837</v>
      </c>
      <c r="C662" s="8">
        <f>21.2941 * CHOOSE(CONTROL!$C$15, $D$11, 100%, $F$11)</f>
        <v>21.2941</v>
      </c>
      <c r="D662" s="8">
        <f>21.3066 * CHOOSE( CONTROL!$C$15, $D$11, 100%, $F$11)</f>
        <v>21.3066</v>
      </c>
      <c r="E662" s="12">
        <f>21.3014 * CHOOSE( CONTROL!$C$15, $D$11, 100%, $F$11)</f>
        <v>21.301400000000001</v>
      </c>
      <c r="F662" s="4">
        <f>21.9638 * CHOOSE(CONTROL!$C$15, $D$11, 100%, $F$11)</f>
        <v>21.963799999999999</v>
      </c>
      <c r="G662" s="8">
        <f>20.918 * CHOOSE( CONTROL!$C$15, $D$11, 100%, $F$11)</f>
        <v>20.917999999999999</v>
      </c>
      <c r="H662" s="4">
        <f>21.8371 * CHOOSE(CONTROL!$C$15, $D$11, 100%, $F$11)</f>
        <v>21.8371</v>
      </c>
      <c r="I662" s="8">
        <f>20.6529 * CHOOSE(CONTROL!$C$15, $D$11, 100%, $F$11)</f>
        <v>20.652899999999999</v>
      </c>
      <c r="J662" s="4">
        <f>20.5584 * CHOOSE(CONTROL!$C$15, $D$11, 100%, $F$11)</f>
        <v>20.558399999999999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22.9527 * CHOOSE(CONTROL!$C$15, $D$11, 100%, $F$11)</f>
        <v>22.9527</v>
      </c>
      <c r="C663" s="8">
        <f>22.963 * CHOOSE(CONTROL!$C$15, $D$11, 100%, $F$11)</f>
        <v>22.963000000000001</v>
      </c>
      <c r="D663" s="8">
        <f>22.9479 * CHOOSE( CONTROL!$C$15, $D$11, 100%, $F$11)</f>
        <v>22.947900000000001</v>
      </c>
      <c r="E663" s="12">
        <f>22.9523 * CHOOSE( CONTROL!$C$15, $D$11, 100%, $F$11)</f>
        <v>22.952300000000001</v>
      </c>
      <c r="F663" s="4">
        <f>23.6069 * CHOOSE(CONTROL!$C$15, $D$11, 100%, $F$11)</f>
        <v>23.6069</v>
      </c>
      <c r="G663" s="8">
        <f>22.5694 * CHOOSE( CONTROL!$C$15, $D$11, 100%, $F$11)</f>
        <v>22.569400000000002</v>
      </c>
      <c r="H663" s="4">
        <f>23.4536 * CHOOSE(CONTROL!$C$15, $D$11, 100%, $F$11)</f>
        <v>23.453600000000002</v>
      </c>
      <c r="I663" s="8">
        <f>22.288 * CHOOSE(CONTROL!$C$15, $D$11, 100%, $F$11)</f>
        <v>22.288</v>
      </c>
      <c r="J663" s="4">
        <f>22.1724 * CHOOSE(CONTROL!$C$15, $D$11, 100%, $F$11)</f>
        <v>22.1724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22.911 * CHOOSE(CONTROL!$C$15, $D$11, 100%, $F$11)</f>
        <v>22.911000000000001</v>
      </c>
      <c r="C664" s="8">
        <f>22.9213 * CHOOSE(CONTROL!$C$15, $D$11, 100%, $F$11)</f>
        <v>22.921299999999999</v>
      </c>
      <c r="D664" s="8">
        <f>22.9079 * CHOOSE( CONTROL!$C$15, $D$11, 100%, $F$11)</f>
        <v>22.907900000000001</v>
      </c>
      <c r="E664" s="12">
        <f>22.9117 * CHOOSE( CONTROL!$C$15, $D$11, 100%, $F$11)</f>
        <v>22.9117</v>
      </c>
      <c r="F664" s="4">
        <f>23.5652 * CHOOSE(CONTROL!$C$15, $D$11, 100%, $F$11)</f>
        <v>23.565200000000001</v>
      </c>
      <c r="G664" s="8">
        <f>22.5296 * CHOOSE( CONTROL!$C$15, $D$11, 100%, $F$11)</f>
        <v>22.529599999999999</v>
      </c>
      <c r="H664" s="4">
        <f>23.4126 * CHOOSE(CONTROL!$C$15, $D$11, 100%, $F$11)</f>
        <v>23.412600000000001</v>
      </c>
      <c r="I664" s="8">
        <f>22.253 * CHOOSE(CONTROL!$C$15, $D$11, 100%, $F$11)</f>
        <v>22.253</v>
      </c>
      <c r="J664" s="4">
        <f>22.1321 * CHOOSE(CONTROL!$C$15, $D$11, 100%, $F$11)</f>
        <v>22.132100000000001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23.7856 * CHOOSE(CONTROL!$C$15, $D$11, 100%, $F$11)</f>
        <v>23.785599999999999</v>
      </c>
      <c r="C665" s="8">
        <f>23.796 * CHOOSE(CONTROL!$C$15, $D$11, 100%, $F$11)</f>
        <v>23.795999999999999</v>
      </c>
      <c r="D665" s="8">
        <f>23.7944 * CHOOSE( CONTROL!$C$15, $D$11, 100%, $F$11)</f>
        <v>23.7944</v>
      </c>
      <c r="E665" s="12">
        <f>23.7939 * CHOOSE( CONTROL!$C$15, $D$11, 100%, $F$11)</f>
        <v>23.793900000000001</v>
      </c>
      <c r="F665" s="4">
        <f>24.4683 * CHOOSE(CONTROL!$C$15, $D$11, 100%, $F$11)</f>
        <v>24.468299999999999</v>
      </c>
      <c r="G665" s="8">
        <f>23.4026 * CHOOSE( CONTROL!$C$15, $D$11, 100%, $F$11)</f>
        <v>23.4026</v>
      </c>
      <c r="H665" s="4">
        <f>24.301 * CHOOSE(CONTROL!$C$15, $D$11, 100%, $F$11)</f>
        <v>24.300999999999998</v>
      </c>
      <c r="I665" s="8">
        <f>23.098 * CHOOSE(CONTROL!$C$15, $D$11, 100%, $F$11)</f>
        <v>23.097999999999999</v>
      </c>
      <c r="J665" s="4">
        <f>22.978 * CHOOSE(CONTROL!$C$15, $D$11, 100%, $F$11)</f>
        <v>22.978000000000002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22.2496 * CHOOSE(CONTROL!$C$15, $D$11, 100%, $F$11)</f>
        <v>22.249600000000001</v>
      </c>
      <c r="C666" s="8">
        <f>22.2599 * CHOOSE(CONTROL!$C$15, $D$11, 100%, $F$11)</f>
        <v>22.259899999999998</v>
      </c>
      <c r="D666" s="8">
        <f>22.2605 * CHOOSE( CONTROL!$C$15, $D$11, 100%, $F$11)</f>
        <v>22.2605</v>
      </c>
      <c r="E666" s="12">
        <f>22.2592 * CHOOSE( CONTROL!$C$15, $D$11, 100%, $F$11)</f>
        <v>22.2592</v>
      </c>
      <c r="F666" s="4">
        <f>22.9245 * CHOOSE(CONTROL!$C$15, $D$11, 100%, $F$11)</f>
        <v>22.924499999999998</v>
      </c>
      <c r="G666" s="8">
        <f>21.8912 * CHOOSE( CONTROL!$C$15, $D$11, 100%, $F$11)</f>
        <v>21.891200000000001</v>
      </c>
      <c r="H666" s="4">
        <f>22.7822 * CHOOSE(CONTROL!$C$15, $D$11, 100%, $F$11)</f>
        <v>22.7822</v>
      </c>
      <c r="I666" s="8">
        <f>21.6009 * CHOOSE(CONTROL!$C$15, $D$11, 100%, $F$11)</f>
        <v>21.600899999999999</v>
      </c>
      <c r="J666" s="4">
        <f>21.4925 * CHOOSE(CONTROL!$C$15, $D$11, 100%, $F$11)</f>
        <v>21.4925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21.7765 * CHOOSE(CONTROL!$C$15, $D$11, 100%, $F$11)</f>
        <v>21.776499999999999</v>
      </c>
      <c r="C667" s="8">
        <f>21.7868 * CHOOSE(CONTROL!$C$15, $D$11, 100%, $F$11)</f>
        <v>21.786799999999999</v>
      </c>
      <c r="D667" s="8">
        <f>21.782 * CHOOSE( CONTROL!$C$15, $D$11, 100%, $F$11)</f>
        <v>21.782</v>
      </c>
      <c r="E667" s="12">
        <f>21.7827 * CHOOSE( CONTROL!$C$15, $D$11, 100%, $F$11)</f>
        <v>21.782699999999998</v>
      </c>
      <c r="F667" s="4">
        <f>22.454 * CHOOSE(CONTROL!$C$15, $D$11, 100%, $F$11)</f>
        <v>22.454000000000001</v>
      </c>
      <c r="G667" s="8">
        <f>21.4203 * CHOOSE( CONTROL!$C$15, $D$11, 100%, $F$11)</f>
        <v>21.420300000000001</v>
      </c>
      <c r="H667" s="4">
        <f>22.3193 * CHOOSE(CONTROL!$C$15, $D$11, 100%, $F$11)</f>
        <v>22.319299999999998</v>
      </c>
      <c r="I667" s="8">
        <f>21.1312 * CHOOSE(CONTROL!$C$15, $D$11, 100%, $F$11)</f>
        <v>21.1312</v>
      </c>
      <c r="J667" s="4">
        <f>21.035 * CHOOSE(CONTROL!$C$15, $D$11, 100%, $F$11)</f>
        <v>21.035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22.1071 * CHOOSE(CONTROL!$C$15, $D$11, 100%, $F$11)</f>
        <v>22.107099999999999</v>
      </c>
      <c r="C668" s="8">
        <f>22.1174 * CHOOSE(CONTROL!$C$15, $D$11, 100%, $F$11)</f>
        <v>22.1174</v>
      </c>
      <c r="D668" s="8">
        <f>22.1287 * CHOOSE( CONTROL!$C$15, $D$11, 100%, $F$11)</f>
        <v>22.128699999999998</v>
      </c>
      <c r="E668" s="12">
        <f>22.1238 * CHOOSE( CONTROL!$C$15, $D$11, 100%, $F$11)</f>
        <v>22.123799999999999</v>
      </c>
      <c r="F668" s="4">
        <f>22.7872 * CHOOSE(CONTROL!$C$15, $D$11, 100%, $F$11)</f>
        <v>22.787199999999999</v>
      </c>
      <c r="G668" s="8">
        <f>21.7262 * CHOOSE( CONTROL!$C$15, $D$11, 100%, $F$11)</f>
        <v>21.726199999999999</v>
      </c>
      <c r="H668" s="4">
        <f>22.6471 * CHOOSE(CONTROL!$C$15, $D$11, 100%, $F$11)</f>
        <v>22.647099999999998</v>
      </c>
      <c r="I668" s="8">
        <f>21.4435 * CHOOSE(CONTROL!$C$15, $D$11, 100%, $F$11)</f>
        <v>21.4435</v>
      </c>
      <c r="J668" s="4">
        <f>21.3547 * CHOOSE(CONTROL!$C$15, $D$11, 100%, $F$11)</f>
        <v>21.354700000000001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CONTROL!$C$32, 22.6989, 22.6955) * CHOOSE(CONTROL!$C$15, $D$11, 100%, $F$11)</f>
        <v>22.698899999999998</v>
      </c>
      <c r="C669" s="8">
        <f>CHOOSE( CONTROL!$C$32, 22.7093, 22.7058) * CHOOSE(CONTROL!$C$15, $D$11, 100%, $F$11)</f>
        <v>22.709299999999999</v>
      </c>
      <c r="D669" s="8">
        <f>CHOOSE( CONTROL!$C$32, 22.7201, 22.7166) * CHOOSE( CONTROL!$C$15, $D$11, 100%, $F$11)</f>
        <v>22.720099999999999</v>
      </c>
      <c r="E669" s="12">
        <f>CHOOSE( CONTROL!$C$32, 22.7146, 22.7111) * CHOOSE( CONTROL!$C$15, $D$11, 100%, $F$11)</f>
        <v>22.714600000000001</v>
      </c>
      <c r="F669" s="4">
        <f>CHOOSE( CONTROL!$C$32, 23.379, 23.3756) * CHOOSE(CONTROL!$C$15, $D$11, 100%, $F$11)</f>
        <v>23.379000000000001</v>
      </c>
      <c r="G669" s="8">
        <f>CHOOSE( CONTROL!$C$32, 22.3096, 22.3062) * CHOOSE( CONTROL!$C$15, $D$11, 100%, $F$11)</f>
        <v>22.3096</v>
      </c>
      <c r="H669" s="4">
        <f>CHOOSE( CONTROL!$C$32, 23.2294, 23.226) * CHOOSE(CONTROL!$C$15, $D$11, 100%, $F$11)</f>
        <v>23.229399999999998</v>
      </c>
      <c r="I669" s="8">
        <f>CHOOSE( CONTROL!$C$32, 22.0177, 22.0143) * CHOOSE(CONTROL!$C$15, $D$11, 100%, $F$11)</f>
        <v>22.017700000000001</v>
      </c>
      <c r="J669" s="4">
        <f>CHOOSE( CONTROL!$C$32, 21.927, 21.9237) * CHOOSE(CONTROL!$C$15, $D$11, 100%, $F$11)</f>
        <v>21.927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CONTROL!$C$32, 22.3345, 22.331) * CHOOSE(CONTROL!$C$15, $D$11, 100%, $F$11)</f>
        <v>22.334499999999998</v>
      </c>
      <c r="C670" s="8">
        <f>CHOOSE( CONTROL!$C$32, 22.3448, 22.3413) * CHOOSE(CONTROL!$C$15, $D$11, 100%, $F$11)</f>
        <v>22.344799999999999</v>
      </c>
      <c r="D670" s="8">
        <f>CHOOSE( CONTROL!$C$32, 22.3559, 22.3524) * CHOOSE( CONTROL!$C$15, $D$11, 100%, $F$11)</f>
        <v>22.355899999999998</v>
      </c>
      <c r="E670" s="12">
        <f>CHOOSE( CONTROL!$C$32, 22.3503, 22.3468) * CHOOSE( CONTROL!$C$15, $D$11, 100%, $F$11)</f>
        <v>22.350300000000001</v>
      </c>
      <c r="F670" s="4">
        <f>CHOOSE( CONTROL!$C$32, 23.0146, 23.0111) * CHOOSE(CONTROL!$C$15, $D$11, 100%, $F$11)</f>
        <v>23.014600000000002</v>
      </c>
      <c r="G670" s="8">
        <f>CHOOSE( CONTROL!$C$32, 21.9515, 21.9481) * CHOOSE( CONTROL!$C$15, $D$11, 100%, $F$11)</f>
        <v>21.951499999999999</v>
      </c>
      <c r="H670" s="4">
        <f>CHOOSE( CONTROL!$C$32, 22.8708, 22.8674) * CHOOSE(CONTROL!$C$15, $D$11, 100%, $F$11)</f>
        <v>22.870799999999999</v>
      </c>
      <c r="I670" s="8">
        <f>CHOOSE( CONTROL!$C$32, 21.6664, 21.663) * CHOOSE(CONTROL!$C$15, $D$11, 100%, $F$11)</f>
        <v>21.666399999999999</v>
      </c>
      <c r="J670" s="4">
        <f>CHOOSE( CONTROL!$C$32, 21.5745, 21.5712) * CHOOSE(CONTROL!$C$15, $D$11, 100%, $F$11)</f>
        <v>21.5745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CONTROL!$C$32, 23.2942, 23.2908) * CHOOSE(CONTROL!$C$15, $D$11, 100%, $F$11)</f>
        <v>23.2942</v>
      </c>
      <c r="C671" s="8">
        <f>CHOOSE( CONTROL!$C$32, 23.3046, 23.3011) * CHOOSE(CONTROL!$C$15, $D$11, 100%, $F$11)</f>
        <v>23.304600000000001</v>
      </c>
      <c r="D671" s="8">
        <f>CHOOSE( CONTROL!$C$32, 23.316, 23.3125) * CHOOSE( CONTROL!$C$15, $D$11, 100%, $F$11)</f>
        <v>23.315999999999999</v>
      </c>
      <c r="E671" s="12">
        <f>CHOOSE( CONTROL!$C$32, 23.3103, 23.3068) * CHOOSE( CONTROL!$C$15, $D$11, 100%, $F$11)</f>
        <v>23.310300000000002</v>
      </c>
      <c r="F671" s="4">
        <f>CHOOSE( CONTROL!$C$32, 23.9744, 23.9709) * CHOOSE(CONTROL!$C$15, $D$11, 100%, $F$11)</f>
        <v>23.974399999999999</v>
      </c>
      <c r="G671" s="8">
        <f>CHOOSE( CONTROL!$C$32, 22.8962, 22.8928) * CHOOSE( CONTROL!$C$15, $D$11, 100%, $F$11)</f>
        <v>22.8962</v>
      </c>
      <c r="H671" s="4">
        <f>CHOOSE( CONTROL!$C$32, 23.8151, 23.8117) * CHOOSE(CONTROL!$C$15, $D$11, 100%, $F$11)</f>
        <v>23.815100000000001</v>
      </c>
      <c r="I671" s="8">
        <f>CHOOSE( CONTROL!$C$32, 22.5965, 22.5931) * CHOOSE(CONTROL!$C$15, $D$11, 100%, $F$11)</f>
        <v>22.596499999999999</v>
      </c>
      <c r="J671" s="4">
        <f>CHOOSE( CONTROL!$C$32, 22.5028, 22.4994) * CHOOSE(CONTROL!$C$15, $D$11, 100%, $F$11)</f>
        <v>22.502800000000001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CONTROL!$C$32, 21.4984, 21.4949) * CHOOSE(CONTROL!$C$15, $D$11, 100%, $F$11)</f>
        <v>21.4984</v>
      </c>
      <c r="C672" s="8">
        <f>CHOOSE( CONTROL!$C$32, 21.5087, 21.5052) * CHOOSE(CONTROL!$C$15, $D$11, 100%, $F$11)</f>
        <v>21.508700000000001</v>
      </c>
      <c r="D672" s="8">
        <f>CHOOSE( CONTROL!$C$32, 21.5203, 21.5168) * CHOOSE( CONTROL!$C$15, $D$11, 100%, $F$11)</f>
        <v>21.520299999999999</v>
      </c>
      <c r="E672" s="12">
        <f>CHOOSE( CONTROL!$C$32, 21.5145, 21.511) * CHOOSE( CONTROL!$C$15, $D$11, 100%, $F$11)</f>
        <v>21.514500000000002</v>
      </c>
      <c r="F672" s="4">
        <f>CHOOSE( CONTROL!$C$32, 22.1785, 22.175) * CHOOSE(CONTROL!$C$15, $D$11, 100%, $F$11)</f>
        <v>22.1785</v>
      </c>
      <c r="G672" s="8">
        <f>CHOOSE( CONTROL!$C$32, 21.1296, 21.1262) * CHOOSE( CONTROL!$C$15, $D$11, 100%, $F$11)</f>
        <v>21.1296</v>
      </c>
      <c r="H672" s="4">
        <f>CHOOSE( CONTROL!$C$32, 22.0483, 22.0448) * CHOOSE(CONTROL!$C$15, $D$11, 100%, $F$11)</f>
        <v>22.048300000000001</v>
      </c>
      <c r="I672" s="8">
        <f>CHOOSE( CONTROL!$C$32, 20.8595, 20.8561) * CHOOSE(CONTROL!$C$15, $D$11, 100%, $F$11)</f>
        <v>20.859500000000001</v>
      </c>
      <c r="J672" s="4">
        <f>CHOOSE( CONTROL!$C$32, 20.766, 20.7626) * CHOOSE(CONTROL!$C$15, $D$11, 100%, $F$11)</f>
        <v>20.765999999999998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CONTROL!$C$32, 21.0487, 21.0452) * CHOOSE(CONTROL!$C$15, $D$11, 100%, $F$11)</f>
        <v>21.0487</v>
      </c>
      <c r="C673" s="8">
        <f>CHOOSE( CONTROL!$C$32, 21.059, 21.0555) * CHOOSE(CONTROL!$C$15, $D$11, 100%, $F$11)</f>
        <v>21.059000000000001</v>
      </c>
      <c r="D673" s="8">
        <f>CHOOSE( CONTROL!$C$32, 21.0706, 21.0671) * CHOOSE( CONTROL!$C$15, $D$11, 100%, $F$11)</f>
        <v>21.070599999999999</v>
      </c>
      <c r="E673" s="12">
        <f>CHOOSE( CONTROL!$C$32, 21.0648, 21.0613) * CHOOSE( CONTROL!$C$15, $D$11, 100%, $F$11)</f>
        <v>21.064800000000002</v>
      </c>
      <c r="F673" s="4">
        <f>CHOOSE( CONTROL!$C$32, 21.7288, 21.7253) * CHOOSE(CONTROL!$C$15, $D$11, 100%, $F$11)</f>
        <v>21.7288</v>
      </c>
      <c r="G673" s="8">
        <f>CHOOSE( CONTROL!$C$32, 20.6872, 20.6838) * CHOOSE( CONTROL!$C$15, $D$11, 100%, $F$11)</f>
        <v>20.687200000000001</v>
      </c>
      <c r="H673" s="4">
        <f>CHOOSE( CONTROL!$C$32, 21.6058, 21.6024) * CHOOSE(CONTROL!$C$15, $D$11, 100%, $F$11)</f>
        <v>21.605799999999999</v>
      </c>
      <c r="I673" s="8">
        <f>CHOOSE( CONTROL!$C$32, 20.4246, 20.4212) * CHOOSE(CONTROL!$C$15, $D$11, 100%, $F$11)</f>
        <v>20.424600000000002</v>
      </c>
      <c r="J673" s="4">
        <f>CHOOSE( CONTROL!$C$32, 20.3311, 20.3277) * CHOOSE(CONTROL!$C$15, $D$11, 100%, $F$11)</f>
        <v>20.331099999999999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21.9789 * CHOOSE(CONTROL!$C$15, $D$11, 100%, $F$11)</f>
        <v>21.978899999999999</v>
      </c>
      <c r="C674" s="8">
        <f>21.9893 * CHOOSE(CONTROL!$C$15, $D$11, 100%, $F$11)</f>
        <v>21.9893</v>
      </c>
      <c r="D674" s="8">
        <f>22.0018 * CHOOSE( CONTROL!$C$15, $D$11, 100%, $F$11)</f>
        <v>22.001799999999999</v>
      </c>
      <c r="E674" s="12">
        <f>21.9966 * CHOOSE( CONTROL!$C$15, $D$11, 100%, $F$11)</f>
        <v>21.996600000000001</v>
      </c>
      <c r="F674" s="4">
        <f>22.659 * CHOOSE(CONTROL!$C$15, $D$11, 100%, $F$11)</f>
        <v>22.658999999999999</v>
      </c>
      <c r="G674" s="8">
        <f>21.602 * CHOOSE( CONTROL!$C$15, $D$11, 100%, $F$11)</f>
        <v>21.602</v>
      </c>
      <c r="H674" s="4">
        <f>22.521 * CHOOSE(CONTROL!$C$15, $D$11, 100%, $F$11)</f>
        <v>22.521000000000001</v>
      </c>
      <c r="I674" s="8">
        <f>21.3256 * CHOOSE(CONTROL!$C$15, $D$11, 100%, $F$11)</f>
        <v>21.325600000000001</v>
      </c>
      <c r="J674" s="4">
        <f>21.2307 * CHOOSE(CONTROL!$C$15, $D$11, 100%, $F$11)</f>
        <v>21.230699999999999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23.7025 * CHOOSE(CONTROL!$C$15, $D$11, 100%, $F$11)</f>
        <v>23.702500000000001</v>
      </c>
      <c r="C675" s="8">
        <f>23.7128 * CHOOSE(CONTROL!$C$15, $D$11, 100%, $F$11)</f>
        <v>23.712800000000001</v>
      </c>
      <c r="D675" s="8">
        <f>23.6977 * CHOOSE( CONTROL!$C$15, $D$11, 100%, $F$11)</f>
        <v>23.697700000000001</v>
      </c>
      <c r="E675" s="12">
        <f>23.7021 * CHOOSE( CONTROL!$C$15, $D$11, 100%, $F$11)</f>
        <v>23.702100000000002</v>
      </c>
      <c r="F675" s="4">
        <f>24.3567 * CHOOSE(CONTROL!$C$15, $D$11, 100%, $F$11)</f>
        <v>24.3567</v>
      </c>
      <c r="G675" s="8">
        <f>23.307 * CHOOSE( CONTROL!$C$15, $D$11, 100%, $F$11)</f>
        <v>23.306999999999999</v>
      </c>
      <c r="H675" s="4">
        <f>24.1912 * CHOOSE(CONTROL!$C$15, $D$11, 100%, $F$11)</f>
        <v>24.191199999999998</v>
      </c>
      <c r="I675" s="8">
        <f>23.0135 * CHOOSE(CONTROL!$C$15, $D$11, 100%, $F$11)</f>
        <v>23.013500000000001</v>
      </c>
      <c r="J675" s="4">
        <f>22.8975 * CHOOSE(CONTROL!$C$15, $D$11, 100%, $F$11)</f>
        <v>22.897500000000001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23.6594 * CHOOSE(CONTROL!$C$15, $D$11, 100%, $F$11)</f>
        <v>23.659400000000002</v>
      </c>
      <c r="C676" s="8">
        <f>23.6697 * CHOOSE(CONTROL!$C$15, $D$11, 100%, $F$11)</f>
        <v>23.669699999999999</v>
      </c>
      <c r="D676" s="8">
        <f>23.6563 * CHOOSE( CONTROL!$C$15, $D$11, 100%, $F$11)</f>
        <v>23.656300000000002</v>
      </c>
      <c r="E676" s="12">
        <f>23.6601 * CHOOSE( CONTROL!$C$15, $D$11, 100%, $F$11)</f>
        <v>23.6601</v>
      </c>
      <c r="F676" s="4">
        <f>24.3136 * CHOOSE(CONTROL!$C$15, $D$11, 100%, $F$11)</f>
        <v>24.313600000000001</v>
      </c>
      <c r="G676" s="8">
        <f>23.2659 * CHOOSE( CONTROL!$C$15, $D$11, 100%, $F$11)</f>
        <v>23.265899999999998</v>
      </c>
      <c r="H676" s="4">
        <f>24.1489 * CHOOSE(CONTROL!$C$15, $D$11, 100%, $F$11)</f>
        <v>24.148900000000001</v>
      </c>
      <c r="I676" s="8">
        <f>22.9771 * CHOOSE(CONTROL!$C$15, $D$11, 100%, $F$11)</f>
        <v>22.9771</v>
      </c>
      <c r="J676" s="4">
        <f>22.8559 * CHOOSE(CONTROL!$C$15, $D$11, 100%, $F$11)</f>
        <v>22.855899999999998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24.5626 * CHOOSE(CONTROL!$C$15, $D$11, 100%, $F$11)</f>
        <v>24.5626</v>
      </c>
      <c r="C677" s="8">
        <f>24.573 * CHOOSE(CONTROL!$C$15, $D$11, 100%, $F$11)</f>
        <v>24.573</v>
      </c>
      <c r="D677" s="8">
        <f>24.5714 * CHOOSE( CONTROL!$C$15, $D$11, 100%, $F$11)</f>
        <v>24.571400000000001</v>
      </c>
      <c r="E677" s="12">
        <f>24.5709 * CHOOSE( CONTROL!$C$15, $D$11, 100%, $F$11)</f>
        <v>24.570900000000002</v>
      </c>
      <c r="F677" s="4">
        <f>25.2453 * CHOOSE(CONTROL!$C$15, $D$11, 100%, $F$11)</f>
        <v>25.2453</v>
      </c>
      <c r="G677" s="8">
        <f>24.1671 * CHOOSE( CONTROL!$C$15, $D$11, 100%, $F$11)</f>
        <v>24.167100000000001</v>
      </c>
      <c r="H677" s="4">
        <f>25.0655 * CHOOSE(CONTROL!$C$15, $D$11, 100%, $F$11)</f>
        <v>25.0655</v>
      </c>
      <c r="I677" s="8">
        <f>23.8499 * CHOOSE(CONTROL!$C$15, $D$11, 100%, $F$11)</f>
        <v>23.849900000000002</v>
      </c>
      <c r="J677" s="4">
        <f>23.7294 * CHOOSE(CONTROL!$C$15, $D$11, 100%, $F$11)</f>
        <v>23.729399999999998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22.9764 * CHOOSE(CONTROL!$C$15, $D$11, 100%, $F$11)</f>
        <v>22.976400000000002</v>
      </c>
      <c r="C678" s="8">
        <f>22.9867 * CHOOSE(CONTROL!$C$15, $D$11, 100%, $F$11)</f>
        <v>22.986699999999999</v>
      </c>
      <c r="D678" s="8">
        <f>22.9873 * CHOOSE( CONTROL!$C$15, $D$11, 100%, $F$11)</f>
        <v>22.987300000000001</v>
      </c>
      <c r="E678" s="12">
        <f>22.986 * CHOOSE( CONTROL!$C$15, $D$11, 100%, $F$11)</f>
        <v>22.986000000000001</v>
      </c>
      <c r="F678" s="4">
        <f>23.6513 * CHOOSE(CONTROL!$C$15, $D$11, 100%, $F$11)</f>
        <v>23.651299999999999</v>
      </c>
      <c r="G678" s="8">
        <f>22.6063 * CHOOSE( CONTROL!$C$15, $D$11, 100%, $F$11)</f>
        <v>22.606300000000001</v>
      </c>
      <c r="H678" s="4">
        <f>23.4973 * CHOOSE(CONTROL!$C$15, $D$11, 100%, $F$11)</f>
        <v>23.497299999999999</v>
      </c>
      <c r="I678" s="8">
        <f>22.3041 * CHOOSE(CONTROL!$C$15, $D$11, 100%, $F$11)</f>
        <v>22.304099999999998</v>
      </c>
      <c r="J678" s="4">
        <f>22.1954 * CHOOSE(CONTROL!$C$15, $D$11, 100%, $F$11)</f>
        <v>22.195399999999999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22.4878 * CHOOSE(CONTROL!$C$15, $D$11, 100%, $F$11)</f>
        <v>22.4878</v>
      </c>
      <c r="C679" s="8">
        <f>22.4982 * CHOOSE(CONTROL!$C$15, $D$11, 100%, $F$11)</f>
        <v>22.498200000000001</v>
      </c>
      <c r="D679" s="8">
        <f>22.4934 * CHOOSE( CONTROL!$C$15, $D$11, 100%, $F$11)</f>
        <v>22.493400000000001</v>
      </c>
      <c r="E679" s="12">
        <f>22.494 * CHOOSE( CONTROL!$C$15, $D$11, 100%, $F$11)</f>
        <v>22.494</v>
      </c>
      <c r="F679" s="4">
        <f>23.1653 * CHOOSE(CONTROL!$C$15, $D$11, 100%, $F$11)</f>
        <v>23.165299999999998</v>
      </c>
      <c r="G679" s="8">
        <f>22.1201 * CHOOSE( CONTROL!$C$15, $D$11, 100%, $F$11)</f>
        <v>22.120100000000001</v>
      </c>
      <c r="H679" s="4">
        <f>23.0192 * CHOOSE(CONTROL!$C$15, $D$11, 100%, $F$11)</f>
        <v>23.019200000000001</v>
      </c>
      <c r="I679" s="8">
        <f>21.8195 * CHOOSE(CONTROL!$C$15, $D$11, 100%, $F$11)</f>
        <v>21.819500000000001</v>
      </c>
      <c r="J679" s="4">
        <f>21.7229 * CHOOSE(CONTROL!$C$15, $D$11, 100%, $F$11)</f>
        <v>21.722899999999999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22.8292 * CHOOSE(CONTROL!$C$15, $D$11, 100%, $F$11)</f>
        <v>22.8292</v>
      </c>
      <c r="C680" s="8">
        <f>22.8396 * CHOOSE(CONTROL!$C$15, $D$11, 100%, $F$11)</f>
        <v>22.839600000000001</v>
      </c>
      <c r="D680" s="8">
        <f>22.8509 * CHOOSE( CONTROL!$C$15, $D$11, 100%, $F$11)</f>
        <v>22.850899999999999</v>
      </c>
      <c r="E680" s="12">
        <f>22.846 * CHOOSE( CONTROL!$C$15, $D$11, 100%, $F$11)</f>
        <v>22.846</v>
      </c>
      <c r="F680" s="4">
        <f>23.5093 * CHOOSE(CONTROL!$C$15, $D$11, 100%, $F$11)</f>
        <v>23.5093</v>
      </c>
      <c r="G680" s="8">
        <f>22.4366 * CHOOSE( CONTROL!$C$15, $D$11, 100%, $F$11)</f>
        <v>22.436599999999999</v>
      </c>
      <c r="H680" s="4">
        <f>23.3576 * CHOOSE(CONTROL!$C$15, $D$11, 100%, $F$11)</f>
        <v>23.357600000000001</v>
      </c>
      <c r="I680" s="8">
        <f>22.1422 * CHOOSE(CONTROL!$C$15, $D$11, 100%, $F$11)</f>
        <v>22.142199999999999</v>
      </c>
      <c r="J680" s="4">
        <f>22.053 * CHOOSE(CONTROL!$C$15, $D$11, 100%, $F$11)</f>
        <v>22.053000000000001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CONTROL!$C$32, 23.4403, 23.4368) * CHOOSE(CONTROL!$C$15, $D$11, 100%, $F$11)</f>
        <v>23.440300000000001</v>
      </c>
      <c r="C681" s="8">
        <f>CHOOSE( CONTROL!$C$32, 23.4506, 23.4472) * CHOOSE(CONTROL!$C$15, $D$11, 100%, $F$11)</f>
        <v>23.450600000000001</v>
      </c>
      <c r="D681" s="8">
        <f>CHOOSE( CONTROL!$C$32, 23.4615, 23.458) * CHOOSE( CONTROL!$C$15, $D$11, 100%, $F$11)</f>
        <v>23.461500000000001</v>
      </c>
      <c r="E681" s="12">
        <f>CHOOSE( CONTROL!$C$32, 23.456, 23.4525) * CHOOSE( CONTROL!$C$15, $D$11, 100%, $F$11)</f>
        <v>23.456</v>
      </c>
      <c r="F681" s="4">
        <f>CHOOSE( CONTROL!$C$32, 24.1204, 24.1169) * CHOOSE(CONTROL!$C$15, $D$11, 100%, $F$11)</f>
        <v>24.1204</v>
      </c>
      <c r="G681" s="8">
        <f>CHOOSE( CONTROL!$C$32, 23.039, 23.0356) * CHOOSE( CONTROL!$C$15, $D$11, 100%, $F$11)</f>
        <v>23.039000000000001</v>
      </c>
      <c r="H681" s="4">
        <f>CHOOSE( CONTROL!$C$32, 23.9588, 23.9554) * CHOOSE(CONTROL!$C$15, $D$11, 100%, $F$11)</f>
        <v>23.9588</v>
      </c>
      <c r="I681" s="8">
        <f>CHOOSE( CONTROL!$C$32, 22.735, 22.7317) * CHOOSE(CONTROL!$C$15, $D$11, 100%, $F$11)</f>
        <v>22.734999999999999</v>
      </c>
      <c r="J681" s="4">
        <f>CHOOSE( CONTROL!$C$32, 22.644, 22.6407) * CHOOSE(CONTROL!$C$15, $D$11, 100%, $F$11)</f>
        <v>22.643999999999998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CONTROL!$C$32, 23.0639, 23.0604) * CHOOSE(CONTROL!$C$15, $D$11, 100%, $F$11)</f>
        <v>23.0639</v>
      </c>
      <c r="C682" s="8">
        <f>CHOOSE( CONTROL!$C$32, 23.0743, 23.0708) * CHOOSE(CONTROL!$C$15, $D$11, 100%, $F$11)</f>
        <v>23.074300000000001</v>
      </c>
      <c r="D682" s="8">
        <f>CHOOSE( CONTROL!$C$32, 23.0854, 23.0819) * CHOOSE( CONTROL!$C$15, $D$11, 100%, $F$11)</f>
        <v>23.0854</v>
      </c>
      <c r="E682" s="12">
        <f>CHOOSE( CONTROL!$C$32, 23.0798, 23.0763) * CHOOSE( CONTROL!$C$15, $D$11, 100%, $F$11)</f>
        <v>23.079799999999999</v>
      </c>
      <c r="F682" s="4">
        <f>CHOOSE( CONTROL!$C$32, 23.744, 23.7405) * CHOOSE(CONTROL!$C$15, $D$11, 100%, $F$11)</f>
        <v>23.744</v>
      </c>
      <c r="G682" s="8">
        <f>CHOOSE( CONTROL!$C$32, 22.6692, 22.6657) * CHOOSE( CONTROL!$C$15, $D$11, 100%, $F$11)</f>
        <v>22.6692</v>
      </c>
      <c r="H682" s="4">
        <f>CHOOSE( CONTROL!$C$32, 23.5885, 23.5851) * CHOOSE(CONTROL!$C$15, $D$11, 100%, $F$11)</f>
        <v>23.5885</v>
      </c>
      <c r="I682" s="8">
        <f>CHOOSE( CONTROL!$C$32, 22.3722, 22.3688) * CHOOSE(CONTROL!$C$15, $D$11, 100%, $F$11)</f>
        <v>22.372199999999999</v>
      </c>
      <c r="J682" s="4">
        <f>CHOOSE( CONTROL!$C$32, 22.28, 22.2766) * CHOOSE(CONTROL!$C$15, $D$11, 100%, $F$11)</f>
        <v>22.28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CONTROL!$C$32, 24.0551, 24.0516) * CHOOSE(CONTROL!$C$15, $D$11, 100%, $F$11)</f>
        <v>24.055099999999999</v>
      </c>
      <c r="C683" s="8">
        <f>CHOOSE( CONTROL!$C$32, 24.0654, 24.062) * CHOOSE(CONTROL!$C$15, $D$11, 100%, $F$11)</f>
        <v>24.0654</v>
      </c>
      <c r="D683" s="8">
        <f>CHOOSE( CONTROL!$C$32, 24.0768, 24.0734) * CHOOSE( CONTROL!$C$15, $D$11, 100%, $F$11)</f>
        <v>24.076799999999999</v>
      </c>
      <c r="E683" s="12">
        <f>CHOOSE( CONTROL!$C$32, 24.0711, 24.0677) * CHOOSE( CONTROL!$C$15, $D$11, 100%, $F$11)</f>
        <v>24.071100000000001</v>
      </c>
      <c r="F683" s="4">
        <f>CHOOSE( CONTROL!$C$32, 24.7352, 24.7317) * CHOOSE(CONTROL!$C$15, $D$11, 100%, $F$11)</f>
        <v>24.735199999999999</v>
      </c>
      <c r="G683" s="8">
        <f>CHOOSE( CONTROL!$C$32, 23.6448, 23.6413) * CHOOSE( CONTROL!$C$15, $D$11, 100%, $F$11)</f>
        <v>23.6448</v>
      </c>
      <c r="H683" s="4">
        <f>CHOOSE( CONTROL!$C$32, 24.5636, 24.5602) * CHOOSE(CONTROL!$C$15, $D$11, 100%, $F$11)</f>
        <v>24.563600000000001</v>
      </c>
      <c r="I683" s="8">
        <f>CHOOSE( CONTROL!$C$32, 23.3327, 23.3293) * CHOOSE(CONTROL!$C$15, $D$11, 100%, $F$11)</f>
        <v>23.332699999999999</v>
      </c>
      <c r="J683" s="4">
        <f>CHOOSE( CONTROL!$C$32, 23.2386, 23.2352) * CHOOSE(CONTROL!$C$15, $D$11, 100%, $F$11)</f>
        <v>23.238600000000002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CONTROL!$C$32, 22.2005, 22.197) * CHOOSE(CONTROL!$C$15, $D$11, 100%, $F$11)</f>
        <v>22.200500000000002</v>
      </c>
      <c r="C684" s="8">
        <f>CHOOSE( CONTROL!$C$32, 22.2108, 22.2074) * CHOOSE(CONTROL!$C$15, $D$11, 100%, $F$11)</f>
        <v>22.210799999999999</v>
      </c>
      <c r="D684" s="8">
        <f>CHOOSE( CONTROL!$C$32, 22.2224, 22.2189) * CHOOSE( CONTROL!$C$15, $D$11, 100%, $F$11)</f>
        <v>22.2224</v>
      </c>
      <c r="E684" s="12">
        <f>CHOOSE( CONTROL!$C$32, 22.2166, 22.2131) * CHOOSE( CONTROL!$C$15, $D$11, 100%, $F$11)</f>
        <v>22.2166</v>
      </c>
      <c r="F684" s="4">
        <f>CHOOSE( CONTROL!$C$32, 22.8806, 22.8771) * CHOOSE(CONTROL!$C$15, $D$11, 100%, $F$11)</f>
        <v>22.880600000000001</v>
      </c>
      <c r="G684" s="8">
        <f>CHOOSE( CONTROL!$C$32, 21.8204, 21.8169) * CHOOSE( CONTROL!$C$15, $D$11, 100%, $F$11)</f>
        <v>21.820399999999999</v>
      </c>
      <c r="H684" s="4">
        <f>CHOOSE( CONTROL!$C$32, 22.739, 22.7356) * CHOOSE(CONTROL!$C$15, $D$11, 100%, $F$11)</f>
        <v>22.739000000000001</v>
      </c>
      <c r="I684" s="8">
        <f>CHOOSE( CONTROL!$C$32, 21.5389, 21.5355) * CHOOSE(CONTROL!$C$15, $D$11, 100%, $F$11)</f>
        <v>21.538900000000002</v>
      </c>
      <c r="J684" s="4">
        <f>CHOOSE( CONTROL!$C$32, 21.445, 21.4416) * CHOOSE(CONTROL!$C$15, $D$11, 100%, $F$11)</f>
        <v>21.445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CONTROL!$C$32, 21.7361, 21.7326) * CHOOSE(CONTROL!$C$15, $D$11, 100%, $F$11)</f>
        <v>21.7361</v>
      </c>
      <c r="C685" s="8">
        <f>CHOOSE( CONTROL!$C$32, 21.7464, 21.7429) * CHOOSE(CONTROL!$C$15, $D$11, 100%, $F$11)</f>
        <v>21.746400000000001</v>
      </c>
      <c r="D685" s="8">
        <f>CHOOSE( CONTROL!$C$32, 21.758, 21.7545) * CHOOSE( CONTROL!$C$15, $D$11, 100%, $F$11)</f>
        <v>21.757999999999999</v>
      </c>
      <c r="E685" s="12">
        <f>CHOOSE( CONTROL!$C$32, 21.7522, 21.7487) * CHOOSE( CONTROL!$C$15, $D$11, 100%, $F$11)</f>
        <v>21.752199999999998</v>
      </c>
      <c r="F685" s="4">
        <f>CHOOSE( CONTROL!$C$32, 22.4162, 22.4127) * CHOOSE(CONTROL!$C$15, $D$11, 100%, $F$11)</f>
        <v>22.4162</v>
      </c>
      <c r="G685" s="8">
        <f>CHOOSE( CONTROL!$C$32, 21.3635, 21.3601) * CHOOSE( CONTROL!$C$15, $D$11, 100%, $F$11)</f>
        <v>21.363499999999998</v>
      </c>
      <c r="H685" s="4">
        <f>CHOOSE( CONTROL!$C$32, 22.2821, 22.2787) * CHOOSE(CONTROL!$C$15, $D$11, 100%, $F$11)</f>
        <v>22.2821</v>
      </c>
      <c r="I685" s="8">
        <f>CHOOSE( CONTROL!$C$32, 21.0897, 21.0863) * CHOOSE(CONTROL!$C$15, $D$11, 100%, $F$11)</f>
        <v>21.089700000000001</v>
      </c>
      <c r="J685" s="4">
        <f>CHOOSE( CONTROL!$C$32, 20.9958, 20.9925) * CHOOSE(CONTROL!$C$15, $D$11, 100%, $F$11)</f>
        <v>20.995799999999999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22.6969 * CHOOSE(CONTROL!$C$15, $D$11, 100%, $F$11)</f>
        <v>22.696899999999999</v>
      </c>
      <c r="C686" s="8">
        <f>22.7072 * CHOOSE(CONTROL!$C$15, $D$11, 100%, $F$11)</f>
        <v>22.7072</v>
      </c>
      <c r="D686" s="8">
        <f>22.7198 * CHOOSE( CONTROL!$C$15, $D$11, 100%, $F$11)</f>
        <v>22.719799999999999</v>
      </c>
      <c r="E686" s="12">
        <f>22.7145 * CHOOSE( CONTROL!$C$15, $D$11, 100%, $F$11)</f>
        <v>22.714500000000001</v>
      </c>
      <c r="F686" s="4">
        <f>23.377 * CHOOSE(CONTROL!$C$15, $D$11, 100%, $F$11)</f>
        <v>23.376999999999999</v>
      </c>
      <c r="G686" s="8">
        <f>22.3083 * CHOOSE( CONTROL!$C$15, $D$11, 100%, $F$11)</f>
        <v>22.308299999999999</v>
      </c>
      <c r="H686" s="4">
        <f>23.2274 * CHOOSE(CONTROL!$C$15, $D$11, 100%, $F$11)</f>
        <v>23.227399999999999</v>
      </c>
      <c r="I686" s="8">
        <f>22.0202 * CHOOSE(CONTROL!$C$15, $D$11, 100%, $F$11)</f>
        <v>22.020199999999999</v>
      </c>
      <c r="J686" s="4">
        <f>21.925 * CHOOSE(CONTROL!$C$15, $D$11, 100%, $F$11)</f>
        <v>21.925000000000001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24.4768 * CHOOSE(CONTROL!$C$15, $D$11, 100%, $F$11)</f>
        <v>24.476800000000001</v>
      </c>
      <c r="C687" s="8">
        <f>24.4871 * CHOOSE(CONTROL!$C$15, $D$11, 100%, $F$11)</f>
        <v>24.487100000000002</v>
      </c>
      <c r="D687" s="8">
        <f>24.472 * CHOOSE( CONTROL!$C$15, $D$11, 100%, $F$11)</f>
        <v>24.472000000000001</v>
      </c>
      <c r="E687" s="12">
        <f>24.4764 * CHOOSE( CONTROL!$C$15, $D$11, 100%, $F$11)</f>
        <v>24.476400000000002</v>
      </c>
      <c r="F687" s="4">
        <f>25.131 * CHOOSE(CONTROL!$C$15, $D$11, 100%, $F$11)</f>
        <v>25.131</v>
      </c>
      <c r="G687" s="8">
        <f>24.0688 * CHOOSE( CONTROL!$C$15, $D$11, 100%, $F$11)</f>
        <v>24.0688</v>
      </c>
      <c r="H687" s="4">
        <f>24.953 * CHOOSE(CONTROL!$C$15, $D$11, 100%, $F$11)</f>
        <v>24.952999999999999</v>
      </c>
      <c r="I687" s="8">
        <f>23.7627 * CHOOSE(CONTROL!$C$15, $D$11, 100%, $F$11)</f>
        <v>23.762699999999999</v>
      </c>
      <c r="J687" s="4">
        <f>23.6464 * CHOOSE(CONTROL!$C$15, $D$11, 100%, $F$11)</f>
        <v>23.6464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24.4323 * CHOOSE(CONTROL!$C$15, $D$11, 100%, $F$11)</f>
        <v>24.432300000000001</v>
      </c>
      <c r="C688" s="8">
        <f>24.4426 * CHOOSE(CONTROL!$C$15, $D$11, 100%, $F$11)</f>
        <v>24.442599999999999</v>
      </c>
      <c r="D688" s="8">
        <f>24.4292 * CHOOSE( CONTROL!$C$15, $D$11, 100%, $F$11)</f>
        <v>24.429200000000002</v>
      </c>
      <c r="E688" s="12">
        <f>24.433 * CHOOSE( CONTROL!$C$15, $D$11, 100%, $F$11)</f>
        <v>24.433</v>
      </c>
      <c r="F688" s="4">
        <f>25.0865 * CHOOSE(CONTROL!$C$15, $D$11, 100%, $F$11)</f>
        <v>25.086500000000001</v>
      </c>
      <c r="G688" s="8">
        <f>24.0263 * CHOOSE( CONTROL!$C$15, $D$11, 100%, $F$11)</f>
        <v>24.026299999999999</v>
      </c>
      <c r="H688" s="4">
        <f>24.9093 * CHOOSE(CONTROL!$C$15, $D$11, 100%, $F$11)</f>
        <v>24.909300000000002</v>
      </c>
      <c r="I688" s="8">
        <f>23.725 * CHOOSE(CONTROL!$C$15, $D$11, 100%, $F$11)</f>
        <v>23.725000000000001</v>
      </c>
      <c r="J688" s="4">
        <f>23.6034 * CHOOSE(CONTROL!$C$15, $D$11, 100%, $F$11)</f>
        <v>23.603400000000001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25.3651 * CHOOSE(CONTROL!$C$15, $D$11, 100%, $F$11)</f>
        <v>25.365100000000002</v>
      </c>
      <c r="C689" s="8">
        <f>25.3754 * CHOOSE(CONTROL!$C$15, $D$11, 100%, $F$11)</f>
        <v>25.375399999999999</v>
      </c>
      <c r="D689" s="8">
        <f>25.3739 * CHOOSE( CONTROL!$C$15, $D$11, 100%, $F$11)</f>
        <v>25.373899999999999</v>
      </c>
      <c r="E689" s="12">
        <f>25.3734 * CHOOSE( CONTROL!$C$15, $D$11, 100%, $F$11)</f>
        <v>25.3734</v>
      </c>
      <c r="F689" s="4">
        <f>26.0478 * CHOOSE(CONTROL!$C$15, $D$11, 100%, $F$11)</f>
        <v>26.047799999999999</v>
      </c>
      <c r="G689" s="8">
        <f>24.9565 * CHOOSE( CONTROL!$C$15, $D$11, 100%, $F$11)</f>
        <v>24.956499999999998</v>
      </c>
      <c r="H689" s="4">
        <f>25.855 * CHOOSE(CONTROL!$C$15, $D$11, 100%, $F$11)</f>
        <v>25.855</v>
      </c>
      <c r="I689" s="8">
        <f>24.6263 * CHOOSE(CONTROL!$C$15, $D$11, 100%, $F$11)</f>
        <v>24.626300000000001</v>
      </c>
      <c r="J689" s="4">
        <f>24.5055 * CHOOSE(CONTROL!$C$15, $D$11, 100%, $F$11)</f>
        <v>24.505500000000001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23.727 * CHOOSE(CONTROL!$C$15, $D$11, 100%, $F$11)</f>
        <v>23.727</v>
      </c>
      <c r="C690" s="8">
        <f>23.7373 * CHOOSE(CONTROL!$C$15, $D$11, 100%, $F$11)</f>
        <v>23.737300000000001</v>
      </c>
      <c r="D690" s="8">
        <f>23.7378 * CHOOSE( CONTROL!$C$15, $D$11, 100%, $F$11)</f>
        <v>23.7378</v>
      </c>
      <c r="E690" s="12">
        <f>23.7365 * CHOOSE( CONTROL!$C$15, $D$11, 100%, $F$11)</f>
        <v>23.736499999999999</v>
      </c>
      <c r="F690" s="4">
        <f>24.4019 * CHOOSE(CONTROL!$C$15, $D$11, 100%, $F$11)</f>
        <v>24.401900000000001</v>
      </c>
      <c r="G690" s="8">
        <f>23.3447 * CHOOSE( CONTROL!$C$15, $D$11, 100%, $F$11)</f>
        <v>23.3447</v>
      </c>
      <c r="H690" s="4">
        <f>24.2357 * CHOOSE(CONTROL!$C$15, $D$11, 100%, $F$11)</f>
        <v>24.235700000000001</v>
      </c>
      <c r="I690" s="8">
        <f>23.0303 * CHOOSE(CONTROL!$C$15, $D$11, 100%, $F$11)</f>
        <v>23.0303</v>
      </c>
      <c r="J690" s="4">
        <f>22.9212 * CHOOSE(CONTROL!$C$15, $D$11, 100%, $F$11)</f>
        <v>22.921199999999999</v>
      </c>
      <c r="K690" s="4"/>
      <c r="L690" s="9">
        <v>27.415299999999998</v>
      </c>
      <c r="M690" s="9">
        <v>11.285299999999999</v>
      </c>
      <c r="N690" s="9">
        <v>4.6254999999999997</v>
      </c>
      <c r="O690" s="9">
        <v>0.34989999999999999</v>
      </c>
      <c r="P690" s="9">
        <v>1.2093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23.2224 * CHOOSE(CONTROL!$C$15, $D$11, 100%, $F$11)</f>
        <v>23.2224</v>
      </c>
      <c r="C691" s="8">
        <f>23.2328 * CHOOSE(CONTROL!$C$15, $D$11, 100%, $F$11)</f>
        <v>23.232800000000001</v>
      </c>
      <c r="D691" s="8">
        <f>23.228 * CHOOSE( CONTROL!$C$15, $D$11, 100%, $F$11)</f>
        <v>23.228000000000002</v>
      </c>
      <c r="E691" s="12">
        <f>23.2286 * CHOOSE( CONTROL!$C$15, $D$11, 100%, $F$11)</f>
        <v>23.2286</v>
      </c>
      <c r="F691" s="4">
        <f>23.8999 * CHOOSE(CONTROL!$C$15, $D$11, 100%, $F$11)</f>
        <v>23.899899999999999</v>
      </c>
      <c r="G691" s="8">
        <f>22.8428 * CHOOSE( CONTROL!$C$15, $D$11, 100%, $F$11)</f>
        <v>22.8428</v>
      </c>
      <c r="H691" s="4">
        <f>23.7419 * CHOOSE(CONTROL!$C$15, $D$11, 100%, $F$11)</f>
        <v>23.741900000000001</v>
      </c>
      <c r="I691" s="8">
        <f>22.5303 * CHOOSE(CONTROL!$C$15, $D$11, 100%, $F$11)</f>
        <v>22.5303</v>
      </c>
      <c r="J691" s="4">
        <f>22.4333 * CHOOSE(CONTROL!$C$15, $D$11, 100%, $F$11)</f>
        <v>22.433299999999999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23.575 * CHOOSE(CONTROL!$C$15, $D$11, 100%, $F$11)</f>
        <v>23.574999999999999</v>
      </c>
      <c r="C692" s="8">
        <f>23.5853 * CHOOSE(CONTROL!$C$15, $D$11, 100%, $F$11)</f>
        <v>23.5853</v>
      </c>
      <c r="D692" s="8">
        <f>23.5966 * CHOOSE( CONTROL!$C$15, $D$11, 100%, $F$11)</f>
        <v>23.596599999999999</v>
      </c>
      <c r="E692" s="12">
        <f>23.5917 * CHOOSE( CONTROL!$C$15, $D$11, 100%, $F$11)</f>
        <v>23.591699999999999</v>
      </c>
      <c r="F692" s="4">
        <f>24.2551 * CHOOSE(CONTROL!$C$15, $D$11, 100%, $F$11)</f>
        <v>24.255099999999999</v>
      </c>
      <c r="G692" s="8">
        <f>23.1703 * CHOOSE( CONTROL!$C$15, $D$11, 100%, $F$11)</f>
        <v>23.170300000000001</v>
      </c>
      <c r="H692" s="4">
        <f>24.0913 * CHOOSE(CONTROL!$C$15, $D$11, 100%, $F$11)</f>
        <v>24.0913</v>
      </c>
      <c r="I692" s="8">
        <f>22.8638 * CHOOSE(CONTROL!$C$15, $D$11, 100%, $F$11)</f>
        <v>22.863800000000001</v>
      </c>
      <c r="J692" s="4">
        <f>22.7743 * CHOOSE(CONTROL!$C$15, $D$11, 100%, $F$11)</f>
        <v>22.7743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CONTROL!$C$32, 24.2059, 24.2025) * CHOOSE(CONTROL!$C$15, $D$11, 100%, $F$11)</f>
        <v>24.2059</v>
      </c>
      <c r="C693" s="8">
        <f>CHOOSE( CONTROL!$C$32, 24.2163, 24.2128) * CHOOSE(CONTROL!$C$15, $D$11, 100%, $F$11)</f>
        <v>24.2163</v>
      </c>
      <c r="D693" s="8">
        <f>CHOOSE( CONTROL!$C$32, 24.2271, 24.2236) * CHOOSE( CONTROL!$C$15, $D$11, 100%, $F$11)</f>
        <v>24.2271</v>
      </c>
      <c r="E693" s="12">
        <f>CHOOSE( CONTROL!$C$32, 24.2216, 24.2181) * CHOOSE( CONTROL!$C$15, $D$11, 100%, $F$11)</f>
        <v>24.221599999999999</v>
      </c>
      <c r="F693" s="4">
        <f>CHOOSE( CONTROL!$C$32, 24.886, 24.8826) * CHOOSE(CONTROL!$C$15, $D$11, 100%, $F$11)</f>
        <v>24.885999999999999</v>
      </c>
      <c r="G693" s="8">
        <f>CHOOSE( CONTROL!$C$32, 23.7923, 23.7889) * CHOOSE( CONTROL!$C$15, $D$11, 100%, $F$11)</f>
        <v>23.792300000000001</v>
      </c>
      <c r="H693" s="4">
        <f>CHOOSE( CONTROL!$C$32, 24.712, 24.7086) * CHOOSE(CONTROL!$C$15, $D$11, 100%, $F$11)</f>
        <v>24.712</v>
      </c>
      <c r="I693" s="8">
        <f>CHOOSE( CONTROL!$C$32, 23.4758, 23.4725) * CHOOSE(CONTROL!$C$15, $D$11, 100%, $F$11)</f>
        <v>23.4758</v>
      </c>
      <c r="J693" s="4">
        <f>CHOOSE( CONTROL!$C$32, 23.3844, 23.3811) * CHOOSE(CONTROL!$C$15, $D$11, 100%, $F$11)</f>
        <v>23.384399999999999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CONTROL!$C$32, 23.8172, 23.8138) * CHOOSE(CONTROL!$C$15, $D$11, 100%, $F$11)</f>
        <v>23.8172</v>
      </c>
      <c r="C694" s="8">
        <f>CHOOSE( CONTROL!$C$32, 23.8276, 23.8241) * CHOOSE(CONTROL!$C$15, $D$11, 100%, $F$11)</f>
        <v>23.8276</v>
      </c>
      <c r="D694" s="8">
        <f>CHOOSE( CONTROL!$C$32, 23.8387, 23.8352) * CHOOSE( CONTROL!$C$15, $D$11, 100%, $F$11)</f>
        <v>23.838699999999999</v>
      </c>
      <c r="E694" s="12">
        <f>CHOOSE( CONTROL!$C$32, 23.8331, 23.8296) * CHOOSE( CONTROL!$C$15, $D$11, 100%, $F$11)</f>
        <v>23.833100000000002</v>
      </c>
      <c r="F694" s="4">
        <f>CHOOSE( CONTROL!$C$32, 24.4973, 24.4939) * CHOOSE(CONTROL!$C$15, $D$11, 100%, $F$11)</f>
        <v>24.497299999999999</v>
      </c>
      <c r="G694" s="8">
        <f>CHOOSE( CONTROL!$C$32, 23.4103, 23.4069) * CHOOSE( CONTROL!$C$15, $D$11, 100%, $F$11)</f>
        <v>23.410299999999999</v>
      </c>
      <c r="H694" s="4">
        <f>CHOOSE( CONTROL!$C$32, 24.3296, 24.3262) * CHOOSE(CONTROL!$C$15, $D$11, 100%, $F$11)</f>
        <v>24.329599999999999</v>
      </c>
      <c r="I694" s="8">
        <f>CHOOSE( CONTROL!$C$32, 23.1011, 23.0977) * CHOOSE(CONTROL!$C$15, $D$11, 100%, $F$11)</f>
        <v>23.101099999999999</v>
      </c>
      <c r="J694" s="4">
        <f>CHOOSE( CONTROL!$C$32, 23.0085, 23.0052) * CHOOSE(CONTROL!$C$15, $D$11, 100%, $F$11)</f>
        <v>23.008500000000002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CONTROL!$C$32, 24.8408, 24.8373) * CHOOSE(CONTROL!$C$15, $D$11, 100%, $F$11)</f>
        <v>24.840800000000002</v>
      </c>
      <c r="C695" s="8">
        <f>CHOOSE( CONTROL!$C$32, 24.8512, 24.8477) * CHOOSE(CONTROL!$C$15, $D$11, 100%, $F$11)</f>
        <v>24.851199999999999</v>
      </c>
      <c r="D695" s="8">
        <f>CHOOSE( CONTROL!$C$32, 24.8626, 24.8591) * CHOOSE( CONTROL!$C$15, $D$11, 100%, $F$11)</f>
        <v>24.8626</v>
      </c>
      <c r="E695" s="12">
        <f>CHOOSE( CONTROL!$C$32, 24.8569, 24.8534) * CHOOSE( CONTROL!$C$15, $D$11, 100%, $F$11)</f>
        <v>24.8569</v>
      </c>
      <c r="F695" s="4">
        <f>CHOOSE( CONTROL!$C$32, 25.5209, 25.5175) * CHOOSE(CONTROL!$C$15, $D$11, 100%, $F$11)</f>
        <v>25.520900000000001</v>
      </c>
      <c r="G695" s="8">
        <f>CHOOSE( CONTROL!$C$32, 24.4178, 24.4144) * CHOOSE( CONTROL!$C$15, $D$11, 100%, $F$11)</f>
        <v>24.4178</v>
      </c>
      <c r="H695" s="4">
        <f>CHOOSE( CONTROL!$C$32, 25.3366, 25.3332) * CHOOSE(CONTROL!$C$15, $D$11, 100%, $F$11)</f>
        <v>25.336600000000001</v>
      </c>
      <c r="I695" s="8">
        <f>CHOOSE( CONTROL!$C$32, 24.0929, 24.0896) * CHOOSE(CONTROL!$C$15, $D$11, 100%, $F$11)</f>
        <v>24.0929</v>
      </c>
      <c r="J695" s="4">
        <f>CHOOSE( CONTROL!$C$32, 23.9985, 23.9951) * CHOOSE(CONTROL!$C$15, $D$11, 100%, $F$11)</f>
        <v>23.9985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CONTROL!$C$32, 22.9256, 22.9221) * CHOOSE(CONTROL!$C$15, $D$11, 100%, $F$11)</f>
        <v>22.925599999999999</v>
      </c>
      <c r="C696" s="8">
        <f>CHOOSE( CONTROL!$C$32, 22.9359, 22.9324) * CHOOSE(CONTROL!$C$15, $D$11, 100%, $F$11)</f>
        <v>22.9359</v>
      </c>
      <c r="D696" s="8">
        <f>CHOOSE( CONTROL!$C$32, 22.9474, 22.944) * CHOOSE( CONTROL!$C$15, $D$11, 100%, $F$11)</f>
        <v>22.947399999999998</v>
      </c>
      <c r="E696" s="12">
        <f>CHOOSE( CONTROL!$C$32, 22.9417, 22.9382) * CHOOSE( CONTROL!$C$15, $D$11, 100%, $F$11)</f>
        <v>22.941700000000001</v>
      </c>
      <c r="F696" s="4">
        <f>CHOOSE( CONTROL!$C$32, 23.6057, 23.6022) * CHOOSE(CONTROL!$C$15, $D$11, 100%, $F$11)</f>
        <v>23.605699999999999</v>
      </c>
      <c r="G696" s="8">
        <f>CHOOSE( CONTROL!$C$32, 22.5337, 22.5303) * CHOOSE( CONTROL!$C$15, $D$11, 100%, $F$11)</f>
        <v>22.5337</v>
      </c>
      <c r="H696" s="4">
        <f>CHOOSE( CONTROL!$C$32, 23.4524, 23.4489) * CHOOSE(CONTROL!$C$15, $D$11, 100%, $F$11)</f>
        <v>23.452400000000001</v>
      </c>
      <c r="I696" s="8">
        <f>CHOOSE( CONTROL!$C$32, 22.2404, 22.2371) * CHOOSE(CONTROL!$C$15, $D$11, 100%, $F$11)</f>
        <v>22.240400000000001</v>
      </c>
      <c r="J696" s="4">
        <f>CHOOSE( CONTROL!$C$32, 22.1462, 22.1428) * CHOOSE(CONTROL!$C$15, $D$11, 100%, $F$11)</f>
        <v>22.1462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CONTROL!$C$32, 22.446, 22.4425) * CHOOSE(CONTROL!$C$15, $D$11, 100%, $F$11)</f>
        <v>22.446000000000002</v>
      </c>
      <c r="C697" s="8">
        <f>CHOOSE( CONTROL!$C$32, 22.4563, 22.4528) * CHOOSE(CONTROL!$C$15, $D$11, 100%, $F$11)</f>
        <v>22.456299999999999</v>
      </c>
      <c r="D697" s="8">
        <f>CHOOSE( CONTROL!$C$32, 22.4679, 22.4644) * CHOOSE( CONTROL!$C$15, $D$11, 100%, $F$11)</f>
        <v>22.4679</v>
      </c>
      <c r="E697" s="12">
        <f>CHOOSE( CONTROL!$C$32, 22.4621, 22.4586) * CHOOSE( CONTROL!$C$15, $D$11, 100%, $F$11)</f>
        <v>22.4621</v>
      </c>
      <c r="F697" s="4">
        <f>CHOOSE( CONTROL!$C$32, 23.1261, 23.1226) * CHOOSE(CONTROL!$C$15, $D$11, 100%, $F$11)</f>
        <v>23.126100000000001</v>
      </c>
      <c r="G697" s="8">
        <f>CHOOSE( CONTROL!$C$32, 22.0619, 22.0585) * CHOOSE( CONTROL!$C$15, $D$11, 100%, $F$11)</f>
        <v>22.061900000000001</v>
      </c>
      <c r="H697" s="4">
        <f>CHOOSE( CONTROL!$C$32, 22.9805, 22.9771) * CHOOSE(CONTROL!$C$15, $D$11, 100%, $F$11)</f>
        <v>22.980499999999999</v>
      </c>
      <c r="I697" s="8">
        <f>CHOOSE( CONTROL!$C$32, 21.7766, 21.7732) * CHOOSE(CONTROL!$C$15, $D$11, 100%, $F$11)</f>
        <v>21.776599999999998</v>
      </c>
      <c r="J697" s="4">
        <f>CHOOSE( CONTROL!$C$32, 21.6824, 21.679) * CHOOSE(CONTROL!$C$15, $D$11, 100%, $F$11)</f>
        <v>21.682400000000001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23.4383 * CHOOSE(CONTROL!$C$15, $D$11, 100%, $F$11)</f>
        <v>23.438300000000002</v>
      </c>
      <c r="C698" s="8">
        <f>23.4486 * CHOOSE(CONTROL!$C$15, $D$11, 100%, $F$11)</f>
        <v>23.448599999999999</v>
      </c>
      <c r="D698" s="8">
        <f>23.4612 * CHOOSE( CONTROL!$C$15, $D$11, 100%, $F$11)</f>
        <v>23.461200000000002</v>
      </c>
      <c r="E698" s="12">
        <f>23.4559 * CHOOSE( CONTROL!$C$15, $D$11, 100%, $F$11)</f>
        <v>23.4559</v>
      </c>
      <c r="F698" s="4">
        <f>24.1184 * CHOOSE(CONTROL!$C$15, $D$11, 100%, $F$11)</f>
        <v>24.118400000000001</v>
      </c>
      <c r="G698" s="8">
        <f>23.0378 * CHOOSE( CONTROL!$C$15, $D$11, 100%, $F$11)</f>
        <v>23.037800000000001</v>
      </c>
      <c r="H698" s="4">
        <f>23.9568 * CHOOSE(CONTROL!$C$15, $D$11, 100%, $F$11)</f>
        <v>23.956800000000001</v>
      </c>
      <c r="I698" s="8">
        <f>22.7376 * CHOOSE(CONTROL!$C$15, $D$11, 100%, $F$11)</f>
        <v>22.7376</v>
      </c>
      <c r="J698" s="4">
        <f>22.6421 * CHOOSE(CONTROL!$C$15, $D$11, 100%, $F$11)</f>
        <v>22.642099999999999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25.2764 * CHOOSE(CONTROL!$C$15, $D$11, 100%, $F$11)</f>
        <v>25.276399999999999</v>
      </c>
      <c r="C699" s="8">
        <f>25.2867 * CHOOSE(CONTROL!$C$15, $D$11, 100%, $F$11)</f>
        <v>25.2867</v>
      </c>
      <c r="D699" s="8">
        <f>25.2717 * CHOOSE( CONTROL!$C$15, $D$11, 100%, $F$11)</f>
        <v>25.271699999999999</v>
      </c>
      <c r="E699" s="12">
        <f>25.2761 * CHOOSE( CONTROL!$C$15, $D$11, 100%, $F$11)</f>
        <v>25.2761</v>
      </c>
      <c r="F699" s="4">
        <f>25.9306 * CHOOSE(CONTROL!$C$15, $D$11, 100%, $F$11)</f>
        <v>25.930599999999998</v>
      </c>
      <c r="G699" s="8">
        <f>24.8555 * CHOOSE( CONTROL!$C$15, $D$11, 100%, $F$11)</f>
        <v>24.855499999999999</v>
      </c>
      <c r="H699" s="4">
        <f>25.7397 * CHOOSE(CONTROL!$C$15, $D$11, 100%, $F$11)</f>
        <v>25.739699999999999</v>
      </c>
      <c r="I699" s="8">
        <f>24.5364 * CHOOSE(CONTROL!$C$15, $D$11, 100%, $F$11)</f>
        <v>24.5364</v>
      </c>
      <c r="J699" s="4">
        <f>24.4197 * CHOOSE(CONTROL!$C$15, $D$11, 100%, $F$11)</f>
        <v>24.419699999999999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25.2305 * CHOOSE(CONTROL!$C$15, $D$11, 100%, $F$11)</f>
        <v>25.230499999999999</v>
      </c>
      <c r="C700" s="8">
        <f>25.2408 * CHOOSE(CONTROL!$C$15, $D$11, 100%, $F$11)</f>
        <v>25.2408</v>
      </c>
      <c r="D700" s="8">
        <f>25.2274 * CHOOSE( CONTROL!$C$15, $D$11, 100%, $F$11)</f>
        <v>25.227399999999999</v>
      </c>
      <c r="E700" s="12">
        <f>25.2312 * CHOOSE( CONTROL!$C$15, $D$11, 100%, $F$11)</f>
        <v>25.231200000000001</v>
      </c>
      <c r="F700" s="4">
        <f>25.8847 * CHOOSE(CONTROL!$C$15, $D$11, 100%, $F$11)</f>
        <v>25.884699999999999</v>
      </c>
      <c r="G700" s="8">
        <f>24.8116 * CHOOSE( CONTROL!$C$15, $D$11, 100%, $F$11)</f>
        <v>24.811599999999999</v>
      </c>
      <c r="H700" s="4">
        <f>25.6945 * CHOOSE(CONTROL!$C$15, $D$11, 100%, $F$11)</f>
        <v>25.694500000000001</v>
      </c>
      <c r="I700" s="8">
        <f>24.4973 * CHOOSE(CONTROL!$C$15, $D$11, 100%, $F$11)</f>
        <v>24.497299999999999</v>
      </c>
      <c r="J700" s="4">
        <f>24.3753 * CHOOSE(CONTROL!$C$15, $D$11, 100%, $F$11)</f>
        <v>24.375299999999999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26.1938 * CHOOSE(CONTROL!$C$15, $D$11, 100%, $F$11)</f>
        <v>26.1938</v>
      </c>
      <c r="C701" s="8">
        <f>26.2041 * CHOOSE(CONTROL!$C$15, $D$11, 100%, $F$11)</f>
        <v>26.2041</v>
      </c>
      <c r="D701" s="8">
        <f>26.2025 * CHOOSE( CONTROL!$C$15, $D$11, 100%, $F$11)</f>
        <v>26.202500000000001</v>
      </c>
      <c r="E701" s="12">
        <f>26.202 * CHOOSE( CONTROL!$C$15, $D$11, 100%, $F$11)</f>
        <v>26.202000000000002</v>
      </c>
      <c r="F701" s="4">
        <f>26.8765 * CHOOSE(CONTROL!$C$15, $D$11, 100%, $F$11)</f>
        <v>26.8765</v>
      </c>
      <c r="G701" s="8">
        <f>25.7718 * CHOOSE( CONTROL!$C$15, $D$11, 100%, $F$11)</f>
        <v>25.771799999999999</v>
      </c>
      <c r="H701" s="4">
        <f>26.6702 * CHOOSE(CONTROL!$C$15, $D$11, 100%, $F$11)</f>
        <v>26.670200000000001</v>
      </c>
      <c r="I701" s="8">
        <f>25.4281 * CHOOSE(CONTROL!$C$15, $D$11, 100%, $F$11)</f>
        <v>25.428100000000001</v>
      </c>
      <c r="J701" s="4">
        <f>25.3069 * CHOOSE(CONTROL!$C$15, $D$11, 100%, $F$11)</f>
        <v>25.306899999999999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24.5021 * CHOOSE(CONTROL!$C$15, $D$11, 100%, $F$11)</f>
        <v>24.502099999999999</v>
      </c>
      <c r="C702" s="8">
        <f>24.5124 * CHOOSE(CONTROL!$C$15, $D$11, 100%, $F$11)</f>
        <v>24.5124</v>
      </c>
      <c r="D702" s="8">
        <f>24.5129 * CHOOSE( CONTROL!$C$15, $D$11, 100%, $F$11)</f>
        <v>24.512899999999998</v>
      </c>
      <c r="E702" s="12">
        <f>24.5116 * CHOOSE( CONTROL!$C$15, $D$11, 100%, $F$11)</f>
        <v>24.511600000000001</v>
      </c>
      <c r="F702" s="4">
        <f>25.177 * CHOOSE(CONTROL!$C$15, $D$11, 100%, $F$11)</f>
        <v>25.177</v>
      </c>
      <c r="G702" s="8">
        <f>24.1072 * CHOOSE( CONTROL!$C$15, $D$11, 100%, $F$11)</f>
        <v>24.107199999999999</v>
      </c>
      <c r="H702" s="4">
        <f>24.9983 * CHOOSE(CONTROL!$C$15, $D$11, 100%, $F$11)</f>
        <v>24.9983</v>
      </c>
      <c r="I702" s="8">
        <f>23.7803 * CHOOSE(CONTROL!$C$15, $D$11, 100%, $F$11)</f>
        <v>23.7803</v>
      </c>
      <c r="J702" s="4">
        <f>23.6708 * CHOOSE(CONTROL!$C$15, $D$11, 100%, $F$11)</f>
        <v>23.6708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23.981 * CHOOSE(CONTROL!$C$15, $D$11, 100%, $F$11)</f>
        <v>23.981000000000002</v>
      </c>
      <c r="C703" s="8">
        <f>23.9914 * CHOOSE(CONTROL!$C$15, $D$11, 100%, $F$11)</f>
        <v>23.991399999999999</v>
      </c>
      <c r="D703" s="8">
        <f>23.9866 * CHOOSE( CONTROL!$C$15, $D$11, 100%, $F$11)</f>
        <v>23.986599999999999</v>
      </c>
      <c r="E703" s="12">
        <f>23.9872 * CHOOSE( CONTROL!$C$15, $D$11, 100%, $F$11)</f>
        <v>23.987200000000001</v>
      </c>
      <c r="F703" s="4">
        <f>24.6585 * CHOOSE(CONTROL!$C$15, $D$11, 100%, $F$11)</f>
        <v>24.6585</v>
      </c>
      <c r="G703" s="8">
        <f>23.5892 * CHOOSE( CONTROL!$C$15, $D$11, 100%, $F$11)</f>
        <v>23.589200000000002</v>
      </c>
      <c r="H703" s="4">
        <f>24.4882 * CHOOSE(CONTROL!$C$15, $D$11, 100%, $F$11)</f>
        <v>24.488199999999999</v>
      </c>
      <c r="I703" s="8">
        <f>23.2643 * CHOOSE(CONTROL!$C$15, $D$11, 100%, $F$11)</f>
        <v>23.264299999999999</v>
      </c>
      <c r="J703" s="4">
        <f>23.1669 * CHOOSE(CONTROL!$C$15, $D$11, 100%, $F$11)</f>
        <v>23.166899999999998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24.3451 * CHOOSE(CONTROL!$C$15, $D$11, 100%, $F$11)</f>
        <v>24.345099999999999</v>
      </c>
      <c r="C704" s="8">
        <f>24.3555 * CHOOSE(CONTROL!$C$15, $D$11, 100%, $F$11)</f>
        <v>24.355499999999999</v>
      </c>
      <c r="D704" s="8">
        <f>24.3667 * CHOOSE( CONTROL!$C$15, $D$11, 100%, $F$11)</f>
        <v>24.366700000000002</v>
      </c>
      <c r="E704" s="12">
        <f>24.3618 * CHOOSE( CONTROL!$C$15, $D$11, 100%, $F$11)</f>
        <v>24.361799999999999</v>
      </c>
      <c r="F704" s="4">
        <f>25.0252 * CHOOSE(CONTROL!$C$15, $D$11, 100%, $F$11)</f>
        <v>25.025200000000002</v>
      </c>
      <c r="G704" s="8">
        <f>23.928 * CHOOSE( CONTROL!$C$15, $D$11, 100%, $F$11)</f>
        <v>23.928000000000001</v>
      </c>
      <c r="H704" s="4">
        <f>24.8489 * CHOOSE(CONTROL!$C$15, $D$11, 100%, $F$11)</f>
        <v>24.8489</v>
      </c>
      <c r="I704" s="8">
        <f>23.609 * CHOOSE(CONTROL!$C$15, $D$11, 100%, $F$11)</f>
        <v>23.609000000000002</v>
      </c>
      <c r="J704" s="4">
        <f>23.5191 * CHOOSE(CONTROL!$C$15, $D$11, 100%, $F$11)</f>
        <v>23.519100000000002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CONTROL!$C$32, 24.9966, 24.9931) * CHOOSE(CONTROL!$C$15, $D$11, 100%, $F$11)</f>
        <v>24.996600000000001</v>
      </c>
      <c r="C705" s="8">
        <f>CHOOSE( CONTROL!$C$32, 25.0069, 25.0035) * CHOOSE(CONTROL!$C$15, $D$11, 100%, $F$11)</f>
        <v>25.006900000000002</v>
      </c>
      <c r="D705" s="8">
        <f>CHOOSE( CONTROL!$C$32, 25.0177, 25.0143) * CHOOSE( CONTROL!$C$15, $D$11, 100%, $F$11)</f>
        <v>25.017700000000001</v>
      </c>
      <c r="E705" s="12">
        <f>CHOOSE( CONTROL!$C$32, 25.0122, 25.0088) * CHOOSE( CONTROL!$C$15, $D$11, 100%, $F$11)</f>
        <v>25.0122</v>
      </c>
      <c r="F705" s="4">
        <f>CHOOSE( CONTROL!$C$32, 25.6767, 25.6732) * CHOOSE(CONTROL!$C$15, $D$11, 100%, $F$11)</f>
        <v>25.6767</v>
      </c>
      <c r="G705" s="8">
        <f>CHOOSE( CONTROL!$C$32, 24.5701, 24.5667) * CHOOSE( CONTROL!$C$15, $D$11, 100%, $F$11)</f>
        <v>24.5701</v>
      </c>
      <c r="H705" s="4">
        <f>CHOOSE( CONTROL!$C$32, 25.4899, 25.4865) * CHOOSE(CONTROL!$C$15, $D$11, 100%, $F$11)</f>
        <v>25.489899999999999</v>
      </c>
      <c r="I705" s="8">
        <f>CHOOSE( CONTROL!$C$32, 24.2409, 24.2375) * CHOOSE(CONTROL!$C$15, $D$11, 100%, $F$11)</f>
        <v>24.2409</v>
      </c>
      <c r="J705" s="4">
        <f>CHOOSE( CONTROL!$C$32, 24.1491, 24.1457) * CHOOSE(CONTROL!$C$15, $D$11, 100%, $F$11)</f>
        <v>24.149100000000001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CONTROL!$C$32, 24.5952, 24.5917) * CHOOSE(CONTROL!$C$15, $D$11, 100%, $F$11)</f>
        <v>24.595199999999998</v>
      </c>
      <c r="C706" s="8">
        <f>CHOOSE( CONTROL!$C$32, 24.6055, 24.602) * CHOOSE(CONTROL!$C$15, $D$11, 100%, $F$11)</f>
        <v>24.605499999999999</v>
      </c>
      <c r="D706" s="8">
        <f>CHOOSE( CONTROL!$C$32, 24.6166, 24.6131) * CHOOSE( CONTROL!$C$15, $D$11, 100%, $F$11)</f>
        <v>24.616599999999998</v>
      </c>
      <c r="E706" s="12">
        <f>CHOOSE( CONTROL!$C$32, 24.611, 24.6075) * CHOOSE( CONTROL!$C$15, $D$11, 100%, $F$11)</f>
        <v>24.611000000000001</v>
      </c>
      <c r="F706" s="4">
        <f>CHOOSE( CONTROL!$C$32, 25.2753, 25.2718) * CHOOSE(CONTROL!$C$15, $D$11, 100%, $F$11)</f>
        <v>25.275300000000001</v>
      </c>
      <c r="G706" s="8">
        <f>CHOOSE( CONTROL!$C$32, 24.1756, 24.1722) * CHOOSE( CONTROL!$C$15, $D$11, 100%, $F$11)</f>
        <v>24.175599999999999</v>
      </c>
      <c r="H706" s="4">
        <f>CHOOSE( CONTROL!$C$32, 25.095, 25.0915) * CHOOSE(CONTROL!$C$15, $D$11, 100%, $F$11)</f>
        <v>25.094999999999999</v>
      </c>
      <c r="I706" s="8">
        <f>CHOOSE( CONTROL!$C$32, 23.8538, 23.8505) * CHOOSE(CONTROL!$C$15, $D$11, 100%, $F$11)</f>
        <v>23.8538</v>
      </c>
      <c r="J706" s="4">
        <f>CHOOSE( CONTROL!$C$32, 23.7609, 23.7575) * CHOOSE(CONTROL!$C$15, $D$11, 100%, $F$11)</f>
        <v>23.760899999999999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CONTROL!$C$32, 25.6522, 25.6488) * CHOOSE(CONTROL!$C$15, $D$11, 100%, $F$11)</f>
        <v>25.652200000000001</v>
      </c>
      <c r="C707" s="8">
        <f>CHOOSE( CONTROL!$C$32, 25.6626, 25.6591) * CHOOSE(CONTROL!$C$15, $D$11, 100%, $F$11)</f>
        <v>25.662600000000001</v>
      </c>
      <c r="D707" s="8">
        <f>CHOOSE( CONTROL!$C$32, 25.674, 25.6705) * CHOOSE( CONTROL!$C$15, $D$11, 100%, $F$11)</f>
        <v>25.673999999999999</v>
      </c>
      <c r="E707" s="12">
        <f>CHOOSE( CONTROL!$C$32, 25.6683, 25.6648) * CHOOSE( CONTROL!$C$15, $D$11, 100%, $F$11)</f>
        <v>25.668299999999999</v>
      </c>
      <c r="F707" s="4">
        <f>CHOOSE( CONTROL!$C$32, 26.3324, 26.3289) * CHOOSE(CONTROL!$C$15, $D$11, 100%, $F$11)</f>
        <v>26.3324</v>
      </c>
      <c r="G707" s="8">
        <f>CHOOSE( CONTROL!$C$32, 25.2161, 25.2127) * CHOOSE( CONTROL!$C$15, $D$11, 100%, $F$11)</f>
        <v>25.216100000000001</v>
      </c>
      <c r="H707" s="4">
        <f>CHOOSE( CONTROL!$C$32, 26.1349, 26.1315) * CHOOSE(CONTROL!$C$15, $D$11, 100%, $F$11)</f>
        <v>26.134899999999998</v>
      </c>
      <c r="I707" s="8">
        <f>CHOOSE( CONTROL!$C$32, 24.8781, 24.8747) * CHOOSE(CONTROL!$C$15, $D$11, 100%, $F$11)</f>
        <v>24.8781</v>
      </c>
      <c r="J707" s="4">
        <f>CHOOSE( CONTROL!$C$32, 24.7832, 24.7798) * CHOOSE(CONTROL!$C$15, $D$11, 100%, $F$11)</f>
        <v>24.783200000000001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CONTROL!$C$32, 23.6744, 23.6709) * CHOOSE(CONTROL!$C$15, $D$11, 100%, $F$11)</f>
        <v>23.674399999999999</v>
      </c>
      <c r="C708" s="8">
        <f>CHOOSE( CONTROL!$C$32, 23.6847, 23.6812) * CHOOSE(CONTROL!$C$15, $D$11, 100%, $F$11)</f>
        <v>23.684699999999999</v>
      </c>
      <c r="D708" s="8">
        <f>CHOOSE( CONTROL!$C$32, 23.6962, 23.6928) * CHOOSE( CONTROL!$C$15, $D$11, 100%, $F$11)</f>
        <v>23.696200000000001</v>
      </c>
      <c r="E708" s="12">
        <f>CHOOSE( CONTROL!$C$32, 23.6905, 23.687) * CHOOSE( CONTROL!$C$15, $D$11, 100%, $F$11)</f>
        <v>23.6905</v>
      </c>
      <c r="F708" s="4">
        <f>CHOOSE( CONTROL!$C$32, 24.3545, 24.351) * CHOOSE(CONTROL!$C$15, $D$11, 100%, $F$11)</f>
        <v>24.354500000000002</v>
      </c>
      <c r="G708" s="8">
        <f>CHOOSE( CONTROL!$C$32, 23.2704, 23.267) * CHOOSE( CONTROL!$C$15, $D$11, 100%, $F$11)</f>
        <v>23.270399999999999</v>
      </c>
      <c r="H708" s="4">
        <f>CHOOSE( CONTROL!$C$32, 24.189, 24.1856) * CHOOSE(CONTROL!$C$15, $D$11, 100%, $F$11)</f>
        <v>24.189</v>
      </c>
      <c r="I708" s="8">
        <f>CHOOSE( CONTROL!$C$32, 22.9649, 22.9616) * CHOOSE(CONTROL!$C$15, $D$11, 100%, $F$11)</f>
        <v>22.9649</v>
      </c>
      <c r="J708" s="4">
        <f>CHOOSE( CONTROL!$C$32, 22.8704, 22.867) * CHOOSE(CONTROL!$C$15, $D$11, 100%, $F$11)</f>
        <v>22.8704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CONTROL!$C$32, 23.1791, 23.1756) * CHOOSE(CONTROL!$C$15, $D$11, 100%, $F$11)</f>
        <v>23.179099999999998</v>
      </c>
      <c r="C709" s="8">
        <f>CHOOSE( CONTROL!$C$32, 23.1894, 23.1859) * CHOOSE(CONTROL!$C$15, $D$11, 100%, $F$11)</f>
        <v>23.189399999999999</v>
      </c>
      <c r="D709" s="8">
        <f>CHOOSE( CONTROL!$C$32, 23.201, 23.1975) * CHOOSE( CONTROL!$C$15, $D$11, 100%, $F$11)</f>
        <v>23.201000000000001</v>
      </c>
      <c r="E709" s="12">
        <f>CHOOSE( CONTROL!$C$32, 23.1952, 23.1917) * CHOOSE( CONTROL!$C$15, $D$11, 100%, $F$11)</f>
        <v>23.1952</v>
      </c>
      <c r="F709" s="4">
        <f>CHOOSE( CONTROL!$C$32, 23.8592, 23.8557) * CHOOSE(CONTROL!$C$15, $D$11, 100%, $F$11)</f>
        <v>23.859200000000001</v>
      </c>
      <c r="G709" s="8">
        <f>CHOOSE( CONTROL!$C$32, 22.7832, 22.7797) * CHOOSE( CONTROL!$C$15, $D$11, 100%, $F$11)</f>
        <v>22.783200000000001</v>
      </c>
      <c r="H709" s="4">
        <f>CHOOSE( CONTROL!$C$32, 23.7018, 23.6983) * CHOOSE(CONTROL!$C$15, $D$11, 100%, $F$11)</f>
        <v>23.701799999999999</v>
      </c>
      <c r="I709" s="8">
        <f>CHOOSE( CONTROL!$C$32, 22.4859, 22.4826) * CHOOSE(CONTROL!$C$15, $D$11, 100%, $F$11)</f>
        <v>22.485900000000001</v>
      </c>
      <c r="J709" s="4">
        <f>CHOOSE( CONTROL!$C$32, 22.3914, 22.388) * CHOOSE(CONTROL!$C$15, $D$11, 100%, $F$11)</f>
        <v>22.391400000000001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24.204 * CHOOSE(CONTROL!$C$15, $D$11, 100%, $F$11)</f>
        <v>24.204000000000001</v>
      </c>
      <c r="C710" s="8">
        <f>24.2143 * CHOOSE(CONTROL!$C$15, $D$11, 100%, $F$11)</f>
        <v>24.214300000000001</v>
      </c>
      <c r="D710" s="8">
        <f>24.2269 * CHOOSE( CONTROL!$C$15, $D$11, 100%, $F$11)</f>
        <v>24.226900000000001</v>
      </c>
      <c r="E710" s="12">
        <f>24.2216 * CHOOSE( CONTROL!$C$15, $D$11, 100%, $F$11)</f>
        <v>24.221599999999999</v>
      </c>
      <c r="F710" s="4">
        <f>24.8841 * CHOOSE(CONTROL!$C$15, $D$11, 100%, $F$11)</f>
        <v>24.8841</v>
      </c>
      <c r="G710" s="8">
        <f>23.7911 * CHOOSE( CONTROL!$C$15, $D$11, 100%, $F$11)</f>
        <v>23.7911</v>
      </c>
      <c r="H710" s="4">
        <f>24.7101 * CHOOSE(CONTROL!$C$15, $D$11, 100%, $F$11)</f>
        <v>24.710100000000001</v>
      </c>
      <c r="I710" s="8">
        <f>23.4785 * CHOOSE(CONTROL!$C$15, $D$11, 100%, $F$11)</f>
        <v>23.4785</v>
      </c>
      <c r="J710" s="4">
        <f>23.3826 * CHOOSE(CONTROL!$C$15, $D$11, 100%, $F$11)</f>
        <v>23.3826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26.1022 * CHOOSE(CONTROL!$C$15, $D$11, 100%, $F$11)</f>
        <v>26.1022</v>
      </c>
      <c r="C711" s="8">
        <f>26.1125 * CHOOSE(CONTROL!$C$15, $D$11, 100%, $F$11)</f>
        <v>26.112500000000001</v>
      </c>
      <c r="D711" s="8">
        <f>26.0974 * CHOOSE( CONTROL!$C$15, $D$11, 100%, $F$11)</f>
        <v>26.0974</v>
      </c>
      <c r="E711" s="12">
        <f>26.1018 * CHOOSE( CONTROL!$C$15, $D$11, 100%, $F$11)</f>
        <v>26.101800000000001</v>
      </c>
      <c r="F711" s="4">
        <f>26.7564 * CHOOSE(CONTROL!$C$15, $D$11, 100%, $F$11)</f>
        <v>26.756399999999999</v>
      </c>
      <c r="G711" s="8">
        <f>25.668 * CHOOSE( CONTROL!$C$15, $D$11, 100%, $F$11)</f>
        <v>25.667999999999999</v>
      </c>
      <c r="H711" s="4">
        <f>26.5522 * CHOOSE(CONTROL!$C$15, $D$11, 100%, $F$11)</f>
        <v>26.552199999999999</v>
      </c>
      <c r="I711" s="8">
        <f>25.3355 * CHOOSE(CONTROL!$C$15, $D$11, 100%, $F$11)</f>
        <v>25.3355</v>
      </c>
      <c r="J711" s="4">
        <f>25.2183 * CHOOSE(CONTROL!$C$15, $D$11, 100%, $F$11)</f>
        <v>25.218299999999999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26.0547 * CHOOSE(CONTROL!$C$15, $D$11, 100%, $F$11)</f>
        <v>26.0547</v>
      </c>
      <c r="C712" s="8">
        <f>26.0651 * CHOOSE(CONTROL!$C$15, $D$11, 100%, $F$11)</f>
        <v>26.065100000000001</v>
      </c>
      <c r="D712" s="8">
        <f>26.0517 * CHOOSE( CONTROL!$C$15, $D$11, 100%, $F$11)</f>
        <v>26.0517</v>
      </c>
      <c r="E712" s="12">
        <f>26.0555 * CHOOSE( CONTROL!$C$15, $D$11, 100%, $F$11)</f>
        <v>26.055499999999999</v>
      </c>
      <c r="F712" s="4">
        <f>26.709 * CHOOSE(CONTROL!$C$15, $D$11, 100%, $F$11)</f>
        <v>26.709</v>
      </c>
      <c r="G712" s="8">
        <f>25.6225 * CHOOSE( CONTROL!$C$15, $D$11, 100%, $F$11)</f>
        <v>25.622499999999999</v>
      </c>
      <c r="H712" s="4">
        <f>26.5055 * CHOOSE(CONTROL!$C$15, $D$11, 100%, $F$11)</f>
        <v>26.505500000000001</v>
      </c>
      <c r="I712" s="8">
        <f>25.2948 * CHOOSE(CONTROL!$C$15, $D$11, 100%, $F$11)</f>
        <v>25.294799999999999</v>
      </c>
      <c r="J712" s="4">
        <f>25.1724 * CHOOSE(CONTROL!$C$15, $D$11, 100%, $F$11)</f>
        <v>25.1724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27.0496 * CHOOSE(CONTROL!$C$15, $D$11, 100%, $F$11)</f>
        <v>27.049600000000002</v>
      </c>
      <c r="C713" s="8">
        <f>27.0599 * CHOOSE(CONTROL!$C$15, $D$11, 100%, $F$11)</f>
        <v>27.059899999999999</v>
      </c>
      <c r="D713" s="8">
        <f>27.0583 * CHOOSE( CONTROL!$C$15, $D$11, 100%, $F$11)</f>
        <v>27.058299999999999</v>
      </c>
      <c r="E713" s="12">
        <f>27.0578 * CHOOSE( CONTROL!$C$15, $D$11, 100%, $F$11)</f>
        <v>27.0578</v>
      </c>
      <c r="F713" s="4">
        <f>27.7322 * CHOOSE(CONTROL!$C$15, $D$11, 100%, $F$11)</f>
        <v>27.732199999999999</v>
      </c>
      <c r="G713" s="8">
        <f>26.6138 * CHOOSE( CONTROL!$C$15, $D$11, 100%, $F$11)</f>
        <v>26.613800000000001</v>
      </c>
      <c r="H713" s="4">
        <f>27.5122 * CHOOSE(CONTROL!$C$15, $D$11, 100%, $F$11)</f>
        <v>27.5122</v>
      </c>
      <c r="I713" s="8">
        <f>26.2562 * CHOOSE(CONTROL!$C$15, $D$11, 100%, $F$11)</f>
        <v>26.2562</v>
      </c>
      <c r="J713" s="4">
        <f>26.1345 * CHOOSE(CONTROL!$C$15, $D$11, 100%, $F$11)</f>
        <v>26.134499999999999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25.3025 * CHOOSE(CONTROL!$C$15, $D$11, 100%, $F$11)</f>
        <v>25.302499999999998</v>
      </c>
      <c r="C714" s="8">
        <f>25.3129 * CHOOSE(CONTROL!$C$15, $D$11, 100%, $F$11)</f>
        <v>25.312899999999999</v>
      </c>
      <c r="D714" s="8">
        <f>25.3134 * CHOOSE( CONTROL!$C$15, $D$11, 100%, $F$11)</f>
        <v>25.313400000000001</v>
      </c>
      <c r="E714" s="12">
        <f>25.3121 * CHOOSE( CONTROL!$C$15, $D$11, 100%, $F$11)</f>
        <v>25.312100000000001</v>
      </c>
      <c r="F714" s="4">
        <f>25.9775 * CHOOSE(CONTROL!$C$15, $D$11, 100%, $F$11)</f>
        <v>25.977499999999999</v>
      </c>
      <c r="G714" s="8">
        <f>24.8948 * CHOOSE( CONTROL!$C$15, $D$11, 100%, $F$11)</f>
        <v>24.8948</v>
      </c>
      <c r="H714" s="4">
        <f>25.7858 * CHOOSE(CONTROL!$C$15, $D$11, 100%, $F$11)</f>
        <v>25.785799999999998</v>
      </c>
      <c r="I714" s="8">
        <f>24.5548 * CHOOSE(CONTROL!$C$15, $D$11, 100%, $F$11)</f>
        <v>24.5548</v>
      </c>
      <c r="J714" s="4">
        <f>24.445 * CHOOSE(CONTROL!$C$15, $D$11, 100%, $F$11)</f>
        <v>24.445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24.7644 * CHOOSE(CONTROL!$C$15, $D$11, 100%, $F$11)</f>
        <v>24.764399999999998</v>
      </c>
      <c r="C715" s="8">
        <f>24.7748 * CHOOSE(CONTROL!$C$15, $D$11, 100%, $F$11)</f>
        <v>24.774799999999999</v>
      </c>
      <c r="D715" s="8">
        <f>24.77 * CHOOSE( CONTROL!$C$15, $D$11, 100%, $F$11)</f>
        <v>24.77</v>
      </c>
      <c r="E715" s="12">
        <f>24.7706 * CHOOSE( CONTROL!$C$15, $D$11, 100%, $F$11)</f>
        <v>24.770600000000002</v>
      </c>
      <c r="F715" s="4">
        <f>25.442 * CHOOSE(CONTROL!$C$15, $D$11, 100%, $F$11)</f>
        <v>25.442</v>
      </c>
      <c r="G715" s="8">
        <f>24.3599 * CHOOSE( CONTROL!$C$15, $D$11, 100%, $F$11)</f>
        <v>24.3599</v>
      </c>
      <c r="H715" s="4">
        <f>25.259 * CHOOSE(CONTROL!$C$15, $D$11, 100%, $F$11)</f>
        <v>25.259</v>
      </c>
      <c r="I715" s="8">
        <f>24.0223 * CHOOSE(CONTROL!$C$15, $D$11, 100%, $F$11)</f>
        <v>24.022300000000001</v>
      </c>
      <c r="J715" s="4">
        <f>23.9246 * CHOOSE(CONTROL!$C$15, $D$11, 100%, $F$11)</f>
        <v>23.924600000000002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25.1404 * CHOOSE(CONTROL!$C$15, $D$11, 100%, $F$11)</f>
        <v>25.1404</v>
      </c>
      <c r="C716" s="8">
        <f>25.1508 * CHOOSE(CONTROL!$C$15, $D$11, 100%, $F$11)</f>
        <v>25.1508</v>
      </c>
      <c r="D716" s="8">
        <f>25.1621 * CHOOSE( CONTROL!$C$15, $D$11, 100%, $F$11)</f>
        <v>25.162099999999999</v>
      </c>
      <c r="E716" s="12">
        <f>25.1572 * CHOOSE( CONTROL!$C$15, $D$11, 100%, $F$11)</f>
        <v>25.1572</v>
      </c>
      <c r="F716" s="4">
        <f>25.8205 * CHOOSE(CONTROL!$C$15, $D$11, 100%, $F$11)</f>
        <v>25.820499999999999</v>
      </c>
      <c r="G716" s="8">
        <f>24.7105 * CHOOSE( CONTROL!$C$15, $D$11, 100%, $F$11)</f>
        <v>24.7105</v>
      </c>
      <c r="H716" s="4">
        <f>25.6314 * CHOOSE(CONTROL!$C$15, $D$11, 100%, $F$11)</f>
        <v>25.631399999999999</v>
      </c>
      <c r="I716" s="8">
        <f>24.3785 * CHOOSE(CONTROL!$C$15, $D$11, 100%, $F$11)</f>
        <v>24.378499999999999</v>
      </c>
      <c r="J716" s="4">
        <f>24.2882 * CHOOSE(CONTROL!$C$15, $D$11, 100%, $F$11)</f>
        <v>24.2882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CONTROL!$C$32, 25.8131, 25.8096) * CHOOSE(CONTROL!$C$15, $D$11, 100%, $F$11)</f>
        <v>25.813099999999999</v>
      </c>
      <c r="C717" s="8">
        <f>CHOOSE( CONTROL!$C$32, 25.8234, 25.82) * CHOOSE(CONTROL!$C$15, $D$11, 100%, $F$11)</f>
        <v>25.823399999999999</v>
      </c>
      <c r="D717" s="8">
        <f>CHOOSE( CONTROL!$C$32, 25.8343, 25.8308) * CHOOSE( CONTROL!$C$15, $D$11, 100%, $F$11)</f>
        <v>25.834299999999999</v>
      </c>
      <c r="E717" s="12">
        <f>CHOOSE( CONTROL!$C$32, 25.8288, 25.8253) * CHOOSE( CONTROL!$C$15, $D$11, 100%, $F$11)</f>
        <v>25.828800000000001</v>
      </c>
      <c r="F717" s="4">
        <f>CHOOSE( CONTROL!$C$32, 26.4932, 26.4897) * CHOOSE(CONTROL!$C$15, $D$11, 100%, $F$11)</f>
        <v>26.493200000000002</v>
      </c>
      <c r="G717" s="8">
        <f>CHOOSE( CONTROL!$C$32, 25.3735, 25.37) * CHOOSE( CONTROL!$C$15, $D$11, 100%, $F$11)</f>
        <v>25.3735</v>
      </c>
      <c r="H717" s="4">
        <f>CHOOSE( CONTROL!$C$32, 26.2932, 26.2898) * CHOOSE(CONTROL!$C$15, $D$11, 100%, $F$11)</f>
        <v>26.293199999999999</v>
      </c>
      <c r="I717" s="8">
        <f>CHOOSE( CONTROL!$C$32, 25.0309, 25.0275) * CHOOSE(CONTROL!$C$15, $D$11, 100%, $F$11)</f>
        <v>25.030899999999999</v>
      </c>
      <c r="J717" s="4">
        <f>CHOOSE( CONTROL!$C$32, 24.9387, 24.9354) * CHOOSE(CONTROL!$C$15, $D$11, 100%, $F$11)</f>
        <v>24.938700000000001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CONTROL!$C$32, 25.3986, 25.3951) * CHOOSE(CONTROL!$C$15, $D$11, 100%, $F$11)</f>
        <v>25.398599999999998</v>
      </c>
      <c r="C718" s="8">
        <f>CHOOSE( CONTROL!$C$32, 25.4089, 25.4054) * CHOOSE(CONTROL!$C$15, $D$11, 100%, $F$11)</f>
        <v>25.408899999999999</v>
      </c>
      <c r="D718" s="8">
        <f>CHOOSE( CONTROL!$C$32, 25.42, 25.4165) * CHOOSE( CONTROL!$C$15, $D$11, 100%, $F$11)</f>
        <v>25.42</v>
      </c>
      <c r="E718" s="12">
        <f>CHOOSE( CONTROL!$C$32, 25.4144, 25.4109) * CHOOSE( CONTROL!$C$15, $D$11, 100%, $F$11)</f>
        <v>25.414400000000001</v>
      </c>
      <c r="F718" s="4">
        <f>CHOOSE( CONTROL!$C$32, 26.0787, 26.0752) * CHOOSE(CONTROL!$C$15, $D$11, 100%, $F$11)</f>
        <v>26.078700000000001</v>
      </c>
      <c r="G718" s="8">
        <f>CHOOSE( CONTROL!$C$32, 24.966, 24.9626) * CHOOSE( CONTROL!$C$15, $D$11, 100%, $F$11)</f>
        <v>24.966000000000001</v>
      </c>
      <c r="H718" s="4">
        <f>CHOOSE( CONTROL!$C$32, 25.8854, 25.8819) * CHOOSE(CONTROL!$C$15, $D$11, 100%, $F$11)</f>
        <v>25.885400000000001</v>
      </c>
      <c r="I718" s="8">
        <f>CHOOSE( CONTROL!$C$32, 24.6312, 24.6278) * CHOOSE(CONTROL!$C$15, $D$11, 100%, $F$11)</f>
        <v>24.6312</v>
      </c>
      <c r="J718" s="4">
        <f>CHOOSE( CONTROL!$C$32, 24.5378, 24.5345) * CHOOSE(CONTROL!$C$15, $D$11, 100%, $F$11)</f>
        <v>24.537800000000001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CONTROL!$C$32, 26.4902, 26.4867) * CHOOSE(CONTROL!$C$15, $D$11, 100%, $F$11)</f>
        <v>26.490200000000002</v>
      </c>
      <c r="C719" s="8">
        <f>CHOOSE( CONTROL!$C$32, 26.5005, 26.4971) * CHOOSE(CONTROL!$C$15, $D$11, 100%, $F$11)</f>
        <v>26.500499999999999</v>
      </c>
      <c r="D719" s="8">
        <f>CHOOSE( CONTROL!$C$32, 26.5119, 26.5085) * CHOOSE( CONTROL!$C$15, $D$11, 100%, $F$11)</f>
        <v>26.511900000000001</v>
      </c>
      <c r="E719" s="12">
        <f>CHOOSE( CONTROL!$C$32, 26.5062, 26.5028) * CHOOSE( CONTROL!$C$15, $D$11, 100%, $F$11)</f>
        <v>26.5062</v>
      </c>
      <c r="F719" s="4">
        <f>CHOOSE( CONTROL!$C$32, 27.1703, 27.1668) * CHOOSE(CONTROL!$C$15, $D$11, 100%, $F$11)</f>
        <v>27.170300000000001</v>
      </c>
      <c r="G719" s="8">
        <f>CHOOSE( CONTROL!$C$32, 26.0405, 26.0371) * CHOOSE( CONTROL!$C$15, $D$11, 100%, $F$11)</f>
        <v>26.040500000000002</v>
      </c>
      <c r="H719" s="4">
        <f>CHOOSE( CONTROL!$C$32, 26.9593, 26.9559) * CHOOSE(CONTROL!$C$15, $D$11, 100%, $F$11)</f>
        <v>26.959299999999999</v>
      </c>
      <c r="I719" s="8">
        <f>CHOOSE( CONTROL!$C$32, 25.6889, 25.6855) * CHOOSE(CONTROL!$C$15, $D$11, 100%, $F$11)</f>
        <v>25.6889</v>
      </c>
      <c r="J719" s="4">
        <f>CHOOSE( CONTROL!$C$32, 25.5936, 25.5902) * CHOOSE(CONTROL!$C$15, $D$11, 100%, $F$11)</f>
        <v>25.593599999999999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CONTROL!$C$32, 24.4476, 24.4442) * CHOOSE(CONTROL!$C$15, $D$11, 100%, $F$11)</f>
        <v>24.447600000000001</v>
      </c>
      <c r="C720" s="8">
        <f>CHOOSE( CONTROL!$C$32, 24.458, 24.4545) * CHOOSE(CONTROL!$C$15, $D$11, 100%, $F$11)</f>
        <v>24.457999999999998</v>
      </c>
      <c r="D720" s="8">
        <f>CHOOSE( CONTROL!$C$32, 24.4695, 24.466) * CHOOSE( CONTROL!$C$15, $D$11, 100%, $F$11)</f>
        <v>24.4695</v>
      </c>
      <c r="E720" s="12">
        <f>CHOOSE( CONTROL!$C$32, 24.4637, 24.4603) * CHOOSE( CONTROL!$C$15, $D$11, 100%, $F$11)</f>
        <v>24.463699999999999</v>
      </c>
      <c r="F720" s="4">
        <f>CHOOSE( CONTROL!$C$32, 25.1277, 25.1243) * CHOOSE(CONTROL!$C$15, $D$11, 100%, $F$11)</f>
        <v>25.127700000000001</v>
      </c>
      <c r="G720" s="8">
        <f>CHOOSE( CONTROL!$C$32, 24.0311, 24.0277) * CHOOSE( CONTROL!$C$15, $D$11, 100%, $F$11)</f>
        <v>24.031099999999999</v>
      </c>
      <c r="H720" s="4">
        <f>CHOOSE( CONTROL!$C$32, 24.9498, 24.9464) * CHOOSE(CONTROL!$C$15, $D$11, 100%, $F$11)</f>
        <v>24.9498</v>
      </c>
      <c r="I720" s="8">
        <f>CHOOSE( CONTROL!$C$32, 23.7132, 23.7098) * CHOOSE(CONTROL!$C$15, $D$11, 100%, $F$11)</f>
        <v>23.713200000000001</v>
      </c>
      <c r="J720" s="4">
        <f>CHOOSE( CONTROL!$C$32, 23.6182, 23.6148) * CHOOSE(CONTROL!$C$15, $D$11, 100%, $F$11)</f>
        <v>23.618200000000002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CONTROL!$C$32, 23.9361, 23.9327) * CHOOSE(CONTROL!$C$15, $D$11, 100%, $F$11)</f>
        <v>23.9361</v>
      </c>
      <c r="C721" s="8">
        <f>CHOOSE( CONTROL!$C$32, 23.9465, 23.943) * CHOOSE(CONTROL!$C$15, $D$11, 100%, $F$11)</f>
        <v>23.9465</v>
      </c>
      <c r="D721" s="8">
        <f>CHOOSE( CONTROL!$C$32, 23.9581, 23.9546) * CHOOSE( CONTROL!$C$15, $D$11, 100%, $F$11)</f>
        <v>23.958100000000002</v>
      </c>
      <c r="E721" s="12">
        <f>CHOOSE( CONTROL!$C$32, 23.9523, 23.9488) * CHOOSE( CONTROL!$C$15, $D$11, 100%, $F$11)</f>
        <v>23.952300000000001</v>
      </c>
      <c r="F721" s="4">
        <f>CHOOSE( CONTROL!$C$32, 24.6162, 24.6128) * CHOOSE(CONTROL!$C$15, $D$11, 100%, $F$11)</f>
        <v>24.616199999999999</v>
      </c>
      <c r="G721" s="8">
        <f>CHOOSE( CONTROL!$C$32, 23.528, 23.5246) * CHOOSE( CONTROL!$C$15, $D$11, 100%, $F$11)</f>
        <v>23.527999999999999</v>
      </c>
      <c r="H721" s="4">
        <f>CHOOSE( CONTROL!$C$32, 24.4466, 24.4432) * CHOOSE(CONTROL!$C$15, $D$11, 100%, $F$11)</f>
        <v>24.4466</v>
      </c>
      <c r="I721" s="8">
        <f>CHOOSE( CONTROL!$C$32, 23.2185, 23.2151) * CHOOSE(CONTROL!$C$15, $D$11, 100%, $F$11)</f>
        <v>23.218499999999999</v>
      </c>
      <c r="J721" s="4">
        <f>CHOOSE( CONTROL!$C$32, 23.1235, 23.1202) * CHOOSE(CONTROL!$C$15, $D$11, 100%, $F$11)</f>
        <v>23.1235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24.9947 * CHOOSE(CONTROL!$C$15, $D$11, 100%, $F$11)</f>
        <v>24.994700000000002</v>
      </c>
      <c r="C722" s="8">
        <f>25.005 * CHOOSE(CONTROL!$C$15, $D$11, 100%, $F$11)</f>
        <v>25.004999999999999</v>
      </c>
      <c r="D722" s="8">
        <f>25.0176 * CHOOSE( CONTROL!$C$15, $D$11, 100%, $F$11)</f>
        <v>25.017600000000002</v>
      </c>
      <c r="E722" s="12">
        <f>25.0123 * CHOOSE( CONTROL!$C$15, $D$11, 100%, $F$11)</f>
        <v>25.0123</v>
      </c>
      <c r="F722" s="4">
        <f>25.6748 * CHOOSE(CONTROL!$C$15, $D$11, 100%, $F$11)</f>
        <v>25.674800000000001</v>
      </c>
      <c r="G722" s="8">
        <f>24.569 * CHOOSE( CONTROL!$C$15, $D$11, 100%, $F$11)</f>
        <v>24.568999999999999</v>
      </c>
      <c r="H722" s="4">
        <f>25.488 * CHOOSE(CONTROL!$C$15, $D$11, 100%, $F$11)</f>
        <v>25.488</v>
      </c>
      <c r="I722" s="8">
        <f>24.2435 * CHOOSE(CONTROL!$C$15, $D$11, 100%, $F$11)</f>
        <v>24.243500000000001</v>
      </c>
      <c r="J722" s="4">
        <f>24.1473 * CHOOSE(CONTROL!$C$15, $D$11, 100%, $F$11)</f>
        <v>24.147300000000001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26.955 * CHOOSE(CONTROL!$C$15, $D$11, 100%, $F$11)</f>
        <v>26.954999999999998</v>
      </c>
      <c r="C723" s="8">
        <f>26.9653 * CHOOSE(CONTROL!$C$15, $D$11, 100%, $F$11)</f>
        <v>26.965299999999999</v>
      </c>
      <c r="D723" s="8">
        <f>26.9502 * CHOOSE( CONTROL!$C$15, $D$11, 100%, $F$11)</f>
        <v>26.950199999999999</v>
      </c>
      <c r="E723" s="12">
        <f>26.9546 * CHOOSE( CONTROL!$C$15, $D$11, 100%, $F$11)</f>
        <v>26.954599999999999</v>
      </c>
      <c r="F723" s="4">
        <f>27.6092 * CHOOSE(CONTROL!$C$15, $D$11, 100%, $F$11)</f>
        <v>27.609200000000001</v>
      </c>
      <c r="G723" s="8">
        <f>26.5069 * CHOOSE( CONTROL!$C$15, $D$11, 100%, $F$11)</f>
        <v>26.506900000000002</v>
      </c>
      <c r="H723" s="4">
        <f>27.3911 * CHOOSE(CONTROL!$C$15, $D$11, 100%, $F$11)</f>
        <v>27.391100000000002</v>
      </c>
      <c r="I723" s="8">
        <f>26.1606 * CHOOSE(CONTROL!$C$15, $D$11, 100%, $F$11)</f>
        <v>26.160599999999999</v>
      </c>
      <c r="J723" s="4">
        <f>26.043 * CHOOSE(CONTROL!$C$15, $D$11, 100%, $F$11)</f>
        <v>26.042999999999999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26.906 * CHOOSE(CONTROL!$C$15, $D$11, 100%, $F$11)</f>
        <v>26.905999999999999</v>
      </c>
      <c r="C724" s="8">
        <f>26.9163 * CHOOSE(CONTROL!$C$15, $D$11, 100%, $F$11)</f>
        <v>26.9163</v>
      </c>
      <c r="D724" s="8">
        <f>26.9029 * CHOOSE( CONTROL!$C$15, $D$11, 100%, $F$11)</f>
        <v>26.902899999999999</v>
      </c>
      <c r="E724" s="12">
        <f>26.9067 * CHOOSE( CONTROL!$C$15, $D$11, 100%, $F$11)</f>
        <v>26.906700000000001</v>
      </c>
      <c r="F724" s="4">
        <f>27.5602 * CHOOSE(CONTROL!$C$15, $D$11, 100%, $F$11)</f>
        <v>27.560199999999998</v>
      </c>
      <c r="G724" s="8">
        <f>26.46 * CHOOSE( CONTROL!$C$15, $D$11, 100%, $F$11)</f>
        <v>26.46</v>
      </c>
      <c r="H724" s="4">
        <f>27.343 * CHOOSE(CONTROL!$C$15, $D$11, 100%, $F$11)</f>
        <v>27.343</v>
      </c>
      <c r="I724" s="8">
        <f>26.1185 * CHOOSE(CONTROL!$C$15, $D$11, 100%, $F$11)</f>
        <v>26.118500000000001</v>
      </c>
      <c r="J724" s="4">
        <f>25.9957 * CHOOSE(CONTROL!$C$15, $D$11, 100%, $F$11)</f>
        <v>25.995699999999999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27.9333 * CHOOSE(CONTROL!$C$15, $D$11, 100%, $F$11)</f>
        <v>27.933299999999999</v>
      </c>
      <c r="C725" s="8">
        <f>27.9437 * CHOOSE(CONTROL!$C$15, $D$11, 100%, $F$11)</f>
        <v>27.9437</v>
      </c>
      <c r="D725" s="8">
        <f>27.9421 * CHOOSE( CONTROL!$C$15, $D$11, 100%, $F$11)</f>
        <v>27.9421</v>
      </c>
      <c r="E725" s="12">
        <f>27.9416 * CHOOSE( CONTROL!$C$15, $D$11, 100%, $F$11)</f>
        <v>27.941600000000001</v>
      </c>
      <c r="F725" s="4">
        <f>28.616 * CHOOSE(CONTROL!$C$15, $D$11, 100%, $F$11)</f>
        <v>28.616</v>
      </c>
      <c r="G725" s="8">
        <f>27.4832 * CHOOSE( CONTROL!$C$15, $D$11, 100%, $F$11)</f>
        <v>27.4832</v>
      </c>
      <c r="H725" s="4">
        <f>28.3817 * CHOOSE(CONTROL!$C$15, $D$11, 100%, $F$11)</f>
        <v>28.381699999999999</v>
      </c>
      <c r="I725" s="8">
        <f>27.1113 * CHOOSE(CONTROL!$C$15, $D$11, 100%, $F$11)</f>
        <v>27.1113</v>
      </c>
      <c r="J725" s="4">
        <f>26.9892 * CHOOSE(CONTROL!$C$15, $D$11, 100%, $F$11)</f>
        <v>26.9892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26.1292 * CHOOSE(CONTROL!$C$15, $D$11, 100%, $F$11)</f>
        <v>26.129200000000001</v>
      </c>
      <c r="C726" s="8">
        <f>26.1395 * CHOOSE(CONTROL!$C$15, $D$11, 100%, $F$11)</f>
        <v>26.139500000000002</v>
      </c>
      <c r="D726" s="8">
        <f>26.14 * CHOOSE( CONTROL!$C$15, $D$11, 100%, $F$11)</f>
        <v>26.14</v>
      </c>
      <c r="E726" s="12">
        <f>26.1387 * CHOOSE( CONTROL!$C$15, $D$11, 100%, $F$11)</f>
        <v>26.1387</v>
      </c>
      <c r="F726" s="4">
        <f>26.8041 * CHOOSE(CONTROL!$C$15, $D$11, 100%, $F$11)</f>
        <v>26.804099999999998</v>
      </c>
      <c r="G726" s="8">
        <f>25.708 * CHOOSE( CONTROL!$C$15, $D$11, 100%, $F$11)</f>
        <v>25.707999999999998</v>
      </c>
      <c r="H726" s="4">
        <f>26.599 * CHOOSE(CONTROL!$C$15, $D$11, 100%, $F$11)</f>
        <v>26.599</v>
      </c>
      <c r="I726" s="8">
        <f>25.3547 * CHOOSE(CONTROL!$C$15, $D$11, 100%, $F$11)</f>
        <v>25.354700000000001</v>
      </c>
      <c r="J726" s="4">
        <f>25.2444 * CHOOSE(CONTROL!$C$15, $D$11, 100%, $F$11)</f>
        <v>25.244399999999999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25.5735 * CHOOSE(CONTROL!$C$15, $D$11, 100%, $F$11)</f>
        <v>25.573499999999999</v>
      </c>
      <c r="C727" s="8">
        <f>25.5838 * CHOOSE(CONTROL!$C$15, $D$11, 100%, $F$11)</f>
        <v>25.5838</v>
      </c>
      <c r="D727" s="8">
        <f>25.579 * CHOOSE( CONTROL!$C$15, $D$11, 100%, $F$11)</f>
        <v>25.579000000000001</v>
      </c>
      <c r="E727" s="12">
        <f>25.5797 * CHOOSE( CONTROL!$C$15, $D$11, 100%, $F$11)</f>
        <v>25.579699999999999</v>
      </c>
      <c r="F727" s="4">
        <f>26.251 * CHOOSE(CONTROL!$C$15, $D$11, 100%, $F$11)</f>
        <v>26.251000000000001</v>
      </c>
      <c r="G727" s="8">
        <f>25.1559 * CHOOSE( CONTROL!$C$15, $D$11, 100%, $F$11)</f>
        <v>25.155899999999999</v>
      </c>
      <c r="H727" s="4">
        <f>26.0549 * CHOOSE(CONTROL!$C$15, $D$11, 100%, $F$11)</f>
        <v>26.0549</v>
      </c>
      <c r="I727" s="8">
        <f>24.8051 * CHOOSE(CONTROL!$C$15, $D$11, 100%, $F$11)</f>
        <v>24.805099999999999</v>
      </c>
      <c r="J727" s="4">
        <f>24.707 * CHOOSE(CONTROL!$C$15, $D$11, 100%, $F$11)</f>
        <v>24.707000000000001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25.9618 * CHOOSE(CONTROL!$C$15, $D$11, 100%, $F$11)</f>
        <v>25.9618</v>
      </c>
      <c r="C728" s="8">
        <f>25.9721 * CHOOSE(CONTROL!$C$15, $D$11, 100%, $F$11)</f>
        <v>25.972100000000001</v>
      </c>
      <c r="D728" s="8">
        <f>25.9834 * CHOOSE( CONTROL!$C$15, $D$11, 100%, $F$11)</f>
        <v>25.9834</v>
      </c>
      <c r="E728" s="12">
        <f>25.9785 * CHOOSE( CONTROL!$C$15, $D$11, 100%, $F$11)</f>
        <v>25.9785</v>
      </c>
      <c r="F728" s="4">
        <f>26.6419 * CHOOSE(CONTROL!$C$15, $D$11, 100%, $F$11)</f>
        <v>26.6419</v>
      </c>
      <c r="G728" s="8">
        <f>25.5185 * CHOOSE( CONTROL!$C$15, $D$11, 100%, $F$11)</f>
        <v>25.5185</v>
      </c>
      <c r="H728" s="4">
        <f>26.4395 * CHOOSE(CONTROL!$C$15, $D$11, 100%, $F$11)</f>
        <v>26.439499999999999</v>
      </c>
      <c r="I728" s="8">
        <f>25.1732 * CHOOSE(CONTROL!$C$15, $D$11, 100%, $F$11)</f>
        <v>25.173200000000001</v>
      </c>
      <c r="J728" s="4">
        <f>25.0825 * CHOOSE(CONTROL!$C$15, $D$11, 100%, $F$11)</f>
        <v>25.0825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CONTROL!$C$32, 26.6563, 26.6529) * CHOOSE(CONTROL!$C$15, $D$11, 100%, $F$11)</f>
        <v>26.656300000000002</v>
      </c>
      <c r="C729" s="8">
        <f>CHOOSE( CONTROL!$C$32, 26.6667, 26.6632) * CHOOSE(CONTROL!$C$15, $D$11, 100%, $F$11)</f>
        <v>26.666699999999999</v>
      </c>
      <c r="D729" s="8">
        <f>CHOOSE( CONTROL!$C$32, 26.6775, 26.674) * CHOOSE( CONTROL!$C$15, $D$11, 100%, $F$11)</f>
        <v>26.677499999999998</v>
      </c>
      <c r="E729" s="12">
        <f>CHOOSE( CONTROL!$C$32, 26.672, 26.6685) * CHOOSE( CONTROL!$C$15, $D$11, 100%, $F$11)</f>
        <v>26.672000000000001</v>
      </c>
      <c r="F729" s="4">
        <f>CHOOSE( CONTROL!$C$32, 27.3364, 27.333) * CHOOSE(CONTROL!$C$15, $D$11, 100%, $F$11)</f>
        <v>27.336400000000001</v>
      </c>
      <c r="G729" s="8">
        <f>CHOOSE( CONTROL!$C$32, 26.203, 26.1996) * CHOOSE( CONTROL!$C$15, $D$11, 100%, $F$11)</f>
        <v>26.202999999999999</v>
      </c>
      <c r="H729" s="4">
        <f>CHOOSE( CONTROL!$C$32, 27.1228, 27.1194) * CHOOSE(CONTROL!$C$15, $D$11, 100%, $F$11)</f>
        <v>27.122800000000002</v>
      </c>
      <c r="I729" s="8">
        <f>CHOOSE( CONTROL!$C$32, 25.8468, 25.8434) * CHOOSE(CONTROL!$C$15, $D$11, 100%, $F$11)</f>
        <v>25.846800000000002</v>
      </c>
      <c r="J729" s="4">
        <f>CHOOSE( CONTROL!$C$32, 25.7542, 25.7509) * CHOOSE(CONTROL!$C$15, $D$11, 100%, $F$11)</f>
        <v>25.754200000000001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CONTROL!$C$32, 26.2282, 26.2248) * CHOOSE(CONTROL!$C$15, $D$11, 100%, $F$11)</f>
        <v>26.228200000000001</v>
      </c>
      <c r="C730" s="8">
        <f>CHOOSE( CONTROL!$C$32, 26.2386, 26.2351) * CHOOSE(CONTROL!$C$15, $D$11, 100%, $F$11)</f>
        <v>26.238600000000002</v>
      </c>
      <c r="D730" s="8">
        <f>CHOOSE( CONTROL!$C$32, 26.2497, 26.2462) * CHOOSE( CONTROL!$C$15, $D$11, 100%, $F$11)</f>
        <v>26.249700000000001</v>
      </c>
      <c r="E730" s="12">
        <f>CHOOSE( CONTROL!$C$32, 26.2441, 26.2406) * CHOOSE( CONTROL!$C$15, $D$11, 100%, $F$11)</f>
        <v>26.2441</v>
      </c>
      <c r="F730" s="4">
        <f>CHOOSE( CONTROL!$C$32, 26.9083, 26.9049) * CHOOSE(CONTROL!$C$15, $D$11, 100%, $F$11)</f>
        <v>26.908300000000001</v>
      </c>
      <c r="G730" s="8">
        <f>CHOOSE( CONTROL!$C$32, 25.7823, 25.7789) * CHOOSE( CONTROL!$C$15, $D$11, 100%, $F$11)</f>
        <v>25.782299999999999</v>
      </c>
      <c r="H730" s="4">
        <f>CHOOSE( CONTROL!$C$32, 26.7016, 26.6982) * CHOOSE(CONTROL!$C$15, $D$11, 100%, $F$11)</f>
        <v>26.701599999999999</v>
      </c>
      <c r="I730" s="8">
        <f>CHOOSE( CONTROL!$C$32, 25.4339, 25.4306) * CHOOSE(CONTROL!$C$15, $D$11, 100%, $F$11)</f>
        <v>25.433900000000001</v>
      </c>
      <c r="J730" s="4">
        <f>CHOOSE( CONTROL!$C$32, 25.3402, 25.3369) * CHOOSE(CONTROL!$C$15, $D$11, 100%, $F$11)</f>
        <v>25.340199999999999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CONTROL!$C$32, 27.3556, 27.3521) * CHOOSE(CONTROL!$C$15, $D$11, 100%, $F$11)</f>
        <v>27.355599999999999</v>
      </c>
      <c r="C731" s="8">
        <f>CHOOSE( CONTROL!$C$32, 27.3659, 27.3624) * CHOOSE(CONTROL!$C$15, $D$11, 100%, $F$11)</f>
        <v>27.3659</v>
      </c>
      <c r="D731" s="8">
        <f>CHOOSE( CONTROL!$C$32, 27.3773, 27.3738) * CHOOSE( CONTROL!$C$15, $D$11, 100%, $F$11)</f>
        <v>27.377300000000002</v>
      </c>
      <c r="E731" s="12">
        <f>CHOOSE( CONTROL!$C$32, 27.3716, 27.3681) * CHOOSE( CONTROL!$C$15, $D$11, 100%, $F$11)</f>
        <v>27.371600000000001</v>
      </c>
      <c r="F731" s="4">
        <f>CHOOSE( CONTROL!$C$32, 28.0357, 28.0322) * CHOOSE(CONTROL!$C$15, $D$11, 100%, $F$11)</f>
        <v>28.035699999999999</v>
      </c>
      <c r="G731" s="8">
        <f>CHOOSE( CONTROL!$C$32, 26.8918, 26.8884) * CHOOSE( CONTROL!$C$15, $D$11, 100%, $F$11)</f>
        <v>26.8918</v>
      </c>
      <c r="H731" s="4">
        <f>CHOOSE( CONTROL!$C$32, 27.8107, 27.8073) * CHOOSE(CONTROL!$C$15, $D$11, 100%, $F$11)</f>
        <v>27.810700000000001</v>
      </c>
      <c r="I731" s="8">
        <f>CHOOSE( CONTROL!$C$32, 26.5262, 26.5228) * CHOOSE(CONTROL!$C$15, $D$11, 100%, $F$11)</f>
        <v>26.526199999999999</v>
      </c>
      <c r="J731" s="4">
        <f>CHOOSE( CONTROL!$C$32, 26.4305, 26.4271) * CHOOSE(CONTROL!$C$15, $D$11, 100%, $F$11)</f>
        <v>26.430499999999999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CONTROL!$C$32, 25.2462, 25.2427) * CHOOSE(CONTROL!$C$15, $D$11, 100%, $F$11)</f>
        <v>25.246200000000002</v>
      </c>
      <c r="C732" s="8">
        <f>CHOOSE( CONTROL!$C$32, 25.2565, 25.2531) * CHOOSE(CONTROL!$C$15, $D$11, 100%, $F$11)</f>
        <v>25.256499999999999</v>
      </c>
      <c r="D732" s="8">
        <f>CHOOSE( CONTROL!$C$32, 25.2681, 25.2646) * CHOOSE( CONTROL!$C$15, $D$11, 100%, $F$11)</f>
        <v>25.2681</v>
      </c>
      <c r="E732" s="12">
        <f>CHOOSE( CONTROL!$C$32, 25.2623, 25.2588) * CHOOSE( CONTROL!$C$15, $D$11, 100%, $F$11)</f>
        <v>25.2623</v>
      </c>
      <c r="F732" s="4">
        <f>CHOOSE( CONTROL!$C$32, 25.9263, 25.9228) * CHOOSE(CONTROL!$C$15, $D$11, 100%, $F$11)</f>
        <v>25.926300000000001</v>
      </c>
      <c r="G732" s="8">
        <f>CHOOSE( CONTROL!$C$32, 24.8168, 24.8134) * CHOOSE( CONTROL!$C$15, $D$11, 100%, $F$11)</f>
        <v>24.816800000000001</v>
      </c>
      <c r="H732" s="4">
        <f>CHOOSE( CONTROL!$C$32, 25.7355, 25.732) * CHOOSE(CONTROL!$C$15, $D$11, 100%, $F$11)</f>
        <v>25.735499999999998</v>
      </c>
      <c r="I732" s="8">
        <f>CHOOSE( CONTROL!$C$32, 24.4858, 24.4825) * CHOOSE(CONTROL!$C$15, $D$11, 100%, $F$11)</f>
        <v>24.485800000000001</v>
      </c>
      <c r="J732" s="4">
        <f>CHOOSE( CONTROL!$C$32, 24.3905, 24.3871) * CHOOSE(CONTROL!$C$15, $D$11, 100%, $F$11)</f>
        <v>24.390499999999999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CONTROL!$C$32, 24.718, 24.7145) * CHOOSE(CONTROL!$C$15, $D$11, 100%, $F$11)</f>
        <v>24.718</v>
      </c>
      <c r="C733" s="8">
        <f>CHOOSE( CONTROL!$C$32, 24.7283, 24.7248) * CHOOSE(CONTROL!$C$15, $D$11, 100%, $F$11)</f>
        <v>24.728300000000001</v>
      </c>
      <c r="D733" s="8">
        <f>CHOOSE( CONTROL!$C$32, 24.7399, 24.7364) * CHOOSE( CONTROL!$C$15, $D$11, 100%, $F$11)</f>
        <v>24.739899999999999</v>
      </c>
      <c r="E733" s="12">
        <f>CHOOSE( CONTROL!$C$32, 24.7341, 24.7306) * CHOOSE( CONTROL!$C$15, $D$11, 100%, $F$11)</f>
        <v>24.734100000000002</v>
      </c>
      <c r="F733" s="4">
        <f>CHOOSE( CONTROL!$C$32, 25.3981, 25.3946) * CHOOSE(CONTROL!$C$15, $D$11, 100%, $F$11)</f>
        <v>25.398099999999999</v>
      </c>
      <c r="G733" s="8">
        <f>CHOOSE( CONTROL!$C$32, 24.2972, 24.2938) * CHOOSE( CONTROL!$C$15, $D$11, 100%, $F$11)</f>
        <v>24.2972</v>
      </c>
      <c r="H733" s="4">
        <f>CHOOSE( CONTROL!$C$32, 25.2158, 25.2124) * CHOOSE(CONTROL!$C$15, $D$11, 100%, $F$11)</f>
        <v>25.215800000000002</v>
      </c>
      <c r="I733" s="8">
        <f>CHOOSE( CONTROL!$C$32, 23.9749, 23.9716) * CHOOSE(CONTROL!$C$15, $D$11, 100%, $F$11)</f>
        <v>23.974900000000002</v>
      </c>
      <c r="J733" s="4">
        <f>CHOOSE( CONTROL!$C$32, 23.8797, 23.8763) * CHOOSE(CONTROL!$C$15, $D$11, 100%, $F$11)</f>
        <v>23.8797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25.8113 * CHOOSE(CONTROL!$C$15, $D$11, 100%, $F$11)</f>
        <v>25.811299999999999</v>
      </c>
      <c r="C734" s="8">
        <f>25.8216 * CHOOSE(CONTROL!$C$15, $D$11, 100%, $F$11)</f>
        <v>25.8216</v>
      </c>
      <c r="D734" s="8">
        <f>25.8341 * CHOOSE( CONTROL!$C$15, $D$11, 100%, $F$11)</f>
        <v>25.834099999999999</v>
      </c>
      <c r="E734" s="12">
        <f>25.8289 * CHOOSE( CONTROL!$C$15, $D$11, 100%, $F$11)</f>
        <v>25.828900000000001</v>
      </c>
      <c r="F734" s="4">
        <f>26.4914 * CHOOSE(CONTROL!$C$15, $D$11, 100%, $F$11)</f>
        <v>26.491399999999999</v>
      </c>
      <c r="G734" s="8">
        <f>25.3723 * CHOOSE( CONTROL!$C$15, $D$11, 100%, $F$11)</f>
        <v>25.372299999999999</v>
      </c>
      <c r="H734" s="4">
        <f>26.2914 * CHOOSE(CONTROL!$C$15, $D$11, 100%, $F$11)</f>
        <v>26.291399999999999</v>
      </c>
      <c r="I734" s="8">
        <f>25.0336 * CHOOSE(CONTROL!$C$15, $D$11, 100%, $F$11)</f>
        <v>25.0336</v>
      </c>
      <c r="J734" s="4">
        <f>24.937 * CHOOSE(CONTROL!$C$15, $D$11, 100%, $F$11)</f>
        <v>24.937000000000001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27.8356 * CHOOSE(CONTROL!$C$15, $D$11, 100%, $F$11)</f>
        <v>27.835599999999999</v>
      </c>
      <c r="C735" s="8">
        <f>27.846 * CHOOSE(CONTROL!$C$15, $D$11, 100%, $F$11)</f>
        <v>27.846</v>
      </c>
      <c r="D735" s="8">
        <f>27.8309 * CHOOSE( CONTROL!$C$15, $D$11, 100%, $F$11)</f>
        <v>27.8309</v>
      </c>
      <c r="E735" s="12">
        <f>27.8353 * CHOOSE( CONTROL!$C$15, $D$11, 100%, $F$11)</f>
        <v>27.8353</v>
      </c>
      <c r="F735" s="4">
        <f>28.4899 * CHOOSE(CONTROL!$C$15, $D$11, 100%, $F$11)</f>
        <v>28.489899999999999</v>
      </c>
      <c r="G735" s="8">
        <f>27.3734 * CHOOSE( CONTROL!$C$15, $D$11, 100%, $F$11)</f>
        <v>27.3734</v>
      </c>
      <c r="H735" s="4">
        <f>28.2576 * CHOOSE(CONTROL!$C$15, $D$11, 100%, $F$11)</f>
        <v>28.2576</v>
      </c>
      <c r="I735" s="8">
        <f>27.0127 * CHOOSE(CONTROL!$C$15, $D$11, 100%, $F$11)</f>
        <v>27.012699999999999</v>
      </c>
      <c r="J735" s="4">
        <f>26.8947 * CHOOSE(CONTROL!$C$15, $D$11, 100%, $F$11)</f>
        <v>26.8947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27.7851 * CHOOSE(CONTROL!$C$15, $D$11, 100%, $F$11)</f>
        <v>27.7851</v>
      </c>
      <c r="C736" s="8">
        <f>27.7954 * CHOOSE(CONTROL!$C$15, $D$11, 100%, $F$11)</f>
        <v>27.795400000000001</v>
      </c>
      <c r="D736" s="8">
        <f>27.782 * CHOOSE( CONTROL!$C$15, $D$11, 100%, $F$11)</f>
        <v>27.782</v>
      </c>
      <c r="E736" s="12">
        <f>27.7858 * CHOOSE( CONTROL!$C$15, $D$11, 100%, $F$11)</f>
        <v>27.785799999999998</v>
      </c>
      <c r="F736" s="4">
        <f>28.4393 * CHOOSE(CONTROL!$C$15, $D$11, 100%, $F$11)</f>
        <v>28.439299999999999</v>
      </c>
      <c r="G736" s="8">
        <f>27.3248 * CHOOSE( CONTROL!$C$15, $D$11, 100%, $F$11)</f>
        <v>27.3248</v>
      </c>
      <c r="H736" s="4">
        <f>28.2078 * CHOOSE(CONTROL!$C$15, $D$11, 100%, $F$11)</f>
        <v>28.207799999999999</v>
      </c>
      <c r="I736" s="8">
        <f>26.9691 * CHOOSE(CONTROL!$C$15, $D$11, 100%, $F$11)</f>
        <v>26.969100000000001</v>
      </c>
      <c r="J736" s="4">
        <f>26.8458 * CHOOSE(CONTROL!$C$15, $D$11, 100%, $F$11)</f>
        <v>26.845800000000001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28.846 * CHOOSE(CONTROL!$C$15, $D$11, 100%, $F$11)</f>
        <v>28.846</v>
      </c>
      <c r="C737" s="8">
        <f>28.8563 * CHOOSE(CONTROL!$C$15, $D$11, 100%, $F$11)</f>
        <v>28.856300000000001</v>
      </c>
      <c r="D737" s="8">
        <f>28.8548 * CHOOSE( CONTROL!$C$15, $D$11, 100%, $F$11)</f>
        <v>28.854800000000001</v>
      </c>
      <c r="E737" s="12">
        <f>28.8543 * CHOOSE( CONTROL!$C$15, $D$11, 100%, $F$11)</f>
        <v>28.854299999999999</v>
      </c>
      <c r="F737" s="4">
        <f>29.5287 * CHOOSE(CONTROL!$C$15, $D$11, 100%, $F$11)</f>
        <v>29.528700000000001</v>
      </c>
      <c r="G737" s="8">
        <f>28.3812 * CHOOSE( CONTROL!$C$15, $D$11, 100%, $F$11)</f>
        <v>28.3812</v>
      </c>
      <c r="H737" s="4">
        <f>29.2796 * CHOOSE(CONTROL!$C$15, $D$11, 100%, $F$11)</f>
        <v>29.279599999999999</v>
      </c>
      <c r="I737" s="8">
        <f>27.9944 * CHOOSE(CONTROL!$C$15, $D$11, 100%, $F$11)</f>
        <v>27.994399999999999</v>
      </c>
      <c r="J737" s="4">
        <f>27.8719 * CHOOSE(CONTROL!$C$15, $D$11, 100%, $F$11)</f>
        <v>27.8719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26.9828 * CHOOSE(CONTROL!$C$15, $D$11, 100%, $F$11)</f>
        <v>26.982800000000001</v>
      </c>
      <c r="C738" s="8">
        <f>26.9932 * CHOOSE(CONTROL!$C$15, $D$11, 100%, $F$11)</f>
        <v>26.993200000000002</v>
      </c>
      <c r="D738" s="8">
        <f>26.9937 * CHOOSE( CONTROL!$C$15, $D$11, 100%, $F$11)</f>
        <v>26.9937</v>
      </c>
      <c r="E738" s="12">
        <f>26.9924 * CHOOSE( CONTROL!$C$15, $D$11, 100%, $F$11)</f>
        <v>26.9924</v>
      </c>
      <c r="F738" s="4">
        <f>27.6578 * CHOOSE(CONTROL!$C$15, $D$11, 100%, $F$11)</f>
        <v>27.657800000000002</v>
      </c>
      <c r="G738" s="8">
        <f>26.5479 * CHOOSE( CONTROL!$C$15, $D$11, 100%, $F$11)</f>
        <v>26.547899999999998</v>
      </c>
      <c r="H738" s="4">
        <f>27.4389 * CHOOSE(CONTROL!$C$15, $D$11, 100%, $F$11)</f>
        <v>27.4389</v>
      </c>
      <c r="I738" s="8">
        <f>26.1807 * CHOOSE(CONTROL!$C$15, $D$11, 100%, $F$11)</f>
        <v>26.180700000000002</v>
      </c>
      <c r="J738" s="4">
        <f>26.07 * CHOOSE(CONTROL!$C$15, $D$11, 100%, $F$11)</f>
        <v>26.07</v>
      </c>
      <c r="K738" s="4"/>
      <c r="L738" s="9">
        <v>27.415299999999998</v>
      </c>
      <c r="M738" s="9">
        <v>11.285299999999999</v>
      </c>
      <c r="N738" s="9">
        <v>4.6254999999999997</v>
      </c>
      <c r="O738" s="9">
        <v>0.34989999999999999</v>
      </c>
      <c r="P738" s="9">
        <v>1.2093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26.409 * CHOOSE(CONTROL!$C$15, $D$11, 100%, $F$11)</f>
        <v>26.408999999999999</v>
      </c>
      <c r="C739" s="8">
        <f>26.4193 * CHOOSE(CONTROL!$C$15, $D$11, 100%, $F$11)</f>
        <v>26.4193</v>
      </c>
      <c r="D739" s="8">
        <f>26.4145 * CHOOSE( CONTROL!$C$15, $D$11, 100%, $F$11)</f>
        <v>26.4145</v>
      </c>
      <c r="E739" s="12">
        <f>26.4152 * CHOOSE( CONTROL!$C$15, $D$11, 100%, $F$11)</f>
        <v>26.415199999999999</v>
      </c>
      <c r="F739" s="4">
        <f>27.0865 * CHOOSE(CONTROL!$C$15, $D$11, 100%, $F$11)</f>
        <v>27.086500000000001</v>
      </c>
      <c r="G739" s="8">
        <f>25.9779 * CHOOSE( CONTROL!$C$15, $D$11, 100%, $F$11)</f>
        <v>25.977900000000002</v>
      </c>
      <c r="H739" s="4">
        <f>26.8769 * CHOOSE(CONTROL!$C$15, $D$11, 100%, $F$11)</f>
        <v>26.876899999999999</v>
      </c>
      <c r="I739" s="8">
        <f>25.6136 * CHOOSE(CONTROL!$C$15, $D$11, 100%, $F$11)</f>
        <v>25.613600000000002</v>
      </c>
      <c r="J739" s="4">
        <f>25.515 * CHOOSE(CONTROL!$C$15, $D$11, 100%, $F$11)</f>
        <v>25.515000000000001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26.81 * CHOOSE(CONTROL!$C$15, $D$11, 100%, $F$11)</f>
        <v>26.81</v>
      </c>
      <c r="C740" s="8">
        <f>26.8203 * CHOOSE(CONTROL!$C$15, $D$11, 100%, $F$11)</f>
        <v>26.8203</v>
      </c>
      <c r="D740" s="8">
        <f>26.8316 * CHOOSE( CONTROL!$C$15, $D$11, 100%, $F$11)</f>
        <v>26.831600000000002</v>
      </c>
      <c r="E740" s="12">
        <f>26.8267 * CHOOSE( CONTROL!$C$15, $D$11, 100%, $F$11)</f>
        <v>26.826699999999999</v>
      </c>
      <c r="F740" s="4">
        <f>27.4901 * CHOOSE(CONTROL!$C$15, $D$11, 100%, $F$11)</f>
        <v>27.490100000000002</v>
      </c>
      <c r="G740" s="8">
        <f>26.353 * CHOOSE( CONTROL!$C$15, $D$11, 100%, $F$11)</f>
        <v>26.353000000000002</v>
      </c>
      <c r="H740" s="4">
        <f>27.2739 * CHOOSE(CONTROL!$C$15, $D$11, 100%, $F$11)</f>
        <v>27.273900000000001</v>
      </c>
      <c r="I740" s="8">
        <f>25.9939 * CHOOSE(CONTROL!$C$15, $D$11, 100%, $F$11)</f>
        <v>25.9939</v>
      </c>
      <c r="J740" s="4">
        <f>25.9028 * CHOOSE(CONTROL!$C$15, $D$11, 100%, $F$11)</f>
        <v>25.902799999999999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CONTROL!$C$32, 27.5271, 27.5237) * CHOOSE(CONTROL!$C$15, $D$11, 100%, $F$11)</f>
        <v>27.527100000000001</v>
      </c>
      <c r="C741" s="8">
        <f>CHOOSE( CONTROL!$C$32, 27.5375, 27.534) * CHOOSE(CONTROL!$C$15, $D$11, 100%, $F$11)</f>
        <v>27.537500000000001</v>
      </c>
      <c r="D741" s="8">
        <f>CHOOSE( CONTROL!$C$32, 27.5483, 27.5448) * CHOOSE( CONTROL!$C$15, $D$11, 100%, $F$11)</f>
        <v>27.548300000000001</v>
      </c>
      <c r="E741" s="12">
        <f>CHOOSE( CONTROL!$C$32, 27.5428, 27.5393) * CHOOSE( CONTROL!$C$15, $D$11, 100%, $F$11)</f>
        <v>27.5428</v>
      </c>
      <c r="F741" s="4">
        <f>CHOOSE( CONTROL!$C$32, 28.2072, 28.2038) * CHOOSE(CONTROL!$C$15, $D$11, 100%, $F$11)</f>
        <v>28.2072</v>
      </c>
      <c r="G741" s="8">
        <f>CHOOSE( CONTROL!$C$32, 27.0598, 27.0563) * CHOOSE( CONTROL!$C$15, $D$11, 100%, $F$11)</f>
        <v>27.059799999999999</v>
      </c>
      <c r="H741" s="4">
        <f>CHOOSE( CONTROL!$C$32, 27.9795, 27.9761) * CHOOSE(CONTROL!$C$15, $D$11, 100%, $F$11)</f>
        <v>27.979500000000002</v>
      </c>
      <c r="I741" s="8">
        <f>CHOOSE( CONTROL!$C$32, 26.6894, 26.686) * CHOOSE(CONTROL!$C$15, $D$11, 100%, $F$11)</f>
        <v>26.689399999999999</v>
      </c>
      <c r="J741" s="4">
        <f>CHOOSE( CONTROL!$C$32, 26.5964, 26.593) * CHOOSE(CONTROL!$C$15, $D$11, 100%, $F$11)</f>
        <v>26.596399999999999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CONTROL!$C$32, 27.085, 27.0816) * CHOOSE(CONTROL!$C$15, $D$11, 100%, $F$11)</f>
        <v>27.085000000000001</v>
      </c>
      <c r="C742" s="8">
        <f>CHOOSE( CONTROL!$C$32, 27.0954, 27.0919) * CHOOSE(CONTROL!$C$15, $D$11, 100%, $F$11)</f>
        <v>27.095400000000001</v>
      </c>
      <c r="D742" s="8">
        <f>CHOOSE( CONTROL!$C$32, 27.1065, 27.103) * CHOOSE( CONTROL!$C$15, $D$11, 100%, $F$11)</f>
        <v>27.1065</v>
      </c>
      <c r="E742" s="12">
        <f>CHOOSE( CONTROL!$C$32, 27.1009, 27.0974) * CHOOSE( CONTROL!$C$15, $D$11, 100%, $F$11)</f>
        <v>27.100899999999999</v>
      </c>
      <c r="F742" s="4">
        <f>CHOOSE( CONTROL!$C$32, 27.7651, 27.7617) * CHOOSE(CONTROL!$C$15, $D$11, 100%, $F$11)</f>
        <v>27.7651</v>
      </c>
      <c r="G742" s="8">
        <f>CHOOSE( CONTROL!$C$32, 26.6252, 26.6218) * CHOOSE( CONTROL!$C$15, $D$11, 100%, $F$11)</f>
        <v>26.6252</v>
      </c>
      <c r="H742" s="4">
        <f>CHOOSE( CONTROL!$C$32, 27.5445, 27.5411) * CHOOSE(CONTROL!$C$15, $D$11, 100%, $F$11)</f>
        <v>27.544499999999999</v>
      </c>
      <c r="I742" s="8">
        <f>CHOOSE( CONTROL!$C$32, 26.263, 26.2596) * CHOOSE(CONTROL!$C$15, $D$11, 100%, $F$11)</f>
        <v>26.263000000000002</v>
      </c>
      <c r="J742" s="4">
        <f>CHOOSE( CONTROL!$C$32, 26.1688, 26.1655) * CHOOSE(CONTROL!$C$15, $D$11, 100%, $F$11)</f>
        <v>26.168800000000001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CONTROL!$C$32, 28.2492, 28.2458) * CHOOSE(CONTROL!$C$15, $D$11, 100%, $F$11)</f>
        <v>28.249199999999998</v>
      </c>
      <c r="C743" s="8">
        <f>CHOOSE( CONTROL!$C$32, 28.2596, 28.2561) * CHOOSE(CONTROL!$C$15, $D$11, 100%, $F$11)</f>
        <v>28.259599999999999</v>
      </c>
      <c r="D743" s="8">
        <f>CHOOSE( CONTROL!$C$32, 28.271, 28.2675) * CHOOSE( CONTROL!$C$15, $D$11, 100%, $F$11)</f>
        <v>28.271000000000001</v>
      </c>
      <c r="E743" s="12">
        <f>CHOOSE( CONTROL!$C$32, 28.2653, 28.2618) * CHOOSE( CONTROL!$C$15, $D$11, 100%, $F$11)</f>
        <v>28.2653</v>
      </c>
      <c r="F743" s="4">
        <f>CHOOSE( CONTROL!$C$32, 28.9293, 28.9259) * CHOOSE(CONTROL!$C$15, $D$11, 100%, $F$11)</f>
        <v>28.929300000000001</v>
      </c>
      <c r="G743" s="8">
        <f>CHOOSE( CONTROL!$C$32, 27.7711, 27.7676) * CHOOSE( CONTROL!$C$15, $D$11, 100%, $F$11)</f>
        <v>27.771100000000001</v>
      </c>
      <c r="H743" s="4">
        <f>CHOOSE( CONTROL!$C$32, 28.6899, 28.6865) * CHOOSE(CONTROL!$C$15, $D$11, 100%, $F$11)</f>
        <v>28.689900000000002</v>
      </c>
      <c r="I743" s="8">
        <f>CHOOSE( CONTROL!$C$32, 27.3909, 27.3875) * CHOOSE(CONTROL!$C$15, $D$11, 100%, $F$11)</f>
        <v>27.390899999999998</v>
      </c>
      <c r="J743" s="4">
        <f>CHOOSE( CONTROL!$C$32, 27.2947, 27.2914) * CHOOSE(CONTROL!$C$15, $D$11, 100%, $F$11)</f>
        <v>27.294699999999999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CONTROL!$C$32, 26.0709, 26.0674) * CHOOSE(CONTROL!$C$15, $D$11, 100%, $F$11)</f>
        <v>26.070900000000002</v>
      </c>
      <c r="C744" s="8">
        <f>CHOOSE( CONTROL!$C$32, 26.0812, 26.0777) * CHOOSE(CONTROL!$C$15, $D$11, 100%, $F$11)</f>
        <v>26.081199999999999</v>
      </c>
      <c r="D744" s="8">
        <f>CHOOSE( CONTROL!$C$32, 26.0928, 26.0893) * CHOOSE( CONTROL!$C$15, $D$11, 100%, $F$11)</f>
        <v>26.0928</v>
      </c>
      <c r="E744" s="12">
        <f>CHOOSE( CONTROL!$C$32, 26.087, 26.0835) * CHOOSE( CONTROL!$C$15, $D$11, 100%, $F$11)</f>
        <v>26.087</v>
      </c>
      <c r="F744" s="4">
        <f>CHOOSE( CONTROL!$C$32, 26.751, 26.7475) * CHOOSE(CONTROL!$C$15, $D$11, 100%, $F$11)</f>
        <v>26.751000000000001</v>
      </c>
      <c r="G744" s="8">
        <f>CHOOSE( CONTROL!$C$32, 25.6281, 25.6247) * CHOOSE( CONTROL!$C$15, $D$11, 100%, $F$11)</f>
        <v>25.6281</v>
      </c>
      <c r="H744" s="4">
        <f>CHOOSE( CONTROL!$C$32, 26.5468, 26.5434) * CHOOSE(CONTROL!$C$15, $D$11, 100%, $F$11)</f>
        <v>26.546800000000001</v>
      </c>
      <c r="I744" s="8">
        <f>CHOOSE( CONTROL!$C$32, 25.2838, 25.2804) * CHOOSE(CONTROL!$C$15, $D$11, 100%, $F$11)</f>
        <v>25.283799999999999</v>
      </c>
      <c r="J744" s="4">
        <f>CHOOSE( CONTROL!$C$32, 25.188, 25.1847) * CHOOSE(CONTROL!$C$15, $D$11, 100%, $F$11)</f>
        <v>25.187999999999999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CONTROL!$C$32, 25.5254, 25.5219) * CHOOSE(CONTROL!$C$15, $D$11, 100%, $F$11)</f>
        <v>25.525400000000001</v>
      </c>
      <c r="C745" s="8">
        <f>CHOOSE( CONTROL!$C$32, 25.5357, 25.5323) * CHOOSE(CONTROL!$C$15, $D$11, 100%, $F$11)</f>
        <v>25.535699999999999</v>
      </c>
      <c r="D745" s="8">
        <f>CHOOSE( CONTROL!$C$32, 25.5473, 25.5438) * CHOOSE( CONTROL!$C$15, $D$11, 100%, $F$11)</f>
        <v>25.5473</v>
      </c>
      <c r="E745" s="12">
        <f>CHOOSE( CONTROL!$C$32, 25.5415, 25.538) * CHOOSE( CONTROL!$C$15, $D$11, 100%, $F$11)</f>
        <v>25.541499999999999</v>
      </c>
      <c r="F745" s="4">
        <f>CHOOSE( CONTROL!$C$32, 26.2055, 26.202) * CHOOSE(CONTROL!$C$15, $D$11, 100%, $F$11)</f>
        <v>26.205500000000001</v>
      </c>
      <c r="G745" s="8">
        <f>CHOOSE( CONTROL!$C$32, 25.0915, 25.0881) * CHOOSE( CONTROL!$C$15, $D$11, 100%, $F$11)</f>
        <v>25.0915</v>
      </c>
      <c r="H745" s="4">
        <f>CHOOSE( CONTROL!$C$32, 26.0101, 26.0067) * CHOOSE(CONTROL!$C$15, $D$11, 100%, $F$11)</f>
        <v>26.010100000000001</v>
      </c>
      <c r="I745" s="8">
        <f>CHOOSE( CONTROL!$C$32, 24.7562, 24.7528) * CHOOSE(CONTROL!$C$15, $D$11, 100%, $F$11)</f>
        <v>24.7562</v>
      </c>
      <c r="J745" s="4">
        <f>CHOOSE( CONTROL!$C$32, 24.6605, 24.6571) * CHOOSE(CONTROL!$C$15, $D$11, 100%, $F$11)</f>
        <v>24.660499999999999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26.6545 * CHOOSE(CONTROL!$C$15, $D$11, 100%, $F$11)</f>
        <v>26.654499999999999</v>
      </c>
      <c r="C746" s="8">
        <f>26.6649 * CHOOSE(CONTROL!$C$15, $D$11, 100%, $F$11)</f>
        <v>26.664899999999999</v>
      </c>
      <c r="D746" s="8">
        <f>26.6774 * CHOOSE( CONTROL!$C$15, $D$11, 100%, $F$11)</f>
        <v>26.677399999999999</v>
      </c>
      <c r="E746" s="12">
        <f>26.6722 * CHOOSE( CONTROL!$C$15, $D$11, 100%, $F$11)</f>
        <v>26.6722</v>
      </c>
      <c r="F746" s="4">
        <f>27.3346 * CHOOSE(CONTROL!$C$15, $D$11, 100%, $F$11)</f>
        <v>27.334599999999998</v>
      </c>
      <c r="G746" s="8">
        <f>26.202 * CHOOSE( CONTROL!$C$15, $D$11, 100%, $F$11)</f>
        <v>26.202000000000002</v>
      </c>
      <c r="H746" s="4">
        <f>27.121 * CHOOSE(CONTROL!$C$15, $D$11, 100%, $F$11)</f>
        <v>27.120999999999999</v>
      </c>
      <c r="I746" s="8">
        <f>25.8496 * CHOOSE(CONTROL!$C$15, $D$11, 100%, $F$11)</f>
        <v>25.849599999999999</v>
      </c>
      <c r="J746" s="4">
        <f>25.7525 * CHOOSE(CONTROL!$C$15, $D$11, 100%, $F$11)</f>
        <v>25.752500000000001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28.7451 * CHOOSE(CONTROL!$C$15, $D$11, 100%, $F$11)</f>
        <v>28.745100000000001</v>
      </c>
      <c r="C747" s="8">
        <f>28.7555 * CHOOSE(CONTROL!$C$15, $D$11, 100%, $F$11)</f>
        <v>28.755500000000001</v>
      </c>
      <c r="D747" s="8">
        <f>28.7404 * CHOOSE( CONTROL!$C$15, $D$11, 100%, $F$11)</f>
        <v>28.740400000000001</v>
      </c>
      <c r="E747" s="12">
        <f>28.7448 * CHOOSE( CONTROL!$C$15, $D$11, 100%, $F$11)</f>
        <v>28.744800000000001</v>
      </c>
      <c r="F747" s="4">
        <f>29.3994 * CHOOSE(CONTROL!$C$15, $D$11, 100%, $F$11)</f>
        <v>29.3994</v>
      </c>
      <c r="G747" s="8">
        <f>28.2682 * CHOOSE( CONTROL!$C$15, $D$11, 100%, $F$11)</f>
        <v>28.2682</v>
      </c>
      <c r="H747" s="4">
        <f>29.1524 * CHOOSE(CONTROL!$C$15, $D$11, 100%, $F$11)</f>
        <v>29.1524</v>
      </c>
      <c r="I747" s="8">
        <f>27.8927 * CHOOSE(CONTROL!$C$15, $D$11, 100%, $F$11)</f>
        <v>27.892700000000001</v>
      </c>
      <c r="J747" s="4">
        <f>27.7743 * CHOOSE(CONTROL!$C$15, $D$11, 100%, $F$11)</f>
        <v>27.7743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28.6929 * CHOOSE(CONTROL!$C$15, $D$11, 100%, $F$11)</f>
        <v>28.692900000000002</v>
      </c>
      <c r="C748" s="8">
        <f>28.7032 * CHOOSE(CONTROL!$C$15, $D$11, 100%, $F$11)</f>
        <v>28.703199999999999</v>
      </c>
      <c r="D748" s="8">
        <f>28.6898 * CHOOSE( CONTROL!$C$15, $D$11, 100%, $F$11)</f>
        <v>28.689800000000002</v>
      </c>
      <c r="E748" s="12">
        <f>28.6936 * CHOOSE( CONTROL!$C$15, $D$11, 100%, $F$11)</f>
        <v>28.6936</v>
      </c>
      <c r="F748" s="4">
        <f>29.3471 * CHOOSE(CONTROL!$C$15, $D$11, 100%, $F$11)</f>
        <v>29.347100000000001</v>
      </c>
      <c r="G748" s="8">
        <f>28.218 * CHOOSE( CONTROL!$C$15, $D$11, 100%, $F$11)</f>
        <v>28.218</v>
      </c>
      <c r="H748" s="4">
        <f>29.101 * CHOOSE(CONTROL!$C$15, $D$11, 100%, $F$11)</f>
        <v>29.100999999999999</v>
      </c>
      <c r="I748" s="8">
        <f>27.8475 * CHOOSE(CONTROL!$C$15, $D$11, 100%, $F$11)</f>
        <v>27.8475</v>
      </c>
      <c r="J748" s="4">
        <f>27.7238 * CHOOSE(CONTROL!$C$15, $D$11, 100%, $F$11)</f>
        <v>27.723800000000001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29.7885 * CHOOSE(CONTROL!$C$15, $D$11, 100%, $F$11)</f>
        <v>29.788499999999999</v>
      </c>
      <c r="C749" s="8">
        <f>29.7989 * CHOOSE(CONTROL!$C$15, $D$11, 100%, $F$11)</f>
        <v>29.7989</v>
      </c>
      <c r="D749" s="8">
        <f>29.7973 * CHOOSE( CONTROL!$C$15, $D$11, 100%, $F$11)</f>
        <v>29.7973</v>
      </c>
      <c r="E749" s="12">
        <f>29.7968 * CHOOSE( CONTROL!$C$15, $D$11, 100%, $F$11)</f>
        <v>29.796800000000001</v>
      </c>
      <c r="F749" s="4">
        <f>30.4712 * CHOOSE(CONTROL!$C$15, $D$11, 100%, $F$11)</f>
        <v>30.4712</v>
      </c>
      <c r="G749" s="8">
        <f>29.3084 * CHOOSE( CONTROL!$C$15, $D$11, 100%, $F$11)</f>
        <v>29.308399999999999</v>
      </c>
      <c r="H749" s="4">
        <f>30.2068 * CHOOSE(CONTROL!$C$15, $D$11, 100%, $F$11)</f>
        <v>30.206800000000001</v>
      </c>
      <c r="I749" s="8">
        <f>28.9064 * CHOOSE(CONTROL!$C$15, $D$11, 100%, $F$11)</f>
        <v>28.906400000000001</v>
      </c>
      <c r="J749" s="4">
        <f>28.7834 * CHOOSE(CONTROL!$C$15, $D$11, 100%, $F$11)</f>
        <v>28.7834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27.8644 * CHOOSE(CONTROL!$C$15, $D$11, 100%, $F$11)</f>
        <v>27.8644</v>
      </c>
      <c r="C750" s="8">
        <f>27.8748 * CHOOSE(CONTROL!$C$15, $D$11, 100%, $F$11)</f>
        <v>27.8748</v>
      </c>
      <c r="D750" s="8">
        <f>27.8753 * CHOOSE( CONTROL!$C$15, $D$11, 100%, $F$11)</f>
        <v>27.875299999999999</v>
      </c>
      <c r="E750" s="12">
        <f>27.874 * CHOOSE( CONTROL!$C$15, $D$11, 100%, $F$11)</f>
        <v>27.873999999999999</v>
      </c>
      <c r="F750" s="4">
        <f>28.5394 * CHOOSE(CONTROL!$C$15, $D$11, 100%, $F$11)</f>
        <v>28.539400000000001</v>
      </c>
      <c r="G750" s="8">
        <f>27.4152 * CHOOSE( CONTROL!$C$15, $D$11, 100%, $F$11)</f>
        <v>27.415199999999999</v>
      </c>
      <c r="H750" s="4">
        <f>28.3062 * CHOOSE(CONTROL!$C$15, $D$11, 100%, $F$11)</f>
        <v>28.3062</v>
      </c>
      <c r="I750" s="8">
        <f>27.0337 * CHOOSE(CONTROL!$C$15, $D$11, 100%, $F$11)</f>
        <v>27.0337</v>
      </c>
      <c r="J750" s="4">
        <f>26.9226 * CHOOSE(CONTROL!$C$15, $D$11, 100%, $F$11)</f>
        <v>26.922599999999999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27.2718 * CHOOSE(CONTROL!$C$15, $D$11, 100%, $F$11)</f>
        <v>27.271799999999999</v>
      </c>
      <c r="C751" s="8">
        <f>27.2821 * CHOOSE(CONTROL!$C$15, $D$11, 100%, $F$11)</f>
        <v>27.2821</v>
      </c>
      <c r="D751" s="8">
        <f>27.2773 * CHOOSE( CONTROL!$C$15, $D$11, 100%, $F$11)</f>
        <v>27.2773</v>
      </c>
      <c r="E751" s="12">
        <f>27.278 * CHOOSE( CONTROL!$C$15, $D$11, 100%, $F$11)</f>
        <v>27.277999999999999</v>
      </c>
      <c r="F751" s="4">
        <f>27.9493 * CHOOSE(CONTROL!$C$15, $D$11, 100%, $F$11)</f>
        <v>27.949300000000001</v>
      </c>
      <c r="G751" s="8">
        <f>26.8267 * CHOOSE( CONTROL!$C$15, $D$11, 100%, $F$11)</f>
        <v>26.826699999999999</v>
      </c>
      <c r="H751" s="4">
        <f>27.7258 * CHOOSE(CONTROL!$C$15, $D$11, 100%, $F$11)</f>
        <v>27.7258</v>
      </c>
      <c r="I751" s="8">
        <f>26.4484 * CHOOSE(CONTROL!$C$15, $D$11, 100%, $F$11)</f>
        <v>26.448399999999999</v>
      </c>
      <c r="J751" s="4">
        <f>26.3495 * CHOOSE(CONTROL!$C$15, $D$11, 100%, $F$11)</f>
        <v>26.349499999999999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27.6859 * CHOOSE(CONTROL!$C$15, $D$11, 100%, $F$11)</f>
        <v>27.6859</v>
      </c>
      <c r="C752" s="8">
        <f>27.6963 * CHOOSE(CONTROL!$C$15, $D$11, 100%, $F$11)</f>
        <v>27.696300000000001</v>
      </c>
      <c r="D752" s="8">
        <f>27.7075 * CHOOSE( CONTROL!$C$15, $D$11, 100%, $F$11)</f>
        <v>27.7075</v>
      </c>
      <c r="E752" s="12">
        <f>27.7026 * CHOOSE( CONTROL!$C$15, $D$11, 100%, $F$11)</f>
        <v>27.7026</v>
      </c>
      <c r="F752" s="4">
        <f>28.366 * CHOOSE(CONTROL!$C$15, $D$11, 100%, $F$11)</f>
        <v>28.366</v>
      </c>
      <c r="G752" s="8">
        <f>27.2148 * CHOOSE( CONTROL!$C$15, $D$11, 100%, $F$11)</f>
        <v>27.2148</v>
      </c>
      <c r="H752" s="4">
        <f>28.1357 * CHOOSE(CONTROL!$C$15, $D$11, 100%, $F$11)</f>
        <v>28.1357</v>
      </c>
      <c r="I752" s="8">
        <f>26.8415 * CHOOSE(CONTROL!$C$15, $D$11, 100%, $F$11)</f>
        <v>26.8415</v>
      </c>
      <c r="J752" s="4">
        <f>26.7499 * CHOOSE(CONTROL!$C$15, $D$11, 100%, $F$11)</f>
        <v>26.7499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CONTROL!$C$32, 28.4264, 28.4229) * CHOOSE(CONTROL!$C$15, $D$11, 100%, $F$11)</f>
        <v>28.426400000000001</v>
      </c>
      <c r="C753" s="8">
        <f>CHOOSE( CONTROL!$C$32, 28.4367, 28.4333) * CHOOSE(CONTROL!$C$15, $D$11, 100%, $F$11)</f>
        <v>28.436699999999998</v>
      </c>
      <c r="D753" s="8">
        <f>CHOOSE( CONTROL!$C$32, 28.4476, 28.4441) * CHOOSE( CONTROL!$C$15, $D$11, 100%, $F$11)</f>
        <v>28.447600000000001</v>
      </c>
      <c r="E753" s="12">
        <f>CHOOSE( CONTROL!$C$32, 28.4421, 28.4386) * CHOOSE( CONTROL!$C$15, $D$11, 100%, $F$11)</f>
        <v>28.4421</v>
      </c>
      <c r="F753" s="4">
        <f>CHOOSE( CONTROL!$C$32, 29.1065, 29.103) * CHOOSE(CONTROL!$C$15, $D$11, 100%, $F$11)</f>
        <v>29.1065</v>
      </c>
      <c r="G753" s="8">
        <f>CHOOSE( CONTROL!$C$32, 27.9445, 27.9411) * CHOOSE( CONTROL!$C$15, $D$11, 100%, $F$11)</f>
        <v>27.944500000000001</v>
      </c>
      <c r="H753" s="4">
        <f>CHOOSE( CONTROL!$C$32, 28.8642, 28.8608) * CHOOSE(CONTROL!$C$15, $D$11, 100%, $F$11)</f>
        <v>28.8642</v>
      </c>
      <c r="I753" s="8">
        <f>CHOOSE( CONTROL!$C$32, 27.5595, 27.5561) * CHOOSE(CONTROL!$C$15, $D$11, 100%, $F$11)</f>
        <v>27.5595</v>
      </c>
      <c r="J753" s="4">
        <f>CHOOSE( CONTROL!$C$32, 27.4661, 27.4627) * CHOOSE(CONTROL!$C$15, $D$11, 100%, $F$11)</f>
        <v>27.466100000000001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CONTROL!$C$32, 27.9698, 27.9664) * CHOOSE(CONTROL!$C$15, $D$11, 100%, $F$11)</f>
        <v>27.969799999999999</v>
      </c>
      <c r="C754" s="8">
        <f>CHOOSE( CONTROL!$C$32, 27.9802, 27.9767) * CHOOSE(CONTROL!$C$15, $D$11, 100%, $F$11)</f>
        <v>27.9802</v>
      </c>
      <c r="D754" s="8">
        <f>CHOOSE( CONTROL!$C$32, 27.9913, 27.9878) * CHOOSE( CONTROL!$C$15, $D$11, 100%, $F$11)</f>
        <v>27.991299999999999</v>
      </c>
      <c r="E754" s="12">
        <f>CHOOSE( CONTROL!$C$32, 27.9857, 27.9822) * CHOOSE( CONTROL!$C$15, $D$11, 100%, $F$11)</f>
        <v>27.985700000000001</v>
      </c>
      <c r="F754" s="4">
        <f>CHOOSE( CONTROL!$C$32, 28.65, 28.6465) * CHOOSE(CONTROL!$C$15, $D$11, 100%, $F$11)</f>
        <v>28.65</v>
      </c>
      <c r="G754" s="8">
        <f>CHOOSE( CONTROL!$C$32, 27.4957, 27.4923) * CHOOSE( CONTROL!$C$15, $D$11, 100%, $F$11)</f>
        <v>27.495699999999999</v>
      </c>
      <c r="H754" s="4">
        <f>CHOOSE( CONTROL!$C$32, 28.415, 28.4116) * CHOOSE(CONTROL!$C$15, $D$11, 100%, $F$11)</f>
        <v>28.414999999999999</v>
      </c>
      <c r="I754" s="8">
        <f>CHOOSE( CONTROL!$C$32, 27.1191, 27.1157) * CHOOSE(CONTROL!$C$15, $D$11, 100%, $F$11)</f>
        <v>27.1191</v>
      </c>
      <c r="J754" s="4">
        <f>CHOOSE( CONTROL!$C$32, 27.0245, 27.0212) * CHOOSE(CONTROL!$C$15, $D$11, 100%, $F$11)</f>
        <v>27.0245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CONTROL!$C$32, 29.1721, 29.1687) * CHOOSE(CONTROL!$C$15, $D$11, 100%, $F$11)</f>
        <v>29.1721</v>
      </c>
      <c r="C755" s="8">
        <f>CHOOSE( CONTROL!$C$32, 29.1825, 29.179) * CHOOSE(CONTROL!$C$15, $D$11, 100%, $F$11)</f>
        <v>29.182500000000001</v>
      </c>
      <c r="D755" s="8">
        <f>CHOOSE( CONTROL!$C$32, 29.1939, 29.1904) * CHOOSE( CONTROL!$C$15, $D$11, 100%, $F$11)</f>
        <v>29.193899999999999</v>
      </c>
      <c r="E755" s="12">
        <f>CHOOSE( CONTROL!$C$32, 29.1882, 29.1847) * CHOOSE( CONTROL!$C$15, $D$11, 100%, $F$11)</f>
        <v>29.188199999999998</v>
      </c>
      <c r="F755" s="4">
        <f>CHOOSE( CONTROL!$C$32, 29.8522, 29.8488) * CHOOSE(CONTROL!$C$15, $D$11, 100%, $F$11)</f>
        <v>29.8522</v>
      </c>
      <c r="G755" s="8">
        <f>CHOOSE( CONTROL!$C$32, 28.679, 28.6756) * CHOOSE( CONTROL!$C$15, $D$11, 100%, $F$11)</f>
        <v>28.678999999999998</v>
      </c>
      <c r="H755" s="4">
        <f>CHOOSE( CONTROL!$C$32, 29.5979, 29.5945) * CHOOSE(CONTROL!$C$15, $D$11, 100%, $F$11)</f>
        <v>29.597899999999999</v>
      </c>
      <c r="I755" s="8">
        <f>CHOOSE( CONTROL!$C$32, 28.2838, 28.2805) * CHOOSE(CONTROL!$C$15, $D$11, 100%, $F$11)</f>
        <v>28.283799999999999</v>
      </c>
      <c r="J755" s="4">
        <f>CHOOSE( CONTROL!$C$32, 28.1873, 28.1839) * CHOOSE(CONTROL!$C$15, $D$11, 100%, $F$11)</f>
        <v>28.1873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CONTROL!$C$32, 26.9225, 26.9191) * CHOOSE(CONTROL!$C$15, $D$11, 100%, $F$11)</f>
        <v>26.922499999999999</v>
      </c>
      <c r="C756" s="8">
        <f>CHOOSE( CONTROL!$C$32, 26.9329, 26.9294) * CHOOSE(CONTROL!$C$15, $D$11, 100%, $F$11)</f>
        <v>26.9329</v>
      </c>
      <c r="D756" s="8">
        <f>CHOOSE( CONTROL!$C$32, 26.9444, 26.9409) * CHOOSE( CONTROL!$C$15, $D$11, 100%, $F$11)</f>
        <v>26.944400000000002</v>
      </c>
      <c r="E756" s="12">
        <f>CHOOSE( CONTROL!$C$32, 26.9386, 26.9352) * CHOOSE( CONTROL!$C$15, $D$11, 100%, $F$11)</f>
        <v>26.938600000000001</v>
      </c>
      <c r="F756" s="4">
        <f>CHOOSE( CONTROL!$C$32, 27.6026, 27.5992) * CHOOSE(CONTROL!$C$15, $D$11, 100%, $F$11)</f>
        <v>27.602599999999999</v>
      </c>
      <c r="G756" s="8">
        <f>CHOOSE( CONTROL!$C$32, 26.466, 26.4626) * CHOOSE( CONTROL!$C$15, $D$11, 100%, $F$11)</f>
        <v>26.466000000000001</v>
      </c>
      <c r="H756" s="4">
        <f>CHOOSE( CONTROL!$C$32, 27.3847, 27.3813) * CHOOSE(CONTROL!$C$15, $D$11, 100%, $F$11)</f>
        <v>27.384699999999999</v>
      </c>
      <c r="I756" s="8">
        <f>CHOOSE( CONTROL!$C$32, 26.1078, 26.1045) * CHOOSE(CONTROL!$C$15, $D$11, 100%, $F$11)</f>
        <v>26.107800000000001</v>
      </c>
      <c r="J756" s="4">
        <f>CHOOSE( CONTROL!$C$32, 26.0117, 26.0083) * CHOOSE(CONTROL!$C$15, $D$11, 100%, $F$11)</f>
        <v>26.011700000000001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CONTROL!$C$32, 26.3592, 26.3557) * CHOOSE(CONTROL!$C$15, $D$11, 100%, $F$11)</f>
        <v>26.359200000000001</v>
      </c>
      <c r="C757" s="8">
        <f>CHOOSE( CONTROL!$C$32, 26.3695, 26.3661) * CHOOSE(CONTROL!$C$15, $D$11, 100%, $F$11)</f>
        <v>26.369499999999999</v>
      </c>
      <c r="D757" s="8">
        <f>CHOOSE( CONTROL!$C$32, 26.3811, 26.3776) * CHOOSE( CONTROL!$C$15, $D$11, 100%, $F$11)</f>
        <v>26.3811</v>
      </c>
      <c r="E757" s="12">
        <f>CHOOSE( CONTROL!$C$32, 26.3753, 26.3718) * CHOOSE( CONTROL!$C$15, $D$11, 100%, $F$11)</f>
        <v>26.375299999999999</v>
      </c>
      <c r="F757" s="4">
        <f>CHOOSE( CONTROL!$C$32, 27.0393, 27.0358) * CHOOSE(CONTROL!$C$15, $D$11, 100%, $F$11)</f>
        <v>27.039300000000001</v>
      </c>
      <c r="G757" s="8">
        <f>CHOOSE( CONTROL!$C$32, 25.9119, 25.9084) * CHOOSE( CONTROL!$C$15, $D$11, 100%, $F$11)</f>
        <v>25.911899999999999</v>
      </c>
      <c r="H757" s="4">
        <f>CHOOSE( CONTROL!$C$32, 26.8305, 26.827) * CHOOSE(CONTROL!$C$15, $D$11, 100%, $F$11)</f>
        <v>26.830500000000001</v>
      </c>
      <c r="I757" s="8">
        <f>CHOOSE( CONTROL!$C$32, 25.563, 25.5596) * CHOOSE(CONTROL!$C$15, $D$11, 100%, $F$11)</f>
        <v>25.562999999999999</v>
      </c>
      <c r="J757" s="4">
        <f>CHOOSE( CONTROL!$C$32, 25.4669, 25.4635) * CHOOSE(CONTROL!$C$15, $D$11, 100%, $F$11)</f>
        <v>25.466899999999999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27.5254 * CHOOSE(CONTROL!$C$15, $D$11, 100%, $F$11)</f>
        <v>27.525400000000001</v>
      </c>
      <c r="C758" s="8">
        <f>27.5357 * CHOOSE(CONTROL!$C$15, $D$11, 100%, $F$11)</f>
        <v>27.535699999999999</v>
      </c>
      <c r="D758" s="8">
        <f>27.5483 * CHOOSE( CONTROL!$C$15, $D$11, 100%, $F$11)</f>
        <v>27.548300000000001</v>
      </c>
      <c r="E758" s="12">
        <f>27.543 * CHOOSE( CONTROL!$C$15, $D$11, 100%, $F$11)</f>
        <v>27.542999999999999</v>
      </c>
      <c r="F758" s="4">
        <f>28.2055 * CHOOSE(CONTROL!$C$15, $D$11, 100%, $F$11)</f>
        <v>28.205500000000001</v>
      </c>
      <c r="G758" s="8">
        <f>27.0587 * CHOOSE( CONTROL!$C$15, $D$11, 100%, $F$11)</f>
        <v>27.058700000000002</v>
      </c>
      <c r="H758" s="4">
        <f>27.9778 * CHOOSE(CONTROL!$C$15, $D$11, 100%, $F$11)</f>
        <v>27.977799999999998</v>
      </c>
      <c r="I758" s="8">
        <f>26.6922 * CHOOSE(CONTROL!$C$15, $D$11, 100%, $F$11)</f>
        <v>26.6922</v>
      </c>
      <c r="J758" s="4">
        <f>26.5947 * CHOOSE(CONTROL!$C$15, $D$11, 100%, $F$11)</f>
        <v>26.5947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29.6843 * CHOOSE(CONTROL!$C$15, $D$11, 100%, $F$11)</f>
        <v>29.6843</v>
      </c>
      <c r="C759" s="8">
        <f>29.6947 * CHOOSE(CONTROL!$C$15, $D$11, 100%, $F$11)</f>
        <v>29.694700000000001</v>
      </c>
      <c r="D759" s="8">
        <f>29.6796 * CHOOSE( CONTROL!$C$15, $D$11, 100%, $F$11)</f>
        <v>29.679600000000001</v>
      </c>
      <c r="E759" s="12">
        <f>29.684 * CHOOSE( CONTROL!$C$15, $D$11, 100%, $F$11)</f>
        <v>29.684000000000001</v>
      </c>
      <c r="F759" s="4">
        <f>30.3386 * CHOOSE(CONTROL!$C$15, $D$11, 100%, $F$11)</f>
        <v>30.3386</v>
      </c>
      <c r="G759" s="8">
        <f>29.1922 * CHOOSE( CONTROL!$C$15, $D$11, 100%, $F$11)</f>
        <v>29.1922</v>
      </c>
      <c r="H759" s="4">
        <f>30.0764 * CHOOSE(CONTROL!$C$15, $D$11, 100%, $F$11)</f>
        <v>30.0764</v>
      </c>
      <c r="I759" s="8">
        <f>28.8015 * CHOOSE(CONTROL!$C$15, $D$11, 100%, $F$11)</f>
        <v>28.801500000000001</v>
      </c>
      <c r="J759" s="4">
        <f>28.6826 * CHOOSE(CONTROL!$C$15, $D$11, 100%, $F$11)</f>
        <v>28.682600000000001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29.6304 * CHOOSE(CONTROL!$C$15, $D$11, 100%, $F$11)</f>
        <v>29.630400000000002</v>
      </c>
      <c r="C760" s="8">
        <f>29.6407 * CHOOSE(CONTROL!$C$15, $D$11, 100%, $F$11)</f>
        <v>29.640699999999999</v>
      </c>
      <c r="D760" s="8">
        <f>29.6273 * CHOOSE( CONTROL!$C$15, $D$11, 100%, $F$11)</f>
        <v>29.627300000000002</v>
      </c>
      <c r="E760" s="12">
        <f>29.6311 * CHOOSE( CONTROL!$C$15, $D$11, 100%, $F$11)</f>
        <v>29.6311</v>
      </c>
      <c r="F760" s="4">
        <f>30.2847 * CHOOSE(CONTROL!$C$15, $D$11, 100%, $F$11)</f>
        <v>30.284700000000001</v>
      </c>
      <c r="G760" s="8">
        <f>29.1403 * CHOOSE( CONTROL!$C$15, $D$11, 100%, $F$11)</f>
        <v>29.1403</v>
      </c>
      <c r="H760" s="4">
        <f>30.0233 * CHOOSE(CONTROL!$C$15, $D$11, 100%, $F$11)</f>
        <v>30.023299999999999</v>
      </c>
      <c r="I760" s="8">
        <f>28.7546 * CHOOSE(CONTROL!$C$15, $D$11, 100%, $F$11)</f>
        <v>28.7546</v>
      </c>
      <c r="J760" s="4">
        <f>28.6305 * CHOOSE(CONTROL!$C$15, $D$11, 100%, $F$11)</f>
        <v>28.630500000000001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30.7619 * CHOOSE(CONTROL!$C$15, $D$11, 100%, $F$11)</f>
        <v>30.761900000000001</v>
      </c>
      <c r="C761" s="8">
        <f>30.7722 * CHOOSE(CONTROL!$C$15, $D$11, 100%, $F$11)</f>
        <v>30.772200000000002</v>
      </c>
      <c r="D761" s="8">
        <f>30.7706 * CHOOSE( CONTROL!$C$15, $D$11, 100%, $F$11)</f>
        <v>30.770600000000002</v>
      </c>
      <c r="E761" s="12">
        <f>30.7701 * CHOOSE( CONTROL!$C$15, $D$11, 100%, $F$11)</f>
        <v>30.770099999999999</v>
      </c>
      <c r="F761" s="4">
        <f>31.4446 * CHOOSE(CONTROL!$C$15, $D$11, 100%, $F$11)</f>
        <v>31.444600000000001</v>
      </c>
      <c r="G761" s="8">
        <f>30.266 * CHOOSE( CONTROL!$C$15, $D$11, 100%, $F$11)</f>
        <v>30.265999999999998</v>
      </c>
      <c r="H761" s="4">
        <f>31.1645 * CHOOSE(CONTROL!$C$15, $D$11, 100%, $F$11)</f>
        <v>31.1645</v>
      </c>
      <c r="I761" s="8">
        <f>29.8482 * CHOOSE(CONTROL!$C$15, $D$11, 100%, $F$11)</f>
        <v>29.848199999999999</v>
      </c>
      <c r="J761" s="4">
        <f>29.7247 * CHOOSE(CONTROL!$C$15, $D$11, 100%, $F$11)</f>
        <v>29.724699999999999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28.7748 * CHOOSE(CONTROL!$C$15, $D$11, 100%, $F$11)</f>
        <v>28.774799999999999</v>
      </c>
      <c r="C762" s="8">
        <f>28.7852 * CHOOSE(CONTROL!$C$15, $D$11, 100%, $F$11)</f>
        <v>28.7852</v>
      </c>
      <c r="D762" s="8">
        <f>28.7857 * CHOOSE( CONTROL!$C$15, $D$11, 100%, $F$11)</f>
        <v>28.785699999999999</v>
      </c>
      <c r="E762" s="12">
        <f>28.7844 * CHOOSE( CONTROL!$C$15, $D$11, 100%, $F$11)</f>
        <v>28.784400000000002</v>
      </c>
      <c r="F762" s="4">
        <f>29.4498 * CHOOSE(CONTROL!$C$15, $D$11, 100%, $F$11)</f>
        <v>29.4498</v>
      </c>
      <c r="G762" s="8">
        <f>28.3109 * CHOOSE( CONTROL!$C$15, $D$11, 100%, $F$11)</f>
        <v>28.3109</v>
      </c>
      <c r="H762" s="4">
        <f>29.2019 * CHOOSE(CONTROL!$C$15, $D$11, 100%, $F$11)</f>
        <v>29.201899999999998</v>
      </c>
      <c r="I762" s="8">
        <f>27.9146 * CHOOSE(CONTROL!$C$15, $D$11, 100%, $F$11)</f>
        <v>27.9146</v>
      </c>
      <c r="J762" s="4">
        <f>27.803 * CHOOSE(CONTROL!$C$15, $D$11, 100%, $F$11)</f>
        <v>27.803000000000001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28.1628 * CHOOSE(CONTROL!$C$15, $D$11, 100%, $F$11)</f>
        <v>28.162800000000001</v>
      </c>
      <c r="C763" s="8">
        <f>28.1732 * CHOOSE(CONTROL!$C$15, $D$11, 100%, $F$11)</f>
        <v>28.173200000000001</v>
      </c>
      <c r="D763" s="8">
        <f>28.1684 * CHOOSE( CONTROL!$C$15, $D$11, 100%, $F$11)</f>
        <v>28.168399999999998</v>
      </c>
      <c r="E763" s="12">
        <f>28.169 * CHOOSE( CONTROL!$C$15, $D$11, 100%, $F$11)</f>
        <v>28.169</v>
      </c>
      <c r="F763" s="4">
        <f>28.8404 * CHOOSE(CONTROL!$C$15, $D$11, 100%, $F$11)</f>
        <v>28.840399999999999</v>
      </c>
      <c r="G763" s="8">
        <f>27.7034 * CHOOSE( CONTROL!$C$15, $D$11, 100%, $F$11)</f>
        <v>27.703399999999998</v>
      </c>
      <c r="H763" s="4">
        <f>28.6024 * CHOOSE(CONTROL!$C$15, $D$11, 100%, $F$11)</f>
        <v>28.602399999999999</v>
      </c>
      <c r="I763" s="8">
        <f>27.3106 * CHOOSE(CONTROL!$C$15, $D$11, 100%, $F$11)</f>
        <v>27.310600000000001</v>
      </c>
      <c r="J763" s="4">
        <f>27.2112 * CHOOSE(CONTROL!$C$15, $D$11, 100%, $F$11)</f>
        <v>27.211200000000002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28.5905 * CHOOSE(CONTROL!$C$15, $D$11, 100%, $F$11)</f>
        <v>28.590499999999999</v>
      </c>
      <c r="C764" s="8">
        <f>28.6008 * CHOOSE(CONTROL!$C$15, $D$11, 100%, $F$11)</f>
        <v>28.6008</v>
      </c>
      <c r="D764" s="8">
        <f>28.6121 * CHOOSE( CONTROL!$C$15, $D$11, 100%, $F$11)</f>
        <v>28.612100000000002</v>
      </c>
      <c r="E764" s="12">
        <f>28.6072 * CHOOSE( CONTROL!$C$15, $D$11, 100%, $F$11)</f>
        <v>28.607199999999999</v>
      </c>
      <c r="F764" s="4">
        <f>29.2706 * CHOOSE(CONTROL!$C$15, $D$11, 100%, $F$11)</f>
        <v>29.270600000000002</v>
      </c>
      <c r="G764" s="8">
        <f>28.1047 * CHOOSE( CONTROL!$C$15, $D$11, 100%, $F$11)</f>
        <v>28.104700000000001</v>
      </c>
      <c r="H764" s="4">
        <f>29.0257 * CHOOSE(CONTROL!$C$15, $D$11, 100%, $F$11)</f>
        <v>29.025700000000001</v>
      </c>
      <c r="I764" s="8">
        <f>27.7167 * CHOOSE(CONTROL!$C$15, $D$11, 100%, $F$11)</f>
        <v>27.716699999999999</v>
      </c>
      <c r="J764" s="4">
        <f>27.6248 * CHOOSE(CONTROL!$C$15, $D$11, 100%, $F$11)</f>
        <v>27.6248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CONTROL!$C$32, 29.3551, 29.3516) * CHOOSE(CONTROL!$C$15, $D$11, 100%, $F$11)</f>
        <v>29.3551</v>
      </c>
      <c r="C765" s="8">
        <f>CHOOSE( CONTROL!$C$32, 29.3654, 29.362) * CHOOSE(CONTROL!$C$15, $D$11, 100%, $F$11)</f>
        <v>29.365400000000001</v>
      </c>
      <c r="D765" s="8">
        <f>CHOOSE( CONTROL!$C$32, 29.3762, 29.3728) * CHOOSE( CONTROL!$C$15, $D$11, 100%, $F$11)</f>
        <v>29.376200000000001</v>
      </c>
      <c r="E765" s="12">
        <f>CHOOSE( CONTROL!$C$32, 29.3707, 29.3673) * CHOOSE( CONTROL!$C$15, $D$11, 100%, $F$11)</f>
        <v>29.370699999999999</v>
      </c>
      <c r="F765" s="4">
        <f>CHOOSE( CONTROL!$C$32, 30.0352, 30.0317) * CHOOSE(CONTROL!$C$15, $D$11, 100%, $F$11)</f>
        <v>30.0352</v>
      </c>
      <c r="G765" s="8">
        <f>CHOOSE( CONTROL!$C$32, 28.8581, 28.8547) * CHOOSE( CONTROL!$C$15, $D$11, 100%, $F$11)</f>
        <v>28.8581</v>
      </c>
      <c r="H765" s="4">
        <f>CHOOSE( CONTROL!$C$32, 29.7779, 29.7745) * CHOOSE(CONTROL!$C$15, $D$11, 100%, $F$11)</f>
        <v>29.777899999999999</v>
      </c>
      <c r="I765" s="8">
        <f>CHOOSE( CONTROL!$C$32, 28.4581, 28.4547) * CHOOSE(CONTROL!$C$15, $D$11, 100%, $F$11)</f>
        <v>28.458100000000002</v>
      </c>
      <c r="J765" s="4">
        <f>CHOOSE( CONTROL!$C$32, 28.3642, 28.3608) * CHOOSE(CONTROL!$C$15, $D$11, 100%, $F$11)</f>
        <v>28.3642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CONTROL!$C$32, 28.8836, 28.8801) * CHOOSE(CONTROL!$C$15, $D$11, 100%, $F$11)</f>
        <v>28.883600000000001</v>
      </c>
      <c r="C766" s="8">
        <f>CHOOSE( CONTROL!$C$32, 28.8939, 28.8905) * CHOOSE(CONTROL!$C$15, $D$11, 100%, $F$11)</f>
        <v>28.893899999999999</v>
      </c>
      <c r="D766" s="8">
        <f>CHOOSE( CONTROL!$C$32, 28.905, 28.9016) * CHOOSE( CONTROL!$C$15, $D$11, 100%, $F$11)</f>
        <v>28.905000000000001</v>
      </c>
      <c r="E766" s="12">
        <f>CHOOSE( CONTROL!$C$32, 28.8994, 28.896) * CHOOSE( CONTROL!$C$15, $D$11, 100%, $F$11)</f>
        <v>28.8994</v>
      </c>
      <c r="F766" s="4">
        <f>CHOOSE( CONTROL!$C$32, 29.5637, 29.5602) * CHOOSE(CONTROL!$C$15, $D$11, 100%, $F$11)</f>
        <v>29.563700000000001</v>
      </c>
      <c r="G766" s="8">
        <f>CHOOSE( CONTROL!$C$32, 28.3947, 28.3913) * CHOOSE( CONTROL!$C$15, $D$11, 100%, $F$11)</f>
        <v>28.3947</v>
      </c>
      <c r="H766" s="4">
        <f>CHOOSE( CONTROL!$C$32, 29.314, 29.3106) * CHOOSE(CONTROL!$C$15, $D$11, 100%, $F$11)</f>
        <v>29.314</v>
      </c>
      <c r="I766" s="8">
        <f>CHOOSE( CONTROL!$C$32, 28.0032, 27.9999) * CHOOSE(CONTROL!$C$15, $D$11, 100%, $F$11)</f>
        <v>28.0032</v>
      </c>
      <c r="J766" s="4">
        <f>CHOOSE( CONTROL!$C$32, 27.9082, 27.9049) * CHOOSE(CONTROL!$C$15, $D$11, 100%, $F$11)</f>
        <v>27.908200000000001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CONTROL!$C$32, 30.1252, 30.1217) * CHOOSE(CONTROL!$C$15, $D$11, 100%, $F$11)</f>
        <v>30.1252</v>
      </c>
      <c r="C767" s="8">
        <f>CHOOSE( CONTROL!$C$32, 30.1355, 30.1321) * CHOOSE(CONTROL!$C$15, $D$11, 100%, $F$11)</f>
        <v>30.1355</v>
      </c>
      <c r="D767" s="8">
        <f>CHOOSE( CONTROL!$C$32, 30.1469, 30.1435) * CHOOSE( CONTROL!$C$15, $D$11, 100%, $F$11)</f>
        <v>30.146899999999999</v>
      </c>
      <c r="E767" s="12">
        <f>CHOOSE( CONTROL!$C$32, 30.1412, 30.1378) * CHOOSE( CONTROL!$C$15, $D$11, 100%, $F$11)</f>
        <v>30.141200000000001</v>
      </c>
      <c r="F767" s="4">
        <f>CHOOSE( CONTROL!$C$32, 30.8053, 30.8018) * CHOOSE(CONTROL!$C$15, $D$11, 100%, $F$11)</f>
        <v>30.805299999999999</v>
      </c>
      <c r="G767" s="8">
        <f>CHOOSE( CONTROL!$C$32, 29.6167, 29.6133) * CHOOSE( CONTROL!$C$15, $D$11, 100%, $F$11)</f>
        <v>29.616700000000002</v>
      </c>
      <c r="H767" s="4">
        <f>CHOOSE( CONTROL!$C$32, 30.5355, 30.5321) * CHOOSE(CONTROL!$C$15, $D$11, 100%, $F$11)</f>
        <v>30.535499999999999</v>
      </c>
      <c r="I767" s="8">
        <f>CHOOSE( CONTROL!$C$32, 29.206, 29.2027) * CHOOSE(CONTROL!$C$15, $D$11, 100%, $F$11)</f>
        <v>29.206</v>
      </c>
      <c r="J767" s="4">
        <f>CHOOSE( CONTROL!$C$32, 29.109, 29.1056) * CHOOSE(CONTROL!$C$15, $D$11, 100%, $F$11)</f>
        <v>29.109000000000002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CONTROL!$C$32, 27.802, 27.7986) * CHOOSE(CONTROL!$C$15, $D$11, 100%, $F$11)</f>
        <v>27.802</v>
      </c>
      <c r="C768" s="8">
        <f>CHOOSE( CONTROL!$C$32, 27.8124, 27.8089) * CHOOSE(CONTROL!$C$15, $D$11, 100%, $F$11)</f>
        <v>27.8124</v>
      </c>
      <c r="D768" s="8">
        <f>CHOOSE( CONTROL!$C$32, 27.8239, 27.8204) * CHOOSE( CONTROL!$C$15, $D$11, 100%, $F$11)</f>
        <v>27.823899999999998</v>
      </c>
      <c r="E768" s="12">
        <f>CHOOSE( CONTROL!$C$32, 27.8181, 27.8147) * CHOOSE( CONTROL!$C$15, $D$11, 100%, $F$11)</f>
        <v>27.818100000000001</v>
      </c>
      <c r="F768" s="4">
        <f>CHOOSE( CONTROL!$C$32, 28.4821, 28.4787) * CHOOSE(CONTROL!$C$15, $D$11, 100%, $F$11)</f>
        <v>28.482099999999999</v>
      </c>
      <c r="G768" s="8">
        <f>CHOOSE( CONTROL!$C$32, 27.3313, 27.3279) * CHOOSE( CONTROL!$C$15, $D$11, 100%, $F$11)</f>
        <v>27.331299999999999</v>
      </c>
      <c r="H768" s="4">
        <f>CHOOSE( CONTROL!$C$32, 28.2499, 28.2465) * CHOOSE(CONTROL!$C$15, $D$11, 100%, $F$11)</f>
        <v>28.2499</v>
      </c>
      <c r="I768" s="8">
        <f>CHOOSE( CONTROL!$C$32, 26.9588, 26.9555) * CHOOSE(CONTROL!$C$15, $D$11, 100%, $F$11)</f>
        <v>26.9588</v>
      </c>
      <c r="J768" s="4">
        <f>CHOOSE( CONTROL!$C$32, 26.8622, 26.8589) * CHOOSE(CONTROL!$C$15, $D$11, 100%, $F$11)</f>
        <v>26.862200000000001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CONTROL!$C$32, 27.2203, 27.2168) * CHOOSE(CONTROL!$C$15, $D$11, 100%, $F$11)</f>
        <v>27.220300000000002</v>
      </c>
      <c r="C769" s="8">
        <f>CHOOSE( CONTROL!$C$32, 27.2306, 27.2271) * CHOOSE(CONTROL!$C$15, $D$11, 100%, $F$11)</f>
        <v>27.230599999999999</v>
      </c>
      <c r="D769" s="8">
        <f>CHOOSE( CONTROL!$C$32, 27.2422, 27.2387) * CHOOSE( CONTROL!$C$15, $D$11, 100%, $F$11)</f>
        <v>27.2422</v>
      </c>
      <c r="E769" s="12">
        <f>CHOOSE( CONTROL!$C$32, 27.2364, 27.2329) * CHOOSE( CONTROL!$C$15, $D$11, 100%, $F$11)</f>
        <v>27.2364</v>
      </c>
      <c r="F769" s="4">
        <f>CHOOSE( CONTROL!$C$32, 27.9004, 27.8969) * CHOOSE(CONTROL!$C$15, $D$11, 100%, $F$11)</f>
        <v>27.900400000000001</v>
      </c>
      <c r="G769" s="8">
        <f>CHOOSE( CONTROL!$C$32, 26.759, 26.7556) * CHOOSE( CONTROL!$C$15, $D$11, 100%, $F$11)</f>
        <v>26.759</v>
      </c>
      <c r="H769" s="4">
        <f>CHOOSE( CONTROL!$C$32, 27.6776, 27.6742) * CHOOSE(CONTROL!$C$15, $D$11, 100%, $F$11)</f>
        <v>27.677600000000002</v>
      </c>
      <c r="I769" s="8">
        <f>CHOOSE( CONTROL!$C$32, 26.3961, 26.3928) * CHOOSE(CONTROL!$C$15, $D$11, 100%, $F$11)</f>
        <v>26.396100000000001</v>
      </c>
      <c r="J769" s="4">
        <f>CHOOSE( CONTROL!$C$32, 26.2996, 26.2963) * CHOOSE(CONTROL!$C$15, $D$11, 100%, $F$11)</f>
        <v>26.299600000000002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28.4247 * CHOOSE(CONTROL!$C$15, $D$11, 100%, $F$11)</f>
        <v>28.424700000000001</v>
      </c>
      <c r="C770" s="8">
        <f>28.4351 * CHOOSE(CONTROL!$C$15, $D$11, 100%, $F$11)</f>
        <v>28.435099999999998</v>
      </c>
      <c r="D770" s="8">
        <f>28.4476 * CHOOSE( CONTROL!$C$15, $D$11, 100%, $F$11)</f>
        <v>28.447600000000001</v>
      </c>
      <c r="E770" s="12">
        <f>28.4424 * CHOOSE( CONTROL!$C$15, $D$11, 100%, $F$11)</f>
        <v>28.442399999999999</v>
      </c>
      <c r="F770" s="4">
        <f>29.1048 * CHOOSE(CONTROL!$C$15, $D$11, 100%, $F$11)</f>
        <v>29.104800000000001</v>
      </c>
      <c r="G770" s="8">
        <f>27.9435 * CHOOSE( CONTROL!$C$15, $D$11, 100%, $F$11)</f>
        <v>27.9435</v>
      </c>
      <c r="H770" s="4">
        <f>28.8626 * CHOOSE(CONTROL!$C$15, $D$11, 100%, $F$11)</f>
        <v>28.8626</v>
      </c>
      <c r="I770" s="8">
        <f>27.5624 * CHOOSE(CONTROL!$C$15, $D$11, 100%, $F$11)</f>
        <v>27.5624</v>
      </c>
      <c r="J770" s="4">
        <f>27.4644 * CHOOSE(CONTROL!$C$15, $D$11, 100%, $F$11)</f>
        <v>27.464400000000001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30.6543 * CHOOSE(CONTROL!$C$15, $D$11, 100%, $F$11)</f>
        <v>30.654299999999999</v>
      </c>
      <c r="C771" s="8">
        <f>30.6646 * CHOOSE(CONTROL!$C$15, $D$11, 100%, $F$11)</f>
        <v>30.6646</v>
      </c>
      <c r="D771" s="8">
        <f>30.6496 * CHOOSE( CONTROL!$C$15, $D$11, 100%, $F$11)</f>
        <v>30.6496</v>
      </c>
      <c r="E771" s="12">
        <f>30.654 * CHOOSE( CONTROL!$C$15, $D$11, 100%, $F$11)</f>
        <v>30.654</v>
      </c>
      <c r="F771" s="4">
        <f>31.3085 * CHOOSE(CONTROL!$C$15, $D$11, 100%, $F$11)</f>
        <v>31.308499999999999</v>
      </c>
      <c r="G771" s="8">
        <f>30.1464 * CHOOSE( CONTROL!$C$15, $D$11, 100%, $F$11)</f>
        <v>30.1464</v>
      </c>
      <c r="H771" s="4">
        <f>31.0306 * CHOOSE(CONTROL!$C$15, $D$11, 100%, $F$11)</f>
        <v>31.0306</v>
      </c>
      <c r="I771" s="8">
        <f>29.74 * CHOOSE(CONTROL!$C$15, $D$11, 100%, $F$11)</f>
        <v>29.74</v>
      </c>
      <c r="J771" s="4">
        <f>29.6207 * CHOOSE(CONTROL!$C$15, $D$11, 100%, $F$11)</f>
        <v>29.620699999999999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30.5986 * CHOOSE(CONTROL!$C$15, $D$11, 100%, $F$11)</f>
        <v>30.598600000000001</v>
      </c>
      <c r="C772" s="8">
        <f>30.6089 * CHOOSE(CONTROL!$C$15, $D$11, 100%, $F$11)</f>
        <v>30.608899999999998</v>
      </c>
      <c r="D772" s="8">
        <f>30.5955 * CHOOSE( CONTROL!$C$15, $D$11, 100%, $F$11)</f>
        <v>30.595500000000001</v>
      </c>
      <c r="E772" s="12">
        <f>30.5993 * CHOOSE( CONTROL!$C$15, $D$11, 100%, $F$11)</f>
        <v>30.599299999999999</v>
      </c>
      <c r="F772" s="4">
        <f>31.2528 * CHOOSE(CONTROL!$C$15, $D$11, 100%, $F$11)</f>
        <v>31.252800000000001</v>
      </c>
      <c r="G772" s="8">
        <f>30.0928 * CHOOSE( CONTROL!$C$15, $D$11, 100%, $F$11)</f>
        <v>30.0928</v>
      </c>
      <c r="H772" s="4">
        <f>30.9758 * CHOOSE(CONTROL!$C$15, $D$11, 100%, $F$11)</f>
        <v>30.9758</v>
      </c>
      <c r="I772" s="8">
        <f>29.6914 * CHOOSE(CONTROL!$C$15, $D$11, 100%, $F$11)</f>
        <v>29.691400000000002</v>
      </c>
      <c r="J772" s="4">
        <f>29.5668 * CHOOSE(CONTROL!$C$15, $D$11, 100%, $F$11)</f>
        <v>29.566800000000001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31.767 * CHOOSE(CONTROL!$C$15, $D$11, 100%, $F$11)</f>
        <v>31.766999999999999</v>
      </c>
      <c r="C773" s="8">
        <f>31.7774 * CHOOSE(CONTROL!$C$15, $D$11, 100%, $F$11)</f>
        <v>31.7774</v>
      </c>
      <c r="D773" s="8">
        <f>31.7758 * CHOOSE( CONTROL!$C$15, $D$11, 100%, $F$11)</f>
        <v>31.7758</v>
      </c>
      <c r="E773" s="12">
        <f>31.7753 * CHOOSE( CONTROL!$C$15, $D$11, 100%, $F$11)</f>
        <v>31.775300000000001</v>
      </c>
      <c r="F773" s="4">
        <f>32.4497 * CHOOSE(CONTROL!$C$15, $D$11, 100%, $F$11)</f>
        <v>32.4497</v>
      </c>
      <c r="G773" s="8">
        <f>31.255 * CHOOSE( CONTROL!$C$15, $D$11, 100%, $F$11)</f>
        <v>31.254999999999999</v>
      </c>
      <c r="H773" s="4">
        <f>32.1534 * CHOOSE(CONTROL!$C$15, $D$11, 100%, $F$11)</f>
        <v>32.153399999999998</v>
      </c>
      <c r="I773" s="8">
        <f>30.8207 * CHOOSE(CONTROL!$C$15, $D$11, 100%, $F$11)</f>
        <v>30.820699999999999</v>
      </c>
      <c r="J773" s="4">
        <f>30.6968 * CHOOSE(CONTROL!$C$15, $D$11, 100%, $F$11)</f>
        <v>30.6968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29.715 * CHOOSE(CONTROL!$C$15, $D$11, 100%, $F$11)</f>
        <v>29.715</v>
      </c>
      <c r="C774" s="8">
        <f>29.7254 * CHOOSE(CONTROL!$C$15, $D$11, 100%, $F$11)</f>
        <v>29.7254</v>
      </c>
      <c r="D774" s="8">
        <f>29.7259 * CHOOSE( CONTROL!$C$15, $D$11, 100%, $F$11)</f>
        <v>29.725899999999999</v>
      </c>
      <c r="E774" s="12">
        <f>29.7246 * CHOOSE( CONTROL!$C$15, $D$11, 100%, $F$11)</f>
        <v>29.724599999999999</v>
      </c>
      <c r="F774" s="4">
        <f>30.39 * CHOOSE(CONTROL!$C$15, $D$11, 100%, $F$11)</f>
        <v>30.39</v>
      </c>
      <c r="G774" s="8">
        <f>29.2359 * CHOOSE( CONTROL!$C$15, $D$11, 100%, $F$11)</f>
        <v>29.235900000000001</v>
      </c>
      <c r="H774" s="4">
        <f>30.1269 * CHOOSE(CONTROL!$C$15, $D$11, 100%, $F$11)</f>
        <v>30.126899999999999</v>
      </c>
      <c r="I774" s="8">
        <f>28.8243 * CHOOSE(CONTROL!$C$15, $D$11, 100%, $F$11)</f>
        <v>28.824300000000001</v>
      </c>
      <c r="J774" s="4">
        <f>28.7123 * CHOOSE(CONTROL!$C$15, $D$11, 100%, $F$11)</f>
        <v>28.712299999999999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29.083 * CHOOSE(CONTROL!$C$15, $D$11, 100%, $F$11)</f>
        <v>29.082999999999998</v>
      </c>
      <c r="C775" s="8">
        <f>29.0934 * CHOOSE(CONTROL!$C$15, $D$11, 100%, $F$11)</f>
        <v>29.093399999999999</v>
      </c>
      <c r="D775" s="8">
        <f>29.0886 * CHOOSE( CONTROL!$C$15, $D$11, 100%, $F$11)</f>
        <v>29.0886</v>
      </c>
      <c r="E775" s="12">
        <f>29.0892 * CHOOSE( CONTROL!$C$15, $D$11, 100%, $F$11)</f>
        <v>29.089200000000002</v>
      </c>
      <c r="F775" s="4">
        <f>29.7605 * CHOOSE(CONTROL!$C$15, $D$11, 100%, $F$11)</f>
        <v>29.7605</v>
      </c>
      <c r="G775" s="8">
        <f>28.6087 * CHOOSE( CONTROL!$C$15, $D$11, 100%, $F$11)</f>
        <v>28.608699999999999</v>
      </c>
      <c r="H775" s="4">
        <f>29.5077 * CHOOSE(CONTROL!$C$15, $D$11, 100%, $F$11)</f>
        <v>29.5077</v>
      </c>
      <c r="I775" s="8">
        <f>28.2009 * CHOOSE(CONTROL!$C$15, $D$11, 100%, $F$11)</f>
        <v>28.200900000000001</v>
      </c>
      <c r="J775" s="4">
        <f>28.1011 * CHOOSE(CONTROL!$C$15, $D$11, 100%, $F$11)</f>
        <v>28.101099999999999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29.5247 * CHOOSE(CONTROL!$C$15, $D$11, 100%, $F$11)</f>
        <v>29.524699999999999</v>
      </c>
      <c r="C776" s="8">
        <f>29.535 * CHOOSE(CONTROL!$C$15, $D$11, 100%, $F$11)</f>
        <v>29.535</v>
      </c>
      <c r="D776" s="8">
        <f>29.5463 * CHOOSE( CONTROL!$C$15, $D$11, 100%, $F$11)</f>
        <v>29.546299999999999</v>
      </c>
      <c r="E776" s="12">
        <f>29.5414 * CHOOSE( CONTROL!$C$15, $D$11, 100%, $F$11)</f>
        <v>29.541399999999999</v>
      </c>
      <c r="F776" s="4">
        <f>30.2048 * CHOOSE(CONTROL!$C$15, $D$11, 100%, $F$11)</f>
        <v>30.204799999999999</v>
      </c>
      <c r="G776" s="8">
        <f>29.0238 * CHOOSE( CONTROL!$C$15, $D$11, 100%, $F$11)</f>
        <v>29.023800000000001</v>
      </c>
      <c r="H776" s="4">
        <f>29.9447 * CHOOSE(CONTROL!$C$15, $D$11, 100%, $F$11)</f>
        <v>29.944700000000001</v>
      </c>
      <c r="I776" s="8">
        <f>28.6206 * CHOOSE(CONTROL!$C$15, $D$11, 100%, $F$11)</f>
        <v>28.6206</v>
      </c>
      <c r="J776" s="4">
        <f>28.5282 * CHOOSE(CONTROL!$C$15, $D$11, 100%, $F$11)</f>
        <v>28.528199999999998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CONTROL!$C$32, 30.3141, 30.3107) * CHOOSE(CONTROL!$C$15, $D$11, 100%, $F$11)</f>
        <v>30.3141</v>
      </c>
      <c r="C777" s="8">
        <f>CHOOSE( CONTROL!$C$32, 30.3245, 30.321) * CHOOSE(CONTROL!$C$15, $D$11, 100%, $F$11)</f>
        <v>30.3245</v>
      </c>
      <c r="D777" s="8">
        <f>CHOOSE( CONTROL!$C$32, 30.3353, 30.3318) * CHOOSE( CONTROL!$C$15, $D$11, 100%, $F$11)</f>
        <v>30.3353</v>
      </c>
      <c r="E777" s="12">
        <f>CHOOSE( CONTROL!$C$32, 30.3298, 30.3263) * CHOOSE( CONTROL!$C$15, $D$11, 100%, $F$11)</f>
        <v>30.329799999999999</v>
      </c>
      <c r="F777" s="4">
        <f>CHOOSE( CONTROL!$C$32, 30.9943, 30.9908) * CHOOSE(CONTROL!$C$15, $D$11, 100%, $F$11)</f>
        <v>30.994299999999999</v>
      </c>
      <c r="G777" s="8">
        <f>CHOOSE( CONTROL!$C$32, 29.8017, 29.7983) * CHOOSE( CONTROL!$C$15, $D$11, 100%, $F$11)</f>
        <v>29.8017</v>
      </c>
      <c r="H777" s="4">
        <f>CHOOSE( CONTROL!$C$32, 30.7214, 30.718) * CHOOSE(CONTROL!$C$15, $D$11, 100%, $F$11)</f>
        <v>30.721399999999999</v>
      </c>
      <c r="I777" s="8">
        <f>CHOOSE( CONTROL!$C$32, 29.386, 29.3827) * CHOOSE(CONTROL!$C$15, $D$11, 100%, $F$11)</f>
        <v>29.385999999999999</v>
      </c>
      <c r="J777" s="4">
        <f>CHOOSE( CONTROL!$C$32, 29.2917, 29.2883) * CHOOSE(CONTROL!$C$15, $D$11, 100%, $F$11)</f>
        <v>29.291699999999999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CONTROL!$C$32, 29.8272, 29.8238) * CHOOSE(CONTROL!$C$15, $D$11, 100%, $F$11)</f>
        <v>29.827200000000001</v>
      </c>
      <c r="C778" s="8">
        <f>CHOOSE( CONTROL!$C$32, 29.8376, 29.8341) * CHOOSE(CONTROL!$C$15, $D$11, 100%, $F$11)</f>
        <v>29.837599999999998</v>
      </c>
      <c r="D778" s="8">
        <f>CHOOSE( CONTROL!$C$32, 29.8487, 29.8452) * CHOOSE( CONTROL!$C$15, $D$11, 100%, $F$11)</f>
        <v>29.848700000000001</v>
      </c>
      <c r="E778" s="12">
        <f>CHOOSE( CONTROL!$C$32, 29.8431, 29.8396) * CHOOSE( CONTROL!$C$15, $D$11, 100%, $F$11)</f>
        <v>29.8431</v>
      </c>
      <c r="F778" s="4">
        <f>CHOOSE( CONTROL!$C$32, 30.5073, 30.5039) * CHOOSE(CONTROL!$C$15, $D$11, 100%, $F$11)</f>
        <v>30.507300000000001</v>
      </c>
      <c r="G778" s="8">
        <f>CHOOSE( CONTROL!$C$32, 29.3231, 29.3197) * CHOOSE( CONTROL!$C$15, $D$11, 100%, $F$11)</f>
        <v>29.3231</v>
      </c>
      <c r="H778" s="4">
        <f>CHOOSE( CONTROL!$C$32, 30.2424, 30.239) * CHOOSE(CONTROL!$C$15, $D$11, 100%, $F$11)</f>
        <v>30.2424</v>
      </c>
      <c r="I778" s="8">
        <f>CHOOSE( CONTROL!$C$32, 28.9163, 28.9129) * CHOOSE(CONTROL!$C$15, $D$11, 100%, $F$11)</f>
        <v>28.9163</v>
      </c>
      <c r="J778" s="4">
        <f>CHOOSE( CONTROL!$C$32, 28.8208, 28.8175) * CHOOSE(CONTROL!$C$15, $D$11, 100%, $F$11)</f>
        <v>28.820799999999998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CONTROL!$C$32, 31.1094, 31.106) * CHOOSE(CONTROL!$C$15, $D$11, 100%, $F$11)</f>
        <v>31.109400000000001</v>
      </c>
      <c r="C779" s="8">
        <f>CHOOSE( CONTROL!$C$32, 31.1198, 31.1163) * CHOOSE(CONTROL!$C$15, $D$11, 100%, $F$11)</f>
        <v>31.119800000000001</v>
      </c>
      <c r="D779" s="8">
        <f>CHOOSE( CONTROL!$C$32, 31.1312, 31.1277) * CHOOSE( CONTROL!$C$15, $D$11, 100%, $F$11)</f>
        <v>31.1312</v>
      </c>
      <c r="E779" s="12">
        <f>CHOOSE( CONTROL!$C$32, 31.1255, 31.122) * CHOOSE( CONTROL!$C$15, $D$11, 100%, $F$11)</f>
        <v>31.125499999999999</v>
      </c>
      <c r="F779" s="4">
        <f>CHOOSE( CONTROL!$C$32, 31.7896, 31.7861) * CHOOSE(CONTROL!$C$15, $D$11, 100%, $F$11)</f>
        <v>31.7896</v>
      </c>
      <c r="G779" s="8">
        <f>CHOOSE( CONTROL!$C$32, 30.585, 30.5816) * CHOOSE( CONTROL!$C$15, $D$11, 100%, $F$11)</f>
        <v>30.585000000000001</v>
      </c>
      <c r="H779" s="4">
        <f>CHOOSE( CONTROL!$C$32, 31.5039, 31.5005) * CHOOSE(CONTROL!$C$15, $D$11, 100%, $F$11)</f>
        <v>31.503900000000002</v>
      </c>
      <c r="I779" s="8">
        <f>CHOOSE( CONTROL!$C$32, 30.1584, 30.155) * CHOOSE(CONTROL!$C$15, $D$11, 100%, $F$11)</f>
        <v>30.1584</v>
      </c>
      <c r="J779" s="4">
        <f>CHOOSE( CONTROL!$C$32, 30.0608, 30.0575) * CHOOSE(CONTROL!$C$15, $D$11, 100%, $F$11)</f>
        <v>30.0608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CONTROL!$C$32, 28.7103, 28.7068) * CHOOSE(CONTROL!$C$15, $D$11, 100%, $F$11)</f>
        <v>28.7103</v>
      </c>
      <c r="C780" s="8">
        <f>CHOOSE( CONTROL!$C$32, 28.7206, 28.7172) * CHOOSE(CONTROL!$C$15, $D$11, 100%, $F$11)</f>
        <v>28.720600000000001</v>
      </c>
      <c r="D780" s="8">
        <f>CHOOSE( CONTROL!$C$32, 28.7322, 28.7287) * CHOOSE( CONTROL!$C$15, $D$11, 100%, $F$11)</f>
        <v>28.732199999999999</v>
      </c>
      <c r="E780" s="12">
        <f>CHOOSE( CONTROL!$C$32, 28.7264, 28.7229) * CHOOSE( CONTROL!$C$15, $D$11, 100%, $F$11)</f>
        <v>28.726400000000002</v>
      </c>
      <c r="F780" s="4">
        <f>CHOOSE( CONTROL!$C$32, 29.3904, 29.3869) * CHOOSE(CONTROL!$C$15, $D$11, 100%, $F$11)</f>
        <v>29.3904</v>
      </c>
      <c r="G780" s="8">
        <f>CHOOSE( CONTROL!$C$32, 28.2249, 28.2214) * CHOOSE( CONTROL!$C$15, $D$11, 100%, $F$11)</f>
        <v>28.224900000000002</v>
      </c>
      <c r="H780" s="4">
        <f>CHOOSE( CONTROL!$C$32, 29.1435, 29.1401) * CHOOSE(CONTROL!$C$15, $D$11, 100%, $F$11)</f>
        <v>29.1435</v>
      </c>
      <c r="I780" s="8">
        <f>CHOOSE( CONTROL!$C$32, 27.8376, 27.8343) * CHOOSE(CONTROL!$C$15, $D$11, 100%, $F$11)</f>
        <v>27.837599999999998</v>
      </c>
      <c r="J780" s="4">
        <f>CHOOSE( CONTROL!$C$32, 27.7406, 27.7373) * CHOOSE(CONTROL!$C$15, $D$11, 100%, $F$11)</f>
        <v>27.740600000000001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CONTROL!$C$32, 28.1095, 28.106) * CHOOSE(CONTROL!$C$15, $D$11, 100%, $F$11)</f>
        <v>28.109500000000001</v>
      </c>
      <c r="C781" s="8">
        <f>CHOOSE( CONTROL!$C$32, 28.1199, 28.1164) * CHOOSE(CONTROL!$C$15, $D$11, 100%, $F$11)</f>
        <v>28.119900000000001</v>
      </c>
      <c r="D781" s="8">
        <f>CHOOSE( CONTROL!$C$32, 28.1314, 28.128) * CHOOSE( CONTROL!$C$15, $D$11, 100%, $F$11)</f>
        <v>28.131399999999999</v>
      </c>
      <c r="E781" s="12">
        <f>CHOOSE( CONTROL!$C$32, 28.1256, 28.1222) * CHOOSE( CONTROL!$C$15, $D$11, 100%, $F$11)</f>
        <v>28.125599999999999</v>
      </c>
      <c r="F781" s="4">
        <f>CHOOSE( CONTROL!$C$32, 28.7896, 28.7862) * CHOOSE(CONTROL!$C$15, $D$11, 100%, $F$11)</f>
        <v>28.7896</v>
      </c>
      <c r="G781" s="8">
        <f>CHOOSE( CONTROL!$C$32, 27.6339, 27.6305) * CHOOSE( CONTROL!$C$15, $D$11, 100%, $F$11)</f>
        <v>27.633900000000001</v>
      </c>
      <c r="H781" s="4">
        <f>CHOOSE( CONTROL!$C$32, 28.5525, 28.549) * CHOOSE(CONTROL!$C$15, $D$11, 100%, $F$11)</f>
        <v>28.552499999999998</v>
      </c>
      <c r="I781" s="8">
        <f>CHOOSE( CONTROL!$C$32, 27.2565, 27.2532) * CHOOSE(CONTROL!$C$15, $D$11, 100%, $F$11)</f>
        <v>27.256499999999999</v>
      </c>
      <c r="J781" s="4">
        <f>CHOOSE( CONTROL!$C$32, 27.1596, 27.1563) * CHOOSE(CONTROL!$C$15, $D$11, 100%, $F$11)</f>
        <v>27.159600000000001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29.3535 * CHOOSE(CONTROL!$C$15, $D$11, 100%, $F$11)</f>
        <v>29.3535</v>
      </c>
      <c r="C782" s="8">
        <f>29.3638 * CHOOSE(CONTROL!$C$15, $D$11, 100%, $F$11)</f>
        <v>29.363800000000001</v>
      </c>
      <c r="D782" s="8">
        <f>29.3763 * CHOOSE( CONTROL!$C$15, $D$11, 100%, $F$11)</f>
        <v>29.376300000000001</v>
      </c>
      <c r="E782" s="12">
        <f>29.3711 * CHOOSE( CONTROL!$C$15, $D$11, 100%, $F$11)</f>
        <v>29.371099999999998</v>
      </c>
      <c r="F782" s="4">
        <f>30.0336 * CHOOSE(CONTROL!$C$15, $D$11, 100%, $F$11)</f>
        <v>30.0336</v>
      </c>
      <c r="G782" s="8">
        <f>28.8572 * CHOOSE( CONTROL!$C$15, $D$11, 100%, $F$11)</f>
        <v>28.857199999999999</v>
      </c>
      <c r="H782" s="4">
        <f>29.7763 * CHOOSE(CONTROL!$C$15, $D$11, 100%, $F$11)</f>
        <v>29.776299999999999</v>
      </c>
      <c r="I782" s="8">
        <f>28.461 * CHOOSE(CONTROL!$C$15, $D$11, 100%, $F$11)</f>
        <v>28.460999999999999</v>
      </c>
      <c r="J782" s="4">
        <f>28.3626 * CHOOSE(CONTROL!$C$15, $D$11, 100%, $F$11)</f>
        <v>28.3626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31.6559 * CHOOSE(CONTROL!$C$15, $D$11, 100%, $F$11)</f>
        <v>31.655899999999999</v>
      </c>
      <c r="C783" s="8">
        <f>31.6663 * CHOOSE(CONTROL!$C$15, $D$11, 100%, $F$11)</f>
        <v>31.6663</v>
      </c>
      <c r="D783" s="8">
        <f>31.6512 * CHOOSE( CONTROL!$C$15, $D$11, 100%, $F$11)</f>
        <v>31.651199999999999</v>
      </c>
      <c r="E783" s="12">
        <f>31.6556 * CHOOSE( CONTROL!$C$15, $D$11, 100%, $F$11)</f>
        <v>31.6556</v>
      </c>
      <c r="F783" s="4">
        <f>32.3102 * CHOOSE(CONTROL!$C$15, $D$11, 100%, $F$11)</f>
        <v>32.310200000000002</v>
      </c>
      <c r="G783" s="8">
        <f>31.1319 * CHOOSE( CONTROL!$C$15, $D$11, 100%, $F$11)</f>
        <v>31.131900000000002</v>
      </c>
      <c r="H783" s="4">
        <f>32.0161 * CHOOSE(CONTROL!$C$15, $D$11, 100%, $F$11)</f>
        <v>32.016100000000002</v>
      </c>
      <c r="I783" s="8">
        <f>30.7092 * CHOOSE(CONTROL!$C$15, $D$11, 100%, $F$11)</f>
        <v>30.709199999999999</v>
      </c>
      <c r="J783" s="4">
        <f>30.5894 * CHOOSE(CONTROL!$C$15, $D$11, 100%, $F$11)</f>
        <v>30.589400000000001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31.5984 * CHOOSE(CONTROL!$C$15, $D$11, 100%, $F$11)</f>
        <v>31.598400000000002</v>
      </c>
      <c r="C784" s="8">
        <f>31.6088 * CHOOSE(CONTROL!$C$15, $D$11, 100%, $F$11)</f>
        <v>31.608799999999999</v>
      </c>
      <c r="D784" s="8">
        <f>31.5953 * CHOOSE( CONTROL!$C$15, $D$11, 100%, $F$11)</f>
        <v>31.595300000000002</v>
      </c>
      <c r="E784" s="12">
        <f>31.5991 * CHOOSE( CONTROL!$C$15, $D$11, 100%, $F$11)</f>
        <v>31.5991</v>
      </c>
      <c r="F784" s="4">
        <f>32.2527 * CHOOSE(CONTROL!$C$15, $D$11, 100%, $F$11)</f>
        <v>32.252699999999997</v>
      </c>
      <c r="G784" s="8">
        <f>31.0765 * CHOOSE( CONTROL!$C$15, $D$11, 100%, $F$11)</f>
        <v>31.076499999999999</v>
      </c>
      <c r="H784" s="4">
        <f>31.9595 * CHOOSE(CONTROL!$C$15, $D$11, 100%, $F$11)</f>
        <v>31.959499999999998</v>
      </c>
      <c r="I784" s="8">
        <f>30.6588 * CHOOSE(CONTROL!$C$15, $D$11, 100%, $F$11)</f>
        <v>30.658799999999999</v>
      </c>
      <c r="J784" s="4">
        <f>30.5337 * CHOOSE(CONTROL!$C$15, $D$11, 100%, $F$11)</f>
        <v>30.5337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32.8051 * CHOOSE(CONTROL!$C$15, $D$11, 100%, $F$11)</f>
        <v>32.805100000000003</v>
      </c>
      <c r="C785" s="8">
        <f>32.8154 * CHOOSE(CONTROL!$C$15, $D$11, 100%, $F$11)</f>
        <v>32.815399999999997</v>
      </c>
      <c r="D785" s="8">
        <f>32.8139 * CHOOSE( CONTROL!$C$15, $D$11, 100%, $F$11)</f>
        <v>32.813899999999997</v>
      </c>
      <c r="E785" s="12">
        <f>32.8134 * CHOOSE( CONTROL!$C$15, $D$11, 100%, $F$11)</f>
        <v>32.813400000000001</v>
      </c>
      <c r="F785" s="4">
        <f>33.4878 * CHOOSE(CONTROL!$C$15, $D$11, 100%, $F$11)</f>
        <v>33.4878</v>
      </c>
      <c r="G785" s="8">
        <f>32.2762 * CHOOSE( CONTROL!$C$15, $D$11, 100%, $F$11)</f>
        <v>32.276200000000003</v>
      </c>
      <c r="H785" s="4">
        <f>33.1746 * CHOOSE(CONTROL!$C$15, $D$11, 100%, $F$11)</f>
        <v>33.174599999999998</v>
      </c>
      <c r="I785" s="8">
        <f>31.8251 * CHOOSE(CONTROL!$C$15, $D$11, 100%, $F$11)</f>
        <v>31.825099999999999</v>
      </c>
      <c r="J785" s="4">
        <f>31.7007 * CHOOSE(CONTROL!$C$15, $D$11, 100%, $F$11)</f>
        <v>31.700700000000001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30.686 * CHOOSE(CONTROL!$C$15, $D$11, 100%, $F$11)</f>
        <v>30.686</v>
      </c>
      <c r="C786" s="8">
        <f>30.6963 * CHOOSE(CONTROL!$C$15, $D$11, 100%, $F$11)</f>
        <v>30.696300000000001</v>
      </c>
      <c r="D786" s="8">
        <f>30.6969 * CHOOSE( CONTROL!$C$15, $D$11, 100%, $F$11)</f>
        <v>30.696899999999999</v>
      </c>
      <c r="E786" s="12">
        <f>30.6956 * CHOOSE( CONTROL!$C$15, $D$11, 100%, $F$11)</f>
        <v>30.695599999999999</v>
      </c>
      <c r="F786" s="4">
        <f>31.3609 * CHOOSE(CONTROL!$C$15, $D$11, 100%, $F$11)</f>
        <v>31.360900000000001</v>
      </c>
      <c r="G786" s="8">
        <f>30.1911 * CHOOSE( CONTROL!$C$15, $D$11, 100%, $F$11)</f>
        <v>30.191099999999999</v>
      </c>
      <c r="H786" s="4">
        <f>31.0822 * CHOOSE(CONTROL!$C$15, $D$11, 100%, $F$11)</f>
        <v>31.0822</v>
      </c>
      <c r="I786" s="8">
        <f>29.7638 * CHOOSE(CONTROL!$C$15, $D$11, 100%, $F$11)</f>
        <v>29.7638</v>
      </c>
      <c r="J786" s="4">
        <f>29.6513 * CHOOSE(CONTROL!$C$15, $D$11, 100%, $F$11)</f>
        <v>29.651299999999999</v>
      </c>
      <c r="K786" s="4"/>
      <c r="L786" s="9">
        <v>27.415299999999998</v>
      </c>
      <c r="M786" s="9">
        <v>11.285299999999999</v>
      </c>
      <c r="N786" s="9">
        <v>4.6254999999999997</v>
      </c>
      <c r="O786" s="9">
        <v>0.34989999999999999</v>
      </c>
      <c r="P786" s="9">
        <v>1.2093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30.0333 * CHOOSE(CONTROL!$C$15, $D$11, 100%, $F$11)</f>
        <v>30.033300000000001</v>
      </c>
      <c r="C787" s="8">
        <f>30.0436 * CHOOSE(CONTROL!$C$15, $D$11, 100%, $F$11)</f>
        <v>30.043600000000001</v>
      </c>
      <c r="D787" s="8">
        <f>30.0388 * CHOOSE( CONTROL!$C$15, $D$11, 100%, $F$11)</f>
        <v>30.038799999999998</v>
      </c>
      <c r="E787" s="12">
        <f>30.0395 * CHOOSE( CONTROL!$C$15, $D$11, 100%, $F$11)</f>
        <v>30.0395</v>
      </c>
      <c r="F787" s="4">
        <f>30.7108 * CHOOSE(CONTROL!$C$15, $D$11, 100%, $F$11)</f>
        <v>30.710799999999999</v>
      </c>
      <c r="G787" s="8">
        <f>29.5436 * CHOOSE( CONTROL!$C$15, $D$11, 100%, $F$11)</f>
        <v>29.543600000000001</v>
      </c>
      <c r="H787" s="4">
        <f>30.4426 * CHOOSE(CONTROL!$C$15, $D$11, 100%, $F$11)</f>
        <v>30.442599999999999</v>
      </c>
      <c r="I787" s="8">
        <f>29.1204 * CHOOSE(CONTROL!$C$15, $D$11, 100%, $F$11)</f>
        <v>29.1204</v>
      </c>
      <c r="J787" s="4">
        <f>29.0201 * CHOOSE(CONTROL!$C$15, $D$11, 100%, $F$11)</f>
        <v>29.020099999999999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30.4894 * CHOOSE(CONTROL!$C$15, $D$11, 100%, $F$11)</f>
        <v>30.4894</v>
      </c>
      <c r="C788" s="8">
        <f>30.4997 * CHOOSE(CONTROL!$C$15, $D$11, 100%, $F$11)</f>
        <v>30.499700000000001</v>
      </c>
      <c r="D788" s="8">
        <f>30.511 * CHOOSE( CONTROL!$C$15, $D$11, 100%, $F$11)</f>
        <v>30.510999999999999</v>
      </c>
      <c r="E788" s="12">
        <f>30.5061 * CHOOSE( CONTROL!$C$15, $D$11, 100%, $F$11)</f>
        <v>30.5061</v>
      </c>
      <c r="F788" s="4">
        <f>31.1695 * CHOOSE(CONTROL!$C$15, $D$11, 100%, $F$11)</f>
        <v>31.169499999999999</v>
      </c>
      <c r="G788" s="8">
        <f>29.9729 * CHOOSE( CONTROL!$C$15, $D$11, 100%, $F$11)</f>
        <v>29.972899999999999</v>
      </c>
      <c r="H788" s="4">
        <f>30.8938 * CHOOSE(CONTROL!$C$15, $D$11, 100%, $F$11)</f>
        <v>30.893799999999999</v>
      </c>
      <c r="I788" s="8">
        <f>29.554 * CHOOSE(CONTROL!$C$15, $D$11, 100%, $F$11)</f>
        <v>29.553999999999998</v>
      </c>
      <c r="J788" s="4">
        <f>29.4612 * CHOOSE(CONTROL!$C$15, $D$11, 100%, $F$11)</f>
        <v>29.461200000000002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CONTROL!$C$32, 31.3046, 31.3011) * CHOOSE(CONTROL!$C$15, $D$11, 100%, $F$11)</f>
        <v>31.304600000000001</v>
      </c>
      <c r="C789" s="8">
        <f>CHOOSE( CONTROL!$C$32, 31.3149, 31.3114) * CHOOSE(CONTROL!$C$15, $D$11, 100%, $F$11)</f>
        <v>31.314900000000002</v>
      </c>
      <c r="D789" s="8">
        <f>CHOOSE( CONTROL!$C$32, 31.3257, 31.3223) * CHOOSE( CONTROL!$C$15, $D$11, 100%, $F$11)</f>
        <v>31.325700000000001</v>
      </c>
      <c r="E789" s="12">
        <f>CHOOSE( CONTROL!$C$32, 31.3202, 31.3168) * CHOOSE( CONTROL!$C$15, $D$11, 100%, $F$11)</f>
        <v>31.3202</v>
      </c>
      <c r="F789" s="4">
        <f>CHOOSE( CONTROL!$C$32, 31.9847, 31.9812) * CHOOSE(CONTROL!$C$15, $D$11, 100%, $F$11)</f>
        <v>31.9847</v>
      </c>
      <c r="G789" s="8">
        <f>CHOOSE( CONTROL!$C$32, 30.7761, 30.7727) * CHOOSE( CONTROL!$C$15, $D$11, 100%, $F$11)</f>
        <v>30.7761</v>
      </c>
      <c r="H789" s="4">
        <f>CHOOSE( CONTROL!$C$32, 31.6958, 31.6924) * CHOOSE(CONTROL!$C$15, $D$11, 100%, $F$11)</f>
        <v>31.695799999999998</v>
      </c>
      <c r="I789" s="8">
        <f>CHOOSE( CONTROL!$C$32, 30.3444, 30.341) * CHOOSE(CONTROL!$C$15, $D$11, 100%, $F$11)</f>
        <v>30.3444</v>
      </c>
      <c r="J789" s="4">
        <f>CHOOSE( CONTROL!$C$32, 30.2495, 30.2462) * CHOOSE(CONTROL!$C$15, $D$11, 100%, $F$11)</f>
        <v>30.249500000000001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CONTROL!$C$32, 30.8017, 30.7983) * CHOOSE(CONTROL!$C$15, $D$11, 100%, $F$11)</f>
        <v>30.8017</v>
      </c>
      <c r="C790" s="8">
        <f>CHOOSE( CONTROL!$C$32, 30.8121, 30.8086) * CHOOSE(CONTROL!$C$15, $D$11, 100%, $F$11)</f>
        <v>30.812100000000001</v>
      </c>
      <c r="D790" s="8">
        <f>CHOOSE( CONTROL!$C$32, 30.8232, 30.8197) * CHOOSE( CONTROL!$C$15, $D$11, 100%, $F$11)</f>
        <v>30.8232</v>
      </c>
      <c r="E790" s="12">
        <f>CHOOSE( CONTROL!$C$32, 30.8176, 30.8141) * CHOOSE( CONTROL!$C$15, $D$11, 100%, $F$11)</f>
        <v>30.817599999999999</v>
      </c>
      <c r="F790" s="4">
        <f>CHOOSE( CONTROL!$C$32, 31.4818, 31.4784) * CHOOSE(CONTROL!$C$15, $D$11, 100%, $F$11)</f>
        <v>31.4818</v>
      </c>
      <c r="G790" s="8">
        <f>CHOOSE( CONTROL!$C$32, 30.2818, 30.2784) * CHOOSE( CONTROL!$C$15, $D$11, 100%, $F$11)</f>
        <v>30.2818</v>
      </c>
      <c r="H790" s="4">
        <f>CHOOSE( CONTROL!$C$32, 31.2011, 31.1977) * CHOOSE(CONTROL!$C$15, $D$11, 100%, $F$11)</f>
        <v>31.2011</v>
      </c>
      <c r="I790" s="8">
        <f>CHOOSE( CONTROL!$C$32, 29.8592, 29.8558) * CHOOSE(CONTROL!$C$15, $D$11, 100%, $F$11)</f>
        <v>29.859200000000001</v>
      </c>
      <c r="J790" s="4">
        <f>CHOOSE( CONTROL!$C$32, 29.7633, 29.7599) * CHOOSE(CONTROL!$C$15, $D$11, 100%, $F$11)</f>
        <v>29.763300000000001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CONTROL!$C$32, 32.1259, 32.1224) * CHOOSE(CONTROL!$C$15, $D$11, 100%, $F$11)</f>
        <v>32.125900000000001</v>
      </c>
      <c r="C791" s="8">
        <f>CHOOSE( CONTROL!$C$32, 32.1362, 32.1327) * CHOOSE(CONTROL!$C$15, $D$11, 100%, $F$11)</f>
        <v>32.136200000000002</v>
      </c>
      <c r="D791" s="8">
        <f>CHOOSE( CONTROL!$C$32, 32.1476, 32.1441) * CHOOSE( CONTROL!$C$15, $D$11, 100%, $F$11)</f>
        <v>32.147599999999997</v>
      </c>
      <c r="E791" s="12">
        <f>CHOOSE( CONTROL!$C$32, 32.1419, 32.1384) * CHOOSE( CONTROL!$C$15, $D$11, 100%, $F$11)</f>
        <v>32.1419</v>
      </c>
      <c r="F791" s="4">
        <f>CHOOSE( CONTROL!$C$32, 32.806, 32.8025) * CHOOSE(CONTROL!$C$15, $D$11, 100%, $F$11)</f>
        <v>32.805999999999997</v>
      </c>
      <c r="G791" s="8">
        <f>CHOOSE( CONTROL!$C$32, 31.585, 31.5816) * CHOOSE( CONTROL!$C$15, $D$11, 100%, $F$11)</f>
        <v>31.585000000000001</v>
      </c>
      <c r="H791" s="4">
        <f>CHOOSE( CONTROL!$C$32, 32.5039, 32.5004) * CHOOSE(CONTROL!$C$15, $D$11, 100%, $F$11)</f>
        <v>32.503900000000002</v>
      </c>
      <c r="I791" s="8">
        <f>CHOOSE( CONTROL!$C$32, 31.1418, 31.1385) * CHOOSE(CONTROL!$C$15, $D$11, 100%, $F$11)</f>
        <v>31.1418</v>
      </c>
      <c r="J791" s="4">
        <f>CHOOSE( CONTROL!$C$32, 31.0438, 31.0405) * CHOOSE(CONTROL!$C$15, $D$11, 100%, $F$11)</f>
        <v>31.043800000000001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CONTROL!$C$32, 29.6483, 29.6448) * CHOOSE(CONTROL!$C$15, $D$11, 100%, $F$11)</f>
        <v>29.648299999999999</v>
      </c>
      <c r="C792" s="8">
        <f>CHOOSE( CONTROL!$C$32, 29.6586, 29.6551) * CHOOSE(CONTROL!$C$15, $D$11, 100%, $F$11)</f>
        <v>29.6586</v>
      </c>
      <c r="D792" s="8">
        <f>CHOOSE( CONTROL!$C$32, 29.6701, 29.6667) * CHOOSE( CONTROL!$C$15, $D$11, 100%, $F$11)</f>
        <v>29.670100000000001</v>
      </c>
      <c r="E792" s="12">
        <f>CHOOSE( CONTROL!$C$32, 29.6644, 29.6609) * CHOOSE( CONTROL!$C$15, $D$11, 100%, $F$11)</f>
        <v>29.664400000000001</v>
      </c>
      <c r="F792" s="4">
        <f>CHOOSE( CONTROL!$C$32, 30.3284, 30.3249) * CHOOSE(CONTROL!$C$15, $D$11, 100%, $F$11)</f>
        <v>30.328399999999998</v>
      </c>
      <c r="G792" s="8">
        <f>CHOOSE( CONTROL!$C$32, 29.1477, 29.1442) * CHOOSE( CONTROL!$C$15, $D$11, 100%, $F$11)</f>
        <v>29.1477</v>
      </c>
      <c r="H792" s="4">
        <f>CHOOSE( CONTROL!$C$32, 30.0663, 30.0629) * CHOOSE(CONTROL!$C$15, $D$11, 100%, $F$11)</f>
        <v>30.066299999999998</v>
      </c>
      <c r="I792" s="8">
        <f>CHOOSE( CONTROL!$C$32, 28.7452, 28.7419) * CHOOSE(CONTROL!$C$15, $D$11, 100%, $F$11)</f>
        <v>28.745200000000001</v>
      </c>
      <c r="J792" s="4">
        <f>CHOOSE( CONTROL!$C$32, 28.6477, 28.6444) * CHOOSE(CONTROL!$C$15, $D$11, 100%, $F$11)</f>
        <v>28.6477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CONTROL!$C$32, 29.0278, 29.0244) * CHOOSE(CONTROL!$C$15, $D$11, 100%, $F$11)</f>
        <v>29.027799999999999</v>
      </c>
      <c r="C793" s="8">
        <f>CHOOSE( CONTROL!$C$32, 29.0382, 29.0347) * CHOOSE(CONTROL!$C$15, $D$11, 100%, $F$11)</f>
        <v>29.0382</v>
      </c>
      <c r="D793" s="8">
        <f>CHOOSE( CONTROL!$C$32, 29.0498, 29.0463) * CHOOSE( CONTROL!$C$15, $D$11, 100%, $F$11)</f>
        <v>29.049800000000001</v>
      </c>
      <c r="E793" s="12">
        <f>CHOOSE( CONTROL!$C$32, 29.044, 29.0405) * CHOOSE( CONTROL!$C$15, $D$11, 100%, $F$11)</f>
        <v>29.044</v>
      </c>
      <c r="F793" s="4">
        <f>CHOOSE( CONTROL!$C$32, 29.708, 29.7045) * CHOOSE(CONTROL!$C$15, $D$11, 100%, $F$11)</f>
        <v>29.707999999999998</v>
      </c>
      <c r="G793" s="8">
        <f>CHOOSE( CONTROL!$C$32, 28.5373, 28.5339) * CHOOSE( CONTROL!$C$15, $D$11, 100%, $F$11)</f>
        <v>28.537299999999998</v>
      </c>
      <c r="H793" s="4">
        <f>CHOOSE( CONTROL!$C$32, 29.4559, 29.4525) * CHOOSE(CONTROL!$C$15, $D$11, 100%, $F$11)</f>
        <v>29.4559</v>
      </c>
      <c r="I793" s="8">
        <f>CHOOSE( CONTROL!$C$32, 28.1451, 28.1417) * CHOOSE(CONTROL!$C$15, $D$11, 100%, $F$11)</f>
        <v>28.145099999999999</v>
      </c>
      <c r="J793" s="4">
        <f>CHOOSE( CONTROL!$C$32, 28.0477, 28.0444) * CHOOSE(CONTROL!$C$15, $D$11, 100%, $F$11)</f>
        <v>28.047699999999999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30.3126 * CHOOSE(CONTROL!$C$15, $D$11, 100%, $F$11)</f>
        <v>30.3126</v>
      </c>
      <c r="C794" s="8">
        <f>30.3229 * CHOOSE(CONTROL!$C$15, $D$11, 100%, $F$11)</f>
        <v>30.322900000000001</v>
      </c>
      <c r="D794" s="8">
        <f>30.3355 * CHOOSE( CONTROL!$C$15, $D$11, 100%, $F$11)</f>
        <v>30.3355</v>
      </c>
      <c r="E794" s="12">
        <f>30.3302 * CHOOSE( CONTROL!$C$15, $D$11, 100%, $F$11)</f>
        <v>30.330200000000001</v>
      </c>
      <c r="F794" s="4">
        <f>30.9927 * CHOOSE(CONTROL!$C$15, $D$11, 100%, $F$11)</f>
        <v>30.992699999999999</v>
      </c>
      <c r="G794" s="8">
        <f>29.8009 * CHOOSE( CONTROL!$C$15, $D$11, 100%, $F$11)</f>
        <v>29.800899999999999</v>
      </c>
      <c r="H794" s="4">
        <f>30.7199 * CHOOSE(CONTROL!$C$15, $D$11, 100%, $F$11)</f>
        <v>30.719899999999999</v>
      </c>
      <c r="I794" s="8">
        <f>29.3891 * CHOOSE(CONTROL!$C$15, $D$11, 100%, $F$11)</f>
        <v>29.389099999999999</v>
      </c>
      <c r="J794" s="4">
        <f>29.2902 * CHOOSE(CONTROL!$C$15, $D$11, 100%, $F$11)</f>
        <v>29.290199999999999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32.6904 * CHOOSE(CONTROL!$C$15, $D$11, 100%, $F$11)</f>
        <v>32.690399999999997</v>
      </c>
      <c r="C795" s="8">
        <f>32.7007 * CHOOSE(CONTROL!$C$15, $D$11, 100%, $F$11)</f>
        <v>32.700699999999998</v>
      </c>
      <c r="D795" s="8">
        <f>32.6856 * CHOOSE( CONTROL!$C$15, $D$11, 100%, $F$11)</f>
        <v>32.685600000000001</v>
      </c>
      <c r="E795" s="12">
        <f>32.69 * CHOOSE( CONTROL!$C$15, $D$11, 100%, $F$11)</f>
        <v>32.69</v>
      </c>
      <c r="F795" s="4">
        <f>33.3446 * CHOOSE(CONTROL!$C$15, $D$11, 100%, $F$11)</f>
        <v>33.3446</v>
      </c>
      <c r="G795" s="8">
        <f>32.1496 * CHOOSE( CONTROL!$C$15, $D$11, 100%, $F$11)</f>
        <v>32.1496</v>
      </c>
      <c r="H795" s="4">
        <f>33.0338 * CHOOSE(CONTROL!$C$15, $D$11, 100%, $F$11)</f>
        <v>33.033799999999999</v>
      </c>
      <c r="I795" s="8">
        <f>31.7101 * CHOOSE(CONTROL!$C$15, $D$11, 100%, $F$11)</f>
        <v>31.710100000000001</v>
      </c>
      <c r="J795" s="4">
        <f>31.5897 * CHOOSE(CONTROL!$C$15, $D$11, 100%, $F$11)</f>
        <v>31.589700000000001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32.631 * CHOOSE(CONTROL!$C$15, $D$11, 100%, $F$11)</f>
        <v>32.631</v>
      </c>
      <c r="C796" s="8">
        <f>32.6413 * CHOOSE(CONTROL!$C$15, $D$11, 100%, $F$11)</f>
        <v>32.641300000000001</v>
      </c>
      <c r="D796" s="8">
        <f>32.6279 * CHOOSE( CONTROL!$C$15, $D$11, 100%, $F$11)</f>
        <v>32.627899999999997</v>
      </c>
      <c r="E796" s="12">
        <f>32.6317 * CHOOSE( CONTROL!$C$15, $D$11, 100%, $F$11)</f>
        <v>32.631700000000002</v>
      </c>
      <c r="F796" s="4">
        <f>33.2852 * CHOOSE(CONTROL!$C$15, $D$11, 100%, $F$11)</f>
        <v>33.285200000000003</v>
      </c>
      <c r="G796" s="8">
        <f>32.0923 * CHOOSE( CONTROL!$C$15, $D$11, 100%, $F$11)</f>
        <v>32.092300000000002</v>
      </c>
      <c r="H796" s="4">
        <f>32.9753 * CHOOSE(CONTROL!$C$15, $D$11, 100%, $F$11)</f>
        <v>32.975299999999997</v>
      </c>
      <c r="I796" s="8">
        <f>31.6579 * CHOOSE(CONTROL!$C$15, $D$11, 100%, $F$11)</f>
        <v>31.657900000000001</v>
      </c>
      <c r="J796" s="4">
        <f>31.5323 * CHOOSE(CONTROL!$C$15, $D$11, 100%, $F$11)</f>
        <v>31.532299999999999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33.8771 * CHOOSE(CONTROL!$C$15, $D$11, 100%, $F$11)</f>
        <v>33.877099999999999</v>
      </c>
      <c r="C797" s="8">
        <f>33.8874 * CHOOSE(CONTROL!$C$15, $D$11, 100%, $F$11)</f>
        <v>33.8874</v>
      </c>
      <c r="D797" s="8">
        <f>33.8859 * CHOOSE( CONTROL!$C$15, $D$11, 100%, $F$11)</f>
        <v>33.885899999999999</v>
      </c>
      <c r="E797" s="12">
        <f>33.8854 * CHOOSE( CONTROL!$C$15, $D$11, 100%, $F$11)</f>
        <v>33.885399999999997</v>
      </c>
      <c r="F797" s="4">
        <f>34.5598 * CHOOSE(CONTROL!$C$15, $D$11, 100%, $F$11)</f>
        <v>34.559800000000003</v>
      </c>
      <c r="G797" s="8">
        <f>33.3309 * CHOOSE( CONTROL!$C$15, $D$11, 100%, $F$11)</f>
        <v>33.3309</v>
      </c>
      <c r="H797" s="4">
        <f>34.2293 * CHOOSE(CONTROL!$C$15, $D$11, 100%, $F$11)</f>
        <v>34.229300000000002</v>
      </c>
      <c r="I797" s="8">
        <f>32.8624 * CHOOSE(CONTROL!$C$15, $D$11, 100%, $F$11)</f>
        <v>32.862400000000001</v>
      </c>
      <c r="J797" s="4">
        <f>32.7374 * CHOOSE(CONTROL!$C$15, $D$11, 100%, $F$11)</f>
        <v>32.737400000000001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31.6887 * CHOOSE(CONTROL!$C$15, $D$11, 100%, $F$11)</f>
        <v>31.688700000000001</v>
      </c>
      <c r="C798" s="8">
        <f>31.699 * CHOOSE(CONTROL!$C$15, $D$11, 100%, $F$11)</f>
        <v>31.699000000000002</v>
      </c>
      <c r="D798" s="8">
        <f>31.6995 * CHOOSE( CONTROL!$C$15, $D$11, 100%, $F$11)</f>
        <v>31.6995</v>
      </c>
      <c r="E798" s="12">
        <f>31.6982 * CHOOSE( CONTROL!$C$15, $D$11, 100%, $F$11)</f>
        <v>31.6982</v>
      </c>
      <c r="F798" s="4">
        <f>32.3636 * CHOOSE(CONTROL!$C$15, $D$11, 100%, $F$11)</f>
        <v>32.363599999999998</v>
      </c>
      <c r="G798" s="8">
        <f>31.1776 * CHOOSE( CONTROL!$C$15, $D$11, 100%, $F$11)</f>
        <v>31.177600000000002</v>
      </c>
      <c r="H798" s="4">
        <f>32.0686 * CHOOSE(CONTROL!$C$15, $D$11, 100%, $F$11)</f>
        <v>32.068600000000004</v>
      </c>
      <c r="I798" s="8">
        <f>30.734 * CHOOSE(CONTROL!$C$15, $D$11, 100%, $F$11)</f>
        <v>30.734000000000002</v>
      </c>
      <c r="J798" s="4">
        <f>30.621 * CHOOSE(CONTROL!$C$15, $D$11, 100%, $F$11)</f>
        <v>30.620999999999999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31.0147 * CHOOSE(CONTROL!$C$15, $D$11, 100%, $F$11)</f>
        <v>31.014700000000001</v>
      </c>
      <c r="C799" s="8">
        <f>31.025 * CHOOSE(CONTROL!$C$15, $D$11, 100%, $F$11)</f>
        <v>31.024999999999999</v>
      </c>
      <c r="D799" s="8">
        <f>31.0202 * CHOOSE( CONTROL!$C$15, $D$11, 100%, $F$11)</f>
        <v>31.020199999999999</v>
      </c>
      <c r="E799" s="12">
        <f>31.0209 * CHOOSE( CONTROL!$C$15, $D$11, 100%, $F$11)</f>
        <v>31.020900000000001</v>
      </c>
      <c r="F799" s="4">
        <f>31.6922 * CHOOSE(CONTROL!$C$15, $D$11, 100%, $F$11)</f>
        <v>31.6922</v>
      </c>
      <c r="G799" s="8">
        <f>30.509 * CHOOSE( CONTROL!$C$15, $D$11, 100%, $F$11)</f>
        <v>30.509</v>
      </c>
      <c r="H799" s="4">
        <f>31.4081 * CHOOSE(CONTROL!$C$15, $D$11, 100%, $F$11)</f>
        <v>31.408100000000001</v>
      </c>
      <c r="I799" s="8">
        <f>30.0699 * CHOOSE(CONTROL!$C$15, $D$11, 100%, $F$11)</f>
        <v>30.069900000000001</v>
      </c>
      <c r="J799" s="4">
        <f>29.9692 * CHOOSE(CONTROL!$C$15, $D$11, 100%, $F$11)</f>
        <v>29.969200000000001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31.4856 * CHOOSE(CONTROL!$C$15, $D$11, 100%, $F$11)</f>
        <v>31.485600000000002</v>
      </c>
      <c r="C800" s="8">
        <f>31.496 * CHOOSE(CONTROL!$C$15, $D$11, 100%, $F$11)</f>
        <v>31.495999999999999</v>
      </c>
      <c r="D800" s="8">
        <f>31.5073 * CHOOSE( CONTROL!$C$15, $D$11, 100%, $F$11)</f>
        <v>31.507300000000001</v>
      </c>
      <c r="E800" s="12">
        <f>31.5024 * CHOOSE( CONTROL!$C$15, $D$11, 100%, $F$11)</f>
        <v>31.502400000000002</v>
      </c>
      <c r="F800" s="4">
        <f>32.1658 * CHOOSE(CONTROL!$C$15, $D$11, 100%, $F$11)</f>
        <v>32.165799999999997</v>
      </c>
      <c r="G800" s="8">
        <f>30.953 * CHOOSE( CONTROL!$C$15, $D$11, 100%, $F$11)</f>
        <v>30.952999999999999</v>
      </c>
      <c r="H800" s="4">
        <f>31.874 * CHOOSE(CONTROL!$C$15, $D$11, 100%, $F$11)</f>
        <v>31.873999999999999</v>
      </c>
      <c r="I800" s="8">
        <f>30.518 * CHOOSE(CONTROL!$C$15, $D$11, 100%, $F$11)</f>
        <v>30.518000000000001</v>
      </c>
      <c r="J800" s="4">
        <f>30.4247 * CHOOSE(CONTROL!$C$15, $D$11, 100%, $F$11)</f>
        <v>30.424700000000001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CONTROL!$C$32, 32.3274, 32.3239) * CHOOSE(CONTROL!$C$15, $D$11, 100%, $F$11)</f>
        <v>32.327399999999997</v>
      </c>
      <c r="C801" s="8">
        <f>CHOOSE( CONTROL!$C$32, 32.3377, 32.3342) * CHOOSE(CONTROL!$C$15, $D$11, 100%, $F$11)</f>
        <v>32.337699999999998</v>
      </c>
      <c r="D801" s="8">
        <f>CHOOSE( CONTROL!$C$32, 32.3485, 32.3451) * CHOOSE( CONTROL!$C$15, $D$11, 100%, $F$11)</f>
        <v>32.348500000000001</v>
      </c>
      <c r="E801" s="12">
        <f>CHOOSE( CONTROL!$C$32, 32.343, 32.3396) * CHOOSE( CONTROL!$C$15, $D$11, 100%, $F$11)</f>
        <v>32.343000000000004</v>
      </c>
      <c r="F801" s="4">
        <f>CHOOSE( CONTROL!$C$32, 33.0075, 33.004) * CHOOSE(CONTROL!$C$15, $D$11, 100%, $F$11)</f>
        <v>33.0075</v>
      </c>
      <c r="G801" s="8">
        <f>CHOOSE( CONTROL!$C$32, 31.7824, 31.7789) * CHOOSE( CONTROL!$C$15, $D$11, 100%, $F$11)</f>
        <v>31.782399999999999</v>
      </c>
      <c r="H801" s="4">
        <f>CHOOSE( CONTROL!$C$32, 32.7021, 32.6987) * CHOOSE(CONTROL!$C$15, $D$11, 100%, $F$11)</f>
        <v>32.702100000000002</v>
      </c>
      <c r="I801" s="8">
        <f>CHOOSE( CONTROL!$C$32, 31.334, 31.3307) * CHOOSE(CONTROL!$C$15, $D$11, 100%, $F$11)</f>
        <v>31.334</v>
      </c>
      <c r="J801" s="4">
        <f>CHOOSE( CONTROL!$C$32, 31.2387, 31.2353) * CHOOSE(CONTROL!$C$15, $D$11, 100%, $F$11)</f>
        <v>31.238700000000001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CONTROL!$C$32, 31.8081, 31.8046) * CHOOSE(CONTROL!$C$15, $D$11, 100%, $F$11)</f>
        <v>31.8081</v>
      </c>
      <c r="C802" s="8">
        <f>CHOOSE( CONTROL!$C$32, 31.8184, 31.815) * CHOOSE(CONTROL!$C$15, $D$11, 100%, $F$11)</f>
        <v>31.8184</v>
      </c>
      <c r="D802" s="8">
        <f>CHOOSE( CONTROL!$C$32, 31.8295, 31.8261) * CHOOSE( CONTROL!$C$15, $D$11, 100%, $F$11)</f>
        <v>31.829499999999999</v>
      </c>
      <c r="E802" s="12">
        <f>CHOOSE( CONTROL!$C$32, 31.8239, 31.8205) * CHOOSE( CONTROL!$C$15, $D$11, 100%, $F$11)</f>
        <v>31.823899999999998</v>
      </c>
      <c r="F802" s="4">
        <f>CHOOSE( CONTROL!$C$32, 32.4882, 32.4847) * CHOOSE(CONTROL!$C$15, $D$11, 100%, $F$11)</f>
        <v>32.488199999999999</v>
      </c>
      <c r="G802" s="8">
        <f>CHOOSE( CONTROL!$C$32, 31.2719, 31.2685) * CHOOSE( CONTROL!$C$15, $D$11, 100%, $F$11)</f>
        <v>31.271899999999999</v>
      </c>
      <c r="H802" s="4">
        <f>CHOOSE( CONTROL!$C$32, 32.1912, 32.1878) * CHOOSE(CONTROL!$C$15, $D$11, 100%, $F$11)</f>
        <v>32.191200000000002</v>
      </c>
      <c r="I802" s="8">
        <f>CHOOSE( CONTROL!$C$32, 30.8329, 30.8296) * CHOOSE(CONTROL!$C$15, $D$11, 100%, $F$11)</f>
        <v>30.832899999999999</v>
      </c>
      <c r="J802" s="4">
        <f>CHOOSE( CONTROL!$C$32, 30.7365, 30.7332) * CHOOSE(CONTROL!$C$15, $D$11, 100%, $F$11)</f>
        <v>30.736499999999999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CONTROL!$C$32, 33.1756, 33.1721) * CHOOSE(CONTROL!$C$15, $D$11, 100%, $F$11)</f>
        <v>33.175600000000003</v>
      </c>
      <c r="C803" s="8">
        <f>CHOOSE( CONTROL!$C$32, 33.1859, 33.1824) * CHOOSE(CONTROL!$C$15, $D$11, 100%, $F$11)</f>
        <v>33.185899999999997</v>
      </c>
      <c r="D803" s="8">
        <f>CHOOSE( CONTROL!$C$32, 33.1973, 33.1938) * CHOOSE( CONTROL!$C$15, $D$11, 100%, $F$11)</f>
        <v>33.197299999999998</v>
      </c>
      <c r="E803" s="12">
        <f>CHOOSE( CONTROL!$C$32, 33.1916, 33.1881) * CHOOSE( CONTROL!$C$15, $D$11, 100%, $F$11)</f>
        <v>33.191600000000001</v>
      </c>
      <c r="F803" s="4">
        <f>CHOOSE( CONTROL!$C$32, 33.8557, 33.8522) * CHOOSE(CONTROL!$C$15, $D$11, 100%, $F$11)</f>
        <v>33.855699999999999</v>
      </c>
      <c r="G803" s="8">
        <f>CHOOSE( CONTROL!$C$32, 32.6177, 32.6143) * CHOOSE( CONTROL!$C$15, $D$11, 100%, $F$11)</f>
        <v>32.617699999999999</v>
      </c>
      <c r="H803" s="4">
        <f>CHOOSE( CONTROL!$C$32, 33.5366, 33.5331) * CHOOSE(CONTROL!$C$15, $D$11, 100%, $F$11)</f>
        <v>33.5366</v>
      </c>
      <c r="I803" s="8">
        <f>CHOOSE( CONTROL!$C$32, 32.1575, 32.1541) * CHOOSE(CONTROL!$C$15, $D$11, 100%, $F$11)</f>
        <v>32.157499999999999</v>
      </c>
      <c r="J803" s="4">
        <f>CHOOSE( CONTROL!$C$32, 32.059, 32.0556) * CHOOSE(CONTROL!$C$15, $D$11, 100%, $F$11)</f>
        <v>32.058999999999997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CONTROL!$C$32, 30.6169, 30.6134) * CHOOSE(CONTROL!$C$15, $D$11, 100%, $F$11)</f>
        <v>30.616900000000001</v>
      </c>
      <c r="C804" s="8">
        <f>CHOOSE( CONTROL!$C$32, 30.6273, 30.6238) * CHOOSE(CONTROL!$C$15, $D$11, 100%, $F$11)</f>
        <v>30.627300000000002</v>
      </c>
      <c r="D804" s="8">
        <f>CHOOSE( CONTROL!$C$32, 30.6388, 30.6353) * CHOOSE( CONTROL!$C$15, $D$11, 100%, $F$11)</f>
        <v>30.6388</v>
      </c>
      <c r="E804" s="12">
        <f>CHOOSE( CONTROL!$C$32, 30.633, 30.6295) * CHOOSE( CONTROL!$C$15, $D$11, 100%, $F$11)</f>
        <v>30.632999999999999</v>
      </c>
      <c r="F804" s="4">
        <f>CHOOSE( CONTROL!$C$32, 31.297, 31.2935) * CHOOSE(CONTROL!$C$15, $D$11, 100%, $F$11)</f>
        <v>31.297000000000001</v>
      </c>
      <c r="G804" s="8">
        <f>CHOOSE( CONTROL!$C$32, 30.1006, 30.0972) * CHOOSE( CONTROL!$C$15, $D$11, 100%, $F$11)</f>
        <v>30.1006</v>
      </c>
      <c r="H804" s="4">
        <f>CHOOSE( CONTROL!$C$32, 31.0193, 31.0159) * CHOOSE(CONTROL!$C$15, $D$11, 100%, $F$11)</f>
        <v>31.019300000000001</v>
      </c>
      <c r="I804" s="8">
        <f>CHOOSE( CONTROL!$C$32, 29.6825, 29.6791) * CHOOSE(CONTROL!$C$15, $D$11, 100%, $F$11)</f>
        <v>29.682500000000001</v>
      </c>
      <c r="J804" s="4">
        <f>CHOOSE( CONTROL!$C$32, 29.5845, 29.5812) * CHOOSE(CONTROL!$C$15, $D$11, 100%, $F$11)</f>
        <v>29.584499999999998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CONTROL!$C$32, 29.9762, 29.9727) * CHOOSE(CONTROL!$C$15, $D$11, 100%, $F$11)</f>
        <v>29.976199999999999</v>
      </c>
      <c r="C805" s="8">
        <f>CHOOSE( CONTROL!$C$32, 29.9865, 29.9831) * CHOOSE(CONTROL!$C$15, $D$11, 100%, $F$11)</f>
        <v>29.986499999999999</v>
      </c>
      <c r="D805" s="8">
        <f>CHOOSE( CONTROL!$C$32, 29.9981, 29.9946) * CHOOSE( CONTROL!$C$15, $D$11, 100%, $F$11)</f>
        <v>29.998100000000001</v>
      </c>
      <c r="E805" s="12">
        <f>CHOOSE( CONTROL!$C$32, 29.9923, 29.9888) * CHOOSE( CONTROL!$C$15, $D$11, 100%, $F$11)</f>
        <v>29.9923</v>
      </c>
      <c r="F805" s="4">
        <f>CHOOSE( CONTROL!$C$32, 30.6563, 30.6528) * CHOOSE(CONTROL!$C$15, $D$11, 100%, $F$11)</f>
        <v>30.656300000000002</v>
      </c>
      <c r="G805" s="8">
        <f>CHOOSE( CONTROL!$C$32, 29.4704, 29.4669) * CHOOSE( CONTROL!$C$15, $D$11, 100%, $F$11)</f>
        <v>29.470400000000001</v>
      </c>
      <c r="H805" s="4">
        <f>CHOOSE( CONTROL!$C$32, 30.389, 30.3855) * CHOOSE(CONTROL!$C$15, $D$11, 100%, $F$11)</f>
        <v>30.388999999999999</v>
      </c>
      <c r="I805" s="8">
        <f>CHOOSE( CONTROL!$C$32, 29.0627, 29.0594) * CHOOSE(CONTROL!$C$15, $D$11, 100%, $F$11)</f>
        <v>29.0627</v>
      </c>
      <c r="J805" s="4">
        <f>CHOOSE( CONTROL!$C$32, 28.9649, 28.9615) * CHOOSE(CONTROL!$C$15, $D$11, 100%, $F$11)</f>
        <v>28.9649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31.3031 * CHOOSE(CONTROL!$C$15, $D$11, 100%, $F$11)</f>
        <v>31.303100000000001</v>
      </c>
      <c r="C806" s="8">
        <f>31.3134 * CHOOSE(CONTROL!$C$15, $D$11, 100%, $F$11)</f>
        <v>31.313400000000001</v>
      </c>
      <c r="D806" s="8">
        <f>31.326 * CHOOSE( CONTROL!$C$15, $D$11, 100%, $F$11)</f>
        <v>31.326000000000001</v>
      </c>
      <c r="E806" s="12">
        <f>31.3207 * CHOOSE( CONTROL!$C$15, $D$11, 100%, $F$11)</f>
        <v>31.320699999999999</v>
      </c>
      <c r="F806" s="4">
        <f>31.9832 * CHOOSE(CONTROL!$C$15, $D$11, 100%, $F$11)</f>
        <v>31.9832</v>
      </c>
      <c r="G806" s="8">
        <f>30.7753 * CHOOSE( CONTROL!$C$15, $D$11, 100%, $F$11)</f>
        <v>30.775300000000001</v>
      </c>
      <c r="H806" s="4">
        <f>31.6944 * CHOOSE(CONTROL!$C$15, $D$11, 100%, $F$11)</f>
        <v>31.694400000000002</v>
      </c>
      <c r="I806" s="8">
        <f>30.3474 * CHOOSE(CONTROL!$C$15, $D$11, 100%, $F$11)</f>
        <v>30.3474</v>
      </c>
      <c r="J806" s="4">
        <f>30.2481 * CHOOSE(CONTROL!$C$15, $D$11, 100%, $F$11)</f>
        <v>30.248100000000001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33.7586 * CHOOSE(CONTROL!$C$15, $D$11, 100%, $F$11)</f>
        <v>33.758600000000001</v>
      </c>
      <c r="C807" s="8">
        <f>33.7689 * CHOOSE(CONTROL!$C$15, $D$11, 100%, $F$11)</f>
        <v>33.768900000000002</v>
      </c>
      <c r="D807" s="8">
        <f>33.7539 * CHOOSE( CONTROL!$C$15, $D$11, 100%, $F$11)</f>
        <v>33.753900000000002</v>
      </c>
      <c r="E807" s="12">
        <f>33.7583 * CHOOSE( CONTROL!$C$15, $D$11, 100%, $F$11)</f>
        <v>33.758299999999998</v>
      </c>
      <c r="F807" s="4">
        <f>34.4129 * CHOOSE(CONTROL!$C$15, $D$11, 100%, $F$11)</f>
        <v>34.4129</v>
      </c>
      <c r="G807" s="8">
        <f>33.2005 * CHOOSE( CONTROL!$C$15, $D$11, 100%, $F$11)</f>
        <v>33.200499999999998</v>
      </c>
      <c r="H807" s="4">
        <f>34.0847 * CHOOSE(CONTROL!$C$15, $D$11, 100%, $F$11)</f>
        <v>34.084699999999998</v>
      </c>
      <c r="I807" s="8">
        <f>32.7437 * CHOOSE(CONTROL!$C$15, $D$11, 100%, $F$11)</f>
        <v>32.743699999999997</v>
      </c>
      <c r="J807" s="4">
        <f>32.6228 * CHOOSE(CONTROL!$C$15, $D$11, 100%, $F$11)</f>
        <v>32.622799999999998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33.6973 * CHOOSE(CONTROL!$C$15, $D$11, 100%, $F$11)</f>
        <v>33.697299999999998</v>
      </c>
      <c r="C808" s="8">
        <f>33.7076 * CHOOSE(CONTROL!$C$15, $D$11, 100%, $F$11)</f>
        <v>33.707599999999999</v>
      </c>
      <c r="D808" s="8">
        <f>33.6942 * CHOOSE( CONTROL!$C$15, $D$11, 100%, $F$11)</f>
        <v>33.694200000000002</v>
      </c>
      <c r="E808" s="12">
        <f>33.698 * CHOOSE( CONTROL!$C$15, $D$11, 100%, $F$11)</f>
        <v>33.698</v>
      </c>
      <c r="F808" s="4">
        <f>34.3515 * CHOOSE(CONTROL!$C$15, $D$11, 100%, $F$11)</f>
        <v>34.351500000000001</v>
      </c>
      <c r="G808" s="8">
        <f>33.1414 * CHOOSE( CONTROL!$C$15, $D$11, 100%, $F$11)</f>
        <v>33.141399999999997</v>
      </c>
      <c r="H808" s="4">
        <f>34.0244 * CHOOSE(CONTROL!$C$15, $D$11, 100%, $F$11)</f>
        <v>34.0244</v>
      </c>
      <c r="I808" s="8">
        <f>32.6896 * CHOOSE(CONTROL!$C$15, $D$11, 100%, $F$11)</f>
        <v>32.689599999999999</v>
      </c>
      <c r="J808" s="4">
        <f>32.5635 * CHOOSE(CONTROL!$C$15, $D$11, 100%, $F$11)</f>
        <v>32.563499999999998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34.9842 * CHOOSE(CONTROL!$C$15, $D$11, 100%, $F$11)</f>
        <v>34.984200000000001</v>
      </c>
      <c r="C809" s="8">
        <f>34.9945 * CHOOSE(CONTROL!$C$15, $D$11, 100%, $F$11)</f>
        <v>34.994500000000002</v>
      </c>
      <c r="D809" s="8">
        <f>34.9929 * CHOOSE( CONTROL!$C$15, $D$11, 100%, $F$11)</f>
        <v>34.992899999999999</v>
      </c>
      <c r="E809" s="12">
        <f>34.9924 * CHOOSE( CONTROL!$C$15, $D$11, 100%, $F$11)</f>
        <v>34.992400000000004</v>
      </c>
      <c r="F809" s="4">
        <f>35.6668 * CHOOSE(CONTROL!$C$15, $D$11, 100%, $F$11)</f>
        <v>35.666800000000002</v>
      </c>
      <c r="G809" s="8">
        <f>34.42 * CHOOSE( CONTROL!$C$15, $D$11, 100%, $F$11)</f>
        <v>34.42</v>
      </c>
      <c r="H809" s="4">
        <f>35.3184 * CHOOSE(CONTROL!$C$15, $D$11, 100%, $F$11)</f>
        <v>35.318399999999997</v>
      </c>
      <c r="I809" s="8">
        <f>33.9336 * CHOOSE(CONTROL!$C$15, $D$11, 100%, $F$11)</f>
        <v>33.933599999999998</v>
      </c>
      <c r="J809" s="4">
        <f>33.8081 * CHOOSE(CONTROL!$C$15, $D$11, 100%, $F$11)</f>
        <v>33.808100000000003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32.7242 * CHOOSE(CONTROL!$C$15, $D$11, 100%, $F$11)</f>
        <v>32.724200000000003</v>
      </c>
      <c r="C810" s="8">
        <f>32.7345 * CHOOSE(CONTROL!$C$15, $D$11, 100%, $F$11)</f>
        <v>32.734499999999997</v>
      </c>
      <c r="D810" s="8">
        <f>32.735 * CHOOSE( CONTROL!$C$15, $D$11, 100%, $F$11)</f>
        <v>32.734999999999999</v>
      </c>
      <c r="E810" s="12">
        <f>32.7337 * CHOOSE( CONTROL!$C$15, $D$11, 100%, $F$11)</f>
        <v>32.733699999999999</v>
      </c>
      <c r="F810" s="4">
        <f>33.3991 * CHOOSE(CONTROL!$C$15, $D$11, 100%, $F$11)</f>
        <v>33.399099999999997</v>
      </c>
      <c r="G810" s="8">
        <f>32.1964 * CHOOSE( CONTROL!$C$15, $D$11, 100%, $F$11)</f>
        <v>32.196399999999997</v>
      </c>
      <c r="H810" s="4">
        <f>33.0874 * CHOOSE(CONTROL!$C$15, $D$11, 100%, $F$11)</f>
        <v>33.087400000000002</v>
      </c>
      <c r="I810" s="8">
        <f>31.7359 * CHOOSE(CONTROL!$C$15, $D$11, 100%, $F$11)</f>
        <v>31.735900000000001</v>
      </c>
      <c r="J810" s="4">
        <f>31.6224 * CHOOSE(CONTROL!$C$15, $D$11, 100%, $F$11)</f>
        <v>31.622399999999999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32.0281 * CHOOSE(CONTROL!$C$15, $D$11, 100%, $F$11)</f>
        <v>32.028100000000002</v>
      </c>
      <c r="C811" s="8">
        <f>32.0384 * CHOOSE(CONTROL!$C$15, $D$11, 100%, $F$11)</f>
        <v>32.038400000000003</v>
      </c>
      <c r="D811" s="8">
        <f>32.0336 * CHOOSE( CONTROL!$C$15, $D$11, 100%, $F$11)</f>
        <v>32.0336</v>
      </c>
      <c r="E811" s="12">
        <f>32.0343 * CHOOSE( CONTROL!$C$15, $D$11, 100%, $F$11)</f>
        <v>32.034300000000002</v>
      </c>
      <c r="F811" s="4">
        <f>32.7056 * CHOOSE(CONTROL!$C$15, $D$11, 100%, $F$11)</f>
        <v>32.705599999999997</v>
      </c>
      <c r="G811" s="8">
        <f>31.5061 * CHOOSE( CONTROL!$C$15, $D$11, 100%, $F$11)</f>
        <v>31.5061</v>
      </c>
      <c r="H811" s="4">
        <f>32.4051 * CHOOSE(CONTROL!$C$15, $D$11, 100%, $F$11)</f>
        <v>32.405099999999997</v>
      </c>
      <c r="I811" s="8">
        <f>31.0505 * CHOOSE(CONTROL!$C$15, $D$11, 100%, $F$11)</f>
        <v>31.0505</v>
      </c>
      <c r="J811" s="4">
        <f>30.9493 * CHOOSE(CONTROL!$C$15, $D$11, 100%, $F$11)</f>
        <v>30.949300000000001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32.5145 * CHOOSE(CONTROL!$C$15, $D$11, 100%, $F$11)</f>
        <v>32.514499999999998</v>
      </c>
      <c r="C812" s="8">
        <f>32.5248 * CHOOSE(CONTROL!$C$15, $D$11, 100%, $F$11)</f>
        <v>32.524799999999999</v>
      </c>
      <c r="D812" s="8">
        <f>32.5361 * CHOOSE( CONTROL!$C$15, $D$11, 100%, $F$11)</f>
        <v>32.536099999999998</v>
      </c>
      <c r="E812" s="12">
        <f>32.5312 * CHOOSE( CONTROL!$C$15, $D$11, 100%, $F$11)</f>
        <v>32.531199999999998</v>
      </c>
      <c r="F812" s="4">
        <f>33.1946 * CHOOSE(CONTROL!$C$15, $D$11, 100%, $F$11)</f>
        <v>33.194600000000001</v>
      </c>
      <c r="G812" s="8">
        <f>31.9653 * CHOOSE( CONTROL!$C$15, $D$11, 100%, $F$11)</f>
        <v>31.965299999999999</v>
      </c>
      <c r="H812" s="4">
        <f>32.8862 * CHOOSE(CONTROL!$C$15, $D$11, 100%, $F$11)</f>
        <v>32.886200000000002</v>
      </c>
      <c r="I812" s="8">
        <f>31.5135 * CHOOSE(CONTROL!$C$15, $D$11, 100%, $F$11)</f>
        <v>31.513500000000001</v>
      </c>
      <c r="J812" s="4">
        <f>31.4197 * CHOOSE(CONTROL!$C$15, $D$11, 100%, $F$11)</f>
        <v>31.419699999999999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CONTROL!$C$32, 33.3836, 33.3802) * CHOOSE(CONTROL!$C$15, $D$11, 100%, $F$11)</f>
        <v>33.383600000000001</v>
      </c>
      <c r="C813" s="8">
        <f>CHOOSE( CONTROL!$C$32, 33.394, 33.3905) * CHOOSE(CONTROL!$C$15, $D$11, 100%, $F$11)</f>
        <v>33.393999999999998</v>
      </c>
      <c r="D813" s="8">
        <f>CHOOSE( CONTROL!$C$32, 33.4048, 33.4013) * CHOOSE( CONTROL!$C$15, $D$11, 100%, $F$11)</f>
        <v>33.404800000000002</v>
      </c>
      <c r="E813" s="12">
        <f>CHOOSE( CONTROL!$C$32, 33.3993, 33.3958) * CHOOSE( CONTROL!$C$15, $D$11, 100%, $F$11)</f>
        <v>33.399299999999997</v>
      </c>
      <c r="F813" s="4">
        <f>CHOOSE( CONTROL!$C$32, 34.0638, 34.0603) * CHOOSE(CONTROL!$C$15, $D$11, 100%, $F$11)</f>
        <v>34.063800000000001</v>
      </c>
      <c r="G813" s="8">
        <f>CHOOSE( CONTROL!$C$32, 32.8215, 32.8181) * CHOOSE( CONTROL!$C$15, $D$11, 100%, $F$11)</f>
        <v>32.8215</v>
      </c>
      <c r="H813" s="4">
        <f>CHOOSE( CONTROL!$C$32, 33.7413, 33.7379) * CHOOSE(CONTROL!$C$15, $D$11, 100%, $F$11)</f>
        <v>33.741300000000003</v>
      </c>
      <c r="I813" s="8">
        <f>CHOOSE( CONTROL!$C$32, 32.356, 32.3527) * CHOOSE(CONTROL!$C$15, $D$11, 100%, $F$11)</f>
        <v>32.356000000000002</v>
      </c>
      <c r="J813" s="4">
        <f>CHOOSE( CONTROL!$C$32, 32.2602, 32.2569) * CHOOSE(CONTROL!$C$15, $D$11, 100%, $F$11)</f>
        <v>32.260199999999998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CONTROL!$C$32, 32.8474, 32.8439) * CHOOSE(CONTROL!$C$15, $D$11, 100%, $F$11)</f>
        <v>32.8474</v>
      </c>
      <c r="C814" s="8">
        <f>CHOOSE( CONTROL!$C$32, 32.8577, 32.8543) * CHOOSE(CONTROL!$C$15, $D$11, 100%, $F$11)</f>
        <v>32.857700000000001</v>
      </c>
      <c r="D814" s="8">
        <f>CHOOSE( CONTROL!$C$32, 32.8688, 32.8654) * CHOOSE( CONTROL!$C$15, $D$11, 100%, $F$11)</f>
        <v>32.8688</v>
      </c>
      <c r="E814" s="12">
        <f>CHOOSE( CONTROL!$C$32, 32.8632, 32.8598) * CHOOSE( CONTROL!$C$15, $D$11, 100%, $F$11)</f>
        <v>32.863199999999999</v>
      </c>
      <c r="F814" s="4">
        <f>CHOOSE( CONTROL!$C$32, 33.5275, 33.524) * CHOOSE(CONTROL!$C$15, $D$11, 100%, $F$11)</f>
        <v>33.527500000000003</v>
      </c>
      <c r="G814" s="8">
        <f>CHOOSE( CONTROL!$C$32, 32.2944, 32.291) * CHOOSE( CONTROL!$C$15, $D$11, 100%, $F$11)</f>
        <v>32.294400000000003</v>
      </c>
      <c r="H814" s="4">
        <f>CHOOSE( CONTROL!$C$32, 33.2137, 33.2103) * CHOOSE(CONTROL!$C$15, $D$11, 100%, $F$11)</f>
        <v>33.213700000000003</v>
      </c>
      <c r="I814" s="8">
        <f>CHOOSE( CONTROL!$C$32, 31.8385, 31.8352) * CHOOSE(CONTROL!$C$15, $D$11, 100%, $F$11)</f>
        <v>31.8385</v>
      </c>
      <c r="J814" s="4">
        <f>CHOOSE( CONTROL!$C$32, 31.7416, 31.7382) * CHOOSE(CONTROL!$C$15, $D$11, 100%, $F$11)</f>
        <v>31.741599999999998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CONTROL!$C$32, 34.2596, 34.2561) * CHOOSE(CONTROL!$C$15, $D$11, 100%, $F$11)</f>
        <v>34.259599999999999</v>
      </c>
      <c r="C815" s="8">
        <f>CHOOSE( CONTROL!$C$32, 34.2699, 34.2664) * CHOOSE(CONTROL!$C$15, $D$11, 100%, $F$11)</f>
        <v>34.2699</v>
      </c>
      <c r="D815" s="8">
        <f>CHOOSE( CONTROL!$C$32, 34.2813, 34.2778) * CHOOSE( CONTROL!$C$15, $D$11, 100%, $F$11)</f>
        <v>34.281300000000002</v>
      </c>
      <c r="E815" s="12">
        <f>CHOOSE( CONTROL!$C$32, 34.2756, 34.2721) * CHOOSE( CONTROL!$C$15, $D$11, 100%, $F$11)</f>
        <v>34.275599999999997</v>
      </c>
      <c r="F815" s="4">
        <f>CHOOSE( CONTROL!$C$32, 34.9397, 34.9362) * CHOOSE(CONTROL!$C$15, $D$11, 100%, $F$11)</f>
        <v>34.939700000000002</v>
      </c>
      <c r="G815" s="8">
        <f>CHOOSE( CONTROL!$C$32, 33.6842, 33.6807) * CHOOSE( CONTROL!$C$15, $D$11, 100%, $F$11)</f>
        <v>33.684199999999997</v>
      </c>
      <c r="H815" s="4">
        <f>CHOOSE( CONTROL!$C$32, 34.603, 34.5996) * CHOOSE(CONTROL!$C$15, $D$11, 100%, $F$11)</f>
        <v>34.603000000000002</v>
      </c>
      <c r="I815" s="8">
        <f>CHOOSE( CONTROL!$C$32, 33.2064, 33.203) * CHOOSE(CONTROL!$C$15, $D$11, 100%, $F$11)</f>
        <v>33.206400000000002</v>
      </c>
      <c r="J815" s="4">
        <f>CHOOSE( CONTROL!$C$32, 33.1073, 33.104) * CHOOSE(CONTROL!$C$15, $D$11, 100%, $F$11)</f>
        <v>33.107300000000002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CONTROL!$C$32, 31.6172, 31.6138) * CHOOSE(CONTROL!$C$15, $D$11, 100%, $F$11)</f>
        <v>31.6172</v>
      </c>
      <c r="C816" s="8">
        <f>CHOOSE( CONTROL!$C$32, 31.6276, 31.6241) * CHOOSE(CONTROL!$C$15, $D$11, 100%, $F$11)</f>
        <v>31.627600000000001</v>
      </c>
      <c r="D816" s="8">
        <f>CHOOSE( CONTROL!$C$32, 31.6391, 31.6356) * CHOOSE( CONTROL!$C$15, $D$11, 100%, $F$11)</f>
        <v>31.639099999999999</v>
      </c>
      <c r="E816" s="12">
        <f>CHOOSE( CONTROL!$C$32, 31.6333, 31.6299) * CHOOSE( CONTROL!$C$15, $D$11, 100%, $F$11)</f>
        <v>31.633299999999998</v>
      </c>
      <c r="F816" s="4">
        <f>CHOOSE( CONTROL!$C$32, 32.2973, 32.2939) * CHOOSE(CONTROL!$C$15, $D$11, 100%, $F$11)</f>
        <v>32.2973</v>
      </c>
      <c r="G816" s="8">
        <f>CHOOSE( CONTROL!$C$32, 31.0848, 31.0814) * CHOOSE( CONTROL!$C$15, $D$11, 100%, $F$11)</f>
        <v>31.084800000000001</v>
      </c>
      <c r="H816" s="4">
        <f>CHOOSE( CONTROL!$C$32, 32.0034, 32) * CHOOSE(CONTROL!$C$15, $D$11, 100%, $F$11)</f>
        <v>32.003399999999999</v>
      </c>
      <c r="I816" s="8">
        <f>CHOOSE( CONTROL!$C$32, 30.6504, 30.647) * CHOOSE(CONTROL!$C$15, $D$11, 100%, $F$11)</f>
        <v>30.650400000000001</v>
      </c>
      <c r="J816" s="4">
        <f>CHOOSE( CONTROL!$C$32, 30.5519, 30.5486) * CHOOSE(CONTROL!$C$15, $D$11, 100%, $F$11)</f>
        <v>30.5519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CONTROL!$C$32, 30.9556, 30.9521) * CHOOSE(CONTROL!$C$15, $D$11, 100%, $F$11)</f>
        <v>30.9556</v>
      </c>
      <c r="C817" s="8">
        <f>CHOOSE( CONTROL!$C$32, 30.9659, 30.9624) * CHOOSE(CONTROL!$C$15, $D$11, 100%, $F$11)</f>
        <v>30.965900000000001</v>
      </c>
      <c r="D817" s="8">
        <f>CHOOSE( CONTROL!$C$32, 30.9775, 30.974) * CHOOSE( CONTROL!$C$15, $D$11, 100%, $F$11)</f>
        <v>30.977499999999999</v>
      </c>
      <c r="E817" s="12">
        <f>CHOOSE( CONTROL!$C$32, 30.9717, 30.9682) * CHOOSE( CONTROL!$C$15, $D$11, 100%, $F$11)</f>
        <v>30.971699999999998</v>
      </c>
      <c r="F817" s="4">
        <f>CHOOSE( CONTROL!$C$32, 31.6357, 31.6322) * CHOOSE(CONTROL!$C$15, $D$11, 100%, $F$11)</f>
        <v>31.6357</v>
      </c>
      <c r="G817" s="8">
        <f>CHOOSE( CONTROL!$C$32, 30.4339, 30.4305) * CHOOSE( CONTROL!$C$15, $D$11, 100%, $F$11)</f>
        <v>30.433900000000001</v>
      </c>
      <c r="H817" s="4">
        <f>CHOOSE( CONTROL!$C$32, 31.3525, 31.3491) * CHOOSE(CONTROL!$C$15, $D$11, 100%, $F$11)</f>
        <v>31.352499999999999</v>
      </c>
      <c r="I817" s="8">
        <f>CHOOSE( CONTROL!$C$32, 30.0103, 30.007) * CHOOSE(CONTROL!$C$15, $D$11, 100%, $F$11)</f>
        <v>30.010300000000001</v>
      </c>
      <c r="J817" s="4">
        <f>CHOOSE( CONTROL!$C$32, 29.912, 29.9087) * CHOOSE(CONTROL!$C$15, $D$11, 100%, $F$11)</f>
        <v>29.911999999999999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32.3259 * CHOOSE(CONTROL!$C$15, $D$11, 100%, $F$11)</f>
        <v>32.325899999999997</v>
      </c>
      <c r="C818" s="8">
        <f>32.3363 * CHOOSE(CONTROL!$C$15, $D$11, 100%, $F$11)</f>
        <v>32.336300000000001</v>
      </c>
      <c r="D818" s="8">
        <f>32.3488 * CHOOSE( CONTROL!$C$15, $D$11, 100%, $F$11)</f>
        <v>32.348799999999997</v>
      </c>
      <c r="E818" s="12">
        <f>32.3436 * CHOOSE( CONTROL!$C$15, $D$11, 100%, $F$11)</f>
        <v>32.343600000000002</v>
      </c>
      <c r="F818" s="4">
        <f>33.0061 * CHOOSE(CONTROL!$C$15, $D$11, 100%, $F$11)</f>
        <v>33.006100000000004</v>
      </c>
      <c r="G818" s="8">
        <f>31.7817 * CHOOSE( CONTROL!$C$15, $D$11, 100%, $F$11)</f>
        <v>31.781700000000001</v>
      </c>
      <c r="H818" s="4">
        <f>32.7007 * CHOOSE(CONTROL!$C$15, $D$11, 100%, $F$11)</f>
        <v>32.700699999999998</v>
      </c>
      <c r="I818" s="8">
        <f>31.3372 * CHOOSE(CONTROL!$C$15, $D$11, 100%, $F$11)</f>
        <v>31.337199999999999</v>
      </c>
      <c r="J818" s="4">
        <f>31.2373 * CHOOSE(CONTROL!$C$15, $D$11, 100%, $F$11)</f>
        <v>31.237300000000001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34.8618 * CHOOSE(CONTROL!$C$15, $D$11, 100%, $F$11)</f>
        <v>34.861800000000002</v>
      </c>
      <c r="C819" s="8">
        <f>34.8721 * CHOOSE(CONTROL!$C$15, $D$11, 100%, $F$11)</f>
        <v>34.872100000000003</v>
      </c>
      <c r="D819" s="8">
        <f>34.8571 * CHOOSE( CONTROL!$C$15, $D$11, 100%, $F$11)</f>
        <v>34.857100000000003</v>
      </c>
      <c r="E819" s="12">
        <f>34.8615 * CHOOSE( CONTROL!$C$15, $D$11, 100%, $F$11)</f>
        <v>34.861499999999999</v>
      </c>
      <c r="F819" s="4">
        <f>35.516 * CHOOSE(CONTROL!$C$15, $D$11, 100%, $F$11)</f>
        <v>35.515999999999998</v>
      </c>
      <c r="G819" s="8">
        <f>34.2859 * CHOOSE( CONTROL!$C$15, $D$11, 100%, $F$11)</f>
        <v>34.285899999999998</v>
      </c>
      <c r="H819" s="4">
        <f>35.1701 * CHOOSE(CONTROL!$C$15, $D$11, 100%, $F$11)</f>
        <v>35.170099999999998</v>
      </c>
      <c r="I819" s="8">
        <f>33.8111 * CHOOSE(CONTROL!$C$15, $D$11, 100%, $F$11)</f>
        <v>33.811100000000003</v>
      </c>
      <c r="J819" s="4">
        <f>33.6897 * CHOOSE(CONTROL!$C$15, $D$11, 100%, $F$11)</f>
        <v>33.689700000000002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34.7984 * CHOOSE(CONTROL!$C$15, $D$11, 100%, $F$11)</f>
        <v>34.798400000000001</v>
      </c>
      <c r="C820" s="8">
        <f>34.8088 * CHOOSE(CONTROL!$C$15, $D$11, 100%, $F$11)</f>
        <v>34.808799999999998</v>
      </c>
      <c r="D820" s="8">
        <f>34.7953 * CHOOSE( CONTROL!$C$15, $D$11, 100%, $F$11)</f>
        <v>34.795299999999997</v>
      </c>
      <c r="E820" s="12">
        <f>34.7991 * CHOOSE( CONTROL!$C$15, $D$11, 100%, $F$11)</f>
        <v>34.799100000000003</v>
      </c>
      <c r="F820" s="4">
        <f>35.4527 * CHOOSE(CONTROL!$C$15, $D$11, 100%, $F$11)</f>
        <v>35.4527</v>
      </c>
      <c r="G820" s="8">
        <f>34.2248 * CHOOSE( CONTROL!$C$15, $D$11, 100%, $F$11)</f>
        <v>34.224800000000002</v>
      </c>
      <c r="H820" s="4">
        <f>35.1078 * CHOOSE(CONTROL!$C$15, $D$11, 100%, $F$11)</f>
        <v>35.107799999999997</v>
      </c>
      <c r="I820" s="8">
        <f>33.7551 * CHOOSE(CONTROL!$C$15, $D$11, 100%, $F$11)</f>
        <v>33.755099999999999</v>
      </c>
      <c r="J820" s="4">
        <f>33.6285 * CHOOSE(CONTROL!$C$15, $D$11, 100%, $F$11)</f>
        <v>33.628500000000003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36.1274 * CHOOSE(CONTROL!$C$15, $D$11, 100%, $F$11)</f>
        <v>36.127400000000002</v>
      </c>
      <c r="C821" s="8">
        <f>36.1378 * CHOOSE(CONTROL!$C$15, $D$11, 100%, $F$11)</f>
        <v>36.137799999999999</v>
      </c>
      <c r="D821" s="8">
        <f>36.1362 * CHOOSE( CONTROL!$C$15, $D$11, 100%, $F$11)</f>
        <v>36.136200000000002</v>
      </c>
      <c r="E821" s="12">
        <f>36.1357 * CHOOSE( CONTROL!$C$15, $D$11, 100%, $F$11)</f>
        <v>36.1357</v>
      </c>
      <c r="F821" s="4">
        <f>36.8101 * CHOOSE(CONTROL!$C$15, $D$11, 100%, $F$11)</f>
        <v>36.810099999999998</v>
      </c>
      <c r="G821" s="8">
        <f>35.5448 * CHOOSE( CONTROL!$C$15, $D$11, 100%, $F$11)</f>
        <v>35.544800000000002</v>
      </c>
      <c r="H821" s="4">
        <f>36.4432 * CHOOSE(CONTROL!$C$15, $D$11, 100%, $F$11)</f>
        <v>36.443199999999997</v>
      </c>
      <c r="I821" s="8">
        <f>35.0398 * CHOOSE(CONTROL!$C$15, $D$11, 100%, $F$11)</f>
        <v>35.0398</v>
      </c>
      <c r="J821" s="4">
        <f>34.9137 * CHOOSE(CONTROL!$C$15, $D$11, 100%, $F$11)</f>
        <v>34.913699999999999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33.7935 * CHOOSE(CONTROL!$C$15, $D$11, 100%, $F$11)</f>
        <v>33.793500000000002</v>
      </c>
      <c r="C822" s="8">
        <f>33.8039 * CHOOSE(CONTROL!$C$15, $D$11, 100%, $F$11)</f>
        <v>33.803899999999999</v>
      </c>
      <c r="D822" s="8">
        <f>33.8044 * CHOOSE( CONTROL!$C$15, $D$11, 100%, $F$11)</f>
        <v>33.804400000000001</v>
      </c>
      <c r="E822" s="12">
        <f>33.8031 * CHOOSE( CONTROL!$C$15, $D$11, 100%, $F$11)</f>
        <v>33.803100000000001</v>
      </c>
      <c r="F822" s="4">
        <f>34.4685 * CHOOSE(CONTROL!$C$15, $D$11, 100%, $F$11)</f>
        <v>34.468499999999999</v>
      </c>
      <c r="G822" s="8">
        <f>33.2484 * CHOOSE( CONTROL!$C$15, $D$11, 100%, $F$11)</f>
        <v>33.248399999999997</v>
      </c>
      <c r="H822" s="4">
        <f>34.1394 * CHOOSE(CONTROL!$C$15, $D$11, 100%, $F$11)</f>
        <v>34.139400000000002</v>
      </c>
      <c r="I822" s="8">
        <f>32.7706 * CHOOSE(CONTROL!$C$15, $D$11, 100%, $F$11)</f>
        <v>32.770600000000002</v>
      </c>
      <c r="J822" s="4">
        <f>32.6566 * CHOOSE(CONTROL!$C$15, $D$11, 100%, $F$11)</f>
        <v>32.656599999999997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33.0747 * CHOOSE(CONTROL!$C$15, $D$11, 100%, $F$11)</f>
        <v>33.0747</v>
      </c>
      <c r="C823" s="8">
        <f>33.085 * CHOOSE(CONTROL!$C$15, $D$11, 100%, $F$11)</f>
        <v>33.085000000000001</v>
      </c>
      <c r="D823" s="8">
        <f>33.0802 * CHOOSE( CONTROL!$C$15, $D$11, 100%, $F$11)</f>
        <v>33.080199999999998</v>
      </c>
      <c r="E823" s="12">
        <f>33.0809 * CHOOSE( CONTROL!$C$15, $D$11, 100%, $F$11)</f>
        <v>33.0809</v>
      </c>
      <c r="F823" s="4">
        <f>33.7522 * CHOOSE(CONTROL!$C$15, $D$11, 100%, $F$11)</f>
        <v>33.752200000000002</v>
      </c>
      <c r="G823" s="8">
        <f>32.5358 * CHOOSE( CONTROL!$C$15, $D$11, 100%, $F$11)</f>
        <v>32.535800000000002</v>
      </c>
      <c r="H823" s="4">
        <f>33.4348 * CHOOSE(CONTROL!$C$15, $D$11, 100%, $F$11)</f>
        <v>33.434800000000003</v>
      </c>
      <c r="I823" s="8">
        <f>32.0632 * CHOOSE(CONTROL!$C$15, $D$11, 100%, $F$11)</f>
        <v>32.063200000000002</v>
      </c>
      <c r="J823" s="4">
        <f>31.9614 * CHOOSE(CONTROL!$C$15, $D$11, 100%, $F$11)</f>
        <v>31.961400000000001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33.577 * CHOOSE(CONTROL!$C$15, $D$11, 100%, $F$11)</f>
        <v>33.576999999999998</v>
      </c>
      <c r="C824" s="8">
        <f>33.5873 * CHOOSE(CONTROL!$C$15, $D$11, 100%, $F$11)</f>
        <v>33.587299999999999</v>
      </c>
      <c r="D824" s="8">
        <f>33.5986 * CHOOSE( CONTROL!$C$15, $D$11, 100%, $F$11)</f>
        <v>33.598599999999998</v>
      </c>
      <c r="E824" s="12">
        <f>33.5937 * CHOOSE( CONTROL!$C$15, $D$11, 100%, $F$11)</f>
        <v>33.593699999999998</v>
      </c>
      <c r="F824" s="4">
        <f>34.2571 * CHOOSE(CONTROL!$C$15, $D$11, 100%, $F$11)</f>
        <v>34.257100000000001</v>
      </c>
      <c r="G824" s="8">
        <f>33.0106 * CHOOSE( CONTROL!$C$15, $D$11, 100%, $F$11)</f>
        <v>33.010599999999997</v>
      </c>
      <c r="H824" s="4">
        <f>33.9315 * CHOOSE(CONTROL!$C$15, $D$11, 100%, $F$11)</f>
        <v>33.9315</v>
      </c>
      <c r="I824" s="8">
        <f>32.5416 * CHOOSE(CONTROL!$C$15, $D$11, 100%, $F$11)</f>
        <v>32.541600000000003</v>
      </c>
      <c r="J824" s="4">
        <f>32.4472 * CHOOSE(CONTROL!$C$15, $D$11, 100%, $F$11)</f>
        <v>32.447200000000002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CONTROL!$C$32, 34.4745, 34.471) * CHOOSE(CONTROL!$C$15, $D$11, 100%, $F$11)</f>
        <v>34.474499999999999</v>
      </c>
      <c r="C825" s="8">
        <f>CHOOSE( CONTROL!$C$32, 34.4848, 34.4813) * CHOOSE(CONTROL!$C$15, $D$11, 100%, $F$11)</f>
        <v>34.4848</v>
      </c>
      <c r="D825" s="8">
        <f>CHOOSE( CONTROL!$C$32, 34.4956, 34.4921) * CHOOSE( CONTROL!$C$15, $D$11, 100%, $F$11)</f>
        <v>34.495600000000003</v>
      </c>
      <c r="E825" s="12">
        <f>CHOOSE( CONTROL!$C$32, 34.4901, 34.4866) * CHOOSE( CONTROL!$C$15, $D$11, 100%, $F$11)</f>
        <v>34.490099999999998</v>
      </c>
      <c r="F825" s="4">
        <f>CHOOSE( CONTROL!$C$32, 35.1546, 35.1511) * CHOOSE(CONTROL!$C$15, $D$11, 100%, $F$11)</f>
        <v>35.154600000000002</v>
      </c>
      <c r="G825" s="8">
        <f>CHOOSE( CONTROL!$C$32, 33.8947, 33.8913) * CHOOSE( CONTROL!$C$15, $D$11, 100%, $F$11)</f>
        <v>33.8947</v>
      </c>
      <c r="H825" s="4">
        <f>CHOOSE( CONTROL!$C$32, 34.8144, 34.811) * CHOOSE(CONTROL!$C$15, $D$11, 100%, $F$11)</f>
        <v>34.814399999999999</v>
      </c>
      <c r="I825" s="8">
        <f>CHOOSE( CONTROL!$C$32, 33.4115, 33.4081) * CHOOSE(CONTROL!$C$15, $D$11, 100%, $F$11)</f>
        <v>33.411499999999997</v>
      </c>
      <c r="J825" s="4">
        <f>CHOOSE( CONTROL!$C$32, 33.3151, 33.3118) * CHOOSE(CONTROL!$C$15, $D$11, 100%, $F$11)</f>
        <v>33.315100000000001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CONTROL!$C$32, 33.9207, 33.9172) * CHOOSE(CONTROL!$C$15, $D$11, 100%, $F$11)</f>
        <v>33.920699999999997</v>
      </c>
      <c r="C826" s="8">
        <f>CHOOSE( CONTROL!$C$32, 33.931, 33.9275) * CHOOSE(CONTROL!$C$15, $D$11, 100%, $F$11)</f>
        <v>33.930999999999997</v>
      </c>
      <c r="D826" s="8">
        <f>CHOOSE( CONTROL!$C$32, 33.9421, 33.9386) * CHOOSE( CONTROL!$C$15, $D$11, 100%, $F$11)</f>
        <v>33.942100000000003</v>
      </c>
      <c r="E826" s="12">
        <f>CHOOSE( CONTROL!$C$32, 33.9365, 33.933) * CHOOSE( CONTROL!$C$15, $D$11, 100%, $F$11)</f>
        <v>33.936500000000002</v>
      </c>
      <c r="F826" s="4">
        <f>CHOOSE( CONTROL!$C$32, 34.6008, 34.5973) * CHOOSE(CONTROL!$C$15, $D$11, 100%, $F$11)</f>
        <v>34.6008</v>
      </c>
      <c r="G826" s="8">
        <f>CHOOSE( CONTROL!$C$32, 33.3503, 33.3469) * CHOOSE( CONTROL!$C$15, $D$11, 100%, $F$11)</f>
        <v>33.350299999999997</v>
      </c>
      <c r="H826" s="4">
        <f>CHOOSE( CONTROL!$C$32, 34.2696, 34.2662) * CHOOSE(CONTROL!$C$15, $D$11, 100%, $F$11)</f>
        <v>34.269599999999997</v>
      </c>
      <c r="I826" s="8">
        <f>CHOOSE( CONTROL!$C$32, 32.877, 32.8736) * CHOOSE(CONTROL!$C$15, $D$11, 100%, $F$11)</f>
        <v>32.877000000000002</v>
      </c>
      <c r="J826" s="4">
        <f>CHOOSE( CONTROL!$C$32, 32.7796, 32.7762) * CHOOSE(CONTROL!$C$15, $D$11, 100%, $F$11)</f>
        <v>32.779600000000002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CONTROL!$C$32, 35.379, 35.3755) * CHOOSE(CONTROL!$C$15, $D$11, 100%, $F$11)</f>
        <v>35.378999999999998</v>
      </c>
      <c r="C827" s="8">
        <f>CHOOSE( CONTROL!$C$32, 35.3893, 35.3859) * CHOOSE(CONTROL!$C$15, $D$11, 100%, $F$11)</f>
        <v>35.389299999999999</v>
      </c>
      <c r="D827" s="8">
        <f>CHOOSE( CONTROL!$C$32, 35.4007, 35.3973) * CHOOSE( CONTROL!$C$15, $D$11, 100%, $F$11)</f>
        <v>35.400700000000001</v>
      </c>
      <c r="E827" s="12">
        <f>CHOOSE( CONTROL!$C$32, 35.395, 35.3916) * CHOOSE( CONTROL!$C$15, $D$11, 100%, $F$11)</f>
        <v>35.395000000000003</v>
      </c>
      <c r="F827" s="4">
        <f>CHOOSE( CONTROL!$C$32, 36.0591, 36.0556) * CHOOSE(CONTROL!$C$15, $D$11, 100%, $F$11)</f>
        <v>36.059100000000001</v>
      </c>
      <c r="G827" s="8">
        <f>CHOOSE( CONTROL!$C$32, 34.7855, 34.7821) * CHOOSE( CONTROL!$C$15, $D$11, 100%, $F$11)</f>
        <v>34.785499999999999</v>
      </c>
      <c r="H827" s="4">
        <f>CHOOSE( CONTROL!$C$32, 35.7044, 35.7009) * CHOOSE(CONTROL!$C$15, $D$11, 100%, $F$11)</f>
        <v>35.7044</v>
      </c>
      <c r="I827" s="8">
        <f>CHOOSE( CONTROL!$C$32, 34.2895, 34.2862) * CHOOSE(CONTROL!$C$15, $D$11, 100%, $F$11)</f>
        <v>34.289499999999997</v>
      </c>
      <c r="J827" s="4">
        <f>CHOOSE( CONTROL!$C$32, 34.1899, 34.1866) * CHOOSE(CONTROL!$C$15, $D$11, 100%, $F$11)</f>
        <v>34.189900000000002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CONTROL!$C$32, 32.6503, 32.6468) * CHOOSE(CONTROL!$C$15, $D$11, 100%, $F$11)</f>
        <v>32.650300000000001</v>
      </c>
      <c r="C828" s="8">
        <f>CHOOSE( CONTROL!$C$32, 32.6606, 32.6571) * CHOOSE(CONTROL!$C$15, $D$11, 100%, $F$11)</f>
        <v>32.660600000000002</v>
      </c>
      <c r="D828" s="8">
        <f>CHOOSE( CONTROL!$C$32, 32.6722, 32.6687) * CHOOSE( CONTROL!$C$15, $D$11, 100%, $F$11)</f>
        <v>32.672199999999997</v>
      </c>
      <c r="E828" s="12">
        <f>CHOOSE( CONTROL!$C$32, 32.6664, 32.6629) * CHOOSE( CONTROL!$C$15, $D$11, 100%, $F$11)</f>
        <v>32.666400000000003</v>
      </c>
      <c r="F828" s="4">
        <f>CHOOSE( CONTROL!$C$32, 33.3304, 33.3269) * CHOOSE(CONTROL!$C$15, $D$11, 100%, $F$11)</f>
        <v>33.330399999999997</v>
      </c>
      <c r="G828" s="8">
        <f>CHOOSE( CONTROL!$C$32, 32.1011, 32.0977) * CHOOSE( CONTROL!$C$15, $D$11, 100%, $F$11)</f>
        <v>32.101100000000002</v>
      </c>
      <c r="H828" s="4">
        <f>CHOOSE( CONTROL!$C$32, 33.0198, 33.0164) * CHOOSE(CONTROL!$C$15, $D$11, 100%, $F$11)</f>
        <v>33.019799999999996</v>
      </c>
      <c r="I828" s="8">
        <f>CHOOSE( CONTROL!$C$32, 31.6499, 31.6465) * CHOOSE(CONTROL!$C$15, $D$11, 100%, $F$11)</f>
        <v>31.649899999999999</v>
      </c>
      <c r="J828" s="4">
        <f>CHOOSE( CONTROL!$C$32, 31.551, 31.5476) * CHOOSE(CONTROL!$C$15, $D$11, 100%, $F$11)</f>
        <v>31.550999999999998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CONTROL!$C$32, 31.967, 31.9635) * CHOOSE(CONTROL!$C$15, $D$11, 100%, $F$11)</f>
        <v>31.966999999999999</v>
      </c>
      <c r="C829" s="8">
        <f>CHOOSE( CONTROL!$C$32, 31.9773, 31.9738) * CHOOSE(CONTROL!$C$15, $D$11, 100%, $F$11)</f>
        <v>31.9773</v>
      </c>
      <c r="D829" s="8">
        <f>CHOOSE( CONTROL!$C$32, 31.9889, 31.9854) * CHOOSE( CONTROL!$C$15, $D$11, 100%, $F$11)</f>
        <v>31.988900000000001</v>
      </c>
      <c r="E829" s="12">
        <f>CHOOSE( CONTROL!$C$32, 31.9831, 31.9796) * CHOOSE( CONTROL!$C$15, $D$11, 100%, $F$11)</f>
        <v>31.9831</v>
      </c>
      <c r="F829" s="4">
        <f>CHOOSE( CONTROL!$C$32, 32.6471, 32.6436) * CHOOSE(CONTROL!$C$15, $D$11, 100%, $F$11)</f>
        <v>32.647100000000002</v>
      </c>
      <c r="G829" s="8">
        <f>CHOOSE( CONTROL!$C$32, 31.4289, 31.4255) * CHOOSE( CONTROL!$C$15, $D$11, 100%, $F$11)</f>
        <v>31.428899999999999</v>
      </c>
      <c r="H829" s="4">
        <f>CHOOSE( CONTROL!$C$32, 32.3475, 32.3441) * CHOOSE(CONTROL!$C$15, $D$11, 100%, $F$11)</f>
        <v>32.347499999999997</v>
      </c>
      <c r="I829" s="8">
        <f>CHOOSE( CONTROL!$C$32, 30.989, 30.9856) * CHOOSE(CONTROL!$C$15, $D$11, 100%, $F$11)</f>
        <v>30.989000000000001</v>
      </c>
      <c r="J829" s="4">
        <f>CHOOSE( CONTROL!$C$32, 30.8902, 30.8868) * CHOOSE(CONTROL!$C$15, $D$11, 100%, $F$11)</f>
        <v>30.8902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33.3823 * CHOOSE(CONTROL!$C$15, $D$11, 100%, $F$11)</f>
        <v>33.382300000000001</v>
      </c>
      <c r="C830" s="8">
        <f>33.3926 * CHOOSE(CONTROL!$C$15, $D$11, 100%, $F$11)</f>
        <v>33.392600000000002</v>
      </c>
      <c r="D830" s="8">
        <f>33.4052 * CHOOSE( CONTROL!$C$15, $D$11, 100%, $F$11)</f>
        <v>33.405200000000001</v>
      </c>
      <c r="E830" s="12">
        <f>33.3999 * CHOOSE( CONTROL!$C$15, $D$11, 100%, $F$11)</f>
        <v>33.399900000000002</v>
      </c>
      <c r="F830" s="4">
        <f>34.0624 * CHOOSE(CONTROL!$C$15, $D$11, 100%, $F$11)</f>
        <v>34.062399999999997</v>
      </c>
      <c r="G830" s="8">
        <f>32.8209 * CHOOSE( CONTROL!$C$15, $D$11, 100%, $F$11)</f>
        <v>32.820900000000002</v>
      </c>
      <c r="H830" s="4">
        <f>33.7399 * CHOOSE(CONTROL!$C$15, $D$11, 100%, $F$11)</f>
        <v>33.739899999999999</v>
      </c>
      <c r="I830" s="8">
        <f>32.3592 * CHOOSE(CONTROL!$C$15, $D$11, 100%, $F$11)</f>
        <v>32.359200000000001</v>
      </c>
      <c r="J830" s="4">
        <f>32.2589 * CHOOSE(CONTROL!$C$15, $D$11, 100%, $F$11)</f>
        <v>32.258899999999997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36.0011 * CHOOSE(CONTROL!$C$15, $D$11, 100%, $F$11)</f>
        <v>36.001100000000001</v>
      </c>
      <c r="C831" s="8">
        <f>36.0114 * CHOOSE(CONTROL!$C$15, $D$11, 100%, $F$11)</f>
        <v>36.011400000000002</v>
      </c>
      <c r="D831" s="8">
        <f>35.9963 * CHOOSE( CONTROL!$C$15, $D$11, 100%, $F$11)</f>
        <v>35.996299999999998</v>
      </c>
      <c r="E831" s="12">
        <f>36.0007 * CHOOSE( CONTROL!$C$15, $D$11, 100%, $F$11)</f>
        <v>36.000700000000002</v>
      </c>
      <c r="F831" s="4">
        <f>36.6553 * CHOOSE(CONTROL!$C$15, $D$11, 100%, $F$11)</f>
        <v>36.655299999999997</v>
      </c>
      <c r="G831" s="8">
        <f>35.4067 * CHOOSE( CONTROL!$C$15, $D$11, 100%, $F$11)</f>
        <v>35.406700000000001</v>
      </c>
      <c r="H831" s="4">
        <f>36.2909 * CHOOSE(CONTROL!$C$15, $D$11, 100%, $F$11)</f>
        <v>36.290900000000001</v>
      </c>
      <c r="I831" s="8">
        <f>34.9134 * CHOOSE(CONTROL!$C$15, $D$11, 100%, $F$11)</f>
        <v>34.913400000000003</v>
      </c>
      <c r="J831" s="4">
        <f>34.7915 * CHOOSE(CONTROL!$C$15, $D$11, 100%, $F$11)</f>
        <v>34.791499999999999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35.9356 * CHOOSE(CONTROL!$C$15, $D$11, 100%, $F$11)</f>
        <v>35.935600000000001</v>
      </c>
      <c r="C832" s="8">
        <f>35.946 * CHOOSE(CONTROL!$C$15, $D$11, 100%, $F$11)</f>
        <v>35.945999999999998</v>
      </c>
      <c r="D832" s="8">
        <f>35.9325 * CHOOSE( CONTROL!$C$15, $D$11, 100%, $F$11)</f>
        <v>35.932499999999997</v>
      </c>
      <c r="E832" s="12">
        <f>35.9363 * CHOOSE( CONTROL!$C$15, $D$11, 100%, $F$11)</f>
        <v>35.936300000000003</v>
      </c>
      <c r="F832" s="4">
        <f>36.5899 * CHOOSE(CONTROL!$C$15, $D$11, 100%, $F$11)</f>
        <v>36.5899</v>
      </c>
      <c r="G832" s="8">
        <f>35.3436 * CHOOSE( CONTROL!$C$15, $D$11, 100%, $F$11)</f>
        <v>35.343600000000002</v>
      </c>
      <c r="H832" s="4">
        <f>36.2265 * CHOOSE(CONTROL!$C$15, $D$11, 100%, $F$11)</f>
        <v>36.226500000000001</v>
      </c>
      <c r="I832" s="8">
        <f>34.8554 * CHOOSE(CONTROL!$C$15, $D$11, 100%, $F$11)</f>
        <v>34.855400000000003</v>
      </c>
      <c r="J832" s="4">
        <f>34.7282 * CHOOSE(CONTROL!$C$15, $D$11, 100%, $F$11)</f>
        <v>34.728200000000001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37.3081 * CHOOSE(CONTROL!$C$15, $D$11, 100%, $F$11)</f>
        <v>37.308100000000003</v>
      </c>
      <c r="C833" s="8">
        <f>37.3184 * CHOOSE(CONTROL!$C$15, $D$11, 100%, $F$11)</f>
        <v>37.318399999999997</v>
      </c>
      <c r="D833" s="8">
        <f>37.3168 * CHOOSE( CONTROL!$C$15, $D$11, 100%, $F$11)</f>
        <v>37.316800000000001</v>
      </c>
      <c r="E833" s="12">
        <f>37.3163 * CHOOSE( CONTROL!$C$15, $D$11, 100%, $F$11)</f>
        <v>37.316299999999998</v>
      </c>
      <c r="F833" s="4">
        <f>37.9908 * CHOOSE(CONTROL!$C$15, $D$11, 100%, $F$11)</f>
        <v>37.9908</v>
      </c>
      <c r="G833" s="8">
        <f>36.7063 * CHOOSE( CONTROL!$C$15, $D$11, 100%, $F$11)</f>
        <v>36.706299999999999</v>
      </c>
      <c r="H833" s="4">
        <f>37.6048 * CHOOSE(CONTROL!$C$15, $D$11, 100%, $F$11)</f>
        <v>37.604799999999997</v>
      </c>
      <c r="I833" s="8">
        <f>36.1821 * CHOOSE(CONTROL!$C$15, $D$11, 100%, $F$11)</f>
        <v>36.182099999999998</v>
      </c>
      <c r="J833" s="4">
        <f>36.0555 * CHOOSE(CONTROL!$C$15, $D$11, 100%, $F$11)</f>
        <v>36.055500000000002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34.8978 * CHOOSE(CONTROL!$C$15, $D$11, 100%, $F$11)</f>
        <v>34.897799999999997</v>
      </c>
      <c r="C834" s="8">
        <f>34.9082 * CHOOSE(CONTROL!$C$15, $D$11, 100%, $F$11)</f>
        <v>34.908200000000001</v>
      </c>
      <c r="D834" s="8">
        <f>34.9087 * CHOOSE( CONTROL!$C$15, $D$11, 100%, $F$11)</f>
        <v>34.908700000000003</v>
      </c>
      <c r="E834" s="12">
        <f>34.9074 * CHOOSE( CONTROL!$C$15, $D$11, 100%, $F$11)</f>
        <v>34.907400000000003</v>
      </c>
      <c r="F834" s="4">
        <f>35.5728 * CHOOSE(CONTROL!$C$15, $D$11, 100%, $F$11)</f>
        <v>35.572800000000001</v>
      </c>
      <c r="G834" s="8">
        <f>34.3349 * CHOOSE( CONTROL!$C$15, $D$11, 100%, $F$11)</f>
        <v>34.334899999999998</v>
      </c>
      <c r="H834" s="4">
        <f>35.2259 * CHOOSE(CONTROL!$C$15, $D$11, 100%, $F$11)</f>
        <v>35.225900000000003</v>
      </c>
      <c r="I834" s="8">
        <f>33.8391 * CHOOSE(CONTROL!$C$15, $D$11, 100%, $F$11)</f>
        <v>33.839100000000002</v>
      </c>
      <c r="J834" s="4">
        <f>33.7246 * CHOOSE(CONTROL!$C$15, $D$11, 100%, $F$11)</f>
        <v>33.724600000000002</v>
      </c>
      <c r="K834" s="4"/>
      <c r="L834" s="9">
        <v>27.415299999999998</v>
      </c>
      <c r="M834" s="9">
        <v>11.285299999999999</v>
      </c>
      <c r="N834" s="9">
        <v>4.6254999999999997</v>
      </c>
      <c r="O834" s="9">
        <v>0.34989999999999999</v>
      </c>
      <c r="P834" s="9">
        <v>1.2093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34.1555 * CHOOSE(CONTROL!$C$15, $D$11, 100%, $F$11)</f>
        <v>34.155500000000004</v>
      </c>
      <c r="C835" s="8">
        <f>34.1658 * CHOOSE(CONTROL!$C$15, $D$11, 100%, $F$11)</f>
        <v>34.165799999999997</v>
      </c>
      <c r="D835" s="8">
        <f>34.161 * CHOOSE( CONTROL!$C$15, $D$11, 100%, $F$11)</f>
        <v>34.161000000000001</v>
      </c>
      <c r="E835" s="12">
        <f>34.1617 * CHOOSE( CONTROL!$C$15, $D$11, 100%, $F$11)</f>
        <v>34.161700000000003</v>
      </c>
      <c r="F835" s="4">
        <f>34.833 * CHOOSE(CONTROL!$C$15, $D$11, 100%, $F$11)</f>
        <v>34.832999999999998</v>
      </c>
      <c r="G835" s="8">
        <f>33.5991 * CHOOSE( CONTROL!$C$15, $D$11, 100%, $F$11)</f>
        <v>33.5991</v>
      </c>
      <c r="H835" s="4">
        <f>34.4981 * CHOOSE(CONTROL!$C$15, $D$11, 100%, $F$11)</f>
        <v>34.498100000000001</v>
      </c>
      <c r="I835" s="8">
        <f>33.109 * CHOOSE(CONTROL!$C$15, $D$11, 100%, $F$11)</f>
        <v>33.109000000000002</v>
      </c>
      <c r="J835" s="4">
        <f>33.0067 * CHOOSE(CONTROL!$C$15, $D$11, 100%, $F$11)</f>
        <v>33.006700000000002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34.6742 * CHOOSE(CONTROL!$C$15, $D$11, 100%, $F$11)</f>
        <v>34.674199999999999</v>
      </c>
      <c r="C836" s="8">
        <f>34.6846 * CHOOSE(CONTROL!$C$15, $D$11, 100%, $F$11)</f>
        <v>34.684600000000003</v>
      </c>
      <c r="D836" s="8">
        <f>34.6959 * CHOOSE( CONTROL!$C$15, $D$11, 100%, $F$11)</f>
        <v>34.695900000000002</v>
      </c>
      <c r="E836" s="12">
        <f>34.691 * CHOOSE( CONTROL!$C$15, $D$11, 100%, $F$11)</f>
        <v>34.691000000000003</v>
      </c>
      <c r="F836" s="4">
        <f>35.3543 * CHOOSE(CONTROL!$C$15, $D$11, 100%, $F$11)</f>
        <v>35.354300000000002</v>
      </c>
      <c r="G836" s="8">
        <f>34.0901 * CHOOSE( CONTROL!$C$15, $D$11, 100%, $F$11)</f>
        <v>34.0901</v>
      </c>
      <c r="H836" s="4">
        <f>35.011 * CHOOSE(CONTROL!$C$15, $D$11, 100%, $F$11)</f>
        <v>35.011000000000003</v>
      </c>
      <c r="I836" s="8">
        <f>33.6032 * CHOOSE(CONTROL!$C$15, $D$11, 100%, $F$11)</f>
        <v>33.603200000000001</v>
      </c>
      <c r="J836" s="4">
        <f>33.5083 * CHOOSE(CONTROL!$C$15, $D$11, 100%, $F$11)</f>
        <v>33.508299999999998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CONTROL!$C$32, 35.6009, 35.5975) * CHOOSE(CONTROL!$C$15, $D$11, 100%, $F$11)</f>
        <v>35.600900000000003</v>
      </c>
      <c r="C837" s="8">
        <f>CHOOSE( CONTROL!$C$32, 35.6113, 35.6078) * CHOOSE(CONTROL!$C$15, $D$11, 100%, $F$11)</f>
        <v>35.6113</v>
      </c>
      <c r="D837" s="8">
        <f>CHOOSE( CONTROL!$C$32, 35.6221, 35.6186) * CHOOSE( CONTROL!$C$15, $D$11, 100%, $F$11)</f>
        <v>35.622100000000003</v>
      </c>
      <c r="E837" s="12">
        <f>CHOOSE( CONTROL!$C$32, 35.6166, 35.6131) * CHOOSE( CONTROL!$C$15, $D$11, 100%, $F$11)</f>
        <v>35.616599999999998</v>
      </c>
      <c r="F837" s="4">
        <f>CHOOSE( CONTROL!$C$32, 36.281, 36.2776) * CHOOSE(CONTROL!$C$15, $D$11, 100%, $F$11)</f>
        <v>36.280999999999999</v>
      </c>
      <c r="G837" s="8">
        <f>CHOOSE( CONTROL!$C$32, 35.003, 34.9995) * CHOOSE( CONTROL!$C$15, $D$11, 100%, $F$11)</f>
        <v>35.003</v>
      </c>
      <c r="H837" s="4">
        <f>CHOOSE( CONTROL!$C$32, 35.9227, 35.9193) * CHOOSE(CONTROL!$C$15, $D$11, 100%, $F$11)</f>
        <v>35.922699999999999</v>
      </c>
      <c r="I837" s="8">
        <f>CHOOSE( CONTROL!$C$32, 34.5015, 34.4981) * CHOOSE(CONTROL!$C$15, $D$11, 100%, $F$11)</f>
        <v>34.5015</v>
      </c>
      <c r="J837" s="4">
        <f>CHOOSE( CONTROL!$C$32, 34.4046, 34.4012) * CHOOSE(CONTROL!$C$15, $D$11, 100%, $F$11)</f>
        <v>34.404600000000002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CONTROL!$C$32, 35.029, 35.0256) * CHOOSE(CONTROL!$C$15, $D$11, 100%, $F$11)</f>
        <v>35.029000000000003</v>
      </c>
      <c r="C838" s="8">
        <f>CHOOSE( CONTROL!$C$32, 35.0394, 35.0359) * CHOOSE(CONTROL!$C$15, $D$11, 100%, $F$11)</f>
        <v>35.039400000000001</v>
      </c>
      <c r="D838" s="8">
        <f>CHOOSE( CONTROL!$C$32, 35.0505, 35.047) * CHOOSE( CONTROL!$C$15, $D$11, 100%, $F$11)</f>
        <v>35.0505</v>
      </c>
      <c r="E838" s="12">
        <f>CHOOSE( CONTROL!$C$32, 35.0449, 35.0414) * CHOOSE( CONTROL!$C$15, $D$11, 100%, $F$11)</f>
        <v>35.044899999999998</v>
      </c>
      <c r="F838" s="4">
        <f>CHOOSE( CONTROL!$C$32, 35.7091, 35.7057) * CHOOSE(CONTROL!$C$15, $D$11, 100%, $F$11)</f>
        <v>35.709099999999999</v>
      </c>
      <c r="G838" s="8">
        <f>CHOOSE( CONTROL!$C$32, 34.4407, 34.4373) * CHOOSE( CONTROL!$C$15, $D$11, 100%, $F$11)</f>
        <v>34.4407</v>
      </c>
      <c r="H838" s="4">
        <f>CHOOSE( CONTROL!$C$32, 35.36, 35.3566) * CHOOSE(CONTROL!$C$15, $D$11, 100%, $F$11)</f>
        <v>35.36</v>
      </c>
      <c r="I838" s="8">
        <f>CHOOSE( CONTROL!$C$32, 33.9494, 33.9461) * CHOOSE(CONTROL!$C$15, $D$11, 100%, $F$11)</f>
        <v>33.949399999999997</v>
      </c>
      <c r="J838" s="4">
        <f>CHOOSE( CONTROL!$C$32, 33.8515, 33.8481) * CHOOSE(CONTROL!$C$15, $D$11, 100%, $F$11)</f>
        <v>33.851500000000001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CONTROL!$C$32, 36.5351, 36.5316) * CHOOSE(CONTROL!$C$15, $D$11, 100%, $F$11)</f>
        <v>36.5351</v>
      </c>
      <c r="C839" s="8">
        <f>CHOOSE( CONTROL!$C$32, 36.5454, 36.5419) * CHOOSE(CONTROL!$C$15, $D$11, 100%, $F$11)</f>
        <v>36.545400000000001</v>
      </c>
      <c r="D839" s="8">
        <f>CHOOSE( CONTROL!$C$32, 36.5568, 36.5533) * CHOOSE( CONTROL!$C$15, $D$11, 100%, $F$11)</f>
        <v>36.556800000000003</v>
      </c>
      <c r="E839" s="12">
        <f>CHOOSE( CONTROL!$C$32, 36.5511, 36.5476) * CHOOSE( CONTROL!$C$15, $D$11, 100%, $F$11)</f>
        <v>36.551099999999998</v>
      </c>
      <c r="F839" s="4">
        <f>CHOOSE( CONTROL!$C$32, 37.2152, 37.2117) * CHOOSE(CONTROL!$C$15, $D$11, 100%, $F$11)</f>
        <v>37.215200000000003</v>
      </c>
      <c r="G839" s="8">
        <f>CHOOSE( CONTROL!$C$32, 35.9229, 35.9194) * CHOOSE( CONTROL!$C$15, $D$11, 100%, $F$11)</f>
        <v>35.922899999999998</v>
      </c>
      <c r="H839" s="4">
        <f>CHOOSE( CONTROL!$C$32, 36.8417, 36.8383) * CHOOSE(CONTROL!$C$15, $D$11, 100%, $F$11)</f>
        <v>36.841700000000003</v>
      </c>
      <c r="I839" s="8">
        <f>CHOOSE( CONTROL!$C$32, 35.4081, 35.4047) * CHOOSE(CONTROL!$C$15, $D$11, 100%, $F$11)</f>
        <v>35.408099999999997</v>
      </c>
      <c r="J839" s="4">
        <f>CHOOSE( CONTROL!$C$32, 35.308, 35.3046) * CHOOSE(CONTROL!$C$15, $D$11, 100%, $F$11)</f>
        <v>35.308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CONTROL!$C$32, 33.7171, 33.7136) * CHOOSE(CONTROL!$C$15, $D$11, 100%, $F$11)</f>
        <v>33.717100000000002</v>
      </c>
      <c r="C840" s="8">
        <f>CHOOSE( CONTROL!$C$32, 33.7274, 33.724) * CHOOSE(CONTROL!$C$15, $D$11, 100%, $F$11)</f>
        <v>33.727400000000003</v>
      </c>
      <c r="D840" s="8">
        <f>CHOOSE( CONTROL!$C$32, 33.739, 33.7355) * CHOOSE( CONTROL!$C$15, $D$11, 100%, $F$11)</f>
        <v>33.738999999999997</v>
      </c>
      <c r="E840" s="12">
        <f>CHOOSE( CONTROL!$C$32, 33.7332, 33.7297) * CHOOSE( CONTROL!$C$15, $D$11, 100%, $F$11)</f>
        <v>33.733199999999997</v>
      </c>
      <c r="F840" s="4">
        <f>CHOOSE( CONTROL!$C$32, 34.3972, 34.3937) * CHOOSE(CONTROL!$C$15, $D$11, 100%, $F$11)</f>
        <v>34.397199999999998</v>
      </c>
      <c r="G840" s="8">
        <f>CHOOSE( CONTROL!$C$32, 33.1507, 33.1473) * CHOOSE( CONTROL!$C$15, $D$11, 100%, $F$11)</f>
        <v>33.150700000000001</v>
      </c>
      <c r="H840" s="4">
        <f>CHOOSE( CONTROL!$C$32, 34.0693, 34.0659) * CHOOSE(CONTROL!$C$15, $D$11, 100%, $F$11)</f>
        <v>34.069299999999998</v>
      </c>
      <c r="I840" s="8">
        <f>CHOOSE( CONTROL!$C$32, 32.6821, 32.6788) * CHOOSE(CONTROL!$C$15, $D$11, 100%, $F$11)</f>
        <v>32.682099999999998</v>
      </c>
      <c r="J840" s="4">
        <f>CHOOSE( CONTROL!$C$32, 32.5827, 32.5793) * CHOOSE(CONTROL!$C$15, $D$11, 100%, $F$11)</f>
        <v>32.582700000000003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CONTROL!$C$32, 33.0114, 33.008) * CHOOSE(CONTROL!$C$15, $D$11, 100%, $F$11)</f>
        <v>33.011400000000002</v>
      </c>
      <c r="C841" s="8">
        <f>CHOOSE( CONTROL!$C$32, 33.0218, 33.0183) * CHOOSE(CONTROL!$C$15, $D$11, 100%, $F$11)</f>
        <v>33.021799999999999</v>
      </c>
      <c r="D841" s="8">
        <f>CHOOSE( CONTROL!$C$32, 33.0334, 33.0299) * CHOOSE( CONTROL!$C$15, $D$11, 100%, $F$11)</f>
        <v>33.0334</v>
      </c>
      <c r="E841" s="12">
        <f>CHOOSE( CONTROL!$C$32, 33.0276, 33.0241) * CHOOSE( CONTROL!$C$15, $D$11, 100%, $F$11)</f>
        <v>33.0276</v>
      </c>
      <c r="F841" s="4">
        <f>CHOOSE( CONTROL!$C$32, 33.6916, 33.6881) * CHOOSE(CONTROL!$C$15, $D$11, 100%, $F$11)</f>
        <v>33.691600000000001</v>
      </c>
      <c r="G841" s="8">
        <f>CHOOSE( CONTROL!$C$32, 32.4565, 32.4531) * CHOOSE( CONTROL!$C$15, $D$11, 100%, $F$11)</f>
        <v>32.456499999999998</v>
      </c>
      <c r="H841" s="4">
        <f>CHOOSE( CONTROL!$C$32, 33.3751, 33.3717) * CHOOSE(CONTROL!$C$15, $D$11, 100%, $F$11)</f>
        <v>33.375100000000003</v>
      </c>
      <c r="I841" s="8">
        <f>CHOOSE( CONTROL!$C$32, 31.9996, 31.9962) * CHOOSE(CONTROL!$C$15, $D$11, 100%, $F$11)</f>
        <v>31.999600000000001</v>
      </c>
      <c r="J841" s="4">
        <f>CHOOSE( CONTROL!$C$32, 31.9003, 31.8969) * CHOOSE(CONTROL!$C$15, $D$11, 100%, $F$11)</f>
        <v>31.900300000000001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34.4732 * CHOOSE(CONTROL!$C$15, $D$11, 100%, $F$11)</f>
        <v>34.473199999999999</v>
      </c>
      <c r="C842" s="8">
        <f>34.4835 * CHOOSE(CONTROL!$C$15, $D$11, 100%, $F$11)</f>
        <v>34.483499999999999</v>
      </c>
      <c r="D842" s="8">
        <f>34.496 * CHOOSE( CONTROL!$C$15, $D$11, 100%, $F$11)</f>
        <v>34.496000000000002</v>
      </c>
      <c r="E842" s="12">
        <f>34.4908 * CHOOSE( CONTROL!$C$15, $D$11, 100%, $F$11)</f>
        <v>34.4908</v>
      </c>
      <c r="F842" s="4">
        <f>35.1533 * CHOOSE(CONTROL!$C$15, $D$11, 100%, $F$11)</f>
        <v>35.153300000000002</v>
      </c>
      <c r="G842" s="8">
        <f>33.8941 * CHOOSE( CONTROL!$C$15, $D$11, 100%, $F$11)</f>
        <v>33.894100000000002</v>
      </c>
      <c r="H842" s="4">
        <f>34.8132 * CHOOSE(CONTROL!$C$15, $D$11, 100%, $F$11)</f>
        <v>34.813200000000002</v>
      </c>
      <c r="I842" s="8">
        <f>33.4148 * CHOOSE(CONTROL!$C$15, $D$11, 100%, $F$11)</f>
        <v>33.4148</v>
      </c>
      <c r="J842" s="4">
        <f>33.3139 * CHOOSE(CONTROL!$C$15, $D$11, 100%, $F$11)</f>
        <v>33.313899999999997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37.1776 * CHOOSE(CONTROL!$C$15, $D$11, 100%, $F$11)</f>
        <v>37.177599999999998</v>
      </c>
      <c r="C843" s="8">
        <f>37.1879 * CHOOSE(CONTROL!$C$15, $D$11, 100%, $F$11)</f>
        <v>37.187899999999999</v>
      </c>
      <c r="D843" s="8">
        <f>37.1728 * CHOOSE( CONTROL!$C$15, $D$11, 100%, $F$11)</f>
        <v>37.172800000000002</v>
      </c>
      <c r="E843" s="12">
        <f>37.1772 * CHOOSE( CONTROL!$C$15, $D$11, 100%, $F$11)</f>
        <v>37.177199999999999</v>
      </c>
      <c r="F843" s="4">
        <f>37.8318 * CHOOSE(CONTROL!$C$15, $D$11, 100%, $F$11)</f>
        <v>37.831800000000001</v>
      </c>
      <c r="G843" s="8">
        <f>36.5642 * CHOOSE( CONTROL!$C$15, $D$11, 100%, $F$11)</f>
        <v>36.5642</v>
      </c>
      <c r="H843" s="4">
        <f>37.4484 * CHOOSE(CONTROL!$C$15, $D$11, 100%, $F$11)</f>
        <v>37.448399999999999</v>
      </c>
      <c r="I843" s="8">
        <f>36.0518 * CHOOSE(CONTROL!$C$15, $D$11, 100%, $F$11)</f>
        <v>36.0518</v>
      </c>
      <c r="J843" s="4">
        <f>35.9293 * CHOOSE(CONTROL!$C$15, $D$11, 100%, $F$11)</f>
        <v>35.929299999999998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37.11 * CHOOSE(CONTROL!$C$15, $D$11, 100%, $F$11)</f>
        <v>37.11</v>
      </c>
      <c r="C844" s="8">
        <f>37.1203 * CHOOSE(CONTROL!$C$15, $D$11, 100%, $F$11)</f>
        <v>37.1203</v>
      </c>
      <c r="D844" s="8">
        <f>37.1069 * CHOOSE( CONTROL!$C$15, $D$11, 100%, $F$11)</f>
        <v>37.106900000000003</v>
      </c>
      <c r="E844" s="12">
        <f>37.1107 * CHOOSE( CONTROL!$C$15, $D$11, 100%, $F$11)</f>
        <v>37.110700000000001</v>
      </c>
      <c r="F844" s="4">
        <f>37.7643 * CHOOSE(CONTROL!$C$15, $D$11, 100%, $F$11)</f>
        <v>37.764299999999999</v>
      </c>
      <c r="G844" s="8">
        <f>36.4989 * CHOOSE( CONTROL!$C$15, $D$11, 100%, $F$11)</f>
        <v>36.498899999999999</v>
      </c>
      <c r="H844" s="4">
        <f>37.3819 * CHOOSE(CONTROL!$C$15, $D$11, 100%, $F$11)</f>
        <v>37.381900000000002</v>
      </c>
      <c r="I844" s="8">
        <f>35.9917 * CHOOSE(CONTROL!$C$15, $D$11, 100%, $F$11)</f>
        <v>35.991700000000002</v>
      </c>
      <c r="J844" s="4">
        <f>35.864 * CHOOSE(CONTROL!$C$15, $D$11, 100%, $F$11)</f>
        <v>35.863999999999997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38.5273 * CHOOSE(CONTROL!$C$15, $D$11, 100%, $F$11)</f>
        <v>38.527299999999997</v>
      </c>
      <c r="C845" s="8">
        <f>38.5377 * CHOOSE(CONTROL!$C$15, $D$11, 100%, $F$11)</f>
        <v>38.537700000000001</v>
      </c>
      <c r="D845" s="8">
        <f>38.5361 * CHOOSE( CONTROL!$C$15, $D$11, 100%, $F$11)</f>
        <v>38.536099999999998</v>
      </c>
      <c r="E845" s="12">
        <f>38.5356 * CHOOSE( CONTROL!$C$15, $D$11, 100%, $F$11)</f>
        <v>38.535600000000002</v>
      </c>
      <c r="F845" s="4">
        <f>39.21 * CHOOSE(CONTROL!$C$15, $D$11, 100%, $F$11)</f>
        <v>39.21</v>
      </c>
      <c r="G845" s="8">
        <f>37.9059 * CHOOSE( CONTROL!$C$15, $D$11, 100%, $F$11)</f>
        <v>37.905900000000003</v>
      </c>
      <c r="H845" s="4">
        <f>38.8043 * CHOOSE(CONTROL!$C$15, $D$11, 100%, $F$11)</f>
        <v>38.804299999999998</v>
      </c>
      <c r="I845" s="8">
        <f>37.3619 * CHOOSE(CONTROL!$C$15, $D$11, 100%, $F$11)</f>
        <v>37.361899999999999</v>
      </c>
      <c r="J845" s="4">
        <f>37.2347 * CHOOSE(CONTROL!$C$15, $D$11, 100%, $F$11)</f>
        <v>37.234699999999997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36.0383 * CHOOSE(CONTROL!$C$15, $D$11, 100%, $F$11)</f>
        <v>36.0383</v>
      </c>
      <c r="C846" s="8">
        <f>36.0486 * CHOOSE(CONTROL!$C$15, $D$11, 100%, $F$11)</f>
        <v>36.0486</v>
      </c>
      <c r="D846" s="8">
        <f>36.0492 * CHOOSE( CONTROL!$C$15, $D$11, 100%, $F$11)</f>
        <v>36.049199999999999</v>
      </c>
      <c r="E846" s="12">
        <f>36.0479 * CHOOSE( CONTROL!$C$15, $D$11, 100%, $F$11)</f>
        <v>36.047899999999998</v>
      </c>
      <c r="F846" s="4">
        <f>36.7132 * CHOOSE(CONTROL!$C$15, $D$11, 100%, $F$11)</f>
        <v>36.713200000000001</v>
      </c>
      <c r="G846" s="8">
        <f>35.4569 * CHOOSE( CONTROL!$C$15, $D$11, 100%, $F$11)</f>
        <v>35.456899999999997</v>
      </c>
      <c r="H846" s="4">
        <f>36.3479 * CHOOSE(CONTROL!$C$15, $D$11, 100%, $F$11)</f>
        <v>36.347900000000003</v>
      </c>
      <c r="I846" s="8">
        <f>34.9426 * CHOOSE(CONTROL!$C$15, $D$11, 100%, $F$11)</f>
        <v>34.942599999999999</v>
      </c>
      <c r="J846" s="4">
        <f>34.8275 * CHOOSE(CONTROL!$C$15, $D$11, 100%, $F$11)</f>
        <v>34.827500000000001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35.2717 * CHOOSE(CONTROL!$C$15, $D$11, 100%, $F$11)</f>
        <v>35.271700000000003</v>
      </c>
      <c r="C847" s="8">
        <f>35.282 * CHOOSE(CONTROL!$C$15, $D$11, 100%, $F$11)</f>
        <v>35.281999999999996</v>
      </c>
      <c r="D847" s="8">
        <f>35.2772 * CHOOSE( CONTROL!$C$15, $D$11, 100%, $F$11)</f>
        <v>35.277200000000001</v>
      </c>
      <c r="E847" s="12">
        <f>35.2779 * CHOOSE( CONTROL!$C$15, $D$11, 100%, $F$11)</f>
        <v>35.277900000000002</v>
      </c>
      <c r="F847" s="4">
        <f>35.9492 * CHOOSE(CONTROL!$C$15, $D$11, 100%, $F$11)</f>
        <v>35.949199999999998</v>
      </c>
      <c r="G847" s="8">
        <f>34.6972 * CHOOSE( CONTROL!$C$15, $D$11, 100%, $F$11)</f>
        <v>34.697200000000002</v>
      </c>
      <c r="H847" s="4">
        <f>35.5962 * CHOOSE(CONTROL!$C$15, $D$11, 100%, $F$11)</f>
        <v>35.596200000000003</v>
      </c>
      <c r="I847" s="8">
        <f>34.1889 * CHOOSE(CONTROL!$C$15, $D$11, 100%, $F$11)</f>
        <v>34.188899999999997</v>
      </c>
      <c r="J847" s="4">
        <f>34.0861 * CHOOSE(CONTROL!$C$15, $D$11, 100%, $F$11)</f>
        <v>34.086100000000002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35.8074 * CHOOSE(CONTROL!$C$15, $D$11, 100%, $F$11)</f>
        <v>35.807400000000001</v>
      </c>
      <c r="C848" s="8">
        <f>35.8177 * CHOOSE(CONTROL!$C$15, $D$11, 100%, $F$11)</f>
        <v>35.817700000000002</v>
      </c>
      <c r="D848" s="8">
        <f>35.829 * CHOOSE( CONTROL!$C$15, $D$11, 100%, $F$11)</f>
        <v>35.829000000000001</v>
      </c>
      <c r="E848" s="12">
        <f>35.8241 * CHOOSE( CONTROL!$C$15, $D$11, 100%, $F$11)</f>
        <v>35.824100000000001</v>
      </c>
      <c r="F848" s="4">
        <f>36.4875 * CHOOSE(CONTROL!$C$15, $D$11, 100%, $F$11)</f>
        <v>36.487499999999997</v>
      </c>
      <c r="G848" s="8">
        <f>35.2049 * CHOOSE( CONTROL!$C$15, $D$11, 100%, $F$11)</f>
        <v>35.204900000000002</v>
      </c>
      <c r="H848" s="4">
        <f>36.1258 * CHOOSE(CONTROL!$C$15, $D$11, 100%, $F$11)</f>
        <v>36.125799999999998</v>
      </c>
      <c r="I848" s="8">
        <f>34.6996 * CHOOSE(CONTROL!$C$15, $D$11, 100%, $F$11)</f>
        <v>34.699599999999997</v>
      </c>
      <c r="J848" s="4">
        <f>34.6042 * CHOOSE(CONTROL!$C$15, $D$11, 100%, $F$11)</f>
        <v>34.604199999999999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CONTROL!$C$32, 36.7643, 36.7608) * CHOOSE(CONTROL!$C$15, $D$11, 100%, $F$11)</f>
        <v>36.764299999999999</v>
      </c>
      <c r="C849" s="8">
        <f>CHOOSE( CONTROL!$C$32, 36.7746, 36.7711) * CHOOSE(CONTROL!$C$15, $D$11, 100%, $F$11)</f>
        <v>36.7746</v>
      </c>
      <c r="D849" s="8">
        <f>CHOOSE( CONTROL!$C$32, 36.7854, 36.7819) * CHOOSE( CONTROL!$C$15, $D$11, 100%, $F$11)</f>
        <v>36.785400000000003</v>
      </c>
      <c r="E849" s="12">
        <f>CHOOSE( CONTROL!$C$32, 36.7799, 36.7764) * CHOOSE( CONTROL!$C$15, $D$11, 100%, $F$11)</f>
        <v>36.779899999999998</v>
      </c>
      <c r="F849" s="4">
        <f>CHOOSE( CONTROL!$C$32, 37.4444, 37.4409) * CHOOSE(CONTROL!$C$15, $D$11, 100%, $F$11)</f>
        <v>37.444400000000002</v>
      </c>
      <c r="G849" s="8">
        <f>CHOOSE( CONTROL!$C$32, 36.1475, 36.1441) * CHOOSE( CONTROL!$C$15, $D$11, 100%, $F$11)</f>
        <v>36.147500000000001</v>
      </c>
      <c r="H849" s="4">
        <f>CHOOSE( CONTROL!$C$32, 37.0672, 37.0638) * CHOOSE(CONTROL!$C$15, $D$11, 100%, $F$11)</f>
        <v>37.0672</v>
      </c>
      <c r="I849" s="8">
        <f>CHOOSE( CONTROL!$C$32, 35.6271, 35.6237) * CHOOSE(CONTROL!$C$15, $D$11, 100%, $F$11)</f>
        <v>35.627099999999999</v>
      </c>
      <c r="J849" s="4">
        <f>CHOOSE( CONTROL!$C$32, 35.5296, 35.5262) * CHOOSE(CONTROL!$C$15, $D$11, 100%, $F$11)</f>
        <v>35.529600000000002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CONTROL!$C$32, 36.1736, 36.1702) * CHOOSE(CONTROL!$C$15, $D$11, 100%, $F$11)</f>
        <v>36.1736</v>
      </c>
      <c r="C850" s="8">
        <f>CHOOSE( CONTROL!$C$32, 36.184, 36.1805) * CHOOSE(CONTROL!$C$15, $D$11, 100%, $F$11)</f>
        <v>36.183999999999997</v>
      </c>
      <c r="D850" s="8">
        <f>CHOOSE( CONTROL!$C$32, 36.1951, 36.1916) * CHOOSE( CONTROL!$C$15, $D$11, 100%, $F$11)</f>
        <v>36.195099999999996</v>
      </c>
      <c r="E850" s="12">
        <f>CHOOSE( CONTROL!$C$32, 36.1895, 36.186) * CHOOSE( CONTROL!$C$15, $D$11, 100%, $F$11)</f>
        <v>36.189500000000002</v>
      </c>
      <c r="F850" s="4">
        <f>CHOOSE( CONTROL!$C$32, 36.8537, 36.8503) * CHOOSE(CONTROL!$C$15, $D$11, 100%, $F$11)</f>
        <v>36.853700000000003</v>
      </c>
      <c r="G850" s="8">
        <f>CHOOSE( CONTROL!$C$32, 35.5668, 35.5634) * CHOOSE( CONTROL!$C$15, $D$11, 100%, $F$11)</f>
        <v>35.566800000000001</v>
      </c>
      <c r="H850" s="4">
        <f>CHOOSE( CONTROL!$C$32, 36.4861, 36.4827) * CHOOSE(CONTROL!$C$15, $D$11, 100%, $F$11)</f>
        <v>36.4861</v>
      </c>
      <c r="I850" s="8">
        <f>CHOOSE( CONTROL!$C$32, 35.057, 35.0536) * CHOOSE(CONTROL!$C$15, $D$11, 100%, $F$11)</f>
        <v>35.057000000000002</v>
      </c>
      <c r="J850" s="4">
        <f>CHOOSE( CONTROL!$C$32, 34.9584, 34.9551) * CHOOSE(CONTROL!$C$15, $D$11, 100%, $F$11)</f>
        <v>34.958399999999997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CONTROL!$C$32, 37.7289, 37.7255) * CHOOSE(CONTROL!$C$15, $D$11, 100%, $F$11)</f>
        <v>37.728900000000003</v>
      </c>
      <c r="C851" s="8">
        <f>CHOOSE( CONTROL!$C$32, 37.7393, 37.7358) * CHOOSE(CONTROL!$C$15, $D$11, 100%, $F$11)</f>
        <v>37.7393</v>
      </c>
      <c r="D851" s="8">
        <f>CHOOSE( CONTROL!$C$32, 37.7507, 37.7472) * CHOOSE( CONTROL!$C$15, $D$11, 100%, $F$11)</f>
        <v>37.750700000000002</v>
      </c>
      <c r="E851" s="12">
        <f>CHOOSE( CONTROL!$C$32, 37.745, 37.7415) * CHOOSE( CONTROL!$C$15, $D$11, 100%, $F$11)</f>
        <v>37.744999999999997</v>
      </c>
      <c r="F851" s="4">
        <f>CHOOSE( CONTROL!$C$32, 38.409, 38.4056) * CHOOSE(CONTROL!$C$15, $D$11, 100%, $F$11)</f>
        <v>38.408999999999999</v>
      </c>
      <c r="G851" s="8">
        <f>CHOOSE( CONTROL!$C$32, 37.0974, 37.094) * CHOOSE( CONTROL!$C$15, $D$11, 100%, $F$11)</f>
        <v>37.0974</v>
      </c>
      <c r="H851" s="4">
        <f>CHOOSE( CONTROL!$C$32, 38.0163, 38.0129) * CHOOSE(CONTROL!$C$15, $D$11, 100%, $F$11)</f>
        <v>38.016300000000001</v>
      </c>
      <c r="I851" s="8">
        <f>CHOOSE( CONTROL!$C$32, 36.5633, 36.5599) * CHOOSE(CONTROL!$C$15, $D$11, 100%, $F$11)</f>
        <v>36.563299999999998</v>
      </c>
      <c r="J851" s="4">
        <f>CHOOSE( CONTROL!$C$32, 36.4625, 36.4592) * CHOOSE(CONTROL!$C$15, $D$11, 100%, $F$11)</f>
        <v>36.462499999999999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CONTROL!$C$32, 34.8188, 34.8153) * CHOOSE(CONTROL!$C$15, $D$11, 100%, $F$11)</f>
        <v>34.818800000000003</v>
      </c>
      <c r="C852" s="8">
        <f>CHOOSE( CONTROL!$C$32, 34.8292, 34.8257) * CHOOSE(CONTROL!$C$15, $D$11, 100%, $F$11)</f>
        <v>34.8292</v>
      </c>
      <c r="D852" s="8">
        <f>CHOOSE( CONTROL!$C$32, 34.8407, 34.8372) * CHOOSE( CONTROL!$C$15, $D$11, 100%, $F$11)</f>
        <v>34.840699999999998</v>
      </c>
      <c r="E852" s="12">
        <f>CHOOSE( CONTROL!$C$32, 34.8349, 34.8314) * CHOOSE( CONTROL!$C$15, $D$11, 100%, $F$11)</f>
        <v>34.834899999999998</v>
      </c>
      <c r="F852" s="4">
        <f>CHOOSE( CONTROL!$C$32, 35.4989, 35.4954) * CHOOSE(CONTROL!$C$15, $D$11, 100%, $F$11)</f>
        <v>35.498899999999999</v>
      </c>
      <c r="G852" s="8">
        <f>CHOOSE( CONTROL!$C$32, 34.2346, 34.2312) * CHOOSE( CONTROL!$C$15, $D$11, 100%, $F$11)</f>
        <v>34.2346</v>
      </c>
      <c r="H852" s="4">
        <f>CHOOSE( CONTROL!$C$32, 35.1532, 35.1498) * CHOOSE(CONTROL!$C$15, $D$11, 100%, $F$11)</f>
        <v>35.153199999999998</v>
      </c>
      <c r="I852" s="8">
        <f>CHOOSE( CONTROL!$C$32, 33.7481, 33.7448) * CHOOSE(CONTROL!$C$15, $D$11, 100%, $F$11)</f>
        <v>33.748100000000001</v>
      </c>
      <c r="J852" s="4">
        <f>CHOOSE( CONTROL!$C$32, 33.6482, 33.6448) * CHOOSE(CONTROL!$C$15, $D$11, 100%, $F$11)</f>
        <v>33.648200000000003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CONTROL!$C$32, 34.0901, 34.0866) * CHOOSE(CONTROL!$C$15, $D$11, 100%, $F$11)</f>
        <v>34.0901</v>
      </c>
      <c r="C853" s="8">
        <f>CHOOSE( CONTROL!$C$32, 34.1004, 34.0969) * CHOOSE(CONTROL!$C$15, $D$11, 100%, $F$11)</f>
        <v>34.1004</v>
      </c>
      <c r="D853" s="8">
        <f>CHOOSE( CONTROL!$C$32, 34.112, 34.1085) * CHOOSE( CONTROL!$C$15, $D$11, 100%, $F$11)</f>
        <v>34.112000000000002</v>
      </c>
      <c r="E853" s="12">
        <f>CHOOSE( CONTROL!$C$32, 34.1062, 34.1027) * CHOOSE( CONTROL!$C$15, $D$11, 100%, $F$11)</f>
        <v>34.106200000000001</v>
      </c>
      <c r="F853" s="4">
        <f>CHOOSE( CONTROL!$C$32, 34.7702, 34.7667) * CHOOSE(CONTROL!$C$15, $D$11, 100%, $F$11)</f>
        <v>34.770200000000003</v>
      </c>
      <c r="G853" s="8">
        <f>CHOOSE( CONTROL!$C$32, 33.5177, 33.5143) * CHOOSE( CONTROL!$C$15, $D$11, 100%, $F$11)</f>
        <v>33.517699999999998</v>
      </c>
      <c r="H853" s="4">
        <f>CHOOSE( CONTROL!$C$32, 34.4363, 34.4329) * CHOOSE(CONTROL!$C$15, $D$11, 100%, $F$11)</f>
        <v>34.436300000000003</v>
      </c>
      <c r="I853" s="8">
        <f>CHOOSE( CONTROL!$C$32, 33.0432, 33.0399) * CHOOSE(CONTROL!$C$15, $D$11, 100%, $F$11)</f>
        <v>33.043199999999999</v>
      </c>
      <c r="J853" s="4">
        <f>CHOOSE( CONTROL!$C$32, 32.9434, 32.9401) * CHOOSE(CONTROL!$C$15, $D$11, 100%, $F$11)</f>
        <v>32.943399999999997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35.5997 * CHOOSE(CONTROL!$C$15, $D$11, 100%, $F$11)</f>
        <v>35.599699999999999</v>
      </c>
      <c r="C854" s="8">
        <f>35.61 * CHOOSE(CONTROL!$C$15, $D$11, 100%, $F$11)</f>
        <v>35.61</v>
      </c>
      <c r="D854" s="8">
        <f>35.6226 * CHOOSE( CONTROL!$C$15, $D$11, 100%, $F$11)</f>
        <v>35.622599999999998</v>
      </c>
      <c r="E854" s="12">
        <f>35.6173 * CHOOSE( CONTROL!$C$15, $D$11, 100%, $F$11)</f>
        <v>35.6173</v>
      </c>
      <c r="F854" s="4">
        <f>36.2798 * CHOOSE(CONTROL!$C$15, $D$11, 100%, $F$11)</f>
        <v>36.279800000000002</v>
      </c>
      <c r="G854" s="8">
        <f>35.0025 * CHOOSE( CONTROL!$C$15, $D$11, 100%, $F$11)</f>
        <v>35.002499999999998</v>
      </c>
      <c r="H854" s="4">
        <f>35.9215 * CHOOSE(CONTROL!$C$15, $D$11, 100%, $F$11)</f>
        <v>35.921500000000002</v>
      </c>
      <c r="I854" s="8">
        <f>34.5048 * CHOOSE(CONTROL!$C$15, $D$11, 100%, $F$11)</f>
        <v>34.504800000000003</v>
      </c>
      <c r="J854" s="4">
        <f>34.4034 * CHOOSE(CONTROL!$C$15, $D$11, 100%, $F$11)</f>
        <v>34.403399999999998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38.3926 * CHOOSE(CONTROL!$C$15, $D$11, 100%, $F$11)</f>
        <v>38.392600000000002</v>
      </c>
      <c r="C855" s="8">
        <f>38.4029 * CHOOSE(CONTROL!$C$15, $D$11, 100%, $F$11)</f>
        <v>38.402900000000002</v>
      </c>
      <c r="D855" s="8">
        <f>38.3878 * CHOOSE( CONTROL!$C$15, $D$11, 100%, $F$11)</f>
        <v>38.387799999999999</v>
      </c>
      <c r="E855" s="12">
        <f>38.3922 * CHOOSE( CONTROL!$C$15, $D$11, 100%, $F$11)</f>
        <v>38.392200000000003</v>
      </c>
      <c r="F855" s="4">
        <f>39.0468 * CHOOSE(CONTROL!$C$15, $D$11, 100%, $F$11)</f>
        <v>39.046799999999998</v>
      </c>
      <c r="G855" s="8">
        <f>37.7596 * CHOOSE( CONTROL!$C$15, $D$11, 100%, $F$11)</f>
        <v>37.759599999999999</v>
      </c>
      <c r="H855" s="4">
        <f>38.6438 * CHOOSE(CONTROL!$C$15, $D$11, 100%, $F$11)</f>
        <v>38.643799999999999</v>
      </c>
      <c r="I855" s="8">
        <f>37.2274 * CHOOSE(CONTROL!$C$15, $D$11, 100%, $F$11)</f>
        <v>37.227400000000003</v>
      </c>
      <c r="J855" s="4">
        <f>37.1043 * CHOOSE(CONTROL!$C$15, $D$11, 100%, $F$11)</f>
        <v>37.104300000000002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38.3228 * CHOOSE(CONTROL!$C$15, $D$11, 100%, $F$11)</f>
        <v>38.322800000000001</v>
      </c>
      <c r="C856" s="8">
        <f>38.3331 * CHOOSE(CONTROL!$C$15, $D$11, 100%, $F$11)</f>
        <v>38.333100000000002</v>
      </c>
      <c r="D856" s="8">
        <f>38.3197 * CHOOSE( CONTROL!$C$15, $D$11, 100%, $F$11)</f>
        <v>38.319699999999997</v>
      </c>
      <c r="E856" s="12">
        <f>38.3235 * CHOOSE( CONTROL!$C$15, $D$11, 100%, $F$11)</f>
        <v>38.323500000000003</v>
      </c>
      <c r="F856" s="4">
        <f>38.977 * CHOOSE(CONTROL!$C$15, $D$11, 100%, $F$11)</f>
        <v>38.976999999999997</v>
      </c>
      <c r="G856" s="8">
        <f>37.6921 * CHOOSE( CONTROL!$C$15, $D$11, 100%, $F$11)</f>
        <v>37.692100000000003</v>
      </c>
      <c r="H856" s="4">
        <f>38.5751 * CHOOSE(CONTROL!$C$15, $D$11, 100%, $F$11)</f>
        <v>38.575099999999999</v>
      </c>
      <c r="I856" s="8">
        <f>37.1652 * CHOOSE(CONTROL!$C$15, $D$11, 100%, $F$11)</f>
        <v>37.165199999999999</v>
      </c>
      <c r="J856" s="4">
        <f>37.0369 * CHOOSE(CONTROL!$C$15, $D$11, 100%, $F$11)</f>
        <v>37.036900000000003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39.7865 * CHOOSE(CONTROL!$C$15, $D$11, 100%, $F$11)</f>
        <v>39.786499999999997</v>
      </c>
      <c r="C857" s="8">
        <f>39.7968 * CHOOSE(CONTROL!$C$15, $D$11, 100%, $F$11)</f>
        <v>39.796799999999998</v>
      </c>
      <c r="D857" s="8">
        <f>39.7952 * CHOOSE( CONTROL!$C$15, $D$11, 100%, $F$11)</f>
        <v>39.795200000000001</v>
      </c>
      <c r="E857" s="12">
        <f>39.7947 * CHOOSE( CONTROL!$C$15, $D$11, 100%, $F$11)</f>
        <v>39.794699999999999</v>
      </c>
      <c r="F857" s="4">
        <f>40.4692 * CHOOSE(CONTROL!$C$15, $D$11, 100%, $F$11)</f>
        <v>40.469200000000001</v>
      </c>
      <c r="G857" s="8">
        <f>39.1447 * CHOOSE( CONTROL!$C$15, $D$11, 100%, $F$11)</f>
        <v>39.1447</v>
      </c>
      <c r="H857" s="4">
        <f>40.0431 * CHOOSE(CONTROL!$C$15, $D$11, 100%, $F$11)</f>
        <v>40.043100000000003</v>
      </c>
      <c r="I857" s="8">
        <f>38.5802 * CHOOSE(CONTROL!$C$15, $D$11, 100%, $F$11)</f>
        <v>38.580199999999998</v>
      </c>
      <c r="J857" s="4">
        <f>38.4524 * CHOOSE(CONTROL!$C$15, $D$11, 100%, $F$11)</f>
        <v>38.452399999999997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37.216 * CHOOSE(CONTROL!$C$15, $D$11, 100%, $F$11)</f>
        <v>37.216000000000001</v>
      </c>
      <c r="C858" s="8">
        <f>37.2264 * CHOOSE(CONTROL!$C$15, $D$11, 100%, $F$11)</f>
        <v>37.226399999999998</v>
      </c>
      <c r="D858" s="8">
        <f>37.2269 * CHOOSE( CONTROL!$C$15, $D$11, 100%, $F$11)</f>
        <v>37.226900000000001</v>
      </c>
      <c r="E858" s="12">
        <f>37.2256 * CHOOSE( CONTROL!$C$15, $D$11, 100%, $F$11)</f>
        <v>37.2256</v>
      </c>
      <c r="F858" s="4">
        <f>37.891 * CHOOSE(CONTROL!$C$15, $D$11, 100%, $F$11)</f>
        <v>37.890999999999998</v>
      </c>
      <c r="G858" s="8">
        <f>36.6156 * CHOOSE( CONTROL!$C$15, $D$11, 100%, $F$11)</f>
        <v>36.615600000000001</v>
      </c>
      <c r="H858" s="4">
        <f>37.5066 * CHOOSE(CONTROL!$C$15, $D$11, 100%, $F$11)</f>
        <v>37.506599999999999</v>
      </c>
      <c r="I858" s="8">
        <f>36.0821 * CHOOSE(CONTROL!$C$15, $D$11, 100%, $F$11)</f>
        <v>36.082099999999997</v>
      </c>
      <c r="J858" s="4">
        <f>35.9665 * CHOOSE(CONTROL!$C$15, $D$11, 100%, $F$11)</f>
        <v>35.966500000000003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36.4243 * CHOOSE(CONTROL!$C$15, $D$11, 100%, $F$11)</f>
        <v>36.424300000000002</v>
      </c>
      <c r="C859" s="8">
        <f>36.4347 * CHOOSE(CONTROL!$C$15, $D$11, 100%, $F$11)</f>
        <v>36.434699999999999</v>
      </c>
      <c r="D859" s="8">
        <f>36.4299 * CHOOSE( CONTROL!$C$15, $D$11, 100%, $F$11)</f>
        <v>36.429900000000004</v>
      </c>
      <c r="E859" s="12">
        <f>36.4305 * CHOOSE( CONTROL!$C$15, $D$11, 100%, $F$11)</f>
        <v>36.430500000000002</v>
      </c>
      <c r="F859" s="4">
        <f>37.1019 * CHOOSE(CONTROL!$C$15, $D$11, 100%, $F$11)</f>
        <v>37.101900000000001</v>
      </c>
      <c r="G859" s="8">
        <f>35.8312 * CHOOSE( CONTROL!$C$15, $D$11, 100%, $F$11)</f>
        <v>35.831200000000003</v>
      </c>
      <c r="H859" s="4">
        <f>36.7302 * CHOOSE(CONTROL!$C$15, $D$11, 100%, $F$11)</f>
        <v>36.730200000000004</v>
      </c>
      <c r="I859" s="8">
        <f>35.3042 * CHOOSE(CONTROL!$C$15, $D$11, 100%, $F$11)</f>
        <v>35.304200000000002</v>
      </c>
      <c r="J859" s="4">
        <f>35.2009 * CHOOSE(CONTROL!$C$15, $D$11, 100%, $F$11)</f>
        <v>35.200899999999997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36.9775 * CHOOSE(CONTROL!$C$15, $D$11, 100%, $F$11)</f>
        <v>36.977499999999999</v>
      </c>
      <c r="C860" s="8">
        <f>36.9879 * CHOOSE(CONTROL!$C$15, $D$11, 100%, $F$11)</f>
        <v>36.987900000000003</v>
      </c>
      <c r="D860" s="8">
        <f>36.9992 * CHOOSE( CONTROL!$C$15, $D$11, 100%, $F$11)</f>
        <v>36.999200000000002</v>
      </c>
      <c r="E860" s="12">
        <f>36.9943 * CHOOSE( CONTROL!$C$15, $D$11, 100%, $F$11)</f>
        <v>36.994300000000003</v>
      </c>
      <c r="F860" s="4">
        <f>37.6577 * CHOOSE(CONTROL!$C$15, $D$11, 100%, $F$11)</f>
        <v>37.657699999999998</v>
      </c>
      <c r="G860" s="8">
        <f>36.3561 * CHOOSE( CONTROL!$C$15, $D$11, 100%, $F$11)</f>
        <v>36.356099999999998</v>
      </c>
      <c r="H860" s="4">
        <f>37.2771 * CHOOSE(CONTROL!$C$15, $D$11, 100%, $F$11)</f>
        <v>37.277099999999997</v>
      </c>
      <c r="I860" s="8">
        <f>35.8319 * CHOOSE(CONTROL!$C$15, $D$11, 100%, $F$11)</f>
        <v>35.831899999999997</v>
      </c>
      <c r="J860" s="4">
        <f>35.7359 * CHOOSE(CONTROL!$C$15, $D$11, 100%, $F$11)</f>
        <v>35.735900000000001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CONTROL!$C$32, 37.9656, 37.9621) * CHOOSE(CONTROL!$C$15, $D$11, 100%, $F$11)</f>
        <v>37.965600000000002</v>
      </c>
      <c r="C861" s="8">
        <f>CHOOSE( CONTROL!$C$32, 37.976, 37.9725) * CHOOSE(CONTROL!$C$15, $D$11, 100%, $F$11)</f>
        <v>37.975999999999999</v>
      </c>
      <c r="D861" s="8">
        <f>CHOOSE( CONTROL!$C$32, 37.9868, 37.9833) * CHOOSE( CONTROL!$C$15, $D$11, 100%, $F$11)</f>
        <v>37.986800000000002</v>
      </c>
      <c r="E861" s="12">
        <f>CHOOSE( CONTROL!$C$32, 37.9813, 37.9778) * CHOOSE( CONTROL!$C$15, $D$11, 100%, $F$11)</f>
        <v>37.981299999999997</v>
      </c>
      <c r="F861" s="4">
        <f>CHOOSE( CONTROL!$C$32, 38.6457, 38.6423) * CHOOSE(CONTROL!$C$15, $D$11, 100%, $F$11)</f>
        <v>38.645699999999998</v>
      </c>
      <c r="G861" s="8">
        <f>CHOOSE( CONTROL!$C$32, 37.3294, 37.326) * CHOOSE( CONTROL!$C$15, $D$11, 100%, $F$11)</f>
        <v>37.3294</v>
      </c>
      <c r="H861" s="4">
        <f>CHOOSE( CONTROL!$C$32, 38.2491, 38.2457) * CHOOSE(CONTROL!$C$15, $D$11, 100%, $F$11)</f>
        <v>38.249099999999999</v>
      </c>
      <c r="I861" s="8">
        <f>CHOOSE( CONTROL!$C$32, 36.7895, 36.7861) * CHOOSE(CONTROL!$C$15, $D$11, 100%, $F$11)</f>
        <v>36.789499999999997</v>
      </c>
      <c r="J861" s="4">
        <f>CHOOSE( CONTROL!$C$32, 36.6914, 36.6881) * CHOOSE(CONTROL!$C$15, $D$11, 100%, $F$11)</f>
        <v>36.691400000000002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CONTROL!$C$32, 37.3557, 37.3522) * CHOOSE(CONTROL!$C$15, $D$11, 100%, $F$11)</f>
        <v>37.355699999999999</v>
      </c>
      <c r="C862" s="8">
        <f>CHOOSE( CONTROL!$C$32, 37.366, 37.3626) * CHOOSE(CONTROL!$C$15, $D$11, 100%, $F$11)</f>
        <v>37.366</v>
      </c>
      <c r="D862" s="8">
        <f>CHOOSE( CONTROL!$C$32, 37.3771, 37.3737) * CHOOSE( CONTROL!$C$15, $D$11, 100%, $F$11)</f>
        <v>37.377099999999999</v>
      </c>
      <c r="E862" s="12">
        <f>CHOOSE( CONTROL!$C$32, 37.3715, 37.3681) * CHOOSE( CONTROL!$C$15, $D$11, 100%, $F$11)</f>
        <v>37.371499999999997</v>
      </c>
      <c r="F862" s="4">
        <f>CHOOSE( CONTROL!$C$32, 38.0358, 38.0323) * CHOOSE(CONTROL!$C$15, $D$11, 100%, $F$11)</f>
        <v>38.035800000000002</v>
      </c>
      <c r="G862" s="8">
        <f>CHOOSE( CONTROL!$C$32, 36.7298, 36.7263) * CHOOSE( CONTROL!$C$15, $D$11, 100%, $F$11)</f>
        <v>36.729799999999997</v>
      </c>
      <c r="H862" s="4">
        <f>CHOOSE( CONTROL!$C$32, 37.6491, 37.6457) * CHOOSE(CONTROL!$C$15, $D$11, 100%, $F$11)</f>
        <v>37.649099999999997</v>
      </c>
      <c r="I862" s="8">
        <f>CHOOSE( CONTROL!$C$32, 36.2007, 36.1973) * CHOOSE(CONTROL!$C$15, $D$11, 100%, $F$11)</f>
        <v>36.200699999999998</v>
      </c>
      <c r="J862" s="4">
        <f>CHOOSE( CONTROL!$C$32, 36.1016, 36.0982) * CHOOSE(CONTROL!$C$15, $D$11, 100%, $F$11)</f>
        <v>36.101599999999998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CONTROL!$C$32, 38.9619, 38.9584) * CHOOSE(CONTROL!$C$15, $D$11, 100%, $F$11)</f>
        <v>38.9619</v>
      </c>
      <c r="C863" s="8">
        <f>CHOOSE( CONTROL!$C$32, 38.9722, 38.9687) * CHOOSE(CONTROL!$C$15, $D$11, 100%, $F$11)</f>
        <v>38.972200000000001</v>
      </c>
      <c r="D863" s="8">
        <f>CHOOSE( CONTROL!$C$32, 38.9836, 38.9801) * CHOOSE( CONTROL!$C$15, $D$11, 100%, $F$11)</f>
        <v>38.983600000000003</v>
      </c>
      <c r="E863" s="12">
        <f>CHOOSE( CONTROL!$C$32, 38.9779, 38.9744) * CHOOSE( CONTROL!$C$15, $D$11, 100%, $F$11)</f>
        <v>38.977899999999998</v>
      </c>
      <c r="F863" s="4">
        <f>CHOOSE( CONTROL!$C$32, 39.642, 39.6385) * CHOOSE(CONTROL!$C$15, $D$11, 100%, $F$11)</f>
        <v>39.642000000000003</v>
      </c>
      <c r="G863" s="8">
        <f>CHOOSE( CONTROL!$C$32, 38.3104, 38.307) * CHOOSE( CONTROL!$C$15, $D$11, 100%, $F$11)</f>
        <v>38.310400000000001</v>
      </c>
      <c r="H863" s="4">
        <f>CHOOSE( CONTROL!$C$32, 39.2293, 39.2258) * CHOOSE(CONTROL!$C$15, $D$11, 100%, $F$11)</f>
        <v>39.229300000000002</v>
      </c>
      <c r="I863" s="8">
        <f>CHOOSE( CONTROL!$C$32, 37.7562, 37.7529) * CHOOSE(CONTROL!$C$15, $D$11, 100%, $F$11)</f>
        <v>37.7562</v>
      </c>
      <c r="J863" s="4">
        <f>CHOOSE( CONTROL!$C$32, 37.6549, 37.6515) * CHOOSE(CONTROL!$C$15, $D$11, 100%, $F$11)</f>
        <v>37.654899999999998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CONTROL!$C$32, 35.9566, 35.9531) * CHOOSE(CONTROL!$C$15, $D$11, 100%, $F$11)</f>
        <v>35.956600000000002</v>
      </c>
      <c r="C864" s="8">
        <f>CHOOSE( CONTROL!$C$32, 35.9669, 35.9634) * CHOOSE(CONTROL!$C$15, $D$11, 100%, $F$11)</f>
        <v>35.966900000000003</v>
      </c>
      <c r="D864" s="8">
        <f>CHOOSE( CONTROL!$C$32, 35.9784, 35.975) * CHOOSE( CONTROL!$C$15, $D$11, 100%, $F$11)</f>
        <v>35.978400000000001</v>
      </c>
      <c r="E864" s="12">
        <f>CHOOSE( CONTROL!$C$32, 35.9727, 35.9692) * CHOOSE( CONTROL!$C$15, $D$11, 100%, $F$11)</f>
        <v>35.972700000000003</v>
      </c>
      <c r="F864" s="4">
        <f>CHOOSE( CONTROL!$C$32, 36.6367, 36.6332) * CHOOSE(CONTROL!$C$15, $D$11, 100%, $F$11)</f>
        <v>36.636699999999998</v>
      </c>
      <c r="G864" s="8">
        <f>CHOOSE( CONTROL!$C$32, 35.3539, 35.3505) * CHOOSE( CONTROL!$C$15, $D$11, 100%, $F$11)</f>
        <v>35.353900000000003</v>
      </c>
      <c r="H864" s="4">
        <f>CHOOSE( CONTROL!$C$32, 36.2726, 36.2692) * CHOOSE(CONTROL!$C$15, $D$11, 100%, $F$11)</f>
        <v>36.272599999999997</v>
      </c>
      <c r="I864" s="8">
        <f>CHOOSE( CONTROL!$C$32, 34.849, 34.8456) * CHOOSE(CONTROL!$C$15, $D$11, 100%, $F$11)</f>
        <v>34.848999999999997</v>
      </c>
      <c r="J864" s="4">
        <f>CHOOSE( CONTROL!$C$32, 34.7485, 34.7451) * CHOOSE(CONTROL!$C$15, $D$11, 100%, $F$11)</f>
        <v>34.7485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CONTROL!$C$32, 35.204, 35.2005) * CHOOSE(CONTROL!$C$15, $D$11, 100%, $F$11)</f>
        <v>35.204000000000001</v>
      </c>
      <c r="C865" s="8">
        <f>CHOOSE( CONTROL!$C$32, 35.2143, 35.2109) * CHOOSE(CONTROL!$C$15, $D$11, 100%, $F$11)</f>
        <v>35.214300000000001</v>
      </c>
      <c r="D865" s="8">
        <f>CHOOSE( CONTROL!$C$32, 35.2259, 35.2224) * CHOOSE( CONTROL!$C$15, $D$11, 100%, $F$11)</f>
        <v>35.225900000000003</v>
      </c>
      <c r="E865" s="12">
        <f>CHOOSE( CONTROL!$C$32, 35.2201, 35.2166) * CHOOSE( CONTROL!$C$15, $D$11, 100%, $F$11)</f>
        <v>35.220100000000002</v>
      </c>
      <c r="F865" s="4">
        <f>CHOOSE( CONTROL!$C$32, 35.8841, 35.8806) * CHOOSE(CONTROL!$C$15, $D$11, 100%, $F$11)</f>
        <v>35.884099999999997</v>
      </c>
      <c r="G865" s="8">
        <f>CHOOSE( CONTROL!$C$32, 34.6136, 34.6102) * CHOOSE( CONTROL!$C$15, $D$11, 100%, $F$11)</f>
        <v>34.613599999999998</v>
      </c>
      <c r="H865" s="4">
        <f>CHOOSE( CONTROL!$C$32, 35.5322, 35.5288) * CHOOSE(CONTROL!$C$15, $D$11, 100%, $F$11)</f>
        <v>35.532200000000003</v>
      </c>
      <c r="I865" s="8">
        <f>CHOOSE( CONTROL!$C$32, 34.121, 34.1177) * CHOOSE(CONTROL!$C$15, $D$11, 100%, $F$11)</f>
        <v>34.121000000000002</v>
      </c>
      <c r="J865" s="4">
        <f>CHOOSE( CONTROL!$C$32, 34.0207, 34.0173) * CHOOSE(CONTROL!$C$15, $D$11, 100%, $F$11)</f>
        <v>34.020699999999998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36.7631 * CHOOSE(CONTROL!$C$15, $D$11, 100%, $F$11)</f>
        <v>36.763100000000001</v>
      </c>
      <c r="C866" s="8">
        <f>36.7734 * CHOOSE(CONTROL!$C$15, $D$11, 100%, $F$11)</f>
        <v>36.773400000000002</v>
      </c>
      <c r="D866" s="8">
        <f>36.786 * CHOOSE( CONTROL!$C$15, $D$11, 100%, $F$11)</f>
        <v>36.786000000000001</v>
      </c>
      <c r="E866" s="12">
        <f>36.7807 * CHOOSE( CONTROL!$C$15, $D$11, 100%, $F$11)</f>
        <v>36.780700000000003</v>
      </c>
      <c r="F866" s="4">
        <f>37.4432 * CHOOSE(CONTROL!$C$15, $D$11, 100%, $F$11)</f>
        <v>37.443199999999997</v>
      </c>
      <c r="G866" s="8">
        <f>36.147 * CHOOSE( CONTROL!$C$15, $D$11, 100%, $F$11)</f>
        <v>36.146999999999998</v>
      </c>
      <c r="H866" s="4">
        <f>37.0661 * CHOOSE(CONTROL!$C$15, $D$11, 100%, $F$11)</f>
        <v>37.066099999999999</v>
      </c>
      <c r="I866" s="8">
        <f>35.6305 * CHOOSE(CONTROL!$C$15, $D$11, 100%, $F$11)</f>
        <v>35.630499999999998</v>
      </c>
      <c r="J866" s="4">
        <f>35.5285 * CHOOSE(CONTROL!$C$15, $D$11, 100%, $F$11)</f>
        <v>35.528500000000001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39.6473 * CHOOSE(CONTROL!$C$15, $D$11, 100%, $F$11)</f>
        <v>39.647300000000001</v>
      </c>
      <c r="C867" s="8">
        <f>39.6576 * CHOOSE(CONTROL!$C$15, $D$11, 100%, $F$11)</f>
        <v>39.657600000000002</v>
      </c>
      <c r="D867" s="8">
        <f>39.6426 * CHOOSE( CONTROL!$C$15, $D$11, 100%, $F$11)</f>
        <v>39.642600000000002</v>
      </c>
      <c r="E867" s="12">
        <f>39.647 * CHOOSE( CONTROL!$C$15, $D$11, 100%, $F$11)</f>
        <v>39.646999999999998</v>
      </c>
      <c r="F867" s="4">
        <f>40.3016 * CHOOSE(CONTROL!$C$15, $D$11, 100%, $F$11)</f>
        <v>40.301600000000001</v>
      </c>
      <c r="G867" s="8">
        <f>38.994 * CHOOSE( CONTROL!$C$15, $D$11, 100%, $F$11)</f>
        <v>38.994</v>
      </c>
      <c r="H867" s="4">
        <f>39.8782 * CHOOSE(CONTROL!$C$15, $D$11, 100%, $F$11)</f>
        <v>39.8782</v>
      </c>
      <c r="I867" s="8">
        <f>38.4415 * CHOOSE(CONTROL!$C$15, $D$11, 100%, $F$11)</f>
        <v>38.441499999999998</v>
      </c>
      <c r="J867" s="4">
        <f>38.3178 * CHOOSE(CONTROL!$C$15, $D$11, 100%, $F$11)</f>
        <v>38.317799999999998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39.5752 * CHOOSE(CONTROL!$C$15, $D$11, 100%, $F$11)</f>
        <v>39.575200000000002</v>
      </c>
      <c r="C868" s="8">
        <f>39.5856 * CHOOSE(CONTROL!$C$15, $D$11, 100%, $F$11)</f>
        <v>39.585599999999999</v>
      </c>
      <c r="D868" s="8">
        <f>39.5721 * CHOOSE( CONTROL!$C$15, $D$11, 100%, $F$11)</f>
        <v>39.572099999999999</v>
      </c>
      <c r="E868" s="12">
        <f>39.5759 * CHOOSE( CONTROL!$C$15, $D$11, 100%, $F$11)</f>
        <v>39.575899999999997</v>
      </c>
      <c r="F868" s="4">
        <f>40.2295 * CHOOSE(CONTROL!$C$15, $D$11, 100%, $F$11)</f>
        <v>40.229500000000002</v>
      </c>
      <c r="G868" s="8">
        <f>38.9243 * CHOOSE( CONTROL!$C$15, $D$11, 100%, $F$11)</f>
        <v>38.924300000000002</v>
      </c>
      <c r="H868" s="4">
        <f>39.8073 * CHOOSE(CONTROL!$C$15, $D$11, 100%, $F$11)</f>
        <v>39.807299999999998</v>
      </c>
      <c r="I868" s="8">
        <f>38.377 * CHOOSE(CONTROL!$C$15, $D$11, 100%, $F$11)</f>
        <v>38.377000000000002</v>
      </c>
      <c r="J868" s="4">
        <f>38.2481 * CHOOSE(CONTROL!$C$15, $D$11, 100%, $F$11)</f>
        <v>38.248100000000001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41.0868 * CHOOSE(CONTROL!$C$15, $D$11, 100%, $F$11)</f>
        <v>41.086799999999997</v>
      </c>
      <c r="C869" s="8">
        <f>41.0971 * CHOOSE(CONTROL!$C$15, $D$11, 100%, $F$11)</f>
        <v>41.097099999999998</v>
      </c>
      <c r="D869" s="8">
        <f>41.0956 * CHOOSE( CONTROL!$C$15, $D$11, 100%, $F$11)</f>
        <v>41.095599999999997</v>
      </c>
      <c r="E869" s="12">
        <f>41.0951 * CHOOSE( CONTROL!$C$15, $D$11, 100%, $F$11)</f>
        <v>41.095100000000002</v>
      </c>
      <c r="F869" s="4">
        <f>41.7695 * CHOOSE(CONTROL!$C$15, $D$11, 100%, $F$11)</f>
        <v>41.769500000000001</v>
      </c>
      <c r="G869" s="8">
        <f>40.4239 * CHOOSE( CONTROL!$C$15, $D$11, 100%, $F$11)</f>
        <v>40.423900000000003</v>
      </c>
      <c r="H869" s="4">
        <f>41.3224 * CHOOSE(CONTROL!$C$15, $D$11, 100%, $F$11)</f>
        <v>41.322400000000002</v>
      </c>
      <c r="I869" s="8">
        <f>39.8384 * CHOOSE(CONTROL!$C$15, $D$11, 100%, $F$11)</f>
        <v>39.8384</v>
      </c>
      <c r="J869" s="4">
        <f>39.7099 * CHOOSE(CONTROL!$C$15, $D$11, 100%, $F$11)</f>
        <v>39.709899999999998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38.4323 * CHOOSE(CONTROL!$C$15, $D$11, 100%, $F$11)</f>
        <v>38.432299999999998</v>
      </c>
      <c r="C870" s="8">
        <f>38.4426 * CHOOSE(CONTROL!$C$15, $D$11, 100%, $F$11)</f>
        <v>38.442599999999999</v>
      </c>
      <c r="D870" s="8">
        <f>38.4431 * CHOOSE( CONTROL!$C$15, $D$11, 100%, $F$11)</f>
        <v>38.443100000000001</v>
      </c>
      <c r="E870" s="12">
        <f>38.4418 * CHOOSE( CONTROL!$C$15, $D$11, 100%, $F$11)</f>
        <v>38.441800000000001</v>
      </c>
      <c r="F870" s="4">
        <f>39.1072 * CHOOSE(CONTROL!$C$15, $D$11, 100%, $F$11)</f>
        <v>39.107199999999999</v>
      </c>
      <c r="G870" s="8">
        <f>37.8121 * CHOOSE( CONTROL!$C$15, $D$11, 100%, $F$11)</f>
        <v>37.812100000000001</v>
      </c>
      <c r="H870" s="4">
        <f>38.7032 * CHOOSE(CONTROL!$C$15, $D$11, 100%, $F$11)</f>
        <v>38.703200000000002</v>
      </c>
      <c r="I870" s="8">
        <f>37.259 * CHOOSE(CONTROL!$C$15, $D$11, 100%, $F$11)</f>
        <v>37.259</v>
      </c>
      <c r="J870" s="4">
        <f>37.1427 * CHOOSE(CONTROL!$C$15, $D$11, 100%, $F$11)</f>
        <v>37.142699999999998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37.6147 * CHOOSE(CONTROL!$C$15, $D$11, 100%, $F$11)</f>
        <v>37.614699999999999</v>
      </c>
      <c r="C871" s="8">
        <f>37.625 * CHOOSE(CONTROL!$C$15, $D$11, 100%, $F$11)</f>
        <v>37.625</v>
      </c>
      <c r="D871" s="8">
        <f>37.6202 * CHOOSE( CONTROL!$C$15, $D$11, 100%, $F$11)</f>
        <v>37.620199999999997</v>
      </c>
      <c r="E871" s="12">
        <f>37.6209 * CHOOSE( CONTROL!$C$15, $D$11, 100%, $F$11)</f>
        <v>37.620899999999999</v>
      </c>
      <c r="F871" s="4">
        <f>38.2922 * CHOOSE(CONTROL!$C$15, $D$11, 100%, $F$11)</f>
        <v>38.292200000000001</v>
      </c>
      <c r="G871" s="8">
        <f>37.0023 * CHOOSE( CONTROL!$C$15, $D$11, 100%, $F$11)</f>
        <v>37.002299999999998</v>
      </c>
      <c r="H871" s="4">
        <f>37.9013 * CHOOSE(CONTROL!$C$15, $D$11, 100%, $F$11)</f>
        <v>37.901299999999999</v>
      </c>
      <c r="I871" s="8">
        <f>36.456 * CHOOSE(CONTROL!$C$15, $D$11, 100%, $F$11)</f>
        <v>36.456000000000003</v>
      </c>
      <c r="J871" s="4">
        <f>36.3521 * CHOOSE(CONTROL!$C$15, $D$11, 100%, $F$11)</f>
        <v>36.3521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38.186 * CHOOSE(CONTROL!$C$15, $D$11, 100%, $F$11)</f>
        <v>38.186</v>
      </c>
      <c r="C872" s="8">
        <f>38.1963 * CHOOSE(CONTROL!$C$15, $D$11, 100%, $F$11)</f>
        <v>38.196300000000001</v>
      </c>
      <c r="D872" s="8">
        <f>38.2076 * CHOOSE( CONTROL!$C$15, $D$11, 100%, $F$11)</f>
        <v>38.207599999999999</v>
      </c>
      <c r="E872" s="12">
        <f>38.2027 * CHOOSE( CONTROL!$C$15, $D$11, 100%, $F$11)</f>
        <v>38.2027</v>
      </c>
      <c r="F872" s="4">
        <f>38.8661 * CHOOSE(CONTROL!$C$15, $D$11, 100%, $F$11)</f>
        <v>38.866100000000003</v>
      </c>
      <c r="G872" s="8">
        <f>37.545 * CHOOSE( CONTROL!$C$15, $D$11, 100%, $F$11)</f>
        <v>37.545000000000002</v>
      </c>
      <c r="H872" s="4">
        <f>38.466 * CHOOSE(CONTROL!$C$15, $D$11, 100%, $F$11)</f>
        <v>38.466000000000001</v>
      </c>
      <c r="I872" s="8">
        <f>37.0012 * CHOOSE(CONTROL!$C$15, $D$11, 100%, $F$11)</f>
        <v>37.001199999999997</v>
      </c>
      <c r="J872" s="4">
        <f>36.9046 * CHOOSE(CONTROL!$C$15, $D$11, 100%, $F$11)</f>
        <v>36.904600000000002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CONTROL!$C$32, 39.2063, 39.2028) * CHOOSE(CONTROL!$C$15, $D$11, 100%, $F$11)</f>
        <v>39.206299999999999</v>
      </c>
      <c r="C873" s="8">
        <f>CHOOSE( CONTROL!$C$32, 39.2166, 39.2131) * CHOOSE(CONTROL!$C$15, $D$11, 100%, $F$11)</f>
        <v>39.2166</v>
      </c>
      <c r="D873" s="8">
        <f>CHOOSE( CONTROL!$C$32, 39.2274, 39.224) * CHOOSE( CONTROL!$C$15, $D$11, 100%, $F$11)</f>
        <v>39.227400000000003</v>
      </c>
      <c r="E873" s="12">
        <f>CHOOSE( CONTROL!$C$32, 39.2219, 39.2185) * CHOOSE( CONTROL!$C$15, $D$11, 100%, $F$11)</f>
        <v>39.221899999999998</v>
      </c>
      <c r="F873" s="4">
        <f>CHOOSE( CONTROL!$C$32, 39.8864, 39.8829) * CHOOSE(CONTROL!$C$15, $D$11, 100%, $F$11)</f>
        <v>39.886400000000002</v>
      </c>
      <c r="G873" s="8">
        <f>CHOOSE( CONTROL!$C$32, 38.55, 38.5466) * CHOOSE( CONTROL!$C$15, $D$11, 100%, $F$11)</f>
        <v>38.549999999999997</v>
      </c>
      <c r="H873" s="4">
        <f>CHOOSE( CONTROL!$C$32, 39.4697, 39.4663) * CHOOSE(CONTROL!$C$15, $D$11, 100%, $F$11)</f>
        <v>39.469700000000003</v>
      </c>
      <c r="I873" s="8">
        <f>CHOOSE( CONTROL!$C$32, 37.9899, 37.9866) * CHOOSE(CONTROL!$C$15, $D$11, 100%, $F$11)</f>
        <v>37.989899999999999</v>
      </c>
      <c r="J873" s="4">
        <f>CHOOSE( CONTROL!$C$32, 37.8913, 37.8879) * CHOOSE(CONTROL!$C$15, $D$11, 100%, $F$11)</f>
        <v>37.891300000000001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CONTROL!$C$32, 38.5764, 38.5729) * CHOOSE(CONTROL!$C$15, $D$11, 100%, $F$11)</f>
        <v>38.5764</v>
      </c>
      <c r="C874" s="8">
        <f>CHOOSE( CONTROL!$C$32, 38.5867, 38.5833) * CHOOSE(CONTROL!$C$15, $D$11, 100%, $F$11)</f>
        <v>38.5867</v>
      </c>
      <c r="D874" s="8">
        <f>CHOOSE( CONTROL!$C$32, 38.5978, 38.5944) * CHOOSE( CONTROL!$C$15, $D$11, 100%, $F$11)</f>
        <v>38.597799999999999</v>
      </c>
      <c r="E874" s="12">
        <f>CHOOSE( CONTROL!$C$32, 38.5922, 38.5888) * CHOOSE( CONTROL!$C$15, $D$11, 100%, $F$11)</f>
        <v>38.592199999999998</v>
      </c>
      <c r="F874" s="4">
        <f>CHOOSE( CONTROL!$C$32, 39.2565, 39.253) * CHOOSE(CONTROL!$C$15, $D$11, 100%, $F$11)</f>
        <v>39.256500000000003</v>
      </c>
      <c r="G874" s="8">
        <f>CHOOSE( CONTROL!$C$32, 37.9307, 37.9273) * CHOOSE( CONTROL!$C$15, $D$11, 100%, $F$11)</f>
        <v>37.930700000000002</v>
      </c>
      <c r="H874" s="4">
        <f>CHOOSE( CONTROL!$C$32, 38.85, 38.8466) * CHOOSE(CONTROL!$C$15, $D$11, 100%, $F$11)</f>
        <v>38.85</v>
      </c>
      <c r="I874" s="8">
        <f>CHOOSE( CONTROL!$C$32, 37.3818, 37.3785) * CHOOSE(CONTROL!$C$15, $D$11, 100%, $F$11)</f>
        <v>37.381799999999998</v>
      </c>
      <c r="J874" s="4">
        <f>CHOOSE( CONTROL!$C$32, 37.2821, 37.2788) * CHOOSE(CONTROL!$C$15, $D$11, 100%, $F$11)</f>
        <v>37.2821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CONTROL!$C$32, 40.2351, 40.2316) * CHOOSE(CONTROL!$C$15, $D$11, 100%, $F$11)</f>
        <v>40.235100000000003</v>
      </c>
      <c r="C875" s="8">
        <f>CHOOSE( CONTROL!$C$32, 40.2454, 40.242) * CHOOSE(CONTROL!$C$15, $D$11, 100%, $F$11)</f>
        <v>40.245399999999997</v>
      </c>
      <c r="D875" s="8">
        <f>CHOOSE( CONTROL!$C$32, 40.2568, 40.2534) * CHOOSE( CONTROL!$C$15, $D$11, 100%, $F$11)</f>
        <v>40.256799999999998</v>
      </c>
      <c r="E875" s="12">
        <f>CHOOSE( CONTROL!$C$32, 40.2511, 40.2477) * CHOOSE( CONTROL!$C$15, $D$11, 100%, $F$11)</f>
        <v>40.251100000000001</v>
      </c>
      <c r="F875" s="4">
        <f>CHOOSE( CONTROL!$C$32, 40.9152, 40.9117) * CHOOSE(CONTROL!$C$15, $D$11, 100%, $F$11)</f>
        <v>40.915199999999999</v>
      </c>
      <c r="G875" s="8">
        <f>CHOOSE( CONTROL!$C$32, 39.563, 39.5596) * CHOOSE( CONTROL!$C$15, $D$11, 100%, $F$11)</f>
        <v>39.563000000000002</v>
      </c>
      <c r="H875" s="4">
        <f>CHOOSE( CONTROL!$C$32, 40.4819, 40.4785) * CHOOSE(CONTROL!$C$15, $D$11, 100%, $F$11)</f>
        <v>40.481900000000003</v>
      </c>
      <c r="I875" s="8">
        <f>CHOOSE( CONTROL!$C$32, 38.9882, 38.9848) * CHOOSE(CONTROL!$C$15, $D$11, 100%, $F$11)</f>
        <v>38.988199999999999</v>
      </c>
      <c r="J875" s="4">
        <f>CHOOSE( CONTROL!$C$32, 38.8862, 38.8829) * CHOOSE(CONTROL!$C$15, $D$11, 100%, $F$11)</f>
        <v>38.886200000000002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CONTROL!$C$32, 37.1315, 37.128) * CHOOSE(CONTROL!$C$15, $D$11, 100%, $F$11)</f>
        <v>37.131500000000003</v>
      </c>
      <c r="C876" s="8">
        <f>CHOOSE( CONTROL!$C$32, 37.1418, 37.1384) * CHOOSE(CONTROL!$C$15, $D$11, 100%, $F$11)</f>
        <v>37.141800000000003</v>
      </c>
      <c r="D876" s="8">
        <f>CHOOSE( CONTROL!$C$32, 37.1534, 37.1499) * CHOOSE( CONTROL!$C$15, $D$11, 100%, $F$11)</f>
        <v>37.153399999999998</v>
      </c>
      <c r="E876" s="12">
        <f>CHOOSE( CONTROL!$C$32, 37.1476, 37.1441) * CHOOSE( CONTROL!$C$15, $D$11, 100%, $F$11)</f>
        <v>37.147599999999997</v>
      </c>
      <c r="F876" s="4">
        <f>CHOOSE( CONTROL!$C$32, 37.8116, 37.8081) * CHOOSE(CONTROL!$C$15, $D$11, 100%, $F$11)</f>
        <v>37.811599999999999</v>
      </c>
      <c r="G876" s="8">
        <f>CHOOSE( CONTROL!$C$32, 36.5099, 36.5064) * CHOOSE( CONTROL!$C$15, $D$11, 100%, $F$11)</f>
        <v>36.509900000000002</v>
      </c>
      <c r="H876" s="4">
        <f>CHOOSE( CONTROL!$C$32, 37.4285, 37.4251) * CHOOSE(CONTROL!$C$15, $D$11, 100%, $F$11)</f>
        <v>37.4285</v>
      </c>
      <c r="I876" s="8">
        <f>CHOOSE( CONTROL!$C$32, 35.9859, 35.9825) * CHOOSE(CONTROL!$C$15, $D$11, 100%, $F$11)</f>
        <v>35.985900000000001</v>
      </c>
      <c r="J876" s="4">
        <f>CHOOSE( CONTROL!$C$32, 35.8848, 35.8814) * CHOOSE(CONTROL!$C$15, $D$11, 100%, $F$11)</f>
        <v>35.884799999999998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CONTROL!$C$32, 36.3543, 36.3509) * CHOOSE(CONTROL!$C$15, $D$11, 100%, $F$11)</f>
        <v>36.354300000000002</v>
      </c>
      <c r="C877" s="8">
        <f>CHOOSE( CONTROL!$C$32, 36.3647, 36.3612) * CHOOSE(CONTROL!$C$15, $D$11, 100%, $F$11)</f>
        <v>36.364699999999999</v>
      </c>
      <c r="D877" s="8">
        <f>CHOOSE( CONTROL!$C$32, 36.3763, 36.3728) * CHOOSE( CONTROL!$C$15, $D$11, 100%, $F$11)</f>
        <v>36.376300000000001</v>
      </c>
      <c r="E877" s="12">
        <f>CHOOSE( CONTROL!$C$32, 36.3705, 36.367) * CHOOSE( CONTROL!$C$15, $D$11, 100%, $F$11)</f>
        <v>36.3705</v>
      </c>
      <c r="F877" s="4">
        <f>CHOOSE( CONTROL!$C$32, 37.0344, 37.031) * CHOOSE(CONTROL!$C$15, $D$11, 100%, $F$11)</f>
        <v>37.034399999999998</v>
      </c>
      <c r="G877" s="8">
        <f>CHOOSE( CONTROL!$C$32, 35.7453, 35.7419) * CHOOSE( CONTROL!$C$15, $D$11, 100%, $F$11)</f>
        <v>35.7453</v>
      </c>
      <c r="H877" s="4">
        <f>CHOOSE( CONTROL!$C$32, 36.6639, 36.6605) * CHOOSE(CONTROL!$C$15, $D$11, 100%, $F$11)</f>
        <v>36.663899999999998</v>
      </c>
      <c r="I877" s="8">
        <f>CHOOSE( CONTROL!$C$32, 35.2341, 35.2307) * CHOOSE(CONTROL!$C$15, $D$11, 100%, $F$11)</f>
        <v>35.234099999999998</v>
      </c>
      <c r="J877" s="4">
        <f>CHOOSE( CONTROL!$C$32, 35.1332, 35.1298) * CHOOSE(CONTROL!$C$15, $D$11, 100%, $F$11)</f>
        <v>35.133200000000002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37.9645 * CHOOSE(CONTROL!$C$15, $D$11, 100%, $F$11)</f>
        <v>37.964500000000001</v>
      </c>
      <c r="C878" s="8">
        <f>37.9749 * CHOOSE(CONTROL!$C$15, $D$11, 100%, $F$11)</f>
        <v>37.974899999999998</v>
      </c>
      <c r="D878" s="8">
        <f>37.9874 * CHOOSE( CONTROL!$C$15, $D$11, 100%, $F$11)</f>
        <v>37.987400000000001</v>
      </c>
      <c r="E878" s="12">
        <f>37.9822 * CHOOSE( CONTROL!$C$15, $D$11, 100%, $F$11)</f>
        <v>37.982199999999999</v>
      </c>
      <c r="F878" s="4">
        <f>38.6446 * CHOOSE(CONTROL!$C$15, $D$11, 100%, $F$11)</f>
        <v>38.644599999999997</v>
      </c>
      <c r="G878" s="8">
        <f>37.329 * CHOOSE( CONTROL!$C$15, $D$11, 100%, $F$11)</f>
        <v>37.329000000000001</v>
      </c>
      <c r="H878" s="4">
        <f>38.2481 * CHOOSE(CONTROL!$C$15, $D$11, 100%, $F$11)</f>
        <v>38.248100000000001</v>
      </c>
      <c r="I878" s="8">
        <f>36.793 * CHOOSE(CONTROL!$C$15, $D$11, 100%, $F$11)</f>
        <v>36.792999999999999</v>
      </c>
      <c r="J878" s="4">
        <f>36.6904 * CHOOSE(CONTROL!$C$15, $D$11, 100%, $F$11)</f>
        <v>36.690399999999997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40.9431 * CHOOSE(CONTROL!$C$15, $D$11, 100%, $F$11)</f>
        <v>40.943100000000001</v>
      </c>
      <c r="C879" s="8">
        <f>40.9534 * CHOOSE(CONTROL!$C$15, $D$11, 100%, $F$11)</f>
        <v>40.953400000000002</v>
      </c>
      <c r="D879" s="8">
        <f>40.9383 * CHOOSE( CONTROL!$C$15, $D$11, 100%, $F$11)</f>
        <v>40.938299999999998</v>
      </c>
      <c r="E879" s="12">
        <f>40.9427 * CHOOSE( CONTROL!$C$15, $D$11, 100%, $F$11)</f>
        <v>40.942700000000002</v>
      </c>
      <c r="F879" s="4">
        <f>41.5973 * CHOOSE(CONTROL!$C$15, $D$11, 100%, $F$11)</f>
        <v>41.597299999999997</v>
      </c>
      <c r="G879" s="8">
        <f>40.2688 * CHOOSE( CONTROL!$C$15, $D$11, 100%, $F$11)</f>
        <v>40.268799999999999</v>
      </c>
      <c r="H879" s="4">
        <f>41.153 * CHOOSE(CONTROL!$C$15, $D$11, 100%, $F$11)</f>
        <v>41.152999999999999</v>
      </c>
      <c r="I879" s="8">
        <f>39.6953 * CHOOSE(CONTROL!$C$15, $D$11, 100%, $F$11)</f>
        <v>39.695300000000003</v>
      </c>
      <c r="J879" s="4">
        <f>39.5709 * CHOOSE(CONTROL!$C$15, $D$11, 100%, $F$11)</f>
        <v>39.570900000000002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40.8686 * CHOOSE(CONTROL!$C$15, $D$11, 100%, $F$11)</f>
        <v>40.868600000000001</v>
      </c>
      <c r="C880" s="8">
        <f>40.879 * CHOOSE(CONTROL!$C$15, $D$11, 100%, $F$11)</f>
        <v>40.878999999999998</v>
      </c>
      <c r="D880" s="8">
        <f>40.8656 * CHOOSE( CONTROL!$C$15, $D$11, 100%, $F$11)</f>
        <v>40.865600000000001</v>
      </c>
      <c r="E880" s="12">
        <f>40.8694 * CHOOSE( CONTROL!$C$15, $D$11, 100%, $F$11)</f>
        <v>40.869399999999999</v>
      </c>
      <c r="F880" s="4">
        <f>41.5229 * CHOOSE(CONTROL!$C$15, $D$11, 100%, $F$11)</f>
        <v>41.5229</v>
      </c>
      <c r="G880" s="8">
        <f>40.1968 * CHOOSE( CONTROL!$C$15, $D$11, 100%, $F$11)</f>
        <v>40.196800000000003</v>
      </c>
      <c r="H880" s="4">
        <f>41.0798 * CHOOSE(CONTROL!$C$15, $D$11, 100%, $F$11)</f>
        <v>41.079799999999999</v>
      </c>
      <c r="I880" s="8">
        <f>39.6285 * CHOOSE(CONTROL!$C$15, $D$11, 100%, $F$11)</f>
        <v>39.628500000000003</v>
      </c>
      <c r="J880" s="4">
        <f>39.499 * CHOOSE(CONTROL!$C$15, $D$11, 100%, $F$11)</f>
        <v>39.499000000000002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42.4296 * CHOOSE(CONTROL!$C$15, $D$11, 100%, $F$11)</f>
        <v>42.429600000000001</v>
      </c>
      <c r="C881" s="8">
        <f>42.44 * CHOOSE(CONTROL!$C$15, $D$11, 100%, $F$11)</f>
        <v>42.44</v>
      </c>
      <c r="D881" s="8">
        <f>42.4384 * CHOOSE( CONTROL!$C$15, $D$11, 100%, $F$11)</f>
        <v>42.438400000000001</v>
      </c>
      <c r="E881" s="12">
        <f>42.4379 * CHOOSE( CONTROL!$C$15, $D$11, 100%, $F$11)</f>
        <v>42.437899999999999</v>
      </c>
      <c r="F881" s="4">
        <f>43.1123 * CHOOSE(CONTROL!$C$15, $D$11, 100%, $F$11)</f>
        <v>43.112299999999998</v>
      </c>
      <c r="G881" s="8">
        <f>41.7451 * CHOOSE( CONTROL!$C$15, $D$11, 100%, $F$11)</f>
        <v>41.745100000000001</v>
      </c>
      <c r="H881" s="4">
        <f>42.6435 * CHOOSE(CONTROL!$C$15, $D$11, 100%, $F$11)</f>
        <v>42.643500000000003</v>
      </c>
      <c r="I881" s="8">
        <f>41.1377 * CHOOSE(CONTROL!$C$15, $D$11, 100%, $F$11)</f>
        <v>41.137700000000002</v>
      </c>
      <c r="J881" s="4">
        <f>41.0086 * CHOOSE(CONTROL!$C$15, $D$11, 100%, $F$11)</f>
        <v>41.008600000000001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39.6883 * CHOOSE(CONTROL!$C$15, $D$11, 100%, $F$11)</f>
        <v>39.688299999999998</v>
      </c>
      <c r="C882" s="8">
        <f>39.6986 * CHOOSE(CONTROL!$C$15, $D$11, 100%, $F$11)</f>
        <v>39.698599999999999</v>
      </c>
      <c r="D882" s="8">
        <f>39.6992 * CHOOSE( CONTROL!$C$15, $D$11, 100%, $F$11)</f>
        <v>39.699199999999998</v>
      </c>
      <c r="E882" s="12">
        <f>39.6979 * CHOOSE( CONTROL!$C$15, $D$11, 100%, $F$11)</f>
        <v>39.697899999999997</v>
      </c>
      <c r="F882" s="4">
        <f>40.3632 * CHOOSE(CONTROL!$C$15, $D$11, 100%, $F$11)</f>
        <v>40.363199999999999</v>
      </c>
      <c r="G882" s="8">
        <f>39.0479 * CHOOSE( CONTROL!$C$15, $D$11, 100%, $F$11)</f>
        <v>39.047899999999998</v>
      </c>
      <c r="H882" s="4">
        <f>39.9389 * CHOOSE(CONTROL!$C$15, $D$11, 100%, $F$11)</f>
        <v>39.938899999999997</v>
      </c>
      <c r="I882" s="8">
        <f>38.4743 * CHOOSE(CONTROL!$C$15, $D$11, 100%, $F$11)</f>
        <v>38.474299999999999</v>
      </c>
      <c r="J882" s="4">
        <f>38.3575 * CHOOSE(CONTROL!$C$15, $D$11, 100%, $F$11)</f>
        <v>38.357500000000002</v>
      </c>
      <c r="K882" s="4"/>
      <c r="L882" s="9">
        <v>27.415299999999998</v>
      </c>
      <c r="M882" s="9">
        <v>11.285299999999999</v>
      </c>
      <c r="N882" s="9">
        <v>4.6254999999999997</v>
      </c>
      <c r="O882" s="9">
        <v>0.34989999999999999</v>
      </c>
      <c r="P882" s="9">
        <v>1.2093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38.844 * CHOOSE(CONTROL!$C$15, $D$11, 100%, $F$11)</f>
        <v>38.844000000000001</v>
      </c>
      <c r="C883" s="8">
        <f>38.8543 * CHOOSE(CONTROL!$C$15, $D$11, 100%, $F$11)</f>
        <v>38.854300000000002</v>
      </c>
      <c r="D883" s="8">
        <f>38.8495 * CHOOSE( CONTROL!$C$15, $D$11, 100%, $F$11)</f>
        <v>38.849499999999999</v>
      </c>
      <c r="E883" s="12">
        <f>38.8502 * CHOOSE( CONTROL!$C$15, $D$11, 100%, $F$11)</f>
        <v>38.850200000000001</v>
      </c>
      <c r="F883" s="4">
        <f>39.5215 * CHOOSE(CONTROL!$C$15, $D$11, 100%, $F$11)</f>
        <v>39.521500000000003</v>
      </c>
      <c r="G883" s="8">
        <f>38.2117 * CHOOSE( CONTROL!$C$15, $D$11, 100%, $F$11)</f>
        <v>38.2117</v>
      </c>
      <c r="H883" s="4">
        <f>39.1108 * CHOOSE(CONTROL!$C$15, $D$11, 100%, $F$11)</f>
        <v>39.110799999999998</v>
      </c>
      <c r="I883" s="8">
        <f>37.6455 * CHOOSE(CONTROL!$C$15, $D$11, 100%, $F$11)</f>
        <v>37.645499999999998</v>
      </c>
      <c r="J883" s="4">
        <f>37.5409 * CHOOSE(CONTROL!$C$15, $D$11, 100%, $F$11)</f>
        <v>37.540900000000001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39.434 * CHOOSE(CONTROL!$C$15, $D$11, 100%, $F$11)</f>
        <v>39.433999999999997</v>
      </c>
      <c r="C884" s="8">
        <f>39.4443 * CHOOSE(CONTROL!$C$15, $D$11, 100%, $F$11)</f>
        <v>39.444299999999998</v>
      </c>
      <c r="D884" s="8">
        <f>39.4556 * CHOOSE( CONTROL!$C$15, $D$11, 100%, $F$11)</f>
        <v>39.455599999999997</v>
      </c>
      <c r="E884" s="12">
        <f>39.4507 * CHOOSE( CONTROL!$C$15, $D$11, 100%, $F$11)</f>
        <v>39.450699999999998</v>
      </c>
      <c r="F884" s="4">
        <f>40.1141 * CHOOSE(CONTROL!$C$15, $D$11, 100%, $F$11)</f>
        <v>40.114100000000001</v>
      </c>
      <c r="G884" s="8">
        <f>38.7728 * CHOOSE( CONTROL!$C$15, $D$11, 100%, $F$11)</f>
        <v>38.772799999999997</v>
      </c>
      <c r="H884" s="4">
        <f>39.6937 * CHOOSE(CONTROL!$C$15, $D$11, 100%, $F$11)</f>
        <v>39.6937</v>
      </c>
      <c r="I884" s="8">
        <f>38.2087 * CHOOSE(CONTROL!$C$15, $D$11, 100%, $F$11)</f>
        <v>38.2087</v>
      </c>
      <c r="J884" s="4">
        <f>38.1115 * CHOOSE(CONTROL!$C$15, $D$11, 100%, $F$11)</f>
        <v>38.111499999999999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CONTROL!$C$32, 40.4875, 40.484) * CHOOSE(CONTROL!$C$15, $D$11, 100%, $F$11)</f>
        <v>40.487499999999997</v>
      </c>
      <c r="C885" s="8">
        <f>CHOOSE( CONTROL!$C$32, 40.4978, 40.4944) * CHOOSE(CONTROL!$C$15, $D$11, 100%, $F$11)</f>
        <v>40.497799999999998</v>
      </c>
      <c r="D885" s="8">
        <f>CHOOSE( CONTROL!$C$32, 40.5087, 40.5052) * CHOOSE( CONTROL!$C$15, $D$11, 100%, $F$11)</f>
        <v>40.508699999999997</v>
      </c>
      <c r="E885" s="12">
        <f>CHOOSE( CONTROL!$C$32, 40.5032, 40.4997) * CHOOSE( CONTROL!$C$15, $D$11, 100%, $F$11)</f>
        <v>40.5032</v>
      </c>
      <c r="F885" s="4">
        <f>CHOOSE( CONTROL!$C$32, 41.1676, 41.1641) * CHOOSE(CONTROL!$C$15, $D$11, 100%, $F$11)</f>
        <v>41.1676</v>
      </c>
      <c r="G885" s="8">
        <f>CHOOSE( CONTROL!$C$32, 39.8105, 39.8071) * CHOOSE( CONTROL!$C$15, $D$11, 100%, $F$11)</f>
        <v>39.810499999999998</v>
      </c>
      <c r="H885" s="4">
        <f>CHOOSE( CONTROL!$C$32, 40.7302, 40.7268) * CHOOSE(CONTROL!$C$15, $D$11, 100%, $F$11)</f>
        <v>40.730200000000004</v>
      </c>
      <c r="I885" s="8">
        <f>CHOOSE( CONTROL!$C$32, 39.2296, 39.2263) * CHOOSE(CONTROL!$C$15, $D$11, 100%, $F$11)</f>
        <v>39.229599999999998</v>
      </c>
      <c r="J885" s="4">
        <f>CHOOSE( CONTROL!$C$32, 39.1304, 39.127) * CHOOSE(CONTROL!$C$15, $D$11, 100%, $F$11)</f>
        <v>39.130400000000002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CONTROL!$C$32, 39.837, 39.8336) * CHOOSE(CONTROL!$C$15, $D$11, 100%, $F$11)</f>
        <v>39.837000000000003</v>
      </c>
      <c r="C886" s="8">
        <f>CHOOSE( CONTROL!$C$32, 39.8474, 39.8439) * CHOOSE(CONTROL!$C$15, $D$11, 100%, $F$11)</f>
        <v>39.8474</v>
      </c>
      <c r="D886" s="8">
        <f>CHOOSE( CONTROL!$C$32, 39.8585, 39.855) * CHOOSE( CONTROL!$C$15, $D$11, 100%, $F$11)</f>
        <v>39.858499999999999</v>
      </c>
      <c r="E886" s="12">
        <f>CHOOSE( CONTROL!$C$32, 39.8529, 39.8494) * CHOOSE( CONTROL!$C$15, $D$11, 100%, $F$11)</f>
        <v>39.852899999999998</v>
      </c>
      <c r="F886" s="4">
        <f>CHOOSE( CONTROL!$C$32, 40.5171, 40.5137) * CHOOSE(CONTROL!$C$15, $D$11, 100%, $F$11)</f>
        <v>40.517099999999999</v>
      </c>
      <c r="G886" s="8">
        <f>CHOOSE( CONTROL!$C$32, 39.171, 39.1675) * CHOOSE( CONTROL!$C$15, $D$11, 100%, $F$11)</f>
        <v>39.170999999999999</v>
      </c>
      <c r="H886" s="4">
        <f>CHOOSE( CONTROL!$C$32, 40.0903, 40.0869) * CHOOSE(CONTROL!$C$15, $D$11, 100%, $F$11)</f>
        <v>40.090299999999999</v>
      </c>
      <c r="I886" s="8">
        <f>CHOOSE( CONTROL!$C$32, 38.6016, 38.5982) * CHOOSE(CONTROL!$C$15, $D$11, 100%, $F$11)</f>
        <v>38.601599999999998</v>
      </c>
      <c r="J886" s="4">
        <f>CHOOSE( CONTROL!$C$32, 38.5013, 38.4979) * CHOOSE(CONTROL!$C$15, $D$11, 100%, $F$11)</f>
        <v>38.501300000000001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CONTROL!$C$32, 41.55, 41.5465) * CHOOSE(CONTROL!$C$15, $D$11, 100%, $F$11)</f>
        <v>41.55</v>
      </c>
      <c r="C887" s="8">
        <f>CHOOSE( CONTROL!$C$32, 41.5603, 41.5568) * CHOOSE(CONTROL!$C$15, $D$11, 100%, $F$11)</f>
        <v>41.560299999999998</v>
      </c>
      <c r="D887" s="8">
        <f>CHOOSE( CONTROL!$C$32, 41.5717, 41.5682) * CHOOSE( CONTROL!$C$15, $D$11, 100%, $F$11)</f>
        <v>41.5717</v>
      </c>
      <c r="E887" s="12">
        <f>CHOOSE( CONTROL!$C$32, 41.566, 41.5625) * CHOOSE( CONTROL!$C$15, $D$11, 100%, $F$11)</f>
        <v>41.566000000000003</v>
      </c>
      <c r="F887" s="4">
        <f>CHOOSE( CONTROL!$C$32, 42.2301, 42.2266) * CHOOSE(CONTROL!$C$15, $D$11, 100%, $F$11)</f>
        <v>42.2301</v>
      </c>
      <c r="G887" s="8">
        <f>CHOOSE( CONTROL!$C$32, 40.8566, 40.8532) * CHOOSE( CONTROL!$C$15, $D$11, 100%, $F$11)</f>
        <v>40.8566</v>
      </c>
      <c r="H887" s="4">
        <f>CHOOSE( CONTROL!$C$32, 41.7755, 41.7721) * CHOOSE(CONTROL!$C$15, $D$11, 100%, $F$11)</f>
        <v>41.775500000000001</v>
      </c>
      <c r="I887" s="8">
        <f>CHOOSE( CONTROL!$C$32, 40.2604, 40.2571) * CHOOSE(CONTROL!$C$15, $D$11, 100%, $F$11)</f>
        <v>40.260399999999997</v>
      </c>
      <c r="J887" s="4">
        <f>CHOOSE( CONTROL!$C$32, 40.1579, 40.1545) * CHOOSE(CONTROL!$C$15, $D$11, 100%, $F$11)</f>
        <v>40.157899999999998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CONTROL!$C$32, 38.3449, 38.3414) * CHOOSE(CONTROL!$C$15, $D$11, 100%, $F$11)</f>
        <v>38.344900000000003</v>
      </c>
      <c r="C888" s="8">
        <f>CHOOSE( CONTROL!$C$32, 38.3552, 38.3517) * CHOOSE(CONTROL!$C$15, $D$11, 100%, $F$11)</f>
        <v>38.355200000000004</v>
      </c>
      <c r="D888" s="8">
        <f>CHOOSE( CONTROL!$C$32, 38.3668, 38.3633) * CHOOSE( CONTROL!$C$15, $D$11, 100%, $F$11)</f>
        <v>38.366799999999998</v>
      </c>
      <c r="E888" s="12">
        <f>CHOOSE( CONTROL!$C$32, 38.361, 38.3575) * CHOOSE( CONTROL!$C$15, $D$11, 100%, $F$11)</f>
        <v>38.360999999999997</v>
      </c>
      <c r="F888" s="4">
        <f>CHOOSE( CONTROL!$C$32, 39.025, 39.0215) * CHOOSE(CONTROL!$C$15, $D$11, 100%, $F$11)</f>
        <v>39.024999999999999</v>
      </c>
      <c r="G888" s="8">
        <f>CHOOSE( CONTROL!$C$32, 37.7036, 37.7002) * CHOOSE( CONTROL!$C$15, $D$11, 100%, $F$11)</f>
        <v>37.703600000000002</v>
      </c>
      <c r="H888" s="4">
        <f>CHOOSE( CONTROL!$C$32, 38.6223, 38.6189) * CHOOSE(CONTROL!$C$15, $D$11, 100%, $F$11)</f>
        <v>38.622300000000003</v>
      </c>
      <c r="I888" s="8">
        <f>CHOOSE( CONTROL!$C$32, 37.1599, 37.1566) * CHOOSE(CONTROL!$C$15, $D$11, 100%, $F$11)</f>
        <v>37.1599</v>
      </c>
      <c r="J888" s="4">
        <f>CHOOSE( CONTROL!$C$32, 37.0582, 37.0549) * CHOOSE(CONTROL!$C$15, $D$11, 100%, $F$11)</f>
        <v>37.058199999999999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CONTROL!$C$32, 37.5423, 37.5388) * CHOOSE(CONTROL!$C$15, $D$11, 100%, $F$11)</f>
        <v>37.542299999999997</v>
      </c>
      <c r="C889" s="8">
        <f>CHOOSE( CONTROL!$C$32, 37.5526, 37.5492) * CHOOSE(CONTROL!$C$15, $D$11, 100%, $F$11)</f>
        <v>37.552599999999998</v>
      </c>
      <c r="D889" s="8">
        <f>CHOOSE( CONTROL!$C$32, 37.5642, 37.5607) * CHOOSE( CONTROL!$C$15, $D$11, 100%, $F$11)</f>
        <v>37.5642</v>
      </c>
      <c r="E889" s="12">
        <f>CHOOSE( CONTROL!$C$32, 37.5584, 37.5549) * CHOOSE( CONTROL!$C$15, $D$11, 100%, $F$11)</f>
        <v>37.558399999999999</v>
      </c>
      <c r="F889" s="4">
        <f>CHOOSE( CONTROL!$C$32, 38.2224, 38.2189) * CHOOSE(CONTROL!$C$15, $D$11, 100%, $F$11)</f>
        <v>38.2224</v>
      </c>
      <c r="G889" s="8">
        <f>CHOOSE( CONTROL!$C$32, 36.9141, 36.9106) * CHOOSE( CONTROL!$C$15, $D$11, 100%, $F$11)</f>
        <v>36.914099999999998</v>
      </c>
      <c r="H889" s="4">
        <f>CHOOSE( CONTROL!$C$32, 37.8327, 37.8292) * CHOOSE(CONTROL!$C$15, $D$11, 100%, $F$11)</f>
        <v>37.832700000000003</v>
      </c>
      <c r="I889" s="8">
        <f>CHOOSE( CONTROL!$C$32, 36.3835, 36.3802) * CHOOSE(CONTROL!$C$15, $D$11, 100%, $F$11)</f>
        <v>36.383499999999998</v>
      </c>
      <c r="J889" s="4">
        <f>CHOOSE( CONTROL!$C$32, 36.282, 36.2787) * CHOOSE(CONTROL!$C$15, $D$11, 100%, $F$11)</f>
        <v>36.281999999999996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39.2053 * CHOOSE(CONTROL!$C$15, $D$11, 100%, $F$11)</f>
        <v>39.205300000000001</v>
      </c>
      <c r="C890" s="8">
        <f>39.2156 * CHOOSE(CONTROL!$C$15, $D$11, 100%, $F$11)</f>
        <v>39.215600000000002</v>
      </c>
      <c r="D890" s="8">
        <f>39.2282 * CHOOSE( CONTROL!$C$15, $D$11, 100%, $F$11)</f>
        <v>39.228200000000001</v>
      </c>
      <c r="E890" s="12">
        <f>39.2229 * CHOOSE( CONTROL!$C$15, $D$11, 100%, $F$11)</f>
        <v>39.222900000000003</v>
      </c>
      <c r="F890" s="4">
        <f>39.8854 * CHOOSE(CONTROL!$C$15, $D$11, 100%, $F$11)</f>
        <v>39.885399999999997</v>
      </c>
      <c r="G890" s="8">
        <f>38.5497 * CHOOSE( CONTROL!$C$15, $D$11, 100%, $F$11)</f>
        <v>38.549700000000001</v>
      </c>
      <c r="H890" s="4">
        <f>39.4687 * CHOOSE(CONTROL!$C$15, $D$11, 100%, $F$11)</f>
        <v>39.468699999999998</v>
      </c>
      <c r="I890" s="8">
        <f>37.9935 * CHOOSE(CONTROL!$C$15, $D$11, 100%, $F$11)</f>
        <v>37.993499999999997</v>
      </c>
      <c r="J890" s="4">
        <f>37.8903 * CHOOSE(CONTROL!$C$15, $D$11, 100%, $F$11)</f>
        <v>37.890300000000003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42.2812 * CHOOSE(CONTROL!$C$15, $D$11, 100%, $F$11)</f>
        <v>42.281199999999998</v>
      </c>
      <c r="C891" s="8">
        <f>42.2915 * CHOOSE(CONTROL!$C$15, $D$11, 100%, $F$11)</f>
        <v>42.291499999999999</v>
      </c>
      <c r="D891" s="8">
        <f>42.2765 * CHOOSE( CONTROL!$C$15, $D$11, 100%, $F$11)</f>
        <v>42.276499999999999</v>
      </c>
      <c r="E891" s="12">
        <f>42.2809 * CHOOSE( CONTROL!$C$15, $D$11, 100%, $F$11)</f>
        <v>42.280900000000003</v>
      </c>
      <c r="F891" s="4">
        <f>42.9355 * CHOOSE(CONTROL!$C$15, $D$11, 100%, $F$11)</f>
        <v>42.935499999999998</v>
      </c>
      <c r="G891" s="8">
        <f>41.5853 * CHOOSE( CONTROL!$C$15, $D$11, 100%, $F$11)</f>
        <v>41.585299999999997</v>
      </c>
      <c r="H891" s="4">
        <f>42.4695 * CHOOSE(CONTROL!$C$15, $D$11, 100%, $F$11)</f>
        <v>42.469499999999996</v>
      </c>
      <c r="I891" s="8">
        <f>40.99 * CHOOSE(CONTROL!$C$15, $D$11, 100%, $F$11)</f>
        <v>40.99</v>
      </c>
      <c r="J891" s="4">
        <f>40.865 * CHOOSE(CONTROL!$C$15, $D$11, 100%, $F$11)</f>
        <v>40.865000000000002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42.2044 * CHOOSE(CONTROL!$C$15, $D$11, 100%, $F$11)</f>
        <v>42.2044</v>
      </c>
      <c r="C892" s="8">
        <f>42.2147 * CHOOSE(CONTROL!$C$15, $D$11, 100%, $F$11)</f>
        <v>42.214700000000001</v>
      </c>
      <c r="D892" s="8">
        <f>42.2013 * CHOOSE( CONTROL!$C$15, $D$11, 100%, $F$11)</f>
        <v>42.201300000000003</v>
      </c>
      <c r="E892" s="12">
        <f>42.2051 * CHOOSE( CONTROL!$C$15, $D$11, 100%, $F$11)</f>
        <v>42.205100000000002</v>
      </c>
      <c r="F892" s="4">
        <f>42.8586 * CHOOSE(CONTROL!$C$15, $D$11, 100%, $F$11)</f>
        <v>42.858600000000003</v>
      </c>
      <c r="G892" s="8">
        <f>41.5109 * CHOOSE( CONTROL!$C$15, $D$11, 100%, $F$11)</f>
        <v>41.510899999999999</v>
      </c>
      <c r="H892" s="4">
        <f>42.3939 * CHOOSE(CONTROL!$C$15, $D$11, 100%, $F$11)</f>
        <v>42.393900000000002</v>
      </c>
      <c r="I892" s="8">
        <f>40.9209 * CHOOSE(CONTROL!$C$15, $D$11, 100%, $F$11)</f>
        <v>40.920900000000003</v>
      </c>
      <c r="J892" s="4">
        <f>40.7907 * CHOOSE(CONTROL!$C$15, $D$11, 100%, $F$11)</f>
        <v>40.790700000000001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43.8164 * CHOOSE(CONTROL!$C$15, $D$11, 100%, $F$11)</f>
        <v>43.816400000000002</v>
      </c>
      <c r="C893" s="8">
        <f>43.8267 * CHOOSE(CONTROL!$C$15, $D$11, 100%, $F$11)</f>
        <v>43.826700000000002</v>
      </c>
      <c r="D893" s="8">
        <f>43.8252 * CHOOSE( CONTROL!$C$15, $D$11, 100%, $F$11)</f>
        <v>43.825200000000002</v>
      </c>
      <c r="E893" s="12">
        <f>43.8247 * CHOOSE( CONTROL!$C$15, $D$11, 100%, $F$11)</f>
        <v>43.8247</v>
      </c>
      <c r="F893" s="4">
        <f>44.4991 * CHOOSE(CONTROL!$C$15, $D$11, 100%, $F$11)</f>
        <v>44.499099999999999</v>
      </c>
      <c r="G893" s="8">
        <f>43.1094 * CHOOSE( CONTROL!$C$15, $D$11, 100%, $F$11)</f>
        <v>43.109400000000001</v>
      </c>
      <c r="H893" s="4">
        <f>44.0078 * CHOOSE(CONTROL!$C$15, $D$11, 100%, $F$11)</f>
        <v>44.007800000000003</v>
      </c>
      <c r="I893" s="8">
        <f>42.4795 * CHOOSE(CONTROL!$C$15, $D$11, 100%, $F$11)</f>
        <v>42.479500000000002</v>
      </c>
      <c r="J893" s="4">
        <f>42.3497 * CHOOSE(CONTROL!$C$15, $D$11, 100%, $F$11)</f>
        <v>42.349699999999999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40.9854 * CHOOSE(CONTROL!$C$15, $D$11, 100%, $F$11)</f>
        <v>40.985399999999998</v>
      </c>
      <c r="C894" s="8">
        <f>40.9957 * CHOOSE(CONTROL!$C$15, $D$11, 100%, $F$11)</f>
        <v>40.995699999999999</v>
      </c>
      <c r="D894" s="8">
        <f>40.9963 * CHOOSE( CONTROL!$C$15, $D$11, 100%, $F$11)</f>
        <v>40.996299999999998</v>
      </c>
      <c r="E894" s="12">
        <f>40.995 * CHOOSE( CONTROL!$C$15, $D$11, 100%, $F$11)</f>
        <v>40.994999999999997</v>
      </c>
      <c r="F894" s="4">
        <f>41.6603 * CHOOSE(CONTROL!$C$15, $D$11, 100%, $F$11)</f>
        <v>41.660299999999999</v>
      </c>
      <c r="G894" s="8">
        <f>40.324 * CHOOSE( CONTROL!$C$15, $D$11, 100%, $F$11)</f>
        <v>40.323999999999998</v>
      </c>
      <c r="H894" s="4">
        <f>41.215 * CHOOSE(CONTROL!$C$15, $D$11, 100%, $F$11)</f>
        <v>41.215000000000003</v>
      </c>
      <c r="I894" s="8">
        <f>39.7293 * CHOOSE(CONTROL!$C$15, $D$11, 100%, $F$11)</f>
        <v>39.729300000000002</v>
      </c>
      <c r="J894" s="4">
        <f>39.6119 * CHOOSE(CONTROL!$C$15, $D$11, 100%, $F$11)</f>
        <v>39.611899999999999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40.1135 * CHOOSE(CONTROL!$C$15, $D$11, 100%, $F$11)</f>
        <v>40.113500000000002</v>
      </c>
      <c r="C895" s="8">
        <f>40.1238 * CHOOSE(CONTROL!$C$15, $D$11, 100%, $F$11)</f>
        <v>40.123800000000003</v>
      </c>
      <c r="D895" s="8">
        <f>40.119 * CHOOSE( CONTROL!$C$15, $D$11, 100%, $F$11)</f>
        <v>40.119</v>
      </c>
      <c r="E895" s="12">
        <f>40.1197 * CHOOSE( CONTROL!$C$15, $D$11, 100%, $F$11)</f>
        <v>40.119700000000002</v>
      </c>
      <c r="F895" s="4">
        <f>40.791 * CHOOSE(CONTROL!$C$15, $D$11, 100%, $F$11)</f>
        <v>40.790999999999997</v>
      </c>
      <c r="G895" s="8">
        <f>39.4607 * CHOOSE( CONTROL!$C$15, $D$11, 100%, $F$11)</f>
        <v>39.460700000000003</v>
      </c>
      <c r="H895" s="4">
        <f>40.3597 * CHOOSE(CONTROL!$C$15, $D$11, 100%, $F$11)</f>
        <v>40.359699999999997</v>
      </c>
      <c r="I895" s="8">
        <f>38.8738 * CHOOSE(CONTROL!$C$15, $D$11, 100%, $F$11)</f>
        <v>38.873800000000003</v>
      </c>
      <c r="J895" s="4">
        <f>38.7686 * CHOOSE(CONTROL!$C$15, $D$11, 100%, $F$11)</f>
        <v>38.768599999999999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40.7228 * CHOOSE(CONTROL!$C$15, $D$11, 100%, $F$11)</f>
        <v>40.722799999999999</v>
      </c>
      <c r="C896" s="8">
        <f>40.7331 * CHOOSE(CONTROL!$C$15, $D$11, 100%, $F$11)</f>
        <v>40.7331</v>
      </c>
      <c r="D896" s="8">
        <f>40.7444 * CHOOSE( CONTROL!$C$15, $D$11, 100%, $F$11)</f>
        <v>40.744399999999999</v>
      </c>
      <c r="E896" s="12">
        <f>40.7395 * CHOOSE( CONTROL!$C$15, $D$11, 100%, $F$11)</f>
        <v>40.7395</v>
      </c>
      <c r="F896" s="4">
        <f>41.4029 * CHOOSE(CONTROL!$C$15, $D$11, 100%, $F$11)</f>
        <v>41.402900000000002</v>
      </c>
      <c r="G896" s="8">
        <f>40.0408 * CHOOSE( CONTROL!$C$15, $D$11, 100%, $F$11)</f>
        <v>40.040799999999997</v>
      </c>
      <c r="H896" s="4">
        <f>40.9617 * CHOOSE(CONTROL!$C$15, $D$11, 100%, $F$11)</f>
        <v>40.9617</v>
      </c>
      <c r="I896" s="8">
        <f>39.4557 * CHOOSE(CONTROL!$C$15, $D$11, 100%, $F$11)</f>
        <v>39.4557</v>
      </c>
      <c r="J896" s="4">
        <f>39.3579 * CHOOSE(CONTROL!$C$15, $D$11, 100%, $F$11)</f>
        <v>39.357900000000001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CONTROL!$C$32, 41.8106, 41.8072) * CHOOSE(CONTROL!$C$15, $D$11, 100%, $F$11)</f>
        <v>41.810600000000001</v>
      </c>
      <c r="C897" s="8">
        <f>CHOOSE( CONTROL!$C$32, 41.821, 41.8175) * CHOOSE(CONTROL!$C$15, $D$11, 100%, $F$11)</f>
        <v>41.820999999999998</v>
      </c>
      <c r="D897" s="8">
        <f>CHOOSE( CONTROL!$C$32, 41.8318, 41.8283) * CHOOSE( CONTROL!$C$15, $D$11, 100%, $F$11)</f>
        <v>41.831800000000001</v>
      </c>
      <c r="E897" s="12">
        <f>CHOOSE( CONTROL!$C$32, 41.8263, 41.8228) * CHOOSE( CONTROL!$C$15, $D$11, 100%, $F$11)</f>
        <v>41.826300000000003</v>
      </c>
      <c r="F897" s="4">
        <f>CHOOSE( CONTROL!$C$32, 42.4907, 42.4873) * CHOOSE(CONTROL!$C$15, $D$11, 100%, $F$11)</f>
        <v>42.490699999999997</v>
      </c>
      <c r="G897" s="8">
        <f>CHOOSE( CONTROL!$C$32, 41.1122, 41.1088) * CHOOSE( CONTROL!$C$15, $D$11, 100%, $F$11)</f>
        <v>41.112200000000001</v>
      </c>
      <c r="H897" s="4">
        <f>CHOOSE( CONTROL!$C$32, 42.032, 42.0285) * CHOOSE(CONTROL!$C$15, $D$11, 100%, $F$11)</f>
        <v>42.031999999999996</v>
      </c>
      <c r="I897" s="8">
        <f>CHOOSE( CONTROL!$C$32, 40.5099, 40.5065) * CHOOSE(CONTROL!$C$15, $D$11, 100%, $F$11)</f>
        <v>40.509900000000002</v>
      </c>
      <c r="J897" s="4">
        <f>CHOOSE( CONTROL!$C$32, 40.41, 40.4066) * CHOOSE(CONTROL!$C$15, $D$11, 100%, $F$11)</f>
        <v>40.409999999999997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CONTROL!$C$32, 41.1389, 41.1354) * CHOOSE(CONTROL!$C$15, $D$11, 100%, $F$11)</f>
        <v>41.1389</v>
      </c>
      <c r="C898" s="8">
        <f>CHOOSE( CONTROL!$C$32, 41.1492, 41.1458) * CHOOSE(CONTROL!$C$15, $D$11, 100%, $F$11)</f>
        <v>41.1492</v>
      </c>
      <c r="D898" s="8">
        <f>CHOOSE( CONTROL!$C$32, 41.1603, 41.1569) * CHOOSE( CONTROL!$C$15, $D$11, 100%, $F$11)</f>
        <v>41.160299999999999</v>
      </c>
      <c r="E898" s="12">
        <f>CHOOSE( CONTROL!$C$32, 41.1547, 41.1513) * CHOOSE( CONTROL!$C$15, $D$11, 100%, $F$11)</f>
        <v>41.154699999999998</v>
      </c>
      <c r="F898" s="4">
        <f>CHOOSE( CONTROL!$C$32, 41.819, 41.8155) * CHOOSE(CONTROL!$C$15, $D$11, 100%, $F$11)</f>
        <v>41.819000000000003</v>
      </c>
      <c r="G898" s="8">
        <f>CHOOSE( CONTROL!$C$32, 40.4518, 40.4483) * CHOOSE( CONTROL!$C$15, $D$11, 100%, $F$11)</f>
        <v>40.451799999999999</v>
      </c>
      <c r="H898" s="4">
        <f>CHOOSE( CONTROL!$C$32, 41.3711, 41.3677) * CHOOSE(CONTROL!$C$15, $D$11, 100%, $F$11)</f>
        <v>41.371099999999998</v>
      </c>
      <c r="I898" s="8">
        <f>CHOOSE( CONTROL!$C$32, 39.8612, 39.8579) * CHOOSE(CONTROL!$C$15, $D$11, 100%, $F$11)</f>
        <v>39.861199999999997</v>
      </c>
      <c r="J898" s="4">
        <f>CHOOSE( CONTROL!$C$32, 39.7603, 39.757) * CHOOSE(CONTROL!$C$15, $D$11, 100%, $F$11)</f>
        <v>39.760300000000001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CONTROL!$C$32, 42.9078, 42.9044) * CHOOSE(CONTROL!$C$15, $D$11, 100%, $F$11)</f>
        <v>42.907800000000002</v>
      </c>
      <c r="C899" s="8">
        <f>CHOOSE( CONTROL!$C$32, 42.9182, 42.9147) * CHOOSE(CONTROL!$C$15, $D$11, 100%, $F$11)</f>
        <v>42.918199999999999</v>
      </c>
      <c r="D899" s="8">
        <f>CHOOSE( CONTROL!$C$32, 42.9296, 42.9261) * CHOOSE( CONTROL!$C$15, $D$11, 100%, $F$11)</f>
        <v>42.929600000000001</v>
      </c>
      <c r="E899" s="12">
        <f>CHOOSE( CONTROL!$C$32, 42.9239, 42.9204) * CHOOSE( CONTROL!$C$15, $D$11, 100%, $F$11)</f>
        <v>42.923900000000003</v>
      </c>
      <c r="F899" s="4">
        <f>CHOOSE( CONTROL!$C$32, 43.5879, 43.5845) * CHOOSE(CONTROL!$C$15, $D$11, 100%, $F$11)</f>
        <v>43.587899999999998</v>
      </c>
      <c r="G899" s="8">
        <f>CHOOSE( CONTROL!$C$32, 42.1926, 42.1891) * CHOOSE( CONTROL!$C$15, $D$11, 100%, $F$11)</f>
        <v>42.192599999999999</v>
      </c>
      <c r="H899" s="4">
        <f>CHOOSE( CONTROL!$C$32, 43.1114, 43.108) * CHOOSE(CONTROL!$C$15, $D$11, 100%, $F$11)</f>
        <v>43.111400000000003</v>
      </c>
      <c r="I899" s="8">
        <f>CHOOSE( CONTROL!$C$32, 41.5743, 41.5709) * CHOOSE(CONTROL!$C$15, $D$11, 100%, $F$11)</f>
        <v>41.574300000000001</v>
      </c>
      <c r="J899" s="4">
        <f>CHOOSE( CONTROL!$C$32, 41.4711, 41.4677) * CHOOSE(CONTROL!$C$15, $D$11, 100%, $F$11)</f>
        <v>41.4711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CONTROL!$C$32, 39.5979, 39.5945) * CHOOSE(CONTROL!$C$15, $D$11, 100%, $F$11)</f>
        <v>39.597900000000003</v>
      </c>
      <c r="C900" s="8">
        <f>CHOOSE( CONTROL!$C$32, 39.6083, 39.6048) * CHOOSE(CONTROL!$C$15, $D$11, 100%, $F$11)</f>
        <v>39.6083</v>
      </c>
      <c r="D900" s="8">
        <f>CHOOSE( CONTROL!$C$32, 39.6198, 39.6163) * CHOOSE( CONTROL!$C$15, $D$11, 100%, $F$11)</f>
        <v>39.619799999999998</v>
      </c>
      <c r="E900" s="12">
        <f>CHOOSE( CONTROL!$C$32, 39.614, 39.6106) * CHOOSE( CONTROL!$C$15, $D$11, 100%, $F$11)</f>
        <v>39.613999999999997</v>
      </c>
      <c r="F900" s="4">
        <f>CHOOSE( CONTROL!$C$32, 40.278, 40.2746) * CHOOSE(CONTROL!$C$15, $D$11, 100%, $F$11)</f>
        <v>40.277999999999999</v>
      </c>
      <c r="G900" s="8">
        <f>CHOOSE( CONTROL!$C$32, 38.9364, 38.933) * CHOOSE( CONTROL!$C$15, $D$11, 100%, $F$11)</f>
        <v>38.936399999999999</v>
      </c>
      <c r="H900" s="4">
        <f>CHOOSE( CONTROL!$C$32, 39.8551, 39.8516) * CHOOSE(CONTROL!$C$15, $D$11, 100%, $F$11)</f>
        <v>39.8551</v>
      </c>
      <c r="I900" s="8">
        <f>CHOOSE( CONTROL!$C$32, 38.3723, 38.369) * CHOOSE(CONTROL!$C$15, $D$11, 100%, $F$11)</f>
        <v>38.372300000000003</v>
      </c>
      <c r="J900" s="4">
        <f>CHOOSE( CONTROL!$C$32, 38.2701, 38.2667) * CHOOSE(CONTROL!$C$15, $D$11, 100%, $F$11)</f>
        <v>38.270099999999999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CONTROL!$C$32, 38.7691, 38.7656) * CHOOSE(CONTROL!$C$15, $D$11, 100%, $F$11)</f>
        <v>38.769100000000002</v>
      </c>
      <c r="C901" s="8">
        <f>CHOOSE( CONTROL!$C$32, 38.7794, 38.776) * CHOOSE(CONTROL!$C$15, $D$11, 100%, $F$11)</f>
        <v>38.779400000000003</v>
      </c>
      <c r="D901" s="8">
        <f>CHOOSE( CONTROL!$C$32, 38.791, 38.7875) * CHOOSE( CONTROL!$C$15, $D$11, 100%, $F$11)</f>
        <v>38.790999999999997</v>
      </c>
      <c r="E901" s="12">
        <f>CHOOSE( CONTROL!$C$32, 38.7852, 38.7817) * CHOOSE( CONTROL!$C$15, $D$11, 100%, $F$11)</f>
        <v>38.785200000000003</v>
      </c>
      <c r="F901" s="4">
        <f>CHOOSE( CONTROL!$C$32, 39.4492, 39.4457) * CHOOSE(CONTROL!$C$15, $D$11, 100%, $F$11)</f>
        <v>39.449199999999998</v>
      </c>
      <c r="G901" s="8">
        <f>CHOOSE( CONTROL!$C$32, 38.121, 38.1176) * CHOOSE( CONTROL!$C$15, $D$11, 100%, $F$11)</f>
        <v>38.121000000000002</v>
      </c>
      <c r="H901" s="4">
        <f>CHOOSE( CONTROL!$C$32, 39.0396, 39.0362) * CHOOSE(CONTROL!$C$15, $D$11, 100%, $F$11)</f>
        <v>39.0396</v>
      </c>
      <c r="I901" s="8">
        <f>CHOOSE( CONTROL!$C$32, 37.5706, 37.5672) * CHOOSE(CONTROL!$C$15, $D$11, 100%, $F$11)</f>
        <v>37.570599999999999</v>
      </c>
      <c r="J901" s="4">
        <f>CHOOSE( CONTROL!$C$32, 37.4685, 37.4651) * CHOOSE(CONTROL!$C$15, $D$11, 100%, $F$11)</f>
        <v>37.468499999999999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40.4866 * CHOOSE(CONTROL!$C$15, $D$11, 100%, $F$11)</f>
        <v>40.486600000000003</v>
      </c>
      <c r="C902" s="8">
        <f>40.4969 * CHOOSE(CONTROL!$C$15, $D$11, 100%, $F$11)</f>
        <v>40.496899999999997</v>
      </c>
      <c r="D902" s="8">
        <f>40.5095 * CHOOSE( CONTROL!$C$15, $D$11, 100%, $F$11)</f>
        <v>40.509500000000003</v>
      </c>
      <c r="E902" s="12">
        <f>40.5042 * CHOOSE( CONTROL!$C$15, $D$11, 100%, $F$11)</f>
        <v>40.504199999999997</v>
      </c>
      <c r="F902" s="4">
        <f>41.1667 * CHOOSE(CONTROL!$C$15, $D$11, 100%, $F$11)</f>
        <v>41.166699999999999</v>
      </c>
      <c r="G902" s="8">
        <f>39.8103 * CHOOSE( CONTROL!$C$15, $D$11, 100%, $F$11)</f>
        <v>39.810299999999998</v>
      </c>
      <c r="H902" s="4">
        <f>40.7293 * CHOOSE(CONTROL!$C$15, $D$11, 100%, $F$11)</f>
        <v>40.729300000000002</v>
      </c>
      <c r="I902" s="8">
        <f>39.2332 * CHOOSE(CONTROL!$C$15, $D$11, 100%, $F$11)</f>
        <v>39.233199999999997</v>
      </c>
      <c r="J902" s="4">
        <f>39.1295 * CHOOSE(CONTROL!$C$15, $D$11, 100%, $F$11)</f>
        <v>39.1295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43.6631 * CHOOSE(CONTROL!$C$15, $D$11, 100%, $F$11)</f>
        <v>43.6631</v>
      </c>
      <c r="C903" s="8">
        <f>43.6734 * CHOOSE(CONTROL!$C$15, $D$11, 100%, $F$11)</f>
        <v>43.673400000000001</v>
      </c>
      <c r="D903" s="8">
        <f>43.6584 * CHOOSE( CONTROL!$C$15, $D$11, 100%, $F$11)</f>
        <v>43.6584</v>
      </c>
      <c r="E903" s="12">
        <f>43.6628 * CHOOSE( CONTROL!$C$15, $D$11, 100%, $F$11)</f>
        <v>43.662799999999997</v>
      </c>
      <c r="F903" s="4">
        <f>44.3174 * CHOOSE(CONTROL!$C$15, $D$11, 100%, $F$11)</f>
        <v>44.317399999999999</v>
      </c>
      <c r="G903" s="8">
        <f>42.9448 * CHOOSE( CONTROL!$C$15, $D$11, 100%, $F$11)</f>
        <v>42.944800000000001</v>
      </c>
      <c r="H903" s="4">
        <f>43.829 * CHOOSE(CONTROL!$C$15, $D$11, 100%, $F$11)</f>
        <v>43.829000000000001</v>
      </c>
      <c r="I903" s="8">
        <f>42.3271 * CHOOSE(CONTROL!$C$15, $D$11, 100%, $F$11)</f>
        <v>42.327100000000002</v>
      </c>
      <c r="J903" s="4">
        <f>42.2015 * CHOOSE(CONTROL!$C$15, $D$11, 100%, $F$11)</f>
        <v>42.201500000000003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43.5837 * CHOOSE(CONTROL!$C$15, $D$11, 100%, $F$11)</f>
        <v>43.5837</v>
      </c>
      <c r="C904" s="8">
        <f>43.5941 * CHOOSE(CONTROL!$C$15, $D$11, 100%, $F$11)</f>
        <v>43.594099999999997</v>
      </c>
      <c r="D904" s="8">
        <f>43.5807 * CHOOSE( CONTROL!$C$15, $D$11, 100%, $F$11)</f>
        <v>43.5807</v>
      </c>
      <c r="E904" s="12">
        <f>43.5845 * CHOOSE( CONTROL!$C$15, $D$11, 100%, $F$11)</f>
        <v>43.584499999999998</v>
      </c>
      <c r="F904" s="4">
        <f>44.238 * CHOOSE(CONTROL!$C$15, $D$11, 100%, $F$11)</f>
        <v>44.238</v>
      </c>
      <c r="G904" s="8">
        <f>42.868 * CHOOSE( CONTROL!$C$15, $D$11, 100%, $F$11)</f>
        <v>42.868000000000002</v>
      </c>
      <c r="H904" s="4">
        <f>43.751 * CHOOSE(CONTROL!$C$15, $D$11, 100%, $F$11)</f>
        <v>43.750999999999998</v>
      </c>
      <c r="I904" s="8">
        <f>42.2556 * CHOOSE(CONTROL!$C$15, $D$11, 100%, $F$11)</f>
        <v>42.255600000000001</v>
      </c>
      <c r="J904" s="4">
        <f>42.1247 * CHOOSE(CONTROL!$C$15, $D$11, 100%, $F$11)</f>
        <v>42.124699999999997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45.2485 * CHOOSE(CONTROL!$C$15, $D$11, 100%, $F$11)</f>
        <v>45.2485</v>
      </c>
      <c r="C905" s="8">
        <f>45.2588 * CHOOSE(CONTROL!$C$15, $D$11, 100%, $F$11)</f>
        <v>45.258800000000001</v>
      </c>
      <c r="D905" s="8">
        <f>45.2573 * CHOOSE( CONTROL!$C$15, $D$11, 100%, $F$11)</f>
        <v>45.257300000000001</v>
      </c>
      <c r="E905" s="12">
        <f>45.2568 * CHOOSE( CONTROL!$C$15, $D$11, 100%, $F$11)</f>
        <v>45.256799999999998</v>
      </c>
      <c r="F905" s="4">
        <f>45.9312 * CHOOSE(CONTROL!$C$15, $D$11, 100%, $F$11)</f>
        <v>45.931199999999997</v>
      </c>
      <c r="G905" s="8">
        <f>44.5183 * CHOOSE( CONTROL!$C$15, $D$11, 100%, $F$11)</f>
        <v>44.518300000000004</v>
      </c>
      <c r="H905" s="4">
        <f>45.4168 * CHOOSE(CONTROL!$C$15, $D$11, 100%, $F$11)</f>
        <v>45.416800000000002</v>
      </c>
      <c r="I905" s="8">
        <f>43.8652 * CHOOSE(CONTROL!$C$15, $D$11, 100%, $F$11)</f>
        <v>43.865200000000002</v>
      </c>
      <c r="J905" s="4">
        <f>43.7347 * CHOOSE(CONTROL!$C$15, $D$11, 100%, $F$11)</f>
        <v>43.734699999999997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42.3249 * CHOOSE(CONTROL!$C$15, $D$11, 100%, $F$11)</f>
        <v>42.3249</v>
      </c>
      <c r="C906" s="8">
        <f>42.3353 * CHOOSE(CONTROL!$C$15, $D$11, 100%, $F$11)</f>
        <v>42.335299999999997</v>
      </c>
      <c r="D906" s="8">
        <f>42.3358 * CHOOSE( CONTROL!$C$15, $D$11, 100%, $F$11)</f>
        <v>42.335799999999999</v>
      </c>
      <c r="E906" s="12">
        <f>42.3345 * CHOOSE( CONTROL!$C$15, $D$11, 100%, $F$11)</f>
        <v>42.334499999999998</v>
      </c>
      <c r="F906" s="4">
        <f>42.9999 * CHOOSE(CONTROL!$C$15, $D$11, 100%, $F$11)</f>
        <v>42.999899999999997</v>
      </c>
      <c r="G906" s="8">
        <f>41.6418 * CHOOSE( CONTROL!$C$15, $D$11, 100%, $F$11)</f>
        <v>41.641800000000003</v>
      </c>
      <c r="H906" s="4">
        <f>42.5329 * CHOOSE(CONTROL!$C$15, $D$11, 100%, $F$11)</f>
        <v>42.532899999999998</v>
      </c>
      <c r="I906" s="8">
        <f>41.0255 * CHOOSE(CONTROL!$C$15, $D$11, 100%, $F$11)</f>
        <v>41.025500000000001</v>
      </c>
      <c r="J906" s="4">
        <f>40.9073 * CHOOSE(CONTROL!$C$15, $D$11, 100%, $F$11)</f>
        <v>40.907299999999999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41.4245 * CHOOSE(CONTROL!$C$15, $D$11, 100%, $F$11)</f>
        <v>41.424500000000002</v>
      </c>
      <c r="C907" s="8">
        <f>41.4348 * CHOOSE(CONTROL!$C$15, $D$11, 100%, $F$11)</f>
        <v>41.434800000000003</v>
      </c>
      <c r="D907" s="8">
        <f>41.43 * CHOOSE( CONTROL!$C$15, $D$11, 100%, $F$11)</f>
        <v>41.43</v>
      </c>
      <c r="E907" s="12">
        <f>41.4307 * CHOOSE( CONTROL!$C$15, $D$11, 100%, $F$11)</f>
        <v>41.430700000000002</v>
      </c>
      <c r="F907" s="4">
        <f>42.102 * CHOOSE(CONTROL!$C$15, $D$11, 100%, $F$11)</f>
        <v>42.101999999999997</v>
      </c>
      <c r="G907" s="8">
        <f>40.7505 * CHOOSE( CONTROL!$C$15, $D$11, 100%, $F$11)</f>
        <v>40.750500000000002</v>
      </c>
      <c r="H907" s="4">
        <f>41.6495 * CHOOSE(CONTROL!$C$15, $D$11, 100%, $F$11)</f>
        <v>41.649500000000003</v>
      </c>
      <c r="I907" s="8">
        <f>40.1423 * CHOOSE(CONTROL!$C$15, $D$11, 100%, $F$11)</f>
        <v>40.142299999999999</v>
      </c>
      <c r="J907" s="4">
        <f>40.0365 * CHOOSE(CONTROL!$C$15, $D$11, 100%, $F$11)</f>
        <v>40.036499999999997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42.0537 * CHOOSE(CONTROL!$C$15, $D$11, 100%, $F$11)</f>
        <v>42.053699999999999</v>
      </c>
      <c r="C908" s="8">
        <f>42.064 * CHOOSE(CONTROL!$C$15, $D$11, 100%, $F$11)</f>
        <v>42.064</v>
      </c>
      <c r="D908" s="8">
        <f>42.0753 * CHOOSE( CONTROL!$C$15, $D$11, 100%, $F$11)</f>
        <v>42.075299999999999</v>
      </c>
      <c r="E908" s="12">
        <f>42.0704 * CHOOSE( CONTROL!$C$15, $D$11, 100%, $F$11)</f>
        <v>42.070399999999999</v>
      </c>
      <c r="F908" s="4">
        <f>42.7338 * CHOOSE(CONTROL!$C$15, $D$11, 100%, $F$11)</f>
        <v>42.733800000000002</v>
      </c>
      <c r="G908" s="8">
        <f>41.3502 * CHOOSE( CONTROL!$C$15, $D$11, 100%, $F$11)</f>
        <v>41.350200000000001</v>
      </c>
      <c r="H908" s="4">
        <f>42.2711 * CHOOSE(CONTROL!$C$15, $D$11, 100%, $F$11)</f>
        <v>42.271099999999997</v>
      </c>
      <c r="I908" s="8">
        <f>40.7435 * CHOOSE(CONTROL!$C$15, $D$11, 100%, $F$11)</f>
        <v>40.743499999999997</v>
      </c>
      <c r="J908" s="4">
        <f>40.645 * CHOOSE(CONTROL!$C$15, $D$11, 100%, $F$11)</f>
        <v>40.645000000000003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CONTROL!$C$32, 43.177, 43.1736) * CHOOSE(CONTROL!$C$15, $D$11, 100%, $F$11)</f>
        <v>43.177</v>
      </c>
      <c r="C909" s="8">
        <f>CHOOSE( CONTROL!$C$32, 43.1874, 43.1839) * CHOOSE(CONTROL!$C$15, $D$11, 100%, $F$11)</f>
        <v>43.187399999999997</v>
      </c>
      <c r="D909" s="8">
        <f>CHOOSE( CONTROL!$C$32, 43.1982, 43.1947) * CHOOSE( CONTROL!$C$15, $D$11, 100%, $F$11)</f>
        <v>43.1982</v>
      </c>
      <c r="E909" s="12">
        <f>CHOOSE( CONTROL!$C$32, 43.1927, 43.1892) * CHOOSE( CONTROL!$C$15, $D$11, 100%, $F$11)</f>
        <v>43.192700000000002</v>
      </c>
      <c r="F909" s="4">
        <f>CHOOSE( CONTROL!$C$32, 43.8571, 43.8537) * CHOOSE(CONTROL!$C$15, $D$11, 100%, $F$11)</f>
        <v>43.857100000000003</v>
      </c>
      <c r="G909" s="8">
        <f>CHOOSE( CONTROL!$C$32, 42.4565, 42.4531) * CHOOSE( CONTROL!$C$15, $D$11, 100%, $F$11)</f>
        <v>42.456499999999998</v>
      </c>
      <c r="H909" s="4">
        <f>CHOOSE( CONTROL!$C$32, 43.3763, 43.3728) * CHOOSE(CONTROL!$C$15, $D$11, 100%, $F$11)</f>
        <v>43.376300000000001</v>
      </c>
      <c r="I909" s="8">
        <f>CHOOSE( CONTROL!$C$32, 41.832, 41.8286) * CHOOSE(CONTROL!$C$15, $D$11, 100%, $F$11)</f>
        <v>41.832000000000001</v>
      </c>
      <c r="J909" s="4">
        <f>CHOOSE( CONTROL!$C$32, 41.7314, 41.728) * CHOOSE(CONTROL!$C$15, $D$11, 100%, $F$11)</f>
        <v>41.731400000000001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CONTROL!$C$32, 42.4833, 42.4798) * CHOOSE(CONTROL!$C$15, $D$11, 100%, $F$11)</f>
        <v>42.4833</v>
      </c>
      <c r="C910" s="8">
        <f>CHOOSE( CONTROL!$C$32, 42.4937, 42.4902) * CHOOSE(CONTROL!$C$15, $D$11, 100%, $F$11)</f>
        <v>42.493699999999997</v>
      </c>
      <c r="D910" s="8">
        <f>CHOOSE( CONTROL!$C$32, 42.5048, 42.5013) * CHOOSE( CONTROL!$C$15, $D$11, 100%, $F$11)</f>
        <v>42.504800000000003</v>
      </c>
      <c r="E910" s="12">
        <f>CHOOSE( CONTROL!$C$32, 42.4992, 42.4957) * CHOOSE( CONTROL!$C$15, $D$11, 100%, $F$11)</f>
        <v>42.499200000000002</v>
      </c>
      <c r="F910" s="4">
        <f>CHOOSE( CONTROL!$C$32, 43.1634, 43.1599) * CHOOSE(CONTROL!$C$15, $D$11, 100%, $F$11)</f>
        <v>43.163400000000003</v>
      </c>
      <c r="G910" s="8">
        <f>CHOOSE( CONTROL!$C$32, 41.7744, 41.771) * CHOOSE( CONTROL!$C$15, $D$11, 100%, $F$11)</f>
        <v>41.7744</v>
      </c>
      <c r="H910" s="4">
        <f>CHOOSE( CONTROL!$C$32, 42.6938, 42.6903) * CHOOSE(CONTROL!$C$15, $D$11, 100%, $F$11)</f>
        <v>42.693800000000003</v>
      </c>
      <c r="I910" s="8">
        <f>CHOOSE( CONTROL!$C$32, 41.1621, 41.1587) * CHOOSE(CONTROL!$C$15, $D$11, 100%, $F$11)</f>
        <v>41.162100000000002</v>
      </c>
      <c r="J910" s="4">
        <f>CHOOSE( CONTROL!$C$32, 41.0605, 41.0572) * CHOOSE(CONTROL!$C$15, $D$11, 100%, $F$11)</f>
        <v>41.060499999999998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CONTROL!$C$32, 44.3101, 44.3066) * CHOOSE(CONTROL!$C$15, $D$11, 100%, $F$11)</f>
        <v>44.310099999999998</v>
      </c>
      <c r="C911" s="8">
        <f>CHOOSE( CONTROL!$C$32, 44.3205, 44.317) * CHOOSE(CONTROL!$C$15, $D$11, 100%, $F$11)</f>
        <v>44.320500000000003</v>
      </c>
      <c r="D911" s="8">
        <f>CHOOSE( CONTROL!$C$32, 44.3319, 44.3284) * CHOOSE( CONTROL!$C$15, $D$11, 100%, $F$11)</f>
        <v>44.331899999999997</v>
      </c>
      <c r="E911" s="12">
        <f>CHOOSE( CONTROL!$C$32, 44.3262, 44.3227) * CHOOSE( CONTROL!$C$15, $D$11, 100%, $F$11)</f>
        <v>44.3262</v>
      </c>
      <c r="F911" s="4">
        <f>CHOOSE( CONTROL!$C$32, 44.9902, 44.9868) * CHOOSE(CONTROL!$C$15, $D$11, 100%, $F$11)</f>
        <v>44.990200000000002</v>
      </c>
      <c r="G911" s="8">
        <f>CHOOSE( CONTROL!$C$32, 43.5722, 43.5687) * CHOOSE( CONTROL!$C$15, $D$11, 100%, $F$11)</f>
        <v>43.572200000000002</v>
      </c>
      <c r="H911" s="4">
        <f>CHOOSE( CONTROL!$C$32, 44.491, 44.4876) * CHOOSE(CONTROL!$C$15, $D$11, 100%, $F$11)</f>
        <v>44.491</v>
      </c>
      <c r="I911" s="8">
        <f>CHOOSE( CONTROL!$C$32, 42.9311, 42.9278) * CHOOSE(CONTROL!$C$15, $D$11, 100%, $F$11)</f>
        <v>42.931100000000001</v>
      </c>
      <c r="J911" s="4">
        <f>CHOOSE( CONTROL!$C$32, 42.8272, 42.8239) * CHOOSE(CONTROL!$C$15, $D$11, 100%, $F$11)</f>
        <v>42.827199999999998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CONTROL!$C$32, 40.892, 40.8885) * CHOOSE(CONTROL!$C$15, $D$11, 100%, $F$11)</f>
        <v>40.892000000000003</v>
      </c>
      <c r="C912" s="8">
        <f>CHOOSE( CONTROL!$C$32, 40.9023, 40.8988) * CHOOSE(CONTROL!$C$15, $D$11, 100%, $F$11)</f>
        <v>40.902299999999997</v>
      </c>
      <c r="D912" s="8">
        <f>CHOOSE( CONTROL!$C$32, 40.9139, 40.9104) * CHOOSE( CONTROL!$C$15, $D$11, 100%, $F$11)</f>
        <v>40.913899999999998</v>
      </c>
      <c r="E912" s="12">
        <f>CHOOSE( CONTROL!$C$32, 40.9081, 40.9046) * CHOOSE( CONTROL!$C$15, $D$11, 100%, $F$11)</f>
        <v>40.908099999999997</v>
      </c>
      <c r="F912" s="4">
        <f>CHOOSE( CONTROL!$C$32, 41.5721, 41.5686) * CHOOSE(CONTROL!$C$15, $D$11, 100%, $F$11)</f>
        <v>41.572099999999999</v>
      </c>
      <c r="G912" s="8">
        <f>CHOOSE( CONTROL!$C$32, 40.2095, 40.2061) * CHOOSE( CONTROL!$C$15, $D$11, 100%, $F$11)</f>
        <v>40.209499999999998</v>
      </c>
      <c r="H912" s="4">
        <f>CHOOSE( CONTROL!$C$32, 41.1282, 41.1247) * CHOOSE(CONTROL!$C$15, $D$11, 100%, $F$11)</f>
        <v>41.1282</v>
      </c>
      <c r="I912" s="8">
        <f>CHOOSE( CONTROL!$C$32, 39.6244, 39.6211) * CHOOSE(CONTROL!$C$15, $D$11, 100%, $F$11)</f>
        <v>39.624400000000001</v>
      </c>
      <c r="J912" s="4">
        <f>CHOOSE( CONTROL!$C$32, 39.5215, 39.5182) * CHOOSE(CONTROL!$C$15, $D$11, 100%, $F$11)</f>
        <v>39.521500000000003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CONTROL!$C$32, 40.036, 40.0326) * CHOOSE(CONTROL!$C$15, $D$11, 100%, $F$11)</f>
        <v>40.036000000000001</v>
      </c>
      <c r="C913" s="8">
        <f>CHOOSE( CONTROL!$C$32, 40.0464, 40.0429) * CHOOSE(CONTROL!$C$15, $D$11, 100%, $F$11)</f>
        <v>40.046399999999998</v>
      </c>
      <c r="D913" s="8">
        <f>CHOOSE( CONTROL!$C$32, 40.058, 40.0545) * CHOOSE( CONTROL!$C$15, $D$11, 100%, $F$11)</f>
        <v>40.058</v>
      </c>
      <c r="E913" s="12">
        <f>CHOOSE( CONTROL!$C$32, 40.0522, 40.0487) * CHOOSE( CONTROL!$C$15, $D$11, 100%, $F$11)</f>
        <v>40.052199999999999</v>
      </c>
      <c r="F913" s="4">
        <f>CHOOSE( CONTROL!$C$32, 40.7161, 40.7127) * CHOOSE(CONTROL!$C$15, $D$11, 100%, $F$11)</f>
        <v>40.716099999999997</v>
      </c>
      <c r="G913" s="8">
        <f>CHOOSE( CONTROL!$C$32, 39.3675, 39.3641) * CHOOSE( CONTROL!$C$15, $D$11, 100%, $F$11)</f>
        <v>39.3675</v>
      </c>
      <c r="H913" s="4">
        <f>CHOOSE( CONTROL!$C$32, 40.2861, 40.2826) * CHOOSE(CONTROL!$C$15, $D$11, 100%, $F$11)</f>
        <v>40.286099999999998</v>
      </c>
      <c r="I913" s="8">
        <f>CHOOSE( CONTROL!$C$32, 38.7964, 38.7931) * CHOOSE(CONTROL!$C$15, $D$11, 100%, $F$11)</f>
        <v>38.796399999999998</v>
      </c>
      <c r="J913" s="4">
        <f>CHOOSE( CONTROL!$C$32, 38.6937, 38.6904) * CHOOSE(CONTROL!$C$15, $D$11, 100%, $F$11)</f>
        <v>38.6937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41.8098 * CHOOSE(CONTROL!$C$15, $D$11, 100%, $F$11)</f>
        <v>41.809800000000003</v>
      </c>
      <c r="C914" s="8">
        <f>41.8201 * CHOOSE(CONTROL!$C$15, $D$11, 100%, $F$11)</f>
        <v>41.820099999999996</v>
      </c>
      <c r="D914" s="8">
        <f>41.8327 * CHOOSE( CONTROL!$C$15, $D$11, 100%, $F$11)</f>
        <v>41.832700000000003</v>
      </c>
      <c r="E914" s="12">
        <f>41.8274 * CHOOSE( CONTROL!$C$15, $D$11, 100%, $F$11)</f>
        <v>41.827399999999997</v>
      </c>
      <c r="F914" s="4">
        <f>42.4899 * CHOOSE(CONTROL!$C$15, $D$11, 100%, $F$11)</f>
        <v>42.489899999999999</v>
      </c>
      <c r="G914" s="8">
        <f>41.1121 * CHOOSE( CONTROL!$C$15, $D$11, 100%, $F$11)</f>
        <v>41.112099999999998</v>
      </c>
      <c r="H914" s="4">
        <f>42.0311 * CHOOSE(CONTROL!$C$15, $D$11, 100%, $F$11)</f>
        <v>42.031100000000002</v>
      </c>
      <c r="I914" s="8">
        <f>40.5136 * CHOOSE(CONTROL!$C$15, $D$11, 100%, $F$11)</f>
        <v>40.513599999999997</v>
      </c>
      <c r="J914" s="4">
        <f>40.4091 * CHOOSE(CONTROL!$C$15, $D$11, 100%, $F$11)</f>
        <v>40.409100000000002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45.0902 * CHOOSE(CONTROL!$C$15, $D$11, 100%, $F$11)</f>
        <v>45.090200000000003</v>
      </c>
      <c r="C915" s="8">
        <f>45.1005 * CHOOSE(CONTROL!$C$15, $D$11, 100%, $F$11)</f>
        <v>45.100499999999997</v>
      </c>
      <c r="D915" s="8">
        <f>45.0855 * CHOOSE( CONTROL!$C$15, $D$11, 100%, $F$11)</f>
        <v>45.085500000000003</v>
      </c>
      <c r="E915" s="12">
        <f>45.0899 * CHOOSE( CONTROL!$C$15, $D$11, 100%, $F$11)</f>
        <v>45.0899</v>
      </c>
      <c r="F915" s="4">
        <f>45.7445 * CHOOSE(CONTROL!$C$15, $D$11, 100%, $F$11)</f>
        <v>45.744500000000002</v>
      </c>
      <c r="G915" s="8">
        <f>44.3489 * CHOOSE( CONTROL!$C$15, $D$11, 100%, $F$11)</f>
        <v>44.3489</v>
      </c>
      <c r="H915" s="4">
        <f>45.2331 * CHOOSE(CONTROL!$C$15, $D$11, 100%, $F$11)</f>
        <v>45.2331</v>
      </c>
      <c r="I915" s="8">
        <f>43.708 * CHOOSE(CONTROL!$C$15, $D$11, 100%, $F$11)</f>
        <v>43.707999999999998</v>
      </c>
      <c r="J915" s="4">
        <f>43.5816 * CHOOSE(CONTROL!$C$15, $D$11, 100%, $F$11)</f>
        <v>43.581600000000002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45.0082 * CHOOSE(CONTROL!$C$15, $D$11, 100%, $F$11)</f>
        <v>45.008200000000002</v>
      </c>
      <c r="C916" s="8">
        <f>45.0186 * CHOOSE(CONTROL!$C$15, $D$11, 100%, $F$11)</f>
        <v>45.018599999999999</v>
      </c>
      <c r="D916" s="8">
        <f>45.0052 * CHOOSE( CONTROL!$C$15, $D$11, 100%, $F$11)</f>
        <v>45.005200000000002</v>
      </c>
      <c r="E916" s="12">
        <f>45.009 * CHOOSE( CONTROL!$C$15, $D$11, 100%, $F$11)</f>
        <v>45.009</v>
      </c>
      <c r="F916" s="4">
        <f>45.6625 * CHOOSE(CONTROL!$C$15, $D$11, 100%, $F$11)</f>
        <v>45.662500000000001</v>
      </c>
      <c r="G916" s="8">
        <f>44.2694 * CHOOSE( CONTROL!$C$15, $D$11, 100%, $F$11)</f>
        <v>44.269399999999997</v>
      </c>
      <c r="H916" s="4">
        <f>45.1524 * CHOOSE(CONTROL!$C$15, $D$11, 100%, $F$11)</f>
        <v>45.1524</v>
      </c>
      <c r="I916" s="8">
        <f>43.6339 * CHOOSE(CONTROL!$C$15, $D$11, 100%, $F$11)</f>
        <v>43.633899999999997</v>
      </c>
      <c r="J916" s="4">
        <f>43.5024 * CHOOSE(CONTROL!$C$15, $D$11, 100%, $F$11)</f>
        <v>43.502400000000002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46.7274 * CHOOSE(CONTROL!$C$15, $D$11, 100%, $F$11)</f>
        <v>46.727400000000003</v>
      </c>
      <c r="C917" s="8">
        <f>46.7378 * CHOOSE(CONTROL!$C$15, $D$11, 100%, $F$11)</f>
        <v>46.7378</v>
      </c>
      <c r="D917" s="8">
        <f>46.7362 * CHOOSE( CONTROL!$C$15, $D$11, 100%, $F$11)</f>
        <v>46.736199999999997</v>
      </c>
      <c r="E917" s="12">
        <f>46.7357 * CHOOSE( CONTROL!$C$15, $D$11, 100%, $F$11)</f>
        <v>46.735700000000001</v>
      </c>
      <c r="F917" s="4">
        <f>47.4101 * CHOOSE(CONTROL!$C$15, $D$11, 100%, $F$11)</f>
        <v>47.4101</v>
      </c>
      <c r="G917" s="8">
        <f>45.9734 * CHOOSE( CONTROL!$C$15, $D$11, 100%, $F$11)</f>
        <v>45.973399999999998</v>
      </c>
      <c r="H917" s="4">
        <f>46.8718 * CHOOSE(CONTROL!$C$15, $D$11, 100%, $F$11)</f>
        <v>46.8718</v>
      </c>
      <c r="I917" s="8">
        <f>45.2962 * CHOOSE(CONTROL!$C$15, $D$11, 100%, $F$11)</f>
        <v>45.296199999999999</v>
      </c>
      <c r="J917" s="4">
        <f>45.165 * CHOOSE(CONTROL!$C$15, $D$11, 100%, $F$11)</f>
        <v>45.164999999999999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43.7083 * CHOOSE(CONTROL!$C$15, $D$11, 100%, $F$11)</f>
        <v>43.708300000000001</v>
      </c>
      <c r="C918" s="8">
        <f>43.7186 * CHOOSE(CONTROL!$C$15, $D$11, 100%, $F$11)</f>
        <v>43.718600000000002</v>
      </c>
      <c r="D918" s="8">
        <f>43.7191 * CHOOSE( CONTROL!$C$15, $D$11, 100%, $F$11)</f>
        <v>43.719099999999997</v>
      </c>
      <c r="E918" s="12">
        <f>43.7178 * CHOOSE( CONTROL!$C$15, $D$11, 100%, $F$11)</f>
        <v>43.717799999999997</v>
      </c>
      <c r="F918" s="4">
        <f>44.3832 * CHOOSE(CONTROL!$C$15, $D$11, 100%, $F$11)</f>
        <v>44.383200000000002</v>
      </c>
      <c r="G918" s="8">
        <f>43.0028 * CHOOSE( CONTROL!$C$15, $D$11, 100%, $F$11)</f>
        <v>43.002800000000001</v>
      </c>
      <c r="H918" s="4">
        <f>43.8938 * CHOOSE(CONTROL!$C$15, $D$11, 100%, $F$11)</f>
        <v>43.893799999999999</v>
      </c>
      <c r="I918" s="8">
        <f>42.3639 * CHOOSE(CONTROL!$C$15, $D$11, 100%, $F$11)</f>
        <v>42.363900000000001</v>
      </c>
      <c r="J918" s="4">
        <f>42.2452 * CHOOSE(CONTROL!$C$15, $D$11, 100%, $F$11)</f>
        <v>42.245199999999997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42.7784 * CHOOSE(CONTROL!$C$15, $D$11, 100%, $F$11)</f>
        <v>42.778399999999998</v>
      </c>
      <c r="C919" s="8">
        <f>42.7887 * CHOOSE(CONTROL!$C$15, $D$11, 100%, $F$11)</f>
        <v>42.788699999999999</v>
      </c>
      <c r="D919" s="8">
        <f>42.7839 * CHOOSE( CONTROL!$C$15, $D$11, 100%, $F$11)</f>
        <v>42.783900000000003</v>
      </c>
      <c r="E919" s="12">
        <f>42.7846 * CHOOSE( CONTROL!$C$15, $D$11, 100%, $F$11)</f>
        <v>42.784599999999998</v>
      </c>
      <c r="F919" s="4">
        <f>43.4559 * CHOOSE(CONTROL!$C$15, $D$11, 100%, $F$11)</f>
        <v>43.4559</v>
      </c>
      <c r="G919" s="8">
        <f>42.0825 * CHOOSE( CONTROL!$C$15, $D$11, 100%, $F$11)</f>
        <v>42.082500000000003</v>
      </c>
      <c r="H919" s="4">
        <f>42.9815 * CHOOSE(CONTROL!$C$15, $D$11, 100%, $F$11)</f>
        <v>42.981499999999997</v>
      </c>
      <c r="I919" s="8">
        <f>41.4523 * CHOOSE(CONTROL!$C$15, $D$11, 100%, $F$11)</f>
        <v>41.452300000000001</v>
      </c>
      <c r="J919" s="4">
        <f>41.3459 * CHOOSE(CONTROL!$C$15, $D$11, 100%, $F$11)</f>
        <v>41.3459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43.4282 * CHOOSE(CONTROL!$C$15, $D$11, 100%, $F$11)</f>
        <v>43.428199999999997</v>
      </c>
      <c r="C920" s="8">
        <f>43.4385 * CHOOSE(CONTROL!$C$15, $D$11, 100%, $F$11)</f>
        <v>43.438499999999998</v>
      </c>
      <c r="D920" s="8">
        <f>43.4498 * CHOOSE( CONTROL!$C$15, $D$11, 100%, $F$11)</f>
        <v>43.449800000000003</v>
      </c>
      <c r="E920" s="12">
        <f>43.4449 * CHOOSE( CONTROL!$C$15, $D$11, 100%, $F$11)</f>
        <v>43.444899999999997</v>
      </c>
      <c r="F920" s="4">
        <f>44.1083 * CHOOSE(CONTROL!$C$15, $D$11, 100%, $F$11)</f>
        <v>44.1083</v>
      </c>
      <c r="G920" s="8">
        <f>42.7024 * CHOOSE( CONTROL!$C$15, $D$11, 100%, $F$11)</f>
        <v>42.702399999999997</v>
      </c>
      <c r="H920" s="4">
        <f>43.6233 * CHOOSE(CONTROL!$C$15, $D$11, 100%, $F$11)</f>
        <v>43.6233</v>
      </c>
      <c r="I920" s="8">
        <f>42.0734 * CHOOSE(CONTROL!$C$15, $D$11, 100%, $F$11)</f>
        <v>42.073399999999999</v>
      </c>
      <c r="J920" s="4">
        <f>41.9743 * CHOOSE(CONTROL!$C$15, $D$11, 100%, $F$11)</f>
        <v>41.974299999999999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CONTROL!$C$32, 44.5881, 44.5846) * CHOOSE(CONTROL!$C$15, $D$11, 100%, $F$11)</f>
        <v>44.588099999999997</v>
      </c>
      <c r="C921" s="8">
        <f>CHOOSE( CONTROL!$C$32, 44.5985, 44.595) * CHOOSE(CONTROL!$C$15, $D$11, 100%, $F$11)</f>
        <v>44.598500000000001</v>
      </c>
      <c r="D921" s="8">
        <f>CHOOSE( CONTROL!$C$32, 44.6093, 44.6058) * CHOOSE( CONTROL!$C$15, $D$11, 100%, $F$11)</f>
        <v>44.609299999999998</v>
      </c>
      <c r="E921" s="12">
        <f>CHOOSE( CONTROL!$C$32, 44.6038, 44.6003) * CHOOSE( CONTROL!$C$15, $D$11, 100%, $F$11)</f>
        <v>44.6038</v>
      </c>
      <c r="F921" s="4">
        <f>CHOOSE( CONTROL!$C$32, 45.2682, 45.2647) * CHOOSE(CONTROL!$C$15, $D$11, 100%, $F$11)</f>
        <v>45.2682</v>
      </c>
      <c r="G921" s="8">
        <f>CHOOSE( CONTROL!$C$32, 43.8448, 43.8414) * CHOOSE( CONTROL!$C$15, $D$11, 100%, $F$11)</f>
        <v>43.844799999999999</v>
      </c>
      <c r="H921" s="4">
        <f>CHOOSE( CONTROL!$C$32, 44.7645, 44.7611) * CHOOSE(CONTROL!$C$15, $D$11, 100%, $F$11)</f>
        <v>44.764499999999998</v>
      </c>
      <c r="I921" s="8">
        <f>CHOOSE( CONTROL!$C$32, 43.1973, 43.1939) * CHOOSE(CONTROL!$C$15, $D$11, 100%, $F$11)</f>
        <v>43.197299999999998</v>
      </c>
      <c r="J921" s="4">
        <f>CHOOSE( CONTROL!$C$32, 43.0961, 43.0927) * CHOOSE(CONTROL!$C$15, $D$11, 100%, $F$11)</f>
        <v>43.0961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CONTROL!$C$32, 43.8717, 43.8682) * CHOOSE(CONTROL!$C$15, $D$11, 100%, $F$11)</f>
        <v>43.871699999999997</v>
      </c>
      <c r="C922" s="8">
        <f>CHOOSE( CONTROL!$C$32, 43.8821, 43.8786) * CHOOSE(CONTROL!$C$15, $D$11, 100%, $F$11)</f>
        <v>43.882100000000001</v>
      </c>
      <c r="D922" s="8">
        <f>CHOOSE( CONTROL!$C$32, 43.8932, 43.8897) * CHOOSE( CONTROL!$C$15, $D$11, 100%, $F$11)</f>
        <v>43.8932</v>
      </c>
      <c r="E922" s="12">
        <f>CHOOSE( CONTROL!$C$32, 43.8876, 43.8841) * CHOOSE( CONTROL!$C$15, $D$11, 100%, $F$11)</f>
        <v>43.887599999999999</v>
      </c>
      <c r="F922" s="4">
        <f>CHOOSE( CONTROL!$C$32, 44.5518, 44.5483) * CHOOSE(CONTROL!$C$15, $D$11, 100%, $F$11)</f>
        <v>44.5518</v>
      </c>
      <c r="G922" s="8">
        <f>CHOOSE( CONTROL!$C$32, 43.1404, 43.137) * CHOOSE( CONTROL!$C$15, $D$11, 100%, $F$11)</f>
        <v>43.1404</v>
      </c>
      <c r="H922" s="4">
        <f>CHOOSE( CONTROL!$C$32, 44.0597, 44.0563) * CHOOSE(CONTROL!$C$15, $D$11, 100%, $F$11)</f>
        <v>44.059699999999999</v>
      </c>
      <c r="I922" s="8">
        <f>CHOOSE( CONTROL!$C$32, 42.5055, 42.5021) * CHOOSE(CONTROL!$C$15, $D$11, 100%, $F$11)</f>
        <v>42.505499999999998</v>
      </c>
      <c r="J922" s="4">
        <f>CHOOSE( CONTROL!$C$32, 42.4032, 42.3999) * CHOOSE(CONTROL!$C$15, $D$11, 100%, $F$11)</f>
        <v>42.403199999999998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CONTROL!$C$32, 45.7583, 45.7548) * CHOOSE(CONTROL!$C$15, $D$11, 100%, $F$11)</f>
        <v>45.758299999999998</v>
      </c>
      <c r="C923" s="8">
        <f>CHOOSE( CONTROL!$C$32, 45.7686, 45.7651) * CHOOSE(CONTROL!$C$15, $D$11, 100%, $F$11)</f>
        <v>45.768599999999999</v>
      </c>
      <c r="D923" s="8">
        <f>CHOOSE( CONTROL!$C$32, 45.78, 45.7765) * CHOOSE( CONTROL!$C$15, $D$11, 100%, $F$11)</f>
        <v>45.78</v>
      </c>
      <c r="E923" s="12">
        <f>CHOOSE( CONTROL!$C$32, 45.7743, 45.7708) * CHOOSE( CONTROL!$C$15, $D$11, 100%, $F$11)</f>
        <v>45.774299999999997</v>
      </c>
      <c r="F923" s="4">
        <f>CHOOSE( CONTROL!$C$32, 46.4384, 46.4349) * CHOOSE(CONTROL!$C$15, $D$11, 100%, $F$11)</f>
        <v>46.438400000000001</v>
      </c>
      <c r="G923" s="8">
        <f>CHOOSE( CONTROL!$C$32, 44.9969, 44.9935) * CHOOSE( CONTROL!$C$15, $D$11, 100%, $F$11)</f>
        <v>44.996899999999997</v>
      </c>
      <c r="H923" s="4">
        <f>CHOOSE( CONTROL!$C$32, 45.9157, 45.9123) * CHOOSE(CONTROL!$C$15, $D$11, 100%, $F$11)</f>
        <v>45.915700000000001</v>
      </c>
      <c r="I923" s="8">
        <f>CHOOSE( CONTROL!$C$32, 44.3323, 44.329) * CHOOSE(CONTROL!$C$15, $D$11, 100%, $F$11)</f>
        <v>44.332299999999996</v>
      </c>
      <c r="J923" s="4">
        <f>CHOOSE( CONTROL!$C$32, 44.2277, 44.2244) * CHOOSE(CONTROL!$C$15, $D$11, 100%, $F$11)</f>
        <v>44.227699999999999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CONTROL!$C$32, 42.2283, 42.2249) * CHOOSE(CONTROL!$C$15, $D$11, 100%, $F$11)</f>
        <v>42.228299999999997</v>
      </c>
      <c r="C924" s="8">
        <f>CHOOSE( CONTROL!$C$32, 42.2387, 42.2352) * CHOOSE(CONTROL!$C$15, $D$11, 100%, $F$11)</f>
        <v>42.238700000000001</v>
      </c>
      <c r="D924" s="8">
        <f>CHOOSE( CONTROL!$C$32, 42.2502, 42.2467) * CHOOSE( CONTROL!$C$15, $D$11, 100%, $F$11)</f>
        <v>42.2502</v>
      </c>
      <c r="E924" s="12">
        <f>CHOOSE( CONTROL!$C$32, 42.2444, 42.241) * CHOOSE( CONTROL!$C$15, $D$11, 100%, $F$11)</f>
        <v>42.244399999999999</v>
      </c>
      <c r="F924" s="4">
        <f>CHOOSE( CONTROL!$C$32, 42.9084, 42.905) * CHOOSE(CONTROL!$C$15, $D$11, 100%, $F$11)</f>
        <v>42.9084</v>
      </c>
      <c r="G924" s="8">
        <f>CHOOSE( CONTROL!$C$32, 41.5242, 41.5208) * CHOOSE( CONTROL!$C$15, $D$11, 100%, $F$11)</f>
        <v>41.5242</v>
      </c>
      <c r="H924" s="4">
        <f>CHOOSE( CONTROL!$C$32, 42.4429, 42.4395) * CHOOSE(CONTROL!$C$15, $D$11, 100%, $F$11)</f>
        <v>42.442900000000002</v>
      </c>
      <c r="I924" s="8">
        <f>CHOOSE( CONTROL!$C$32, 40.9175, 40.9141) * CHOOSE(CONTROL!$C$15, $D$11, 100%, $F$11)</f>
        <v>40.917499999999997</v>
      </c>
      <c r="J924" s="4">
        <f>CHOOSE( CONTROL!$C$32, 40.8139, 40.8106) * CHOOSE(CONTROL!$C$15, $D$11, 100%, $F$11)</f>
        <v>40.813899999999997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CONTROL!$C$32, 41.3444, 41.3409) * CHOOSE(CONTROL!$C$15, $D$11, 100%, $F$11)</f>
        <v>41.3444</v>
      </c>
      <c r="C925" s="8">
        <f>CHOOSE( CONTROL!$C$32, 41.3547, 41.3513) * CHOOSE(CONTROL!$C$15, $D$11, 100%, $F$11)</f>
        <v>41.354700000000001</v>
      </c>
      <c r="D925" s="8">
        <f>CHOOSE( CONTROL!$C$32, 41.3663, 41.3628) * CHOOSE( CONTROL!$C$15, $D$11, 100%, $F$11)</f>
        <v>41.366300000000003</v>
      </c>
      <c r="E925" s="12">
        <f>CHOOSE( CONTROL!$C$32, 41.3605, 41.357) * CHOOSE( CONTROL!$C$15, $D$11, 100%, $F$11)</f>
        <v>41.360500000000002</v>
      </c>
      <c r="F925" s="4">
        <f>CHOOSE( CONTROL!$C$32, 42.0245, 42.021) * CHOOSE(CONTROL!$C$15, $D$11, 100%, $F$11)</f>
        <v>42.024500000000003</v>
      </c>
      <c r="G925" s="8">
        <f>CHOOSE( CONTROL!$C$32, 40.6547, 40.6513) * CHOOSE( CONTROL!$C$15, $D$11, 100%, $F$11)</f>
        <v>40.654699999999998</v>
      </c>
      <c r="H925" s="4">
        <f>CHOOSE( CONTROL!$C$32, 41.5733, 41.5698) * CHOOSE(CONTROL!$C$15, $D$11, 100%, $F$11)</f>
        <v>41.573300000000003</v>
      </c>
      <c r="I925" s="8">
        <f>CHOOSE( CONTROL!$C$32, 40.0624, 40.059) * CHOOSE(CONTROL!$C$15, $D$11, 100%, $F$11)</f>
        <v>40.062399999999997</v>
      </c>
      <c r="J925" s="4">
        <f>CHOOSE( CONTROL!$C$32, 39.9591, 39.9557) * CHOOSE(CONTROL!$C$15, $D$11, 100%, $F$11)</f>
        <v>39.959099999999999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43.1763 * CHOOSE(CONTROL!$C$15, $D$11, 100%, $F$11)</f>
        <v>43.176299999999998</v>
      </c>
      <c r="C926" s="8">
        <f>43.1866 * CHOOSE(CONTROL!$C$15, $D$11, 100%, $F$11)</f>
        <v>43.186599999999999</v>
      </c>
      <c r="D926" s="8">
        <f>43.1992 * CHOOSE( CONTROL!$C$15, $D$11, 100%, $F$11)</f>
        <v>43.199199999999998</v>
      </c>
      <c r="E926" s="12">
        <f>43.1939 * CHOOSE( CONTROL!$C$15, $D$11, 100%, $F$11)</f>
        <v>43.193899999999999</v>
      </c>
      <c r="F926" s="4">
        <f>43.8564 * CHOOSE(CONTROL!$C$15, $D$11, 100%, $F$11)</f>
        <v>43.856400000000001</v>
      </c>
      <c r="G926" s="8">
        <f>42.4565 * CHOOSE( CONTROL!$C$15, $D$11, 100%, $F$11)</f>
        <v>42.456499999999998</v>
      </c>
      <c r="H926" s="4">
        <f>43.3755 * CHOOSE(CONTROL!$C$15, $D$11, 100%, $F$11)</f>
        <v>43.375500000000002</v>
      </c>
      <c r="I926" s="8">
        <f>41.8358 * CHOOSE(CONTROL!$C$15, $D$11, 100%, $F$11)</f>
        <v>41.835799999999999</v>
      </c>
      <c r="J926" s="4">
        <f>41.7307 * CHOOSE(CONTROL!$C$15, $D$11, 100%, $F$11)</f>
        <v>41.730699999999999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46.564 * CHOOSE(CONTROL!$C$15, $D$11, 100%, $F$11)</f>
        <v>46.564</v>
      </c>
      <c r="C927" s="8">
        <f>46.5743 * CHOOSE(CONTROL!$C$15, $D$11, 100%, $F$11)</f>
        <v>46.574300000000001</v>
      </c>
      <c r="D927" s="8">
        <f>46.5592 * CHOOSE( CONTROL!$C$15, $D$11, 100%, $F$11)</f>
        <v>46.559199999999997</v>
      </c>
      <c r="E927" s="12">
        <f>46.5636 * CHOOSE( CONTROL!$C$15, $D$11, 100%, $F$11)</f>
        <v>46.563600000000001</v>
      </c>
      <c r="F927" s="4">
        <f>47.2182 * CHOOSE(CONTROL!$C$15, $D$11, 100%, $F$11)</f>
        <v>47.218200000000003</v>
      </c>
      <c r="G927" s="8">
        <f>45.7988 * CHOOSE( CONTROL!$C$15, $D$11, 100%, $F$11)</f>
        <v>45.7988</v>
      </c>
      <c r="H927" s="4">
        <f>46.683 * CHOOSE(CONTROL!$C$15, $D$11, 100%, $F$11)</f>
        <v>46.683</v>
      </c>
      <c r="I927" s="8">
        <f>45.134 * CHOOSE(CONTROL!$C$15, $D$11, 100%, $F$11)</f>
        <v>45.134</v>
      </c>
      <c r="J927" s="4">
        <f>45.0069 * CHOOSE(CONTROL!$C$15, $D$11, 100%, $F$11)</f>
        <v>45.006900000000002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46.4793 * CHOOSE(CONTROL!$C$15, $D$11, 100%, $F$11)</f>
        <v>46.479300000000002</v>
      </c>
      <c r="C928" s="8">
        <f>46.4897 * CHOOSE(CONTROL!$C$15, $D$11, 100%, $F$11)</f>
        <v>46.489699999999999</v>
      </c>
      <c r="D928" s="8">
        <f>46.4762 * CHOOSE( CONTROL!$C$15, $D$11, 100%, $F$11)</f>
        <v>46.476199999999999</v>
      </c>
      <c r="E928" s="12">
        <f>46.48 * CHOOSE( CONTROL!$C$15, $D$11, 100%, $F$11)</f>
        <v>46.48</v>
      </c>
      <c r="F928" s="4">
        <f>47.1336 * CHOOSE(CONTROL!$C$15, $D$11, 100%, $F$11)</f>
        <v>47.133600000000001</v>
      </c>
      <c r="G928" s="8">
        <f>45.7167 * CHOOSE( CONTROL!$C$15, $D$11, 100%, $F$11)</f>
        <v>45.716700000000003</v>
      </c>
      <c r="H928" s="4">
        <f>46.5997 * CHOOSE(CONTROL!$C$15, $D$11, 100%, $F$11)</f>
        <v>46.599699999999999</v>
      </c>
      <c r="I928" s="8">
        <f>45.0573 * CHOOSE(CONTROL!$C$15, $D$11, 100%, $F$11)</f>
        <v>45.057299999999998</v>
      </c>
      <c r="J928" s="4">
        <f>44.9251 * CHOOSE(CONTROL!$C$15, $D$11, 100%, $F$11)</f>
        <v>44.9251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48.2548 * CHOOSE(CONTROL!$C$15, $D$11, 100%, $F$11)</f>
        <v>48.254800000000003</v>
      </c>
      <c r="C929" s="8">
        <f>48.2651 * CHOOSE(CONTROL!$C$15, $D$11, 100%, $F$11)</f>
        <v>48.265099999999997</v>
      </c>
      <c r="D929" s="8">
        <f>48.2635 * CHOOSE( CONTROL!$C$15, $D$11, 100%, $F$11)</f>
        <v>48.263500000000001</v>
      </c>
      <c r="E929" s="12">
        <f>48.263 * CHOOSE( CONTROL!$C$15, $D$11, 100%, $F$11)</f>
        <v>48.262999999999998</v>
      </c>
      <c r="F929" s="4">
        <f>48.9374 * CHOOSE(CONTROL!$C$15, $D$11, 100%, $F$11)</f>
        <v>48.937399999999997</v>
      </c>
      <c r="G929" s="8">
        <f>47.476 * CHOOSE( CONTROL!$C$15, $D$11, 100%, $F$11)</f>
        <v>47.475999999999999</v>
      </c>
      <c r="H929" s="4">
        <f>48.3744 * CHOOSE(CONTROL!$C$15, $D$11, 100%, $F$11)</f>
        <v>48.374400000000001</v>
      </c>
      <c r="I929" s="8">
        <f>46.774 * CHOOSE(CONTROL!$C$15, $D$11, 100%, $F$11)</f>
        <v>46.774000000000001</v>
      </c>
      <c r="J929" s="4">
        <f>46.6421 * CHOOSE(CONTROL!$C$15, $D$11, 100%, $F$11)</f>
        <v>46.642099999999999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45.1368 * CHOOSE(CONTROL!$C$15, $D$11, 100%, $F$11)</f>
        <v>45.136800000000001</v>
      </c>
      <c r="C930" s="8">
        <f>45.1472 * CHOOSE(CONTROL!$C$15, $D$11, 100%, $F$11)</f>
        <v>45.147199999999998</v>
      </c>
      <c r="D930" s="8">
        <f>45.1477 * CHOOSE( CONTROL!$C$15, $D$11, 100%, $F$11)</f>
        <v>45.1477</v>
      </c>
      <c r="E930" s="12">
        <f>45.1464 * CHOOSE( CONTROL!$C$15, $D$11, 100%, $F$11)</f>
        <v>45.1464</v>
      </c>
      <c r="F930" s="4">
        <f>45.8118 * CHOOSE(CONTROL!$C$15, $D$11, 100%, $F$11)</f>
        <v>45.811799999999998</v>
      </c>
      <c r="G930" s="8">
        <f>44.4083 * CHOOSE( CONTROL!$C$15, $D$11, 100%, $F$11)</f>
        <v>44.408299999999997</v>
      </c>
      <c r="H930" s="4">
        <f>45.2993 * CHOOSE(CONTROL!$C$15, $D$11, 100%, $F$11)</f>
        <v>45.299300000000002</v>
      </c>
      <c r="I930" s="8">
        <f>43.7462 * CHOOSE(CONTROL!$C$15, $D$11, 100%, $F$11)</f>
        <v>43.746200000000002</v>
      </c>
      <c r="J930" s="4">
        <f>43.6267 * CHOOSE(CONTROL!$C$15, $D$11, 100%, $F$11)</f>
        <v>43.6267</v>
      </c>
      <c r="K930" s="4"/>
      <c r="L930" s="9">
        <v>27.415299999999998</v>
      </c>
      <c r="M930" s="9">
        <v>11.285299999999999</v>
      </c>
      <c r="N930" s="9">
        <v>4.6254999999999997</v>
      </c>
      <c r="O930" s="9">
        <v>0.34989999999999999</v>
      </c>
      <c r="P930" s="9">
        <v>1.2093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44.1765 * CHOOSE(CONTROL!$C$15, $D$11, 100%, $F$11)</f>
        <v>44.176499999999997</v>
      </c>
      <c r="C931" s="8">
        <f>44.1869 * CHOOSE(CONTROL!$C$15, $D$11, 100%, $F$11)</f>
        <v>44.186900000000001</v>
      </c>
      <c r="D931" s="8">
        <f>44.1821 * CHOOSE( CONTROL!$C$15, $D$11, 100%, $F$11)</f>
        <v>44.182099999999998</v>
      </c>
      <c r="E931" s="12">
        <f>44.1827 * CHOOSE( CONTROL!$C$15, $D$11, 100%, $F$11)</f>
        <v>44.182699999999997</v>
      </c>
      <c r="F931" s="4">
        <f>44.8541 * CHOOSE(CONTROL!$C$15, $D$11, 100%, $F$11)</f>
        <v>44.854100000000003</v>
      </c>
      <c r="G931" s="8">
        <f>43.458 * CHOOSE( CONTROL!$C$15, $D$11, 100%, $F$11)</f>
        <v>43.457999999999998</v>
      </c>
      <c r="H931" s="4">
        <f>44.3571 * CHOOSE(CONTROL!$C$15, $D$11, 100%, $F$11)</f>
        <v>44.357100000000003</v>
      </c>
      <c r="I931" s="8">
        <f>42.8052 * CHOOSE(CONTROL!$C$15, $D$11, 100%, $F$11)</f>
        <v>42.805199999999999</v>
      </c>
      <c r="J931" s="4">
        <f>42.698 * CHOOSE(CONTROL!$C$15, $D$11, 100%, $F$11)</f>
        <v>42.698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44.8476 * CHOOSE(CONTROL!$C$15, $D$11, 100%, $F$11)</f>
        <v>44.8476</v>
      </c>
      <c r="C932" s="8">
        <f>44.8579 * CHOOSE(CONTROL!$C$15, $D$11, 100%, $F$11)</f>
        <v>44.857900000000001</v>
      </c>
      <c r="D932" s="8">
        <f>44.8692 * CHOOSE( CONTROL!$C$15, $D$11, 100%, $F$11)</f>
        <v>44.869199999999999</v>
      </c>
      <c r="E932" s="12">
        <f>44.8643 * CHOOSE( CONTROL!$C$15, $D$11, 100%, $F$11)</f>
        <v>44.8643</v>
      </c>
      <c r="F932" s="4">
        <f>45.5277 * CHOOSE(CONTROL!$C$15, $D$11, 100%, $F$11)</f>
        <v>45.527700000000003</v>
      </c>
      <c r="G932" s="8">
        <f>44.0988 * CHOOSE( CONTROL!$C$15, $D$11, 100%, $F$11)</f>
        <v>44.098799999999997</v>
      </c>
      <c r="H932" s="4">
        <f>45.0198 * CHOOSE(CONTROL!$C$15, $D$11, 100%, $F$11)</f>
        <v>45.019799999999996</v>
      </c>
      <c r="I932" s="8">
        <f>43.4468 * CHOOSE(CONTROL!$C$15, $D$11, 100%, $F$11)</f>
        <v>43.446800000000003</v>
      </c>
      <c r="J932" s="4">
        <f>43.347 * CHOOSE(CONTROL!$C$15, $D$11, 100%, $F$11)</f>
        <v>43.347000000000001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CONTROL!$C$32, 46.0453, 46.0419) * CHOOSE(CONTROL!$C$15, $D$11, 100%, $F$11)</f>
        <v>46.045299999999997</v>
      </c>
      <c r="C933" s="8">
        <f>CHOOSE( CONTROL!$C$32, 46.0557, 46.0522) * CHOOSE(CONTROL!$C$15, $D$11, 100%, $F$11)</f>
        <v>46.055700000000002</v>
      </c>
      <c r="D933" s="8">
        <f>CHOOSE( CONTROL!$C$32, 46.0665, 46.063) * CHOOSE( CONTROL!$C$15, $D$11, 100%, $F$11)</f>
        <v>46.066499999999998</v>
      </c>
      <c r="E933" s="12">
        <f>CHOOSE( CONTROL!$C$32, 46.061, 46.0575) * CHOOSE( CONTROL!$C$15, $D$11, 100%, $F$11)</f>
        <v>46.061</v>
      </c>
      <c r="F933" s="4">
        <f>CHOOSE( CONTROL!$C$32, 46.7255, 46.722) * CHOOSE(CONTROL!$C$15, $D$11, 100%, $F$11)</f>
        <v>46.725499999999997</v>
      </c>
      <c r="G933" s="8">
        <f>CHOOSE( CONTROL!$C$32, 45.2784, 45.275) * CHOOSE( CONTROL!$C$15, $D$11, 100%, $F$11)</f>
        <v>45.278399999999998</v>
      </c>
      <c r="H933" s="4">
        <f>CHOOSE( CONTROL!$C$32, 46.1982, 46.1948) * CHOOSE(CONTROL!$C$15, $D$11, 100%, $F$11)</f>
        <v>46.1982</v>
      </c>
      <c r="I933" s="8">
        <f>CHOOSE( CONTROL!$C$32, 44.6073, 44.6039) * CHOOSE(CONTROL!$C$15, $D$11, 100%, $F$11)</f>
        <v>44.607300000000002</v>
      </c>
      <c r="J933" s="4">
        <f>CHOOSE( CONTROL!$C$32, 44.5054, 44.502) * CHOOSE(CONTROL!$C$15, $D$11, 100%, $F$11)</f>
        <v>44.505400000000002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CONTROL!$C$32, 45.3055, 45.302) * CHOOSE(CONTROL!$C$15, $D$11, 100%, $F$11)</f>
        <v>45.305500000000002</v>
      </c>
      <c r="C934" s="8">
        <f>CHOOSE( CONTROL!$C$32, 45.3159, 45.3124) * CHOOSE(CONTROL!$C$15, $D$11, 100%, $F$11)</f>
        <v>45.315899999999999</v>
      </c>
      <c r="D934" s="8">
        <f>CHOOSE( CONTROL!$C$32, 45.327, 45.3235) * CHOOSE( CONTROL!$C$15, $D$11, 100%, $F$11)</f>
        <v>45.326999999999998</v>
      </c>
      <c r="E934" s="12">
        <f>CHOOSE( CONTROL!$C$32, 45.3214, 45.3179) * CHOOSE( CONTROL!$C$15, $D$11, 100%, $F$11)</f>
        <v>45.321399999999997</v>
      </c>
      <c r="F934" s="4">
        <f>CHOOSE( CONTROL!$C$32, 45.9856, 45.9822) * CHOOSE(CONTROL!$C$15, $D$11, 100%, $F$11)</f>
        <v>45.985599999999998</v>
      </c>
      <c r="G934" s="8">
        <f>CHOOSE( CONTROL!$C$32, 44.551, 44.5476) * CHOOSE( CONTROL!$C$15, $D$11, 100%, $F$11)</f>
        <v>44.551000000000002</v>
      </c>
      <c r="H934" s="4">
        <f>CHOOSE( CONTROL!$C$32, 45.4703, 45.4669) * CHOOSE(CONTROL!$C$15, $D$11, 100%, $F$11)</f>
        <v>45.470300000000002</v>
      </c>
      <c r="I934" s="8">
        <f>CHOOSE( CONTROL!$C$32, 43.8928, 43.8895) * CHOOSE(CONTROL!$C$15, $D$11, 100%, $F$11)</f>
        <v>43.892800000000001</v>
      </c>
      <c r="J934" s="4">
        <f>CHOOSE( CONTROL!$C$32, 43.7899, 43.7865) * CHOOSE(CONTROL!$C$15, $D$11, 100%, $F$11)</f>
        <v>43.789900000000003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CONTROL!$C$32, 47.2538, 47.2503) * CHOOSE(CONTROL!$C$15, $D$11, 100%, $F$11)</f>
        <v>47.253799999999998</v>
      </c>
      <c r="C935" s="8">
        <f>CHOOSE( CONTROL!$C$32, 47.2641, 47.2606) * CHOOSE(CONTROL!$C$15, $D$11, 100%, $F$11)</f>
        <v>47.264099999999999</v>
      </c>
      <c r="D935" s="8">
        <f>CHOOSE( CONTROL!$C$32, 47.2755, 47.272) * CHOOSE( CONTROL!$C$15, $D$11, 100%, $F$11)</f>
        <v>47.275500000000001</v>
      </c>
      <c r="E935" s="12">
        <f>CHOOSE( CONTROL!$C$32, 47.2698, 47.2663) * CHOOSE( CONTROL!$C$15, $D$11, 100%, $F$11)</f>
        <v>47.269799999999996</v>
      </c>
      <c r="F935" s="4">
        <f>CHOOSE( CONTROL!$C$32, 47.9339, 47.9304) * CHOOSE(CONTROL!$C$15, $D$11, 100%, $F$11)</f>
        <v>47.933900000000001</v>
      </c>
      <c r="G935" s="8">
        <f>CHOOSE( CONTROL!$C$32, 46.4682, 46.4648) * CHOOSE( CONTROL!$C$15, $D$11, 100%, $F$11)</f>
        <v>46.468200000000003</v>
      </c>
      <c r="H935" s="4">
        <f>CHOOSE( CONTROL!$C$32, 47.387, 47.3836) * CHOOSE(CONTROL!$C$15, $D$11, 100%, $F$11)</f>
        <v>47.387</v>
      </c>
      <c r="I935" s="8">
        <f>CHOOSE( CONTROL!$C$32, 45.7793, 45.776) * CHOOSE(CONTROL!$C$15, $D$11, 100%, $F$11)</f>
        <v>45.779299999999999</v>
      </c>
      <c r="J935" s="4">
        <f>CHOOSE( CONTROL!$C$32, 45.674, 45.6707) * CHOOSE(CONTROL!$C$15, $D$11, 100%, $F$11)</f>
        <v>45.673999999999999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CONTROL!$C$32, 43.6084, 43.6049) * CHOOSE(CONTROL!$C$15, $D$11, 100%, $F$11)</f>
        <v>43.608400000000003</v>
      </c>
      <c r="C936" s="8">
        <f>CHOOSE( CONTROL!$C$32, 43.6187, 43.6153) * CHOOSE(CONTROL!$C$15, $D$11, 100%, $F$11)</f>
        <v>43.618699999999997</v>
      </c>
      <c r="D936" s="8">
        <f>CHOOSE( CONTROL!$C$32, 43.6303, 43.6268) * CHOOSE( CONTROL!$C$15, $D$11, 100%, $F$11)</f>
        <v>43.630299999999998</v>
      </c>
      <c r="E936" s="12">
        <f>CHOOSE( CONTROL!$C$32, 43.6245, 43.621) * CHOOSE( CONTROL!$C$15, $D$11, 100%, $F$11)</f>
        <v>43.624499999999998</v>
      </c>
      <c r="F936" s="4">
        <f>CHOOSE( CONTROL!$C$32, 44.2885, 44.285) * CHOOSE(CONTROL!$C$15, $D$11, 100%, $F$11)</f>
        <v>44.288499999999999</v>
      </c>
      <c r="G936" s="8">
        <f>CHOOSE( CONTROL!$C$32, 42.882, 42.8786) * CHOOSE( CONTROL!$C$15, $D$11, 100%, $F$11)</f>
        <v>42.881999999999998</v>
      </c>
      <c r="H936" s="4">
        <f>CHOOSE( CONTROL!$C$32, 43.8006, 43.7972) * CHOOSE(CONTROL!$C$15, $D$11, 100%, $F$11)</f>
        <v>43.800600000000003</v>
      </c>
      <c r="I936" s="8">
        <f>CHOOSE( CONTROL!$C$32, 42.2528, 42.2494) * CHOOSE(CONTROL!$C$15, $D$11, 100%, $F$11)</f>
        <v>42.252800000000001</v>
      </c>
      <c r="J936" s="4">
        <f>CHOOSE( CONTROL!$C$32, 42.1486, 42.1452) * CHOOSE(CONTROL!$C$15, $D$11, 100%, $F$11)</f>
        <v>42.148600000000002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CONTROL!$C$32, 42.6955, 42.6921) * CHOOSE(CONTROL!$C$15, $D$11, 100%, $F$11)</f>
        <v>42.695500000000003</v>
      </c>
      <c r="C937" s="8">
        <f>CHOOSE( CONTROL!$C$32, 42.7059, 42.7024) * CHOOSE(CONTROL!$C$15, $D$11, 100%, $F$11)</f>
        <v>42.7059</v>
      </c>
      <c r="D937" s="8">
        <f>CHOOSE( CONTROL!$C$32, 42.7175, 42.714) * CHOOSE( CONTROL!$C$15, $D$11, 100%, $F$11)</f>
        <v>42.717500000000001</v>
      </c>
      <c r="E937" s="12">
        <f>CHOOSE( CONTROL!$C$32, 42.7117, 42.7082) * CHOOSE( CONTROL!$C$15, $D$11, 100%, $F$11)</f>
        <v>42.7117</v>
      </c>
      <c r="F937" s="4">
        <f>CHOOSE( CONTROL!$C$32, 43.3757, 43.3722) * CHOOSE(CONTROL!$C$15, $D$11, 100%, $F$11)</f>
        <v>43.375700000000002</v>
      </c>
      <c r="G937" s="8">
        <f>CHOOSE( CONTROL!$C$32, 41.984, 41.9806) * CHOOSE( CONTROL!$C$15, $D$11, 100%, $F$11)</f>
        <v>41.984000000000002</v>
      </c>
      <c r="H937" s="4">
        <f>CHOOSE( CONTROL!$C$32, 42.9026, 42.8991) * CHOOSE(CONTROL!$C$15, $D$11, 100%, $F$11)</f>
        <v>42.9026</v>
      </c>
      <c r="I937" s="8">
        <f>CHOOSE( CONTROL!$C$32, 41.3697, 41.3664) * CHOOSE(CONTROL!$C$15, $D$11, 100%, $F$11)</f>
        <v>41.369700000000002</v>
      </c>
      <c r="J937" s="4">
        <f>CHOOSE( CONTROL!$C$32, 41.2658, 41.2624) * CHOOSE(CONTROL!$C$15, $D$11, 100%, $F$11)</f>
        <v>41.265799999999999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44.5875 * CHOOSE(CONTROL!$C$15, $D$11, 100%, $F$11)</f>
        <v>44.587499999999999</v>
      </c>
      <c r="C938" s="8">
        <f>44.5978 * CHOOSE(CONTROL!$C$15, $D$11, 100%, $F$11)</f>
        <v>44.597799999999999</v>
      </c>
      <c r="D938" s="8">
        <f>44.6103 * CHOOSE( CONTROL!$C$15, $D$11, 100%, $F$11)</f>
        <v>44.610300000000002</v>
      </c>
      <c r="E938" s="12">
        <f>44.6051 * CHOOSE( CONTROL!$C$15, $D$11, 100%, $F$11)</f>
        <v>44.6051</v>
      </c>
      <c r="F938" s="4">
        <f>45.2676 * CHOOSE(CONTROL!$C$15, $D$11, 100%, $F$11)</f>
        <v>45.267600000000002</v>
      </c>
      <c r="G938" s="8">
        <f>43.8448 * CHOOSE( CONTROL!$C$15, $D$11, 100%, $F$11)</f>
        <v>43.844799999999999</v>
      </c>
      <c r="H938" s="4">
        <f>44.7639 * CHOOSE(CONTROL!$C$15, $D$11, 100%, $F$11)</f>
        <v>44.7639</v>
      </c>
      <c r="I938" s="8">
        <f>43.2012 * CHOOSE(CONTROL!$C$15, $D$11, 100%, $F$11)</f>
        <v>43.2012</v>
      </c>
      <c r="J938" s="4">
        <f>43.0954 * CHOOSE(CONTROL!$C$15, $D$11, 100%, $F$11)</f>
        <v>43.095399999999998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48.0859 * CHOOSE(CONTROL!$C$15, $D$11, 100%, $F$11)</f>
        <v>48.085900000000002</v>
      </c>
      <c r="C939" s="8">
        <f>48.0963 * CHOOSE(CONTROL!$C$15, $D$11, 100%, $F$11)</f>
        <v>48.096299999999999</v>
      </c>
      <c r="D939" s="8">
        <f>48.0812 * CHOOSE( CONTROL!$C$15, $D$11, 100%, $F$11)</f>
        <v>48.081200000000003</v>
      </c>
      <c r="E939" s="12">
        <f>48.0856 * CHOOSE( CONTROL!$C$15, $D$11, 100%, $F$11)</f>
        <v>48.085599999999999</v>
      </c>
      <c r="F939" s="4">
        <f>48.7402 * CHOOSE(CONTROL!$C$15, $D$11, 100%, $F$11)</f>
        <v>48.740200000000002</v>
      </c>
      <c r="G939" s="8">
        <f>47.2961 * CHOOSE( CONTROL!$C$15, $D$11, 100%, $F$11)</f>
        <v>47.296100000000003</v>
      </c>
      <c r="H939" s="4">
        <f>48.1803 * CHOOSE(CONTROL!$C$15, $D$11, 100%, $F$11)</f>
        <v>48.180300000000003</v>
      </c>
      <c r="I939" s="8">
        <f>46.6066 * CHOOSE(CONTROL!$C$15, $D$11, 100%, $F$11)</f>
        <v>46.6066</v>
      </c>
      <c r="J939" s="4">
        <f>46.4788 * CHOOSE(CONTROL!$C$15, $D$11, 100%, $F$11)</f>
        <v>46.4788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47.9985 * CHOOSE(CONTROL!$C$15, $D$11, 100%, $F$11)</f>
        <v>47.9985</v>
      </c>
      <c r="C940" s="8">
        <f>48.0089 * CHOOSE(CONTROL!$C$15, $D$11, 100%, $F$11)</f>
        <v>48.008899999999997</v>
      </c>
      <c r="D940" s="8">
        <f>47.9954 * CHOOSE( CONTROL!$C$15, $D$11, 100%, $F$11)</f>
        <v>47.995399999999997</v>
      </c>
      <c r="E940" s="12">
        <f>47.9992 * CHOOSE( CONTROL!$C$15, $D$11, 100%, $F$11)</f>
        <v>47.999200000000002</v>
      </c>
      <c r="F940" s="4">
        <f>48.6528 * CHOOSE(CONTROL!$C$15, $D$11, 100%, $F$11)</f>
        <v>48.652799999999999</v>
      </c>
      <c r="G940" s="8">
        <f>47.2113 * CHOOSE( CONTROL!$C$15, $D$11, 100%, $F$11)</f>
        <v>47.211300000000001</v>
      </c>
      <c r="H940" s="4">
        <f>48.0943 * CHOOSE(CONTROL!$C$15, $D$11, 100%, $F$11)</f>
        <v>48.094299999999997</v>
      </c>
      <c r="I940" s="8">
        <f>46.5273 * CHOOSE(CONTROL!$C$15, $D$11, 100%, $F$11)</f>
        <v>46.527299999999997</v>
      </c>
      <c r="J940" s="4">
        <f>46.3943 * CHOOSE(CONTROL!$C$15, $D$11, 100%, $F$11)</f>
        <v>46.394300000000001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49.832 * CHOOSE(CONTROL!$C$15, $D$11, 100%, $F$11)</f>
        <v>49.832000000000001</v>
      </c>
      <c r="C941" s="8">
        <f>49.8424 * CHOOSE(CONTROL!$C$15, $D$11, 100%, $F$11)</f>
        <v>49.842399999999998</v>
      </c>
      <c r="D941" s="8">
        <f>49.8408 * CHOOSE( CONTROL!$C$15, $D$11, 100%, $F$11)</f>
        <v>49.840800000000002</v>
      </c>
      <c r="E941" s="12">
        <f>49.8403 * CHOOSE( CONTROL!$C$15, $D$11, 100%, $F$11)</f>
        <v>49.840299999999999</v>
      </c>
      <c r="F941" s="4">
        <f>50.5147 * CHOOSE(CONTROL!$C$15, $D$11, 100%, $F$11)</f>
        <v>50.514699999999998</v>
      </c>
      <c r="G941" s="8">
        <f>49.0277 * CHOOSE( CONTROL!$C$15, $D$11, 100%, $F$11)</f>
        <v>49.027700000000003</v>
      </c>
      <c r="H941" s="4">
        <f>49.9261 * CHOOSE(CONTROL!$C$15, $D$11, 100%, $F$11)</f>
        <v>49.926099999999998</v>
      </c>
      <c r="I941" s="8">
        <f>48.3001 * CHOOSE(CONTROL!$C$15, $D$11, 100%, $F$11)</f>
        <v>48.3001</v>
      </c>
      <c r="J941" s="4">
        <f>48.1674 * CHOOSE(CONTROL!$C$15, $D$11, 100%, $F$11)</f>
        <v>48.167400000000001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46.6121 * CHOOSE(CONTROL!$C$15, $D$11, 100%, $F$11)</f>
        <v>46.612099999999998</v>
      </c>
      <c r="C942" s="8">
        <f>46.6225 * CHOOSE(CONTROL!$C$15, $D$11, 100%, $F$11)</f>
        <v>46.622500000000002</v>
      </c>
      <c r="D942" s="8">
        <f>46.623 * CHOOSE( CONTROL!$C$15, $D$11, 100%, $F$11)</f>
        <v>46.622999999999998</v>
      </c>
      <c r="E942" s="12">
        <f>46.6217 * CHOOSE( CONTROL!$C$15, $D$11, 100%, $F$11)</f>
        <v>46.621699999999997</v>
      </c>
      <c r="F942" s="4">
        <f>47.2871 * CHOOSE(CONTROL!$C$15, $D$11, 100%, $F$11)</f>
        <v>47.287100000000002</v>
      </c>
      <c r="G942" s="8">
        <f>45.8597 * CHOOSE( CONTROL!$C$15, $D$11, 100%, $F$11)</f>
        <v>45.859699999999997</v>
      </c>
      <c r="H942" s="4">
        <f>46.7507 * CHOOSE(CONTROL!$C$15, $D$11, 100%, $F$11)</f>
        <v>46.750700000000002</v>
      </c>
      <c r="I942" s="8">
        <f>45.1737 * CHOOSE(CONTROL!$C$15, $D$11, 100%, $F$11)</f>
        <v>45.173699999999997</v>
      </c>
      <c r="J942" s="4">
        <f>45.0535 * CHOOSE(CONTROL!$C$15, $D$11, 100%, $F$11)</f>
        <v>45.0535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45.6204 * CHOOSE(CONTROL!$C$15, $D$11, 100%, $F$11)</f>
        <v>45.620399999999997</v>
      </c>
      <c r="C943" s="8">
        <f>45.6308 * CHOOSE(CONTROL!$C$15, $D$11, 100%, $F$11)</f>
        <v>45.630800000000001</v>
      </c>
      <c r="D943" s="8">
        <f>45.626 * CHOOSE( CONTROL!$C$15, $D$11, 100%, $F$11)</f>
        <v>45.625999999999998</v>
      </c>
      <c r="E943" s="12">
        <f>45.6266 * CHOOSE( CONTROL!$C$15, $D$11, 100%, $F$11)</f>
        <v>45.626600000000003</v>
      </c>
      <c r="F943" s="4">
        <f>46.2979 * CHOOSE(CONTROL!$C$15, $D$11, 100%, $F$11)</f>
        <v>46.297899999999998</v>
      </c>
      <c r="G943" s="8">
        <f>44.8786 * CHOOSE( CONTROL!$C$15, $D$11, 100%, $F$11)</f>
        <v>44.878599999999999</v>
      </c>
      <c r="H943" s="4">
        <f>45.7776 * CHOOSE(CONTROL!$C$15, $D$11, 100%, $F$11)</f>
        <v>45.7776</v>
      </c>
      <c r="I943" s="8">
        <f>44.2022 * CHOOSE(CONTROL!$C$15, $D$11, 100%, $F$11)</f>
        <v>44.202199999999998</v>
      </c>
      <c r="J943" s="4">
        <f>44.0944 * CHOOSE(CONTROL!$C$15, $D$11, 100%, $F$11)</f>
        <v>44.0944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46.3134 * CHOOSE(CONTROL!$C$15, $D$11, 100%, $F$11)</f>
        <v>46.313400000000001</v>
      </c>
      <c r="C944" s="8">
        <f>46.3238 * CHOOSE(CONTROL!$C$15, $D$11, 100%, $F$11)</f>
        <v>46.323799999999999</v>
      </c>
      <c r="D944" s="8">
        <f>46.335 * CHOOSE( CONTROL!$C$15, $D$11, 100%, $F$11)</f>
        <v>46.335000000000001</v>
      </c>
      <c r="E944" s="12">
        <f>46.3301 * CHOOSE( CONTROL!$C$15, $D$11, 100%, $F$11)</f>
        <v>46.330100000000002</v>
      </c>
      <c r="F944" s="4">
        <f>46.9935 * CHOOSE(CONTROL!$C$15, $D$11, 100%, $F$11)</f>
        <v>46.993499999999997</v>
      </c>
      <c r="G944" s="8">
        <f>45.541 * CHOOSE( CONTROL!$C$15, $D$11, 100%, $F$11)</f>
        <v>45.540999999999997</v>
      </c>
      <c r="H944" s="4">
        <f>46.4619 * CHOOSE(CONTROL!$C$15, $D$11, 100%, $F$11)</f>
        <v>46.4619</v>
      </c>
      <c r="I944" s="8">
        <f>44.8651 * CHOOSE(CONTROL!$C$15, $D$11, 100%, $F$11)</f>
        <v>44.865099999999998</v>
      </c>
      <c r="J944" s="4">
        <f>44.7646 * CHOOSE(CONTROL!$C$15, $D$11, 100%, $F$11)</f>
        <v>44.764600000000002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CONTROL!$C$32, 47.5502, 47.5468) * CHOOSE(CONTROL!$C$15, $D$11, 100%, $F$11)</f>
        <v>47.550199999999997</v>
      </c>
      <c r="C945" s="8">
        <f>CHOOSE( CONTROL!$C$32, 47.5606, 47.5571) * CHOOSE(CONTROL!$C$15, $D$11, 100%, $F$11)</f>
        <v>47.560600000000001</v>
      </c>
      <c r="D945" s="8">
        <f>CHOOSE( CONTROL!$C$32, 47.5714, 47.5679) * CHOOSE( CONTROL!$C$15, $D$11, 100%, $F$11)</f>
        <v>47.571399999999997</v>
      </c>
      <c r="E945" s="12">
        <f>CHOOSE( CONTROL!$C$32, 47.5659, 47.5624) * CHOOSE( CONTROL!$C$15, $D$11, 100%, $F$11)</f>
        <v>47.565899999999999</v>
      </c>
      <c r="F945" s="4">
        <f>CHOOSE( CONTROL!$C$32, 48.2303, 48.2269) * CHOOSE(CONTROL!$C$15, $D$11, 100%, $F$11)</f>
        <v>48.2303</v>
      </c>
      <c r="G945" s="8">
        <f>CHOOSE( CONTROL!$C$32, 46.759, 46.7556) * CHOOSE( CONTROL!$C$15, $D$11, 100%, $F$11)</f>
        <v>46.759</v>
      </c>
      <c r="H945" s="4">
        <f>CHOOSE( CONTROL!$C$32, 47.6787, 47.6753) * CHOOSE(CONTROL!$C$15, $D$11, 100%, $F$11)</f>
        <v>47.678699999999999</v>
      </c>
      <c r="I945" s="8">
        <f>CHOOSE( CONTROL!$C$32, 46.0634, 46.06) * CHOOSE(CONTROL!$C$15, $D$11, 100%, $F$11)</f>
        <v>46.063400000000001</v>
      </c>
      <c r="J945" s="4">
        <f>CHOOSE( CONTROL!$C$32, 45.9607, 45.9574) * CHOOSE(CONTROL!$C$15, $D$11, 100%, $F$11)</f>
        <v>45.960700000000003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CONTROL!$C$32, 46.7862, 46.7827) * CHOOSE(CONTROL!$C$15, $D$11, 100%, $F$11)</f>
        <v>46.786200000000001</v>
      </c>
      <c r="C946" s="8">
        <f>CHOOSE( CONTROL!$C$32, 46.7966, 46.7931) * CHOOSE(CONTROL!$C$15, $D$11, 100%, $F$11)</f>
        <v>46.796599999999998</v>
      </c>
      <c r="D946" s="8">
        <f>CHOOSE( CONTROL!$C$32, 46.8077, 46.8042) * CHOOSE( CONTROL!$C$15, $D$11, 100%, $F$11)</f>
        <v>46.807699999999997</v>
      </c>
      <c r="E946" s="12">
        <f>CHOOSE( CONTROL!$C$32, 46.8021, 46.7986) * CHOOSE( CONTROL!$C$15, $D$11, 100%, $F$11)</f>
        <v>46.802100000000003</v>
      </c>
      <c r="F946" s="4">
        <f>CHOOSE( CONTROL!$C$32, 47.4663, 47.4629) * CHOOSE(CONTROL!$C$15, $D$11, 100%, $F$11)</f>
        <v>47.466299999999997</v>
      </c>
      <c r="G946" s="8">
        <f>CHOOSE( CONTROL!$C$32, 46.0078, 46.0043) * CHOOSE( CONTROL!$C$15, $D$11, 100%, $F$11)</f>
        <v>46.007800000000003</v>
      </c>
      <c r="H946" s="4">
        <f>CHOOSE( CONTROL!$C$32, 46.9271, 46.9236) * CHOOSE(CONTROL!$C$15, $D$11, 100%, $F$11)</f>
        <v>46.927100000000003</v>
      </c>
      <c r="I946" s="8">
        <f>CHOOSE( CONTROL!$C$32, 45.3255, 45.3221) * CHOOSE(CONTROL!$C$15, $D$11, 100%, $F$11)</f>
        <v>45.325499999999998</v>
      </c>
      <c r="J946" s="4">
        <f>CHOOSE( CONTROL!$C$32, 45.2218, 45.2185) * CHOOSE(CONTROL!$C$15, $D$11, 100%, $F$11)</f>
        <v>45.221800000000002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CONTROL!$C$32, 48.7982, 48.7947) * CHOOSE(CONTROL!$C$15, $D$11, 100%, $F$11)</f>
        <v>48.798200000000001</v>
      </c>
      <c r="C947" s="8">
        <f>CHOOSE( CONTROL!$C$32, 48.8085, 48.805) * CHOOSE(CONTROL!$C$15, $D$11, 100%, $F$11)</f>
        <v>48.808500000000002</v>
      </c>
      <c r="D947" s="8">
        <f>CHOOSE( CONTROL!$C$32, 48.8199, 48.8164) * CHOOSE( CONTROL!$C$15, $D$11, 100%, $F$11)</f>
        <v>48.819899999999997</v>
      </c>
      <c r="E947" s="12">
        <f>CHOOSE( CONTROL!$C$32, 48.8142, 48.8107) * CHOOSE( CONTROL!$C$15, $D$11, 100%, $F$11)</f>
        <v>48.8142</v>
      </c>
      <c r="F947" s="4">
        <f>CHOOSE( CONTROL!$C$32, 49.4783, 49.4748) * CHOOSE(CONTROL!$C$15, $D$11, 100%, $F$11)</f>
        <v>49.478299999999997</v>
      </c>
      <c r="G947" s="8">
        <f>CHOOSE( CONTROL!$C$32, 47.9876, 47.9842) * CHOOSE( CONTROL!$C$15, $D$11, 100%, $F$11)</f>
        <v>47.9876</v>
      </c>
      <c r="H947" s="4">
        <f>CHOOSE( CONTROL!$C$32, 48.9065, 48.9031) * CHOOSE(CONTROL!$C$15, $D$11, 100%, $F$11)</f>
        <v>48.906500000000001</v>
      </c>
      <c r="I947" s="8">
        <f>CHOOSE( CONTROL!$C$32, 47.2737, 47.2703) * CHOOSE(CONTROL!$C$15, $D$11, 100%, $F$11)</f>
        <v>47.273699999999998</v>
      </c>
      <c r="J947" s="4">
        <f>CHOOSE( CONTROL!$C$32, 47.1676, 47.1643) * CHOOSE(CONTROL!$C$15, $D$11, 100%, $F$11)</f>
        <v>47.1676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CONTROL!$C$32, 45.0336, 45.0301) * CHOOSE(CONTROL!$C$15, $D$11, 100%, $F$11)</f>
        <v>45.0336</v>
      </c>
      <c r="C948" s="8">
        <f>CHOOSE( CONTROL!$C$32, 45.0439, 45.0405) * CHOOSE(CONTROL!$C$15, $D$11, 100%, $F$11)</f>
        <v>45.043900000000001</v>
      </c>
      <c r="D948" s="8">
        <f>CHOOSE( CONTROL!$C$32, 45.0555, 45.052) * CHOOSE( CONTROL!$C$15, $D$11, 100%, $F$11)</f>
        <v>45.055500000000002</v>
      </c>
      <c r="E948" s="12">
        <f>CHOOSE( CONTROL!$C$32, 45.0497, 45.0462) * CHOOSE( CONTROL!$C$15, $D$11, 100%, $F$11)</f>
        <v>45.049700000000001</v>
      </c>
      <c r="F948" s="4">
        <f>CHOOSE( CONTROL!$C$32, 45.7137, 45.7102) * CHOOSE(CONTROL!$C$15, $D$11, 100%, $F$11)</f>
        <v>45.713700000000003</v>
      </c>
      <c r="G948" s="8">
        <f>CHOOSE( CONTROL!$C$32, 44.2841, 44.2807) * CHOOSE( CONTROL!$C$15, $D$11, 100%, $F$11)</f>
        <v>44.284100000000002</v>
      </c>
      <c r="H948" s="4">
        <f>CHOOSE( CONTROL!$C$32, 45.2028, 45.1994) * CHOOSE(CONTROL!$C$15, $D$11, 100%, $F$11)</f>
        <v>45.202800000000003</v>
      </c>
      <c r="I948" s="8">
        <f>CHOOSE( CONTROL!$C$32, 43.6318, 43.6284) * CHOOSE(CONTROL!$C$15, $D$11, 100%, $F$11)</f>
        <v>43.631799999999998</v>
      </c>
      <c r="J948" s="4">
        <f>CHOOSE( CONTROL!$C$32, 43.5269, 43.5235) * CHOOSE(CONTROL!$C$15, $D$11, 100%, $F$11)</f>
        <v>43.526899999999998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CONTROL!$C$32, 44.0909, 44.0874) * CHOOSE(CONTROL!$C$15, $D$11, 100%, $F$11)</f>
        <v>44.090899999999998</v>
      </c>
      <c r="C949" s="8">
        <f>CHOOSE( CONTROL!$C$32, 44.1012, 44.0978) * CHOOSE(CONTROL!$C$15, $D$11, 100%, $F$11)</f>
        <v>44.101199999999999</v>
      </c>
      <c r="D949" s="8">
        <f>CHOOSE( CONTROL!$C$32, 44.1128, 44.1093) * CHOOSE( CONTROL!$C$15, $D$11, 100%, $F$11)</f>
        <v>44.1128</v>
      </c>
      <c r="E949" s="12">
        <f>CHOOSE( CONTROL!$C$32, 44.107, 44.1035) * CHOOSE( CONTROL!$C$15, $D$11, 100%, $F$11)</f>
        <v>44.106999999999999</v>
      </c>
      <c r="F949" s="4">
        <f>CHOOSE( CONTROL!$C$32, 44.771, 44.7675) * CHOOSE(CONTROL!$C$15, $D$11, 100%, $F$11)</f>
        <v>44.771000000000001</v>
      </c>
      <c r="G949" s="8">
        <f>CHOOSE( CONTROL!$C$32, 43.3567, 43.3533) * CHOOSE( CONTROL!$C$15, $D$11, 100%, $F$11)</f>
        <v>43.356699999999996</v>
      </c>
      <c r="H949" s="4">
        <f>CHOOSE( CONTROL!$C$32, 44.2753, 44.2719) * CHOOSE(CONTROL!$C$15, $D$11, 100%, $F$11)</f>
        <v>44.275300000000001</v>
      </c>
      <c r="I949" s="8">
        <f>CHOOSE( CONTROL!$C$32, 42.7199, 42.7165) * CHOOSE(CONTROL!$C$15, $D$11, 100%, $F$11)</f>
        <v>42.719900000000003</v>
      </c>
      <c r="J949" s="4">
        <f>CHOOSE( CONTROL!$C$32, 42.6152, 42.6118) * CHOOSE(CONTROL!$C$15, $D$11, 100%, $F$11)</f>
        <v>42.615200000000002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46.0448 * CHOOSE(CONTROL!$C$15, $D$11, 100%, $F$11)</f>
        <v>46.044800000000002</v>
      </c>
      <c r="C950" s="8">
        <f>46.0551 * CHOOSE(CONTROL!$C$15, $D$11, 100%, $F$11)</f>
        <v>46.055100000000003</v>
      </c>
      <c r="D950" s="8">
        <f>46.0677 * CHOOSE( CONTROL!$C$15, $D$11, 100%, $F$11)</f>
        <v>46.067700000000002</v>
      </c>
      <c r="E950" s="12">
        <f>46.0624 * CHOOSE( CONTROL!$C$15, $D$11, 100%, $F$11)</f>
        <v>46.062399999999997</v>
      </c>
      <c r="F950" s="4">
        <f>46.7249 * CHOOSE(CONTROL!$C$15, $D$11, 100%, $F$11)</f>
        <v>46.724899999999998</v>
      </c>
      <c r="G950" s="8">
        <f>45.2786 * CHOOSE( CONTROL!$C$15, $D$11, 100%, $F$11)</f>
        <v>45.278599999999997</v>
      </c>
      <c r="H950" s="4">
        <f>46.1976 * CHOOSE(CONTROL!$C$15, $D$11, 100%, $F$11)</f>
        <v>46.197600000000001</v>
      </c>
      <c r="I950" s="8">
        <f>44.6113 * CHOOSE(CONTROL!$C$15, $D$11, 100%, $F$11)</f>
        <v>44.6113</v>
      </c>
      <c r="J950" s="4">
        <f>44.5048 * CHOOSE(CONTROL!$C$15, $D$11, 100%, $F$11)</f>
        <v>44.504800000000003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49.6577 * CHOOSE(CONTROL!$C$15, $D$11, 100%, $F$11)</f>
        <v>49.657699999999998</v>
      </c>
      <c r="C951" s="8">
        <f>49.668 * CHOOSE(CONTROL!$C$15, $D$11, 100%, $F$11)</f>
        <v>49.667999999999999</v>
      </c>
      <c r="D951" s="8">
        <f>49.6529 * CHOOSE( CONTROL!$C$15, $D$11, 100%, $F$11)</f>
        <v>49.652900000000002</v>
      </c>
      <c r="E951" s="12">
        <f>49.6573 * CHOOSE( CONTROL!$C$15, $D$11, 100%, $F$11)</f>
        <v>49.657299999999999</v>
      </c>
      <c r="F951" s="4">
        <f>50.3119 * CHOOSE(CONTROL!$C$15, $D$11, 100%, $F$11)</f>
        <v>50.311900000000001</v>
      </c>
      <c r="G951" s="8">
        <f>48.8424 * CHOOSE( CONTROL!$C$15, $D$11, 100%, $F$11)</f>
        <v>48.842399999999998</v>
      </c>
      <c r="H951" s="4">
        <f>49.7266 * CHOOSE(CONTROL!$C$15, $D$11, 100%, $F$11)</f>
        <v>49.726599999999998</v>
      </c>
      <c r="I951" s="8">
        <f>48.1274 * CHOOSE(CONTROL!$C$15, $D$11, 100%, $F$11)</f>
        <v>48.127400000000002</v>
      </c>
      <c r="J951" s="4">
        <f>47.9988 * CHOOSE(CONTROL!$C$15, $D$11, 100%, $F$11)</f>
        <v>47.998800000000003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49.5674 * CHOOSE(CONTROL!$C$15, $D$11, 100%, $F$11)</f>
        <v>49.567399999999999</v>
      </c>
      <c r="C952" s="8">
        <f>49.5778 * CHOOSE(CONTROL!$C$15, $D$11, 100%, $F$11)</f>
        <v>49.577800000000003</v>
      </c>
      <c r="D952" s="8">
        <f>49.5643 * CHOOSE( CONTROL!$C$15, $D$11, 100%, $F$11)</f>
        <v>49.564300000000003</v>
      </c>
      <c r="E952" s="12">
        <f>49.5681 * CHOOSE( CONTROL!$C$15, $D$11, 100%, $F$11)</f>
        <v>49.568100000000001</v>
      </c>
      <c r="F952" s="4">
        <f>50.2217 * CHOOSE(CONTROL!$C$15, $D$11, 100%, $F$11)</f>
        <v>50.221699999999998</v>
      </c>
      <c r="G952" s="8">
        <f>48.7549 * CHOOSE( CONTROL!$C$15, $D$11, 100%, $F$11)</f>
        <v>48.754899999999999</v>
      </c>
      <c r="H952" s="4">
        <f>49.6378 * CHOOSE(CONTROL!$C$15, $D$11, 100%, $F$11)</f>
        <v>49.637799999999999</v>
      </c>
      <c r="I952" s="8">
        <f>48.0453 * CHOOSE(CONTROL!$C$15, $D$11, 100%, $F$11)</f>
        <v>48.045299999999997</v>
      </c>
      <c r="J952" s="4">
        <f>47.9115 * CHOOSE(CONTROL!$C$15, $D$11, 100%, $F$11)</f>
        <v>47.911499999999997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51.4609 * CHOOSE(CONTROL!$C$15, $D$11, 100%, $F$11)</f>
        <v>51.460900000000002</v>
      </c>
      <c r="C953" s="8">
        <f>51.4712 * CHOOSE(CONTROL!$C$15, $D$11, 100%, $F$11)</f>
        <v>51.471200000000003</v>
      </c>
      <c r="D953" s="8">
        <f>51.4696 * CHOOSE( CONTROL!$C$15, $D$11, 100%, $F$11)</f>
        <v>51.4696</v>
      </c>
      <c r="E953" s="12">
        <f>51.4691 * CHOOSE( CONTROL!$C$15, $D$11, 100%, $F$11)</f>
        <v>51.469099999999997</v>
      </c>
      <c r="F953" s="4">
        <f>52.1435 * CHOOSE(CONTROL!$C$15, $D$11, 100%, $F$11)</f>
        <v>52.143500000000003</v>
      </c>
      <c r="G953" s="8">
        <f>50.6302 * CHOOSE( CONTROL!$C$15, $D$11, 100%, $F$11)</f>
        <v>50.630200000000002</v>
      </c>
      <c r="H953" s="4">
        <f>51.5286 * CHOOSE(CONTROL!$C$15, $D$11, 100%, $F$11)</f>
        <v>51.528599999999997</v>
      </c>
      <c r="I953" s="8">
        <f>49.8762 * CHOOSE(CONTROL!$C$15, $D$11, 100%, $F$11)</f>
        <v>49.876199999999997</v>
      </c>
      <c r="J953" s="4">
        <f>49.7427 * CHOOSE(CONTROL!$C$15, $D$11, 100%, $F$11)</f>
        <v>49.742699999999999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48.1357 * CHOOSE(CONTROL!$C$15, $D$11, 100%, $F$11)</f>
        <v>48.1357</v>
      </c>
      <c r="C954" s="8">
        <f>48.146 * CHOOSE(CONTROL!$C$15, $D$11, 100%, $F$11)</f>
        <v>48.146000000000001</v>
      </c>
      <c r="D954" s="8">
        <f>48.1465 * CHOOSE( CONTROL!$C$15, $D$11, 100%, $F$11)</f>
        <v>48.146500000000003</v>
      </c>
      <c r="E954" s="12">
        <f>48.1452 * CHOOSE( CONTROL!$C$15, $D$11, 100%, $F$11)</f>
        <v>48.145200000000003</v>
      </c>
      <c r="F954" s="4">
        <f>48.8106 * CHOOSE(CONTROL!$C$15, $D$11, 100%, $F$11)</f>
        <v>48.810600000000001</v>
      </c>
      <c r="G954" s="8">
        <f>47.3586 * CHOOSE( CONTROL!$C$15, $D$11, 100%, $F$11)</f>
        <v>47.358600000000003</v>
      </c>
      <c r="H954" s="4">
        <f>48.2496 * CHOOSE(CONTROL!$C$15, $D$11, 100%, $F$11)</f>
        <v>48.249600000000001</v>
      </c>
      <c r="I954" s="8">
        <f>46.6478 * CHOOSE(CONTROL!$C$15, $D$11, 100%, $F$11)</f>
        <v>46.647799999999997</v>
      </c>
      <c r="J954" s="4">
        <f>46.5269 * CHOOSE(CONTROL!$C$15, $D$11, 100%, $F$11)</f>
        <v>46.526899999999998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47.1115 * CHOOSE(CONTROL!$C$15, $D$11, 100%, $F$11)</f>
        <v>47.111499999999999</v>
      </c>
      <c r="C955" s="8">
        <f>47.1219 * CHOOSE(CONTROL!$C$15, $D$11, 100%, $F$11)</f>
        <v>47.121899999999997</v>
      </c>
      <c r="D955" s="8">
        <f>47.1171 * CHOOSE( CONTROL!$C$15, $D$11, 100%, $F$11)</f>
        <v>47.117100000000001</v>
      </c>
      <c r="E955" s="12">
        <f>47.1177 * CHOOSE( CONTROL!$C$15, $D$11, 100%, $F$11)</f>
        <v>47.117699999999999</v>
      </c>
      <c r="F955" s="4">
        <f>47.7891 * CHOOSE(CONTROL!$C$15, $D$11, 100%, $F$11)</f>
        <v>47.789099999999998</v>
      </c>
      <c r="G955" s="8">
        <f>46.3456 * CHOOSE( CONTROL!$C$15, $D$11, 100%, $F$11)</f>
        <v>46.345599999999997</v>
      </c>
      <c r="H955" s="4">
        <f>47.2446 * CHOOSE(CONTROL!$C$15, $D$11, 100%, $F$11)</f>
        <v>47.244599999999998</v>
      </c>
      <c r="I955" s="8">
        <f>45.645 * CHOOSE(CONTROL!$C$15, $D$11, 100%, $F$11)</f>
        <v>45.645000000000003</v>
      </c>
      <c r="J955" s="4">
        <f>45.5365 * CHOOSE(CONTROL!$C$15, $D$11, 100%, $F$11)</f>
        <v>45.536499999999997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47.8272 * CHOOSE(CONTROL!$C$15, $D$11, 100%, $F$11)</f>
        <v>47.827199999999998</v>
      </c>
      <c r="C956" s="8">
        <f>47.8375 * CHOOSE(CONTROL!$C$15, $D$11, 100%, $F$11)</f>
        <v>47.837499999999999</v>
      </c>
      <c r="D956" s="8">
        <f>47.8488 * CHOOSE( CONTROL!$C$15, $D$11, 100%, $F$11)</f>
        <v>47.848799999999997</v>
      </c>
      <c r="E956" s="12">
        <f>47.8439 * CHOOSE( CONTROL!$C$15, $D$11, 100%, $F$11)</f>
        <v>47.843899999999998</v>
      </c>
      <c r="F956" s="4">
        <f>48.5073 * CHOOSE(CONTROL!$C$15, $D$11, 100%, $F$11)</f>
        <v>48.507300000000001</v>
      </c>
      <c r="G956" s="8">
        <f>47.0303 * CHOOSE( CONTROL!$C$15, $D$11, 100%, $F$11)</f>
        <v>47.030299999999997</v>
      </c>
      <c r="H956" s="4">
        <f>47.9512 * CHOOSE(CONTROL!$C$15, $D$11, 100%, $F$11)</f>
        <v>47.9512</v>
      </c>
      <c r="I956" s="8">
        <f>46.3298 * CHOOSE(CONTROL!$C$15, $D$11, 100%, $F$11)</f>
        <v>46.329799999999999</v>
      </c>
      <c r="J956" s="4">
        <f>46.2286 * CHOOSE(CONTROL!$C$15, $D$11, 100%, $F$11)</f>
        <v>46.2286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CONTROL!$C$32, 49.1043, 49.1009) * CHOOSE(CONTROL!$C$15, $D$11, 100%, $F$11)</f>
        <v>49.104300000000002</v>
      </c>
      <c r="C957" s="8">
        <f>CHOOSE( CONTROL!$C$32, 49.1147, 49.1112) * CHOOSE(CONTROL!$C$15, $D$11, 100%, $F$11)</f>
        <v>49.114699999999999</v>
      </c>
      <c r="D957" s="8">
        <f>CHOOSE( CONTROL!$C$32, 49.1255, 49.122) * CHOOSE( CONTROL!$C$15, $D$11, 100%, $F$11)</f>
        <v>49.125500000000002</v>
      </c>
      <c r="E957" s="12">
        <f>CHOOSE( CONTROL!$C$32, 49.12, 49.1165) * CHOOSE( CONTROL!$C$15, $D$11, 100%, $F$11)</f>
        <v>49.12</v>
      </c>
      <c r="F957" s="4">
        <f>CHOOSE( CONTROL!$C$32, 49.7845, 49.781) * CHOOSE(CONTROL!$C$15, $D$11, 100%, $F$11)</f>
        <v>49.784500000000001</v>
      </c>
      <c r="G957" s="8">
        <f>CHOOSE( CONTROL!$C$32, 48.288, 48.2845) * CHOOSE( CONTROL!$C$15, $D$11, 100%, $F$11)</f>
        <v>48.287999999999997</v>
      </c>
      <c r="H957" s="4">
        <f>CHOOSE( CONTROL!$C$32, 49.2077, 49.2043) * CHOOSE(CONTROL!$C$15, $D$11, 100%, $F$11)</f>
        <v>49.207700000000003</v>
      </c>
      <c r="I957" s="8">
        <f>CHOOSE( CONTROL!$C$32, 47.5671, 47.5638) * CHOOSE(CONTROL!$C$15, $D$11, 100%, $F$11)</f>
        <v>47.567100000000003</v>
      </c>
      <c r="J957" s="4">
        <f>CHOOSE( CONTROL!$C$32, 47.4637, 47.4604) * CHOOSE(CONTROL!$C$15, $D$11, 100%, $F$11)</f>
        <v>47.463700000000003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CONTROL!$C$32, 48.3153, 48.3119) * CHOOSE(CONTROL!$C$15, $D$11, 100%, $F$11)</f>
        <v>48.315300000000001</v>
      </c>
      <c r="C958" s="8">
        <f>CHOOSE( CONTROL!$C$32, 48.3257, 48.3222) * CHOOSE(CONTROL!$C$15, $D$11, 100%, $F$11)</f>
        <v>48.325699999999998</v>
      </c>
      <c r="D958" s="8">
        <f>CHOOSE( CONTROL!$C$32, 48.3368, 48.3333) * CHOOSE( CONTROL!$C$15, $D$11, 100%, $F$11)</f>
        <v>48.336799999999997</v>
      </c>
      <c r="E958" s="12">
        <f>CHOOSE( CONTROL!$C$32, 48.3312, 48.3277) * CHOOSE( CONTROL!$C$15, $D$11, 100%, $F$11)</f>
        <v>48.331200000000003</v>
      </c>
      <c r="F958" s="4">
        <f>CHOOSE( CONTROL!$C$32, 48.9954, 48.992) * CHOOSE(CONTROL!$C$15, $D$11, 100%, $F$11)</f>
        <v>48.995399999999997</v>
      </c>
      <c r="G958" s="8">
        <f>CHOOSE( CONTROL!$C$32, 47.5121, 47.5087) * CHOOSE( CONTROL!$C$15, $D$11, 100%, $F$11)</f>
        <v>47.512099999999997</v>
      </c>
      <c r="H958" s="4">
        <f>CHOOSE( CONTROL!$C$32, 48.4315, 48.428) * CHOOSE(CONTROL!$C$15, $D$11, 100%, $F$11)</f>
        <v>48.4315</v>
      </c>
      <c r="I958" s="8">
        <f>CHOOSE( CONTROL!$C$32, 46.8051, 46.8017) * CHOOSE(CONTROL!$C$15, $D$11, 100%, $F$11)</f>
        <v>46.805100000000003</v>
      </c>
      <c r="J958" s="4">
        <f>CHOOSE( CONTROL!$C$32, 46.7007, 46.6973) * CHOOSE(CONTROL!$C$15, $D$11, 100%, $F$11)</f>
        <v>46.700699999999998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CONTROL!$C$32, 50.3931, 50.3896) * CHOOSE(CONTROL!$C$15, $D$11, 100%, $F$11)</f>
        <v>50.393099999999997</v>
      </c>
      <c r="C959" s="8">
        <f>CHOOSE( CONTROL!$C$32, 50.4034, 50.4) * CHOOSE(CONTROL!$C$15, $D$11, 100%, $F$11)</f>
        <v>50.403399999999998</v>
      </c>
      <c r="D959" s="8">
        <f>CHOOSE( CONTROL!$C$32, 50.4148, 50.4114) * CHOOSE( CONTROL!$C$15, $D$11, 100%, $F$11)</f>
        <v>50.4148</v>
      </c>
      <c r="E959" s="12">
        <f>CHOOSE( CONTROL!$C$32, 50.4091, 50.4057) * CHOOSE( CONTROL!$C$15, $D$11, 100%, $F$11)</f>
        <v>50.409100000000002</v>
      </c>
      <c r="F959" s="4">
        <f>CHOOSE( CONTROL!$C$32, 51.0732, 51.0697) * CHOOSE(CONTROL!$C$15, $D$11, 100%, $F$11)</f>
        <v>51.0732</v>
      </c>
      <c r="G959" s="8">
        <f>CHOOSE( CONTROL!$C$32, 49.5567, 49.5533) * CHOOSE( CONTROL!$C$15, $D$11, 100%, $F$11)</f>
        <v>49.556699999999999</v>
      </c>
      <c r="H959" s="4">
        <f>CHOOSE( CONTROL!$C$32, 50.4756, 50.4722) * CHOOSE(CONTROL!$C$15, $D$11, 100%, $F$11)</f>
        <v>50.4756</v>
      </c>
      <c r="I959" s="8">
        <f>CHOOSE( CONTROL!$C$32, 48.8169, 48.8135) * CHOOSE(CONTROL!$C$15, $D$11, 100%, $F$11)</f>
        <v>48.816899999999997</v>
      </c>
      <c r="J959" s="4">
        <f>CHOOSE( CONTROL!$C$32, 48.7101, 48.7067) * CHOOSE(CONTROL!$C$15, $D$11, 100%, $F$11)</f>
        <v>48.710099999999997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CONTROL!$C$32, 46.5054, 46.5019) * CHOOSE(CONTROL!$C$15, $D$11, 100%, $F$11)</f>
        <v>46.505400000000002</v>
      </c>
      <c r="C960" s="8">
        <f>CHOOSE( CONTROL!$C$32, 46.5157, 46.5123) * CHOOSE(CONTROL!$C$15, $D$11, 100%, $F$11)</f>
        <v>46.515700000000002</v>
      </c>
      <c r="D960" s="8">
        <f>CHOOSE( CONTROL!$C$32, 46.5273, 46.5238) * CHOOSE( CONTROL!$C$15, $D$11, 100%, $F$11)</f>
        <v>46.527299999999997</v>
      </c>
      <c r="E960" s="12">
        <f>CHOOSE( CONTROL!$C$32, 46.5215, 46.518) * CHOOSE( CONTROL!$C$15, $D$11, 100%, $F$11)</f>
        <v>46.521500000000003</v>
      </c>
      <c r="F960" s="4">
        <f>CHOOSE( CONTROL!$C$32, 47.1855, 47.182) * CHOOSE(CONTROL!$C$15, $D$11, 100%, $F$11)</f>
        <v>47.185499999999998</v>
      </c>
      <c r="G960" s="8">
        <f>CHOOSE( CONTROL!$C$32, 45.7321, 45.7287) * CHOOSE( CONTROL!$C$15, $D$11, 100%, $F$11)</f>
        <v>45.732100000000003</v>
      </c>
      <c r="H960" s="4">
        <f>CHOOSE( CONTROL!$C$32, 46.6508, 46.6474) * CHOOSE(CONTROL!$C$15, $D$11, 100%, $F$11)</f>
        <v>46.650799999999997</v>
      </c>
      <c r="I960" s="8">
        <f>CHOOSE( CONTROL!$C$32, 45.0559, 45.0525) * CHOOSE(CONTROL!$C$15, $D$11, 100%, $F$11)</f>
        <v>45.055900000000001</v>
      </c>
      <c r="J960" s="4">
        <f>CHOOSE( CONTROL!$C$32, 44.9503, 44.9469) * CHOOSE(CONTROL!$C$15, $D$11, 100%, $F$11)</f>
        <v>44.950299999999999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CONTROL!$C$32, 45.5319, 45.5284) * CHOOSE(CONTROL!$C$15, $D$11, 100%, $F$11)</f>
        <v>45.5319</v>
      </c>
      <c r="C961" s="8">
        <f>CHOOSE( CONTROL!$C$32, 45.5422, 45.5387) * CHOOSE(CONTROL!$C$15, $D$11, 100%, $F$11)</f>
        <v>45.542200000000001</v>
      </c>
      <c r="D961" s="8">
        <f>CHOOSE( CONTROL!$C$32, 45.5538, 45.5503) * CHOOSE( CONTROL!$C$15, $D$11, 100%, $F$11)</f>
        <v>45.553800000000003</v>
      </c>
      <c r="E961" s="12">
        <f>CHOOSE( CONTROL!$C$32, 45.548, 45.5445) * CHOOSE( CONTROL!$C$15, $D$11, 100%, $F$11)</f>
        <v>45.548000000000002</v>
      </c>
      <c r="F961" s="4">
        <f>CHOOSE( CONTROL!$C$32, 46.212, 46.2085) * CHOOSE(CONTROL!$C$15, $D$11, 100%, $F$11)</f>
        <v>46.212000000000003</v>
      </c>
      <c r="G961" s="8">
        <f>CHOOSE( CONTROL!$C$32, 44.7744, 44.771) * CHOOSE( CONTROL!$C$15, $D$11, 100%, $F$11)</f>
        <v>44.7744</v>
      </c>
      <c r="H961" s="4">
        <f>CHOOSE( CONTROL!$C$32, 45.693, 45.6896) * CHOOSE(CONTROL!$C$15, $D$11, 100%, $F$11)</f>
        <v>45.692999999999998</v>
      </c>
      <c r="I961" s="8">
        <f>CHOOSE( CONTROL!$C$32, 44.1141, 44.1108) * CHOOSE(CONTROL!$C$15, $D$11, 100%, $F$11)</f>
        <v>44.114100000000001</v>
      </c>
      <c r="J961" s="4">
        <f>CHOOSE( CONTROL!$C$32, 44.0088, 44.0054) * CHOOSE(CONTROL!$C$15, $D$11, 100%, $F$11)</f>
        <v>44.008800000000001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47.5498 * CHOOSE(CONTROL!$C$15, $D$11, 100%, $F$11)</f>
        <v>47.549799999999998</v>
      </c>
      <c r="C962" s="8">
        <f>47.5601 * CHOOSE(CONTROL!$C$15, $D$11, 100%, $F$11)</f>
        <v>47.560099999999998</v>
      </c>
      <c r="D962" s="8">
        <f>47.5726 * CHOOSE( CONTROL!$C$15, $D$11, 100%, $F$11)</f>
        <v>47.572600000000001</v>
      </c>
      <c r="E962" s="12">
        <f>47.5674 * CHOOSE( CONTROL!$C$15, $D$11, 100%, $F$11)</f>
        <v>47.567399999999999</v>
      </c>
      <c r="F962" s="4">
        <f>48.2299 * CHOOSE(CONTROL!$C$15, $D$11, 100%, $F$11)</f>
        <v>48.229900000000001</v>
      </c>
      <c r="G962" s="8">
        <f>46.7592 * CHOOSE( CONTROL!$C$15, $D$11, 100%, $F$11)</f>
        <v>46.7592</v>
      </c>
      <c r="H962" s="4">
        <f>47.6783 * CHOOSE(CONTROL!$C$15, $D$11, 100%, $F$11)</f>
        <v>47.6783</v>
      </c>
      <c r="I962" s="8">
        <f>46.0675 * CHOOSE(CONTROL!$C$15, $D$11, 100%, $F$11)</f>
        <v>46.067500000000003</v>
      </c>
      <c r="J962" s="4">
        <f>45.9603 * CHOOSE(CONTROL!$C$15, $D$11, 100%, $F$11)</f>
        <v>45.960299999999997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51.2808 * CHOOSE(CONTROL!$C$15, $D$11, 100%, $F$11)</f>
        <v>51.280799999999999</v>
      </c>
      <c r="C963" s="8">
        <f>51.2912 * CHOOSE(CONTROL!$C$15, $D$11, 100%, $F$11)</f>
        <v>51.291200000000003</v>
      </c>
      <c r="D963" s="8">
        <f>51.2761 * CHOOSE( CONTROL!$C$15, $D$11, 100%, $F$11)</f>
        <v>51.2761</v>
      </c>
      <c r="E963" s="12">
        <f>51.2805 * CHOOSE( CONTROL!$C$15, $D$11, 100%, $F$11)</f>
        <v>51.280500000000004</v>
      </c>
      <c r="F963" s="4">
        <f>51.9351 * CHOOSE(CONTROL!$C$15, $D$11, 100%, $F$11)</f>
        <v>51.935099999999998</v>
      </c>
      <c r="G963" s="8">
        <f>50.4393 * CHOOSE( CONTROL!$C$15, $D$11, 100%, $F$11)</f>
        <v>50.439300000000003</v>
      </c>
      <c r="H963" s="4">
        <f>51.3235 * CHOOSE(CONTROL!$C$15, $D$11, 100%, $F$11)</f>
        <v>51.323500000000003</v>
      </c>
      <c r="I963" s="8">
        <f>49.6979 * CHOOSE(CONTROL!$C$15, $D$11, 100%, $F$11)</f>
        <v>49.697899999999997</v>
      </c>
      <c r="J963" s="4">
        <f>49.5686 * CHOOSE(CONTROL!$C$15, $D$11, 100%, $F$11)</f>
        <v>49.568600000000004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51.1876 * CHOOSE(CONTROL!$C$15, $D$11, 100%, $F$11)</f>
        <v>51.187600000000003</v>
      </c>
      <c r="C964" s="8">
        <f>51.1979 * CHOOSE(CONTROL!$C$15, $D$11, 100%, $F$11)</f>
        <v>51.197899999999997</v>
      </c>
      <c r="D964" s="8">
        <f>51.1845 * CHOOSE( CONTROL!$C$15, $D$11, 100%, $F$11)</f>
        <v>51.1845</v>
      </c>
      <c r="E964" s="12">
        <f>51.1883 * CHOOSE( CONTROL!$C$15, $D$11, 100%, $F$11)</f>
        <v>51.188299999999998</v>
      </c>
      <c r="F964" s="4">
        <f>51.8419 * CHOOSE(CONTROL!$C$15, $D$11, 100%, $F$11)</f>
        <v>51.841900000000003</v>
      </c>
      <c r="G964" s="8">
        <f>50.3488 * CHOOSE( CONTROL!$C$15, $D$11, 100%, $F$11)</f>
        <v>50.348799999999997</v>
      </c>
      <c r="H964" s="4">
        <f>51.2318 * CHOOSE(CONTROL!$C$15, $D$11, 100%, $F$11)</f>
        <v>51.2318</v>
      </c>
      <c r="I964" s="8">
        <f>49.613 * CHOOSE(CONTROL!$C$15, $D$11, 100%, $F$11)</f>
        <v>49.613</v>
      </c>
      <c r="J964" s="4">
        <f>49.4784 * CHOOSE(CONTROL!$C$15, $D$11, 100%, $F$11)</f>
        <v>49.478400000000001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53.143 * CHOOSE(CONTROL!$C$15, $D$11, 100%, $F$11)</f>
        <v>53.143000000000001</v>
      </c>
      <c r="C965" s="8">
        <f>53.1533 * CHOOSE(CONTROL!$C$15, $D$11, 100%, $F$11)</f>
        <v>53.153300000000002</v>
      </c>
      <c r="D965" s="8">
        <f>53.1517 * CHOOSE( CONTROL!$C$15, $D$11, 100%, $F$11)</f>
        <v>53.151699999999998</v>
      </c>
      <c r="E965" s="12">
        <f>53.1512 * CHOOSE( CONTROL!$C$15, $D$11, 100%, $F$11)</f>
        <v>53.151200000000003</v>
      </c>
      <c r="F965" s="4">
        <f>53.8257 * CHOOSE(CONTROL!$C$15, $D$11, 100%, $F$11)</f>
        <v>53.825699999999998</v>
      </c>
      <c r="G965" s="8">
        <f>52.2851 * CHOOSE( CONTROL!$C$15, $D$11, 100%, $F$11)</f>
        <v>52.2851</v>
      </c>
      <c r="H965" s="4">
        <f>53.1835 * CHOOSE(CONTROL!$C$15, $D$11, 100%, $F$11)</f>
        <v>53.183500000000002</v>
      </c>
      <c r="I965" s="8">
        <f>51.5037 * CHOOSE(CONTROL!$C$15, $D$11, 100%, $F$11)</f>
        <v>51.503700000000002</v>
      </c>
      <c r="J965" s="4">
        <f>51.3695 * CHOOSE(CONTROL!$C$15, $D$11, 100%, $F$11)</f>
        <v>51.369500000000002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49.709 * CHOOSE(CONTROL!$C$15, $D$11, 100%, $F$11)</f>
        <v>49.709000000000003</v>
      </c>
      <c r="C966" s="8">
        <f>49.7194 * CHOOSE(CONTROL!$C$15, $D$11, 100%, $F$11)</f>
        <v>49.7194</v>
      </c>
      <c r="D966" s="8">
        <f>49.7199 * CHOOSE( CONTROL!$C$15, $D$11, 100%, $F$11)</f>
        <v>49.719900000000003</v>
      </c>
      <c r="E966" s="12">
        <f>49.7186 * CHOOSE( CONTROL!$C$15, $D$11, 100%, $F$11)</f>
        <v>49.718600000000002</v>
      </c>
      <c r="F966" s="4">
        <f>50.384 * CHOOSE(CONTROL!$C$15, $D$11, 100%, $F$11)</f>
        <v>50.384</v>
      </c>
      <c r="G966" s="8">
        <f>48.9065 * CHOOSE( CONTROL!$C$15, $D$11, 100%, $F$11)</f>
        <v>48.906500000000001</v>
      </c>
      <c r="H966" s="4">
        <f>49.7975 * CHOOSE(CONTROL!$C$15, $D$11, 100%, $F$11)</f>
        <v>49.797499999999999</v>
      </c>
      <c r="I966" s="8">
        <f>48.1702 * CHOOSE(CONTROL!$C$15, $D$11, 100%, $F$11)</f>
        <v>48.170200000000001</v>
      </c>
      <c r="J966" s="4">
        <f>48.0485 * CHOOSE(CONTROL!$C$15, $D$11, 100%, $F$11)</f>
        <v>48.048499999999997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48.6514 * CHOOSE(CONTROL!$C$15, $D$11, 100%, $F$11)</f>
        <v>48.651400000000002</v>
      </c>
      <c r="C967" s="8">
        <f>48.6617 * CHOOSE(CONTROL!$C$15, $D$11, 100%, $F$11)</f>
        <v>48.661700000000003</v>
      </c>
      <c r="D967" s="8">
        <f>48.6569 * CHOOSE( CONTROL!$C$15, $D$11, 100%, $F$11)</f>
        <v>48.6569</v>
      </c>
      <c r="E967" s="12">
        <f>48.6576 * CHOOSE( CONTROL!$C$15, $D$11, 100%, $F$11)</f>
        <v>48.657600000000002</v>
      </c>
      <c r="F967" s="4">
        <f>49.3289 * CHOOSE(CONTROL!$C$15, $D$11, 100%, $F$11)</f>
        <v>49.328899999999997</v>
      </c>
      <c r="G967" s="8">
        <f>47.8605 * CHOOSE( CONTROL!$C$15, $D$11, 100%, $F$11)</f>
        <v>47.860500000000002</v>
      </c>
      <c r="H967" s="4">
        <f>48.7595 * CHOOSE(CONTROL!$C$15, $D$11, 100%, $F$11)</f>
        <v>48.759500000000003</v>
      </c>
      <c r="I967" s="8">
        <f>47.135 * CHOOSE(CONTROL!$C$15, $D$11, 100%, $F$11)</f>
        <v>47.134999999999998</v>
      </c>
      <c r="J967" s="4">
        <f>47.0257 * CHOOSE(CONTROL!$C$15, $D$11, 100%, $F$11)</f>
        <v>47.025700000000001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49.3905 * CHOOSE(CONTROL!$C$15, $D$11, 100%, $F$11)</f>
        <v>49.390500000000003</v>
      </c>
      <c r="C968" s="8">
        <f>49.4008 * CHOOSE(CONTROL!$C$15, $D$11, 100%, $F$11)</f>
        <v>49.400799999999997</v>
      </c>
      <c r="D968" s="8">
        <f>49.4121 * CHOOSE( CONTROL!$C$15, $D$11, 100%, $F$11)</f>
        <v>49.412100000000002</v>
      </c>
      <c r="E968" s="12">
        <f>49.4072 * CHOOSE( CONTROL!$C$15, $D$11, 100%, $F$11)</f>
        <v>49.407200000000003</v>
      </c>
      <c r="F968" s="4">
        <f>50.0706 * CHOOSE(CONTROL!$C$15, $D$11, 100%, $F$11)</f>
        <v>50.070599999999999</v>
      </c>
      <c r="G968" s="8">
        <f>48.5683 * CHOOSE( CONTROL!$C$15, $D$11, 100%, $F$11)</f>
        <v>48.568300000000001</v>
      </c>
      <c r="H968" s="4">
        <f>49.4892 * CHOOSE(CONTROL!$C$15, $D$11, 100%, $F$11)</f>
        <v>49.489199999999997</v>
      </c>
      <c r="I968" s="8">
        <f>47.8424 * CHOOSE(CONTROL!$C$15, $D$11, 100%, $F$11)</f>
        <v>47.842399999999998</v>
      </c>
      <c r="J968" s="4">
        <f>47.7404 * CHOOSE(CONTROL!$C$15, $D$11, 100%, $F$11)</f>
        <v>47.740400000000001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CONTROL!$C$32, 50.7093, 50.7058) * CHOOSE(CONTROL!$C$15, $D$11, 100%, $F$11)</f>
        <v>50.709299999999999</v>
      </c>
      <c r="C969" s="8">
        <f>CHOOSE( CONTROL!$C$32, 50.7196, 50.7161) * CHOOSE(CONTROL!$C$15, $D$11, 100%, $F$11)</f>
        <v>50.7196</v>
      </c>
      <c r="D969" s="8">
        <f>CHOOSE( CONTROL!$C$32, 50.7304, 50.727) * CHOOSE( CONTROL!$C$15, $D$11, 100%, $F$11)</f>
        <v>50.730400000000003</v>
      </c>
      <c r="E969" s="12">
        <f>CHOOSE( CONTROL!$C$32, 50.7249, 50.7215) * CHOOSE( CONTROL!$C$15, $D$11, 100%, $F$11)</f>
        <v>50.724899999999998</v>
      </c>
      <c r="F969" s="4">
        <f>CHOOSE( CONTROL!$C$32, 51.3894, 51.3859) * CHOOSE(CONTROL!$C$15, $D$11, 100%, $F$11)</f>
        <v>51.389400000000002</v>
      </c>
      <c r="G969" s="8">
        <f>CHOOSE( CONTROL!$C$32, 49.8669, 49.8635) * CHOOSE( CONTROL!$C$15, $D$11, 100%, $F$11)</f>
        <v>49.866900000000001</v>
      </c>
      <c r="H969" s="4">
        <f>CHOOSE( CONTROL!$C$32, 50.7867, 50.7833) * CHOOSE(CONTROL!$C$15, $D$11, 100%, $F$11)</f>
        <v>50.786700000000003</v>
      </c>
      <c r="I969" s="8">
        <f>CHOOSE( CONTROL!$C$32, 49.12, 49.1167) * CHOOSE(CONTROL!$C$15, $D$11, 100%, $F$11)</f>
        <v>49.12</v>
      </c>
      <c r="J969" s="4">
        <f>CHOOSE( CONTROL!$C$32, 49.0158, 49.0125) * CHOOSE(CONTROL!$C$15, $D$11, 100%, $F$11)</f>
        <v>49.015799999999999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CONTROL!$C$32, 49.8945, 49.891) * CHOOSE(CONTROL!$C$15, $D$11, 100%, $F$11)</f>
        <v>49.894500000000001</v>
      </c>
      <c r="C970" s="8">
        <f>CHOOSE( CONTROL!$C$32, 49.9048, 49.9013) * CHOOSE(CONTROL!$C$15, $D$11, 100%, $F$11)</f>
        <v>49.904800000000002</v>
      </c>
      <c r="D970" s="8">
        <f>CHOOSE( CONTROL!$C$32, 49.9159, 49.9124) * CHOOSE( CONTROL!$C$15, $D$11, 100%, $F$11)</f>
        <v>49.915900000000001</v>
      </c>
      <c r="E970" s="12">
        <f>CHOOSE( CONTROL!$C$32, 49.9103, 49.9068) * CHOOSE( CONTROL!$C$15, $D$11, 100%, $F$11)</f>
        <v>49.910299999999999</v>
      </c>
      <c r="F970" s="4">
        <f>CHOOSE( CONTROL!$C$32, 50.5746, 50.5711) * CHOOSE(CONTROL!$C$15, $D$11, 100%, $F$11)</f>
        <v>50.574599999999997</v>
      </c>
      <c r="G970" s="8">
        <f>CHOOSE( CONTROL!$C$32, 49.0657, 49.0623) * CHOOSE( CONTROL!$C$15, $D$11, 100%, $F$11)</f>
        <v>49.0657</v>
      </c>
      <c r="H970" s="4">
        <f>CHOOSE( CONTROL!$C$32, 49.985, 49.9816) * CHOOSE(CONTROL!$C$15, $D$11, 100%, $F$11)</f>
        <v>49.984999999999999</v>
      </c>
      <c r="I970" s="8">
        <f>CHOOSE( CONTROL!$C$32, 48.333, 48.3296) * CHOOSE(CONTROL!$C$15, $D$11, 100%, $F$11)</f>
        <v>48.332999999999998</v>
      </c>
      <c r="J970" s="4">
        <f>CHOOSE( CONTROL!$C$32, 48.2278, 48.2245) * CHOOSE(CONTROL!$C$15, $D$11, 100%, $F$11)</f>
        <v>48.227800000000002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CONTROL!$C$32, 52.0402, 52.0367) * CHOOSE(CONTROL!$C$15, $D$11, 100%, $F$11)</f>
        <v>52.040199999999999</v>
      </c>
      <c r="C971" s="8">
        <f>CHOOSE( CONTROL!$C$32, 52.0505, 52.047) * CHOOSE(CONTROL!$C$15, $D$11, 100%, $F$11)</f>
        <v>52.0505</v>
      </c>
      <c r="D971" s="8">
        <f>CHOOSE( CONTROL!$C$32, 52.0619, 52.0584) * CHOOSE( CONTROL!$C$15, $D$11, 100%, $F$11)</f>
        <v>52.061900000000001</v>
      </c>
      <c r="E971" s="12">
        <f>CHOOSE( CONTROL!$C$32, 52.0562, 52.0527) * CHOOSE( CONTROL!$C$15, $D$11, 100%, $F$11)</f>
        <v>52.056199999999997</v>
      </c>
      <c r="F971" s="4">
        <f>CHOOSE( CONTROL!$C$32, 52.7203, 52.7168) * CHOOSE(CONTROL!$C$15, $D$11, 100%, $F$11)</f>
        <v>52.720300000000002</v>
      </c>
      <c r="G971" s="8">
        <f>CHOOSE( CONTROL!$C$32, 51.1772, 51.1738) * CHOOSE( CONTROL!$C$15, $D$11, 100%, $F$11)</f>
        <v>51.177199999999999</v>
      </c>
      <c r="H971" s="4">
        <f>CHOOSE( CONTROL!$C$32, 52.096, 52.0926) * CHOOSE(CONTROL!$C$15, $D$11, 100%, $F$11)</f>
        <v>52.095999999999997</v>
      </c>
      <c r="I971" s="8">
        <f>CHOOSE( CONTROL!$C$32, 50.4106, 50.4072) * CHOOSE(CONTROL!$C$15, $D$11, 100%, $F$11)</f>
        <v>50.410600000000002</v>
      </c>
      <c r="J971" s="4">
        <f>CHOOSE( CONTROL!$C$32, 50.3029, 50.2996) * CHOOSE(CONTROL!$C$15, $D$11, 100%, $F$11)</f>
        <v>50.302900000000001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CONTROL!$C$32, 48.0253, 48.0219) * CHOOSE(CONTROL!$C$15, $D$11, 100%, $F$11)</f>
        <v>48.025300000000001</v>
      </c>
      <c r="C972" s="8">
        <f>CHOOSE( CONTROL!$C$32, 48.0357, 48.0322) * CHOOSE(CONTROL!$C$15, $D$11, 100%, $F$11)</f>
        <v>48.035699999999999</v>
      </c>
      <c r="D972" s="8">
        <f>CHOOSE( CONTROL!$C$32, 48.0472, 48.0437) * CHOOSE( CONTROL!$C$15, $D$11, 100%, $F$11)</f>
        <v>48.047199999999997</v>
      </c>
      <c r="E972" s="12">
        <f>CHOOSE( CONTROL!$C$32, 48.0414, 48.038) * CHOOSE( CONTROL!$C$15, $D$11, 100%, $F$11)</f>
        <v>48.041400000000003</v>
      </c>
      <c r="F972" s="4">
        <f>CHOOSE( CONTROL!$C$32, 48.7054, 48.702) * CHOOSE(CONTROL!$C$15, $D$11, 100%, $F$11)</f>
        <v>48.705399999999997</v>
      </c>
      <c r="G972" s="8">
        <f>CHOOSE( CONTROL!$C$32, 47.2275, 47.2241) * CHOOSE( CONTROL!$C$15, $D$11, 100%, $F$11)</f>
        <v>47.227499999999999</v>
      </c>
      <c r="H972" s="4">
        <f>CHOOSE( CONTROL!$C$32, 48.1461, 48.1427) * CHOOSE(CONTROL!$C$15, $D$11, 100%, $F$11)</f>
        <v>48.146099999999997</v>
      </c>
      <c r="I972" s="8">
        <f>CHOOSE( CONTROL!$C$32, 46.5266, 46.5232) * CHOOSE(CONTROL!$C$15, $D$11, 100%, $F$11)</f>
        <v>46.526600000000002</v>
      </c>
      <c r="J972" s="4">
        <f>CHOOSE( CONTROL!$C$32, 46.4202, 46.4168) * CHOOSE(CONTROL!$C$15, $D$11, 100%, $F$11)</f>
        <v>46.420200000000001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CONTROL!$C$32, 47.02, 47.0165) * CHOOSE(CONTROL!$C$15, $D$11, 100%, $F$11)</f>
        <v>47.02</v>
      </c>
      <c r="C973" s="8">
        <f>CHOOSE( CONTROL!$C$32, 47.0303, 47.0268) * CHOOSE(CONTROL!$C$15, $D$11, 100%, $F$11)</f>
        <v>47.030299999999997</v>
      </c>
      <c r="D973" s="8">
        <f>CHOOSE( CONTROL!$C$32, 47.0419, 47.0384) * CHOOSE( CONTROL!$C$15, $D$11, 100%, $F$11)</f>
        <v>47.041899999999998</v>
      </c>
      <c r="E973" s="12">
        <f>CHOOSE( CONTROL!$C$32, 47.0361, 47.0326) * CHOOSE( CONTROL!$C$15, $D$11, 100%, $F$11)</f>
        <v>47.036099999999998</v>
      </c>
      <c r="F973" s="4">
        <f>CHOOSE( CONTROL!$C$32, 47.7001, 47.6966) * CHOOSE(CONTROL!$C$15, $D$11, 100%, $F$11)</f>
        <v>47.700099999999999</v>
      </c>
      <c r="G973" s="8">
        <f>CHOOSE( CONTROL!$C$32, 46.2384, 46.235) * CHOOSE( CONTROL!$C$15, $D$11, 100%, $F$11)</f>
        <v>46.238399999999999</v>
      </c>
      <c r="H973" s="4">
        <f>CHOOSE( CONTROL!$C$32, 47.157, 47.1536) * CHOOSE(CONTROL!$C$15, $D$11, 100%, $F$11)</f>
        <v>47.156999999999996</v>
      </c>
      <c r="I973" s="8">
        <f>CHOOSE( CONTROL!$C$32, 45.554, 45.5506) * CHOOSE(CONTROL!$C$15, $D$11, 100%, $F$11)</f>
        <v>45.554000000000002</v>
      </c>
      <c r="J973" s="4">
        <f>CHOOSE( CONTROL!$C$32, 45.4479, 45.4445) * CHOOSE(CONTROL!$C$15, $D$11, 100%, $F$11)</f>
        <v>45.447899999999997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49.104 * CHOOSE(CONTROL!$C$15, $D$11, 100%, $F$11)</f>
        <v>49.103999999999999</v>
      </c>
      <c r="C974" s="8">
        <f>49.1143 * CHOOSE(CONTROL!$C$15, $D$11, 100%, $F$11)</f>
        <v>49.1143</v>
      </c>
      <c r="D974" s="8">
        <f>49.1269 * CHOOSE( CONTROL!$C$15, $D$11, 100%, $F$11)</f>
        <v>49.126899999999999</v>
      </c>
      <c r="E974" s="12">
        <f>49.1216 * CHOOSE( CONTROL!$C$15, $D$11, 100%, $F$11)</f>
        <v>49.121600000000001</v>
      </c>
      <c r="F974" s="4">
        <f>49.7841 * CHOOSE(CONTROL!$C$15, $D$11, 100%, $F$11)</f>
        <v>49.784100000000002</v>
      </c>
      <c r="G974" s="8">
        <f>48.2883 * CHOOSE( CONTROL!$C$15, $D$11, 100%, $F$11)</f>
        <v>48.2883</v>
      </c>
      <c r="H974" s="4">
        <f>49.2073 * CHOOSE(CONTROL!$C$15, $D$11, 100%, $F$11)</f>
        <v>49.207299999999996</v>
      </c>
      <c r="I974" s="8">
        <f>47.5713 * CHOOSE(CONTROL!$C$15, $D$11, 100%, $F$11)</f>
        <v>47.571300000000001</v>
      </c>
      <c r="J974" s="4">
        <f>47.4633 * CHOOSE(CONTROL!$C$15, $D$11, 100%, $F$11)</f>
        <v>47.463299999999997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52.957 * CHOOSE(CONTROL!$C$15, $D$11, 100%, $F$11)</f>
        <v>52.957000000000001</v>
      </c>
      <c r="C975" s="8">
        <f>52.9674 * CHOOSE(CONTROL!$C$15, $D$11, 100%, $F$11)</f>
        <v>52.967399999999998</v>
      </c>
      <c r="D975" s="8">
        <f>52.9523 * CHOOSE( CONTROL!$C$15, $D$11, 100%, $F$11)</f>
        <v>52.952300000000001</v>
      </c>
      <c r="E975" s="12">
        <f>52.9567 * CHOOSE( CONTROL!$C$15, $D$11, 100%, $F$11)</f>
        <v>52.956699999999998</v>
      </c>
      <c r="F975" s="4">
        <f>53.6113 * CHOOSE(CONTROL!$C$15, $D$11, 100%, $F$11)</f>
        <v>53.6113</v>
      </c>
      <c r="G975" s="8">
        <f>52.0884 * CHOOSE( CONTROL!$C$15, $D$11, 100%, $F$11)</f>
        <v>52.0884</v>
      </c>
      <c r="H975" s="4">
        <f>52.9726 * CHOOSE(CONTROL!$C$15, $D$11, 100%, $F$11)</f>
        <v>52.9726</v>
      </c>
      <c r="I975" s="8">
        <f>51.3198 * CHOOSE(CONTROL!$C$15, $D$11, 100%, $F$11)</f>
        <v>51.319800000000001</v>
      </c>
      <c r="J975" s="4">
        <f>51.1897 * CHOOSE(CONTROL!$C$15, $D$11, 100%, $F$11)</f>
        <v>51.189700000000002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52.8608 * CHOOSE(CONTROL!$C$15, $D$11, 100%, $F$11)</f>
        <v>52.860799999999998</v>
      </c>
      <c r="C976" s="8">
        <f>52.8711 * CHOOSE(CONTROL!$C$15, $D$11, 100%, $F$11)</f>
        <v>52.871099999999998</v>
      </c>
      <c r="D976" s="8">
        <f>52.8577 * CHOOSE( CONTROL!$C$15, $D$11, 100%, $F$11)</f>
        <v>52.857700000000001</v>
      </c>
      <c r="E976" s="12">
        <f>52.8615 * CHOOSE( CONTROL!$C$15, $D$11, 100%, $F$11)</f>
        <v>52.861499999999999</v>
      </c>
      <c r="F976" s="4">
        <f>53.515 * CHOOSE(CONTROL!$C$15, $D$11, 100%, $F$11)</f>
        <v>53.515000000000001</v>
      </c>
      <c r="G976" s="8">
        <f>51.9949 * CHOOSE( CONTROL!$C$15, $D$11, 100%, $F$11)</f>
        <v>51.994900000000001</v>
      </c>
      <c r="H976" s="4">
        <f>52.8779 * CHOOSE(CONTROL!$C$15, $D$11, 100%, $F$11)</f>
        <v>52.877899999999997</v>
      </c>
      <c r="I976" s="8">
        <f>51.2319 * CHOOSE(CONTROL!$C$15, $D$11, 100%, $F$11)</f>
        <v>51.231900000000003</v>
      </c>
      <c r="J976" s="4">
        <f>51.0966 * CHOOSE(CONTROL!$C$15, $D$11, 100%, $F$11)</f>
        <v>51.096600000000002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54.8801 * CHOOSE(CONTROL!$C$15, $D$11, 100%, $F$11)</f>
        <v>54.880099999999999</v>
      </c>
      <c r="C977" s="8">
        <f>54.8904 * CHOOSE(CONTROL!$C$15, $D$11, 100%, $F$11)</f>
        <v>54.8904</v>
      </c>
      <c r="D977" s="8">
        <f>54.8889 * CHOOSE( CONTROL!$C$15, $D$11, 100%, $F$11)</f>
        <v>54.8889</v>
      </c>
      <c r="E977" s="12">
        <f>54.8884 * CHOOSE( CONTROL!$C$15, $D$11, 100%, $F$11)</f>
        <v>54.888399999999997</v>
      </c>
      <c r="F977" s="4">
        <f>55.5628 * CHOOSE(CONTROL!$C$15, $D$11, 100%, $F$11)</f>
        <v>55.562800000000003</v>
      </c>
      <c r="G977" s="8">
        <f>53.9941 * CHOOSE( CONTROL!$C$15, $D$11, 100%, $F$11)</f>
        <v>53.994100000000003</v>
      </c>
      <c r="H977" s="4">
        <f>54.8926 * CHOOSE(CONTROL!$C$15, $D$11, 100%, $F$11)</f>
        <v>54.892600000000002</v>
      </c>
      <c r="I977" s="8">
        <f>53.1846 * CHOOSE(CONTROL!$C$15, $D$11, 100%, $F$11)</f>
        <v>53.184600000000003</v>
      </c>
      <c r="J977" s="4">
        <f>53.0494 * CHOOSE(CONTROL!$C$15, $D$11, 100%, $F$11)</f>
        <v>53.049399999999999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51.3339 * CHOOSE(CONTROL!$C$15, $D$11, 100%, $F$11)</f>
        <v>51.3339</v>
      </c>
      <c r="C978" s="8">
        <f>51.3442 * CHOOSE(CONTROL!$C$15, $D$11, 100%, $F$11)</f>
        <v>51.344200000000001</v>
      </c>
      <c r="D978" s="8">
        <f>51.3447 * CHOOSE( CONTROL!$C$15, $D$11, 100%, $F$11)</f>
        <v>51.344700000000003</v>
      </c>
      <c r="E978" s="12">
        <f>51.3434 * CHOOSE( CONTROL!$C$15, $D$11, 100%, $F$11)</f>
        <v>51.343400000000003</v>
      </c>
      <c r="F978" s="4">
        <f>52.0088 * CHOOSE(CONTROL!$C$15, $D$11, 100%, $F$11)</f>
        <v>52.008800000000001</v>
      </c>
      <c r="G978" s="8">
        <f>50.505 * CHOOSE( CONTROL!$C$15, $D$11, 100%, $F$11)</f>
        <v>50.505000000000003</v>
      </c>
      <c r="H978" s="4">
        <f>51.3961 * CHOOSE(CONTROL!$C$15, $D$11, 100%, $F$11)</f>
        <v>51.396099999999997</v>
      </c>
      <c r="I978" s="8">
        <f>49.7423 * CHOOSE(CONTROL!$C$15, $D$11, 100%, $F$11)</f>
        <v>49.7423</v>
      </c>
      <c r="J978" s="4">
        <f>49.6199 * CHOOSE(CONTROL!$C$15, $D$11, 100%, $F$11)</f>
        <v>49.619900000000001</v>
      </c>
      <c r="K978" s="4"/>
      <c r="L978" s="9">
        <v>27.415299999999998</v>
      </c>
      <c r="M978" s="9">
        <v>11.285299999999999</v>
      </c>
      <c r="N978" s="9">
        <v>4.6254999999999997</v>
      </c>
      <c r="O978" s="9">
        <v>0.34989999999999999</v>
      </c>
      <c r="P978" s="9">
        <v>1.2093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50.2416 * CHOOSE(CONTROL!$C$15, $D$11, 100%, $F$11)</f>
        <v>50.241599999999998</v>
      </c>
      <c r="C979" s="8">
        <f>50.252 * CHOOSE(CONTROL!$C$15, $D$11, 100%, $F$11)</f>
        <v>50.252000000000002</v>
      </c>
      <c r="D979" s="8">
        <f>50.2472 * CHOOSE( CONTROL!$C$15, $D$11, 100%, $F$11)</f>
        <v>50.247199999999999</v>
      </c>
      <c r="E979" s="12">
        <f>50.2478 * CHOOSE( CONTROL!$C$15, $D$11, 100%, $F$11)</f>
        <v>50.247799999999998</v>
      </c>
      <c r="F979" s="4">
        <f>50.9192 * CHOOSE(CONTROL!$C$15, $D$11, 100%, $F$11)</f>
        <v>50.919199999999996</v>
      </c>
      <c r="G979" s="8">
        <f>49.425 * CHOOSE( CONTROL!$C$15, $D$11, 100%, $F$11)</f>
        <v>49.424999999999997</v>
      </c>
      <c r="H979" s="4">
        <f>50.3241 * CHOOSE(CONTROL!$C$15, $D$11, 100%, $F$11)</f>
        <v>50.324100000000001</v>
      </c>
      <c r="I979" s="8">
        <f>48.6737 * CHOOSE(CONTROL!$C$15, $D$11, 100%, $F$11)</f>
        <v>48.673699999999997</v>
      </c>
      <c r="J979" s="4">
        <f>48.5636 * CHOOSE(CONTROL!$C$15, $D$11, 100%, $F$11)</f>
        <v>48.563600000000001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51.0049 * CHOOSE(CONTROL!$C$15, $D$11, 100%, $F$11)</f>
        <v>51.004899999999999</v>
      </c>
      <c r="C980" s="8">
        <f>51.0152 * CHOOSE(CONTROL!$C$15, $D$11, 100%, $F$11)</f>
        <v>51.0152</v>
      </c>
      <c r="D980" s="8">
        <f>51.0265 * CHOOSE( CONTROL!$C$15, $D$11, 100%, $F$11)</f>
        <v>51.026499999999999</v>
      </c>
      <c r="E980" s="12">
        <f>51.0216 * CHOOSE( CONTROL!$C$15, $D$11, 100%, $F$11)</f>
        <v>51.021599999999999</v>
      </c>
      <c r="F980" s="4">
        <f>51.685 * CHOOSE(CONTROL!$C$15, $D$11, 100%, $F$11)</f>
        <v>51.685000000000002</v>
      </c>
      <c r="G980" s="8">
        <f>50.1565 * CHOOSE( CONTROL!$C$15, $D$11, 100%, $F$11)</f>
        <v>50.156500000000001</v>
      </c>
      <c r="H980" s="4">
        <f>51.0775 * CHOOSE(CONTROL!$C$15, $D$11, 100%, $F$11)</f>
        <v>51.077500000000001</v>
      </c>
      <c r="I980" s="8">
        <f>49.4045 * CHOOSE(CONTROL!$C$15, $D$11, 100%, $F$11)</f>
        <v>49.404499999999999</v>
      </c>
      <c r="J980" s="4">
        <f>49.3017 * CHOOSE(CONTROL!$C$15, $D$11, 100%, $F$11)</f>
        <v>49.301699999999997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CONTROL!$C$32, 52.3667, 52.3632) * CHOOSE(CONTROL!$C$15, $D$11, 100%, $F$11)</f>
        <v>52.366700000000002</v>
      </c>
      <c r="C981" s="8">
        <f>CHOOSE( CONTROL!$C$32, 52.377, 52.3736) * CHOOSE(CONTROL!$C$15, $D$11, 100%, $F$11)</f>
        <v>52.377000000000002</v>
      </c>
      <c r="D981" s="8">
        <f>CHOOSE( CONTROL!$C$32, 52.3879, 52.3844) * CHOOSE( CONTROL!$C$15, $D$11, 100%, $F$11)</f>
        <v>52.387900000000002</v>
      </c>
      <c r="E981" s="12">
        <f>CHOOSE( CONTROL!$C$32, 52.3824, 52.3789) * CHOOSE( CONTROL!$C$15, $D$11, 100%, $F$11)</f>
        <v>52.382399999999997</v>
      </c>
      <c r="F981" s="4">
        <f>CHOOSE( CONTROL!$C$32, 53.0468, 53.0433) * CHOOSE(CONTROL!$C$15, $D$11, 100%, $F$11)</f>
        <v>53.046799999999998</v>
      </c>
      <c r="G981" s="8">
        <f>CHOOSE( CONTROL!$C$32, 51.4975, 51.4941) * CHOOSE( CONTROL!$C$15, $D$11, 100%, $F$11)</f>
        <v>51.497500000000002</v>
      </c>
      <c r="H981" s="4">
        <f>CHOOSE( CONTROL!$C$32, 52.4173, 52.4139) * CHOOSE(CONTROL!$C$15, $D$11, 100%, $F$11)</f>
        <v>52.417299999999997</v>
      </c>
      <c r="I981" s="8">
        <f>CHOOSE( CONTROL!$C$32, 50.7237, 50.7204) * CHOOSE(CONTROL!$C$15, $D$11, 100%, $F$11)</f>
        <v>50.723700000000001</v>
      </c>
      <c r="J981" s="4">
        <f>CHOOSE( CONTROL!$C$32, 50.6187, 50.6154) * CHOOSE(CONTROL!$C$15, $D$11, 100%, $F$11)</f>
        <v>50.618699999999997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CONTROL!$C$32, 51.5252, 51.5218) * CHOOSE(CONTROL!$C$15, $D$11, 100%, $F$11)</f>
        <v>51.525199999999998</v>
      </c>
      <c r="C982" s="8">
        <f>CHOOSE( CONTROL!$C$32, 51.5356, 51.5321) * CHOOSE(CONTROL!$C$15, $D$11, 100%, $F$11)</f>
        <v>51.535600000000002</v>
      </c>
      <c r="D982" s="8">
        <f>CHOOSE( CONTROL!$C$32, 51.5467, 51.5432) * CHOOSE( CONTROL!$C$15, $D$11, 100%, $F$11)</f>
        <v>51.546700000000001</v>
      </c>
      <c r="E982" s="12">
        <f>CHOOSE( CONTROL!$C$32, 51.5411, 51.5376) * CHOOSE( CONTROL!$C$15, $D$11, 100%, $F$11)</f>
        <v>51.5411</v>
      </c>
      <c r="F982" s="4">
        <f>CHOOSE( CONTROL!$C$32, 52.2053, 52.2019) * CHOOSE(CONTROL!$C$15, $D$11, 100%, $F$11)</f>
        <v>52.205300000000001</v>
      </c>
      <c r="G982" s="8">
        <f>CHOOSE( CONTROL!$C$32, 50.6701, 50.6667) * CHOOSE( CONTROL!$C$15, $D$11, 100%, $F$11)</f>
        <v>50.670099999999998</v>
      </c>
      <c r="H982" s="4">
        <f>CHOOSE( CONTROL!$C$32, 51.5894, 51.586) * CHOOSE(CONTROL!$C$15, $D$11, 100%, $F$11)</f>
        <v>51.589399999999998</v>
      </c>
      <c r="I982" s="8">
        <f>CHOOSE( CONTROL!$C$32, 49.9109, 49.9075) * CHOOSE(CONTROL!$C$15, $D$11, 100%, $F$11)</f>
        <v>49.910899999999998</v>
      </c>
      <c r="J982" s="4">
        <f>CHOOSE( CONTROL!$C$32, 49.805, 49.8016) * CHOOSE(CONTROL!$C$15, $D$11, 100%, $F$11)</f>
        <v>49.805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CONTROL!$C$32, 53.7411, 53.7376) * CHOOSE(CONTROL!$C$15, $D$11, 100%, $F$11)</f>
        <v>53.741100000000003</v>
      </c>
      <c r="C983" s="8">
        <f>CHOOSE( CONTROL!$C$32, 53.7515, 53.748) * CHOOSE(CONTROL!$C$15, $D$11, 100%, $F$11)</f>
        <v>53.7515</v>
      </c>
      <c r="D983" s="8">
        <f>CHOOSE( CONTROL!$C$32, 53.7629, 53.7594) * CHOOSE( CONTROL!$C$15, $D$11, 100%, $F$11)</f>
        <v>53.762900000000002</v>
      </c>
      <c r="E983" s="12">
        <f>CHOOSE( CONTROL!$C$32, 53.7572, 53.7537) * CHOOSE( CONTROL!$C$15, $D$11, 100%, $F$11)</f>
        <v>53.757199999999997</v>
      </c>
      <c r="F983" s="4">
        <f>CHOOSE( CONTROL!$C$32, 54.4212, 54.4178) * CHOOSE(CONTROL!$C$15, $D$11, 100%, $F$11)</f>
        <v>54.421199999999999</v>
      </c>
      <c r="G983" s="8">
        <f>CHOOSE( CONTROL!$C$32, 52.8506, 52.8472) * CHOOSE( CONTROL!$C$15, $D$11, 100%, $F$11)</f>
        <v>52.8506</v>
      </c>
      <c r="H983" s="4">
        <f>CHOOSE( CONTROL!$C$32, 53.7695, 53.7661) * CHOOSE(CONTROL!$C$15, $D$11, 100%, $F$11)</f>
        <v>53.769500000000001</v>
      </c>
      <c r="I983" s="8">
        <f>CHOOSE( CONTROL!$C$32, 52.0564, 52.053) * CHOOSE(CONTROL!$C$15, $D$11, 100%, $F$11)</f>
        <v>52.056399999999996</v>
      </c>
      <c r="J983" s="4">
        <f>CHOOSE( CONTROL!$C$32, 51.9479, 51.9446) * CHOOSE(CONTROL!$C$15, $D$11, 100%, $F$11)</f>
        <v>51.947899999999997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CONTROL!$C$32, 49.595, 49.5915) * CHOOSE(CONTROL!$C$15, $D$11, 100%, $F$11)</f>
        <v>49.594999999999999</v>
      </c>
      <c r="C984" s="8">
        <f>CHOOSE( CONTROL!$C$32, 49.6053, 49.6018) * CHOOSE(CONTROL!$C$15, $D$11, 100%, $F$11)</f>
        <v>49.6053</v>
      </c>
      <c r="D984" s="8">
        <f>CHOOSE( CONTROL!$C$32, 49.6168, 49.6134) * CHOOSE( CONTROL!$C$15, $D$11, 100%, $F$11)</f>
        <v>49.616799999999998</v>
      </c>
      <c r="E984" s="12">
        <f>CHOOSE( CONTROL!$C$32, 49.6111, 49.6076) * CHOOSE( CONTROL!$C$15, $D$11, 100%, $F$11)</f>
        <v>49.6111</v>
      </c>
      <c r="F984" s="4">
        <f>CHOOSE( CONTROL!$C$32, 50.2751, 50.2716) * CHOOSE(CONTROL!$C$15, $D$11, 100%, $F$11)</f>
        <v>50.275100000000002</v>
      </c>
      <c r="G984" s="8">
        <f>CHOOSE( CONTROL!$C$32, 48.7717, 48.7683) * CHOOSE( CONTROL!$C$15, $D$11, 100%, $F$11)</f>
        <v>48.771700000000003</v>
      </c>
      <c r="H984" s="4">
        <f>CHOOSE( CONTROL!$C$32, 49.6904, 49.687) * CHOOSE(CONTROL!$C$15, $D$11, 100%, $F$11)</f>
        <v>49.690399999999997</v>
      </c>
      <c r="I984" s="8">
        <f>CHOOSE( CONTROL!$C$32, 48.0453, 48.042) * CHOOSE(CONTROL!$C$15, $D$11, 100%, $F$11)</f>
        <v>48.045299999999997</v>
      </c>
      <c r="J984" s="4">
        <f>CHOOSE( CONTROL!$C$32, 47.9382, 47.9348) * CHOOSE(CONTROL!$C$15, $D$11, 100%, $F$11)</f>
        <v>47.938200000000002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CONTROL!$C$32, 48.5567, 48.5533) * CHOOSE(CONTROL!$C$15, $D$11, 100%, $F$11)</f>
        <v>48.556699999999999</v>
      </c>
      <c r="C985" s="8">
        <f>CHOOSE( CONTROL!$C$32, 48.5671, 48.5636) * CHOOSE(CONTROL!$C$15, $D$11, 100%, $F$11)</f>
        <v>48.567100000000003</v>
      </c>
      <c r="D985" s="8">
        <f>CHOOSE( CONTROL!$C$32, 48.5786, 48.5752) * CHOOSE( CONTROL!$C$15, $D$11, 100%, $F$11)</f>
        <v>48.578600000000002</v>
      </c>
      <c r="E985" s="12">
        <f>CHOOSE( CONTROL!$C$32, 48.5728, 48.5694) * CHOOSE( CONTROL!$C$15, $D$11, 100%, $F$11)</f>
        <v>48.572800000000001</v>
      </c>
      <c r="F985" s="4">
        <f>CHOOSE( CONTROL!$C$32, 49.2368, 49.2334) * CHOOSE(CONTROL!$C$15, $D$11, 100%, $F$11)</f>
        <v>49.236800000000002</v>
      </c>
      <c r="G985" s="8">
        <f>CHOOSE( CONTROL!$C$32, 47.7503, 47.7469) * CHOOSE( CONTROL!$C$15, $D$11, 100%, $F$11)</f>
        <v>47.750300000000003</v>
      </c>
      <c r="H985" s="4">
        <f>CHOOSE( CONTROL!$C$32, 48.6689, 48.6655) * CHOOSE(CONTROL!$C$15, $D$11, 100%, $F$11)</f>
        <v>48.668900000000001</v>
      </c>
      <c r="I985" s="8">
        <f>CHOOSE( CONTROL!$C$32, 47.0409, 47.0376) * CHOOSE(CONTROL!$C$15, $D$11, 100%, $F$11)</f>
        <v>47.040900000000001</v>
      </c>
      <c r="J985" s="4">
        <f>CHOOSE( CONTROL!$C$32, 46.9341, 46.9307) * CHOOSE(CONTROL!$C$15, $D$11, 100%, $F$11)</f>
        <v>46.934100000000001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50.709 * CHOOSE(CONTROL!$C$15, $D$11, 100%, $F$11)</f>
        <v>50.709000000000003</v>
      </c>
      <c r="C986" s="8">
        <f>50.7193 * CHOOSE(CONTROL!$C$15, $D$11, 100%, $F$11)</f>
        <v>50.719299999999997</v>
      </c>
      <c r="D986" s="8">
        <f>50.7319 * CHOOSE( CONTROL!$C$15, $D$11, 100%, $F$11)</f>
        <v>50.731900000000003</v>
      </c>
      <c r="E986" s="12">
        <f>50.7266 * CHOOSE( CONTROL!$C$15, $D$11, 100%, $F$11)</f>
        <v>50.726599999999998</v>
      </c>
      <c r="F986" s="4">
        <f>51.3891 * CHOOSE(CONTROL!$C$15, $D$11, 100%, $F$11)</f>
        <v>51.389099999999999</v>
      </c>
      <c r="G986" s="8">
        <f>49.8674 * CHOOSE( CONTROL!$C$15, $D$11, 100%, $F$11)</f>
        <v>49.867400000000004</v>
      </c>
      <c r="H986" s="4">
        <f>50.7864 * CHOOSE(CONTROL!$C$15, $D$11, 100%, $F$11)</f>
        <v>50.7864</v>
      </c>
      <c r="I986" s="8">
        <f>49.1243 * CHOOSE(CONTROL!$C$15, $D$11, 100%, $F$11)</f>
        <v>49.124299999999998</v>
      </c>
      <c r="J986" s="4">
        <f>49.0156 * CHOOSE(CONTROL!$C$15, $D$11, 100%, $F$11)</f>
        <v>49.015599999999999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54.6881 * CHOOSE(CONTROL!$C$15, $D$11, 100%, $F$11)</f>
        <v>54.688099999999999</v>
      </c>
      <c r="C987" s="8">
        <f>54.6984 * CHOOSE(CONTROL!$C$15, $D$11, 100%, $F$11)</f>
        <v>54.698399999999999</v>
      </c>
      <c r="D987" s="8">
        <f>54.6834 * CHOOSE( CONTROL!$C$15, $D$11, 100%, $F$11)</f>
        <v>54.683399999999999</v>
      </c>
      <c r="E987" s="12">
        <f>54.6878 * CHOOSE( CONTROL!$C$15, $D$11, 100%, $F$11)</f>
        <v>54.687800000000003</v>
      </c>
      <c r="F987" s="4">
        <f>55.3423 * CHOOSE(CONTROL!$C$15, $D$11, 100%, $F$11)</f>
        <v>55.342300000000002</v>
      </c>
      <c r="G987" s="8">
        <f>53.7915 * CHOOSE( CONTROL!$C$15, $D$11, 100%, $F$11)</f>
        <v>53.791499999999999</v>
      </c>
      <c r="H987" s="4">
        <f>54.6757 * CHOOSE(CONTROL!$C$15, $D$11, 100%, $F$11)</f>
        <v>54.675699999999999</v>
      </c>
      <c r="I987" s="8">
        <f>52.9947 * CHOOSE(CONTROL!$C$15, $D$11, 100%, $F$11)</f>
        <v>52.994700000000002</v>
      </c>
      <c r="J987" s="4">
        <f>52.8637 * CHOOSE(CONTROL!$C$15, $D$11, 100%, $F$11)</f>
        <v>52.863700000000001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54.5887 * CHOOSE(CONTROL!$C$15, $D$11, 100%, $F$11)</f>
        <v>54.588700000000003</v>
      </c>
      <c r="C988" s="8">
        <f>54.599 * CHOOSE(CONTROL!$C$15, $D$11, 100%, $F$11)</f>
        <v>54.598999999999997</v>
      </c>
      <c r="D988" s="8">
        <f>54.5856 * CHOOSE( CONTROL!$C$15, $D$11, 100%, $F$11)</f>
        <v>54.585599999999999</v>
      </c>
      <c r="E988" s="12">
        <f>54.5894 * CHOOSE( CONTROL!$C$15, $D$11, 100%, $F$11)</f>
        <v>54.589399999999998</v>
      </c>
      <c r="F988" s="4">
        <f>55.2429 * CHOOSE(CONTROL!$C$15, $D$11, 100%, $F$11)</f>
        <v>55.242899999999999</v>
      </c>
      <c r="G988" s="8">
        <f>53.6949 * CHOOSE( CONTROL!$C$15, $D$11, 100%, $F$11)</f>
        <v>53.694899999999997</v>
      </c>
      <c r="H988" s="4">
        <f>54.5779 * CHOOSE(CONTROL!$C$15, $D$11, 100%, $F$11)</f>
        <v>54.5779</v>
      </c>
      <c r="I988" s="8">
        <f>52.9038 * CHOOSE(CONTROL!$C$15, $D$11, 100%, $F$11)</f>
        <v>52.903799999999997</v>
      </c>
      <c r="J988" s="4">
        <f>52.7676 * CHOOSE(CONTROL!$C$15, $D$11, 100%, $F$11)</f>
        <v>52.767600000000002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56.674 * CHOOSE(CONTROL!$C$15, $D$11, 100%, $F$11)</f>
        <v>56.673999999999999</v>
      </c>
      <c r="C989" s="8">
        <f>56.6844 * CHOOSE(CONTROL!$C$15, $D$11, 100%, $F$11)</f>
        <v>56.684399999999997</v>
      </c>
      <c r="D989" s="8">
        <f>56.6828 * CHOOSE( CONTROL!$C$15, $D$11, 100%, $F$11)</f>
        <v>56.6828</v>
      </c>
      <c r="E989" s="12">
        <f>56.6823 * CHOOSE( CONTROL!$C$15, $D$11, 100%, $F$11)</f>
        <v>56.682299999999998</v>
      </c>
      <c r="F989" s="4">
        <f>57.3567 * CHOOSE(CONTROL!$C$15, $D$11, 100%, $F$11)</f>
        <v>57.356699999999996</v>
      </c>
      <c r="G989" s="8">
        <f>55.7591 * CHOOSE( CONTROL!$C$15, $D$11, 100%, $F$11)</f>
        <v>55.759099999999997</v>
      </c>
      <c r="H989" s="4">
        <f>56.6575 * CHOOSE(CONTROL!$C$15, $D$11, 100%, $F$11)</f>
        <v>56.657499999999999</v>
      </c>
      <c r="I989" s="8">
        <f>54.9203 * CHOOSE(CONTROL!$C$15, $D$11, 100%, $F$11)</f>
        <v>54.920299999999997</v>
      </c>
      <c r="J989" s="4">
        <f>54.7843 * CHOOSE(CONTROL!$C$15, $D$11, 100%, $F$11)</f>
        <v>54.784300000000002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53.0118 * CHOOSE(CONTROL!$C$15, $D$11, 100%, $F$11)</f>
        <v>53.011800000000001</v>
      </c>
      <c r="C990" s="8">
        <f>53.0222 * CHOOSE(CONTROL!$C$15, $D$11, 100%, $F$11)</f>
        <v>53.022199999999998</v>
      </c>
      <c r="D990" s="8">
        <f>53.0227 * CHOOSE( CONTROL!$C$15, $D$11, 100%, $F$11)</f>
        <v>53.0227</v>
      </c>
      <c r="E990" s="12">
        <f>53.0214 * CHOOSE( CONTROL!$C$15, $D$11, 100%, $F$11)</f>
        <v>53.0214</v>
      </c>
      <c r="F990" s="4">
        <f>53.6868 * CHOOSE(CONTROL!$C$15, $D$11, 100%, $F$11)</f>
        <v>53.686799999999998</v>
      </c>
      <c r="G990" s="8">
        <f>52.1559 * CHOOSE( CONTROL!$C$15, $D$11, 100%, $F$11)</f>
        <v>52.155900000000003</v>
      </c>
      <c r="H990" s="4">
        <f>53.0469 * CHOOSE(CONTROL!$C$15, $D$11, 100%, $F$11)</f>
        <v>53.046900000000001</v>
      </c>
      <c r="I990" s="8">
        <f>51.3659 * CHOOSE(CONTROL!$C$15, $D$11, 100%, $F$11)</f>
        <v>51.365900000000003</v>
      </c>
      <c r="J990" s="4">
        <f>51.2426 * CHOOSE(CONTROL!$C$15, $D$11, 100%, $F$11)</f>
        <v>51.242600000000003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51.8839 * CHOOSE(CONTROL!$C$15, $D$11, 100%, $F$11)</f>
        <v>51.883899999999997</v>
      </c>
      <c r="C991" s="8">
        <f>51.8942 * CHOOSE(CONTROL!$C$15, $D$11, 100%, $F$11)</f>
        <v>51.894199999999998</v>
      </c>
      <c r="D991" s="8">
        <f>51.8894 * CHOOSE( CONTROL!$C$15, $D$11, 100%, $F$11)</f>
        <v>51.889400000000002</v>
      </c>
      <c r="E991" s="12">
        <f>51.8901 * CHOOSE( CONTROL!$C$15, $D$11, 100%, $F$11)</f>
        <v>51.890099999999997</v>
      </c>
      <c r="F991" s="4">
        <f>52.5614 * CHOOSE(CONTROL!$C$15, $D$11, 100%, $F$11)</f>
        <v>52.561399999999999</v>
      </c>
      <c r="G991" s="8">
        <f>51.0407 * CHOOSE( CONTROL!$C$15, $D$11, 100%, $F$11)</f>
        <v>51.040700000000001</v>
      </c>
      <c r="H991" s="4">
        <f>51.9397 * CHOOSE(CONTROL!$C$15, $D$11, 100%, $F$11)</f>
        <v>51.939700000000002</v>
      </c>
      <c r="I991" s="8">
        <f>50.2627 * CHOOSE(CONTROL!$C$15, $D$11, 100%, $F$11)</f>
        <v>50.262700000000002</v>
      </c>
      <c r="J991" s="4">
        <f>50.1518 * CHOOSE(CONTROL!$C$15, $D$11, 100%, $F$11)</f>
        <v>50.151800000000001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52.6721 * CHOOSE(CONTROL!$C$15, $D$11, 100%, $F$11)</f>
        <v>52.6721</v>
      </c>
      <c r="C992" s="8">
        <f>52.6824 * CHOOSE(CONTROL!$C$15, $D$11, 100%, $F$11)</f>
        <v>52.682400000000001</v>
      </c>
      <c r="D992" s="8">
        <f>52.6937 * CHOOSE( CONTROL!$C$15, $D$11, 100%, $F$11)</f>
        <v>52.6937</v>
      </c>
      <c r="E992" s="12">
        <f>52.6888 * CHOOSE( CONTROL!$C$15, $D$11, 100%, $F$11)</f>
        <v>52.688800000000001</v>
      </c>
      <c r="F992" s="4">
        <f>53.3522 * CHOOSE(CONTROL!$C$15, $D$11, 100%, $F$11)</f>
        <v>53.352200000000003</v>
      </c>
      <c r="G992" s="8">
        <f>51.7968 * CHOOSE( CONTROL!$C$15, $D$11, 100%, $F$11)</f>
        <v>51.796799999999998</v>
      </c>
      <c r="H992" s="4">
        <f>52.7177 * CHOOSE(CONTROL!$C$15, $D$11, 100%, $F$11)</f>
        <v>52.717700000000001</v>
      </c>
      <c r="I992" s="8">
        <f>51.0176 * CHOOSE(CONTROL!$C$15, $D$11, 100%, $F$11)</f>
        <v>51.017600000000002</v>
      </c>
      <c r="J992" s="4">
        <f>50.914 * CHOOSE(CONTROL!$C$15, $D$11, 100%, $F$11)</f>
        <v>50.914000000000001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CONTROL!$C$32, 54.0783, 54.0748) * CHOOSE(CONTROL!$C$15, $D$11, 100%, $F$11)</f>
        <v>54.078299999999999</v>
      </c>
      <c r="C993" s="8">
        <f>CHOOSE( CONTROL!$C$32, 54.0887, 54.0852) * CHOOSE(CONTROL!$C$15, $D$11, 100%, $F$11)</f>
        <v>54.088700000000003</v>
      </c>
      <c r="D993" s="8">
        <f>CHOOSE( CONTROL!$C$32, 54.0995, 54.096) * CHOOSE( CONTROL!$C$15, $D$11, 100%, $F$11)</f>
        <v>54.099499999999999</v>
      </c>
      <c r="E993" s="12">
        <f>CHOOSE( CONTROL!$C$32, 54.094, 54.0905) * CHOOSE( CONTROL!$C$15, $D$11, 100%, $F$11)</f>
        <v>54.094000000000001</v>
      </c>
      <c r="F993" s="4">
        <f>CHOOSE( CONTROL!$C$32, 54.7584, 54.755) * CHOOSE(CONTROL!$C$15, $D$11, 100%, $F$11)</f>
        <v>54.758400000000002</v>
      </c>
      <c r="G993" s="8">
        <f>CHOOSE( CONTROL!$C$32, 53.1815, 53.1781) * CHOOSE( CONTROL!$C$15, $D$11, 100%, $F$11)</f>
        <v>53.1815</v>
      </c>
      <c r="H993" s="4">
        <f>CHOOSE( CONTROL!$C$32, 54.1012, 54.0978) * CHOOSE(CONTROL!$C$15, $D$11, 100%, $F$11)</f>
        <v>54.101199999999999</v>
      </c>
      <c r="I993" s="8">
        <f>CHOOSE( CONTROL!$C$32, 52.3799, 52.3765) * CHOOSE(CONTROL!$C$15, $D$11, 100%, $F$11)</f>
        <v>52.379899999999999</v>
      </c>
      <c r="J993" s="4">
        <f>CHOOSE( CONTROL!$C$32, 52.274, 52.2707) * CHOOSE(CONTROL!$C$15, $D$11, 100%, $F$11)</f>
        <v>52.274000000000001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CONTROL!$C$32, 53.2093, 53.2059) * CHOOSE(CONTROL!$C$15, $D$11, 100%, $F$11)</f>
        <v>53.209299999999999</v>
      </c>
      <c r="C994" s="8">
        <f>CHOOSE( CONTROL!$C$32, 53.2197, 53.2162) * CHOOSE(CONTROL!$C$15, $D$11, 100%, $F$11)</f>
        <v>53.219700000000003</v>
      </c>
      <c r="D994" s="8">
        <f>CHOOSE( CONTROL!$C$32, 53.2308, 53.2273) * CHOOSE( CONTROL!$C$15, $D$11, 100%, $F$11)</f>
        <v>53.230800000000002</v>
      </c>
      <c r="E994" s="12">
        <f>CHOOSE( CONTROL!$C$32, 53.2252, 53.2217) * CHOOSE( CONTROL!$C$15, $D$11, 100%, $F$11)</f>
        <v>53.225200000000001</v>
      </c>
      <c r="F994" s="4">
        <f>CHOOSE( CONTROL!$C$32, 53.8894, 53.886) * CHOOSE(CONTROL!$C$15, $D$11, 100%, $F$11)</f>
        <v>53.889400000000002</v>
      </c>
      <c r="G994" s="8">
        <f>CHOOSE( CONTROL!$C$32, 52.327, 52.3236) * CHOOSE( CONTROL!$C$15, $D$11, 100%, $F$11)</f>
        <v>52.326999999999998</v>
      </c>
      <c r="H994" s="4">
        <f>CHOOSE( CONTROL!$C$32, 53.2463, 53.2429) * CHOOSE(CONTROL!$C$15, $D$11, 100%, $F$11)</f>
        <v>53.246299999999998</v>
      </c>
      <c r="I994" s="8">
        <f>CHOOSE( CONTROL!$C$32, 51.5404, 51.5371) * CHOOSE(CONTROL!$C$15, $D$11, 100%, $F$11)</f>
        <v>51.540399999999998</v>
      </c>
      <c r="J994" s="4">
        <f>CHOOSE( CONTROL!$C$32, 51.4336, 51.4303) * CHOOSE(CONTROL!$C$15, $D$11, 100%, $F$11)</f>
        <v>51.433599999999998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CONTROL!$C$32, 55.4977, 55.4942) * CHOOSE(CONTROL!$C$15, $D$11, 100%, $F$11)</f>
        <v>55.497700000000002</v>
      </c>
      <c r="C995" s="8">
        <f>CHOOSE( CONTROL!$C$32, 55.508, 55.5046) * CHOOSE(CONTROL!$C$15, $D$11, 100%, $F$11)</f>
        <v>55.508000000000003</v>
      </c>
      <c r="D995" s="8">
        <f>CHOOSE( CONTROL!$C$32, 55.5194, 55.516) * CHOOSE( CONTROL!$C$15, $D$11, 100%, $F$11)</f>
        <v>55.519399999999997</v>
      </c>
      <c r="E995" s="12">
        <f>CHOOSE( CONTROL!$C$32, 55.5137, 55.5103) * CHOOSE( CONTROL!$C$15, $D$11, 100%, $F$11)</f>
        <v>55.5137</v>
      </c>
      <c r="F995" s="4">
        <f>CHOOSE( CONTROL!$C$32, 56.1778, 56.1743) * CHOOSE(CONTROL!$C$15, $D$11, 100%, $F$11)</f>
        <v>56.177799999999998</v>
      </c>
      <c r="G995" s="8">
        <f>CHOOSE( CONTROL!$C$32, 54.5788, 54.5753) * CHOOSE( CONTROL!$C$15, $D$11, 100%, $F$11)</f>
        <v>54.578800000000001</v>
      </c>
      <c r="H995" s="4">
        <f>CHOOSE( CONTROL!$C$32, 55.4976, 55.4942) * CHOOSE(CONTROL!$C$15, $D$11, 100%, $F$11)</f>
        <v>55.497599999999998</v>
      </c>
      <c r="I995" s="8">
        <f>CHOOSE( CONTROL!$C$32, 53.756, 53.7527) * CHOOSE(CONTROL!$C$15, $D$11, 100%, $F$11)</f>
        <v>53.756</v>
      </c>
      <c r="J995" s="4">
        <f>CHOOSE( CONTROL!$C$32, 53.6467, 53.6434) * CHOOSE(CONTROL!$C$15, $D$11, 100%, $F$11)</f>
        <v>53.646700000000003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CONTROL!$C$32, 51.2159, 51.2125) * CHOOSE(CONTROL!$C$15, $D$11, 100%, $F$11)</f>
        <v>51.215899999999998</v>
      </c>
      <c r="C996" s="8">
        <f>CHOOSE( CONTROL!$C$32, 51.2263, 51.2228) * CHOOSE(CONTROL!$C$15, $D$11, 100%, $F$11)</f>
        <v>51.226300000000002</v>
      </c>
      <c r="D996" s="8">
        <f>CHOOSE( CONTROL!$C$32, 51.2378, 51.2344) * CHOOSE( CONTROL!$C$15, $D$11, 100%, $F$11)</f>
        <v>51.2378</v>
      </c>
      <c r="E996" s="12">
        <f>CHOOSE( CONTROL!$C$32, 51.232, 51.2286) * CHOOSE( CONTROL!$C$15, $D$11, 100%, $F$11)</f>
        <v>51.231999999999999</v>
      </c>
      <c r="F996" s="4">
        <f>CHOOSE( CONTROL!$C$32, 51.8961, 51.8926) * CHOOSE(CONTROL!$C$15, $D$11, 100%, $F$11)</f>
        <v>51.896099999999997</v>
      </c>
      <c r="G996" s="8">
        <f>CHOOSE( CONTROL!$C$32, 50.3665, 50.3631) * CHOOSE( CONTROL!$C$15, $D$11, 100%, $F$11)</f>
        <v>50.366500000000002</v>
      </c>
      <c r="H996" s="4">
        <f>CHOOSE( CONTROL!$C$32, 51.2851, 51.2817) * CHOOSE(CONTROL!$C$15, $D$11, 100%, $F$11)</f>
        <v>51.2851</v>
      </c>
      <c r="I996" s="8">
        <f>CHOOSE( CONTROL!$C$32, 49.6137, 49.6104) * CHOOSE(CONTROL!$C$15, $D$11, 100%, $F$11)</f>
        <v>49.613700000000001</v>
      </c>
      <c r="J996" s="4">
        <f>CHOOSE( CONTROL!$C$32, 49.5058, 49.5025) * CHOOSE(CONTROL!$C$15, $D$11, 100%, $F$11)</f>
        <v>49.505800000000001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CONTROL!$C$32, 50.1437, 50.1403) * CHOOSE(CONTROL!$C$15, $D$11, 100%, $F$11)</f>
        <v>50.143700000000003</v>
      </c>
      <c r="C997" s="8">
        <f>CHOOSE( CONTROL!$C$32, 50.1541, 50.1506) * CHOOSE(CONTROL!$C$15, $D$11, 100%, $F$11)</f>
        <v>50.1541</v>
      </c>
      <c r="D997" s="8">
        <f>CHOOSE( CONTROL!$C$32, 50.1657, 50.1622) * CHOOSE( CONTROL!$C$15, $D$11, 100%, $F$11)</f>
        <v>50.165700000000001</v>
      </c>
      <c r="E997" s="12">
        <f>CHOOSE( CONTROL!$C$32, 50.1599, 50.1564) * CHOOSE( CONTROL!$C$15, $D$11, 100%, $F$11)</f>
        <v>50.1599</v>
      </c>
      <c r="F997" s="4">
        <f>CHOOSE( CONTROL!$C$32, 50.8239, 50.8204) * CHOOSE(CONTROL!$C$15, $D$11, 100%, $F$11)</f>
        <v>50.823900000000002</v>
      </c>
      <c r="G997" s="8">
        <f>CHOOSE( CONTROL!$C$32, 49.3117, 49.3083) * CHOOSE( CONTROL!$C$15, $D$11, 100%, $F$11)</f>
        <v>49.311700000000002</v>
      </c>
      <c r="H997" s="4">
        <f>CHOOSE( CONTROL!$C$32, 50.2303, 50.2269) * CHOOSE(CONTROL!$C$15, $D$11, 100%, $F$11)</f>
        <v>50.2303</v>
      </c>
      <c r="I997" s="8">
        <f>CHOOSE( CONTROL!$C$32, 48.5765, 48.5731) * CHOOSE(CONTROL!$C$15, $D$11, 100%, $F$11)</f>
        <v>48.576500000000003</v>
      </c>
      <c r="J997" s="4">
        <f>CHOOSE( CONTROL!$C$32, 48.4689, 48.4656) * CHOOSE(CONTROL!$C$15, $D$11, 100%, $F$11)</f>
        <v>48.468899999999998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52.3665 * CHOOSE(CONTROL!$C$15, $D$11, 100%, $F$11)</f>
        <v>52.366500000000002</v>
      </c>
      <c r="C998" s="8">
        <f>52.3769 * CHOOSE(CONTROL!$C$15, $D$11, 100%, $F$11)</f>
        <v>52.376899999999999</v>
      </c>
      <c r="D998" s="8">
        <f>52.3894 * CHOOSE( CONTROL!$C$15, $D$11, 100%, $F$11)</f>
        <v>52.389400000000002</v>
      </c>
      <c r="E998" s="12">
        <f>52.3842 * CHOOSE( CONTROL!$C$15, $D$11, 100%, $F$11)</f>
        <v>52.3842</v>
      </c>
      <c r="F998" s="4">
        <f>53.0466 * CHOOSE(CONTROL!$C$15, $D$11, 100%, $F$11)</f>
        <v>53.046599999999998</v>
      </c>
      <c r="G998" s="8">
        <f>51.4981 * CHOOSE( CONTROL!$C$15, $D$11, 100%, $F$11)</f>
        <v>51.498100000000001</v>
      </c>
      <c r="H998" s="4">
        <f>52.4171 * CHOOSE(CONTROL!$C$15, $D$11, 100%, $F$11)</f>
        <v>52.417099999999998</v>
      </c>
      <c r="I998" s="8">
        <f>50.7281 * CHOOSE(CONTROL!$C$15, $D$11, 100%, $F$11)</f>
        <v>50.728099999999998</v>
      </c>
      <c r="J998" s="4">
        <f>50.6186 * CHOOSE(CONTROL!$C$15, $D$11, 100%, $F$11)</f>
        <v>50.618600000000001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56.4757 * CHOOSE(CONTROL!$C$15, $D$11, 100%, $F$11)</f>
        <v>56.475700000000003</v>
      </c>
      <c r="C999" s="8">
        <f>56.4861 * CHOOSE(CONTROL!$C$15, $D$11, 100%, $F$11)</f>
        <v>56.4861</v>
      </c>
      <c r="D999" s="8">
        <f>56.471 * CHOOSE( CONTROL!$C$15, $D$11, 100%, $F$11)</f>
        <v>56.470999999999997</v>
      </c>
      <c r="E999" s="12">
        <f>56.4754 * CHOOSE( CONTROL!$C$15, $D$11, 100%, $F$11)</f>
        <v>56.4754</v>
      </c>
      <c r="F999" s="4">
        <f>57.13 * CHOOSE(CONTROL!$C$15, $D$11, 100%, $F$11)</f>
        <v>57.13</v>
      </c>
      <c r="G999" s="8">
        <f>55.5502 * CHOOSE( CONTROL!$C$15, $D$11, 100%, $F$11)</f>
        <v>55.550199999999997</v>
      </c>
      <c r="H999" s="4">
        <f>56.4344 * CHOOSE(CONTROL!$C$15, $D$11, 100%, $F$11)</f>
        <v>56.434399999999997</v>
      </c>
      <c r="I999" s="8">
        <f>54.7244 * CHOOSE(CONTROL!$C$15, $D$11, 100%, $F$11)</f>
        <v>54.724400000000003</v>
      </c>
      <c r="J999" s="4">
        <f>54.5926 * CHOOSE(CONTROL!$C$15, $D$11, 100%, $F$11)</f>
        <v>54.592599999999997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56.3731 * CHOOSE(CONTROL!$C$15, $D$11, 100%, $F$11)</f>
        <v>56.373100000000001</v>
      </c>
      <c r="C1000" s="8">
        <f>56.3834 * CHOOSE(CONTROL!$C$15, $D$11, 100%, $F$11)</f>
        <v>56.383400000000002</v>
      </c>
      <c r="D1000" s="8">
        <f>56.37 * CHOOSE( CONTROL!$C$15, $D$11, 100%, $F$11)</f>
        <v>56.37</v>
      </c>
      <c r="E1000" s="12">
        <f>56.3738 * CHOOSE( CONTROL!$C$15, $D$11, 100%, $F$11)</f>
        <v>56.373800000000003</v>
      </c>
      <c r="F1000" s="4">
        <f>57.0273 * CHOOSE(CONTROL!$C$15, $D$11, 100%, $F$11)</f>
        <v>57.027299999999997</v>
      </c>
      <c r="G1000" s="8">
        <f>55.4504 * CHOOSE( CONTROL!$C$15, $D$11, 100%, $F$11)</f>
        <v>55.450400000000002</v>
      </c>
      <c r="H1000" s="4">
        <f>56.3334 * CHOOSE(CONTROL!$C$15, $D$11, 100%, $F$11)</f>
        <v>56.333399999999997</v>
      </c>
      <c r="I1000" s="8">
        <f>54.6304 * CHOOSE(CONTROL!$C$15, $D$11, 100%, $F$11)</f>
        <v>54.630400000000002</v>
      </c>
      <c r="J1000" s="4">
        <f>54.4933 * CHOOSE(CONTROL!$C$15, $D$11, 100%, $F$11)</f>
        <v>54.493299999999998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58.5266 * CHOOSE(CONTROL!$C$15, $D$11, 100%, $F$11)</f>
        <v>58.526600000000002</v>
      </c>
      <c r="C1001" s="8">
        <f>58.537 * CHOOSE(CONTROL!$C$15, $D$11, 100%, $F$11)</f>
        <v>58.536999999999999</v>
      </c>
      <c r="D1001" s="8">
        <f>58.5354 * CHOOSE( CONTROL!$C$15, $D$11, 100%, $F$11)</f>
        <v>58.535400000000003</v>
      </c>
      <c r="E1001" s="12">
        <f>58.5349 * CHOOSE( CONTROL!$C$15, $D$11, 100%, $F$11)</f>
        <v>58.5349</v>
      </c>
      <c r="F1001" s="4">
        <f>59.2093 * CHOOSE(CONTROL!$C$15, $D$11, 100%, $F$11)</f>
        <v>59.209299999999999</v>
      </c>
      <c r="G1001" s="8">
        <f>57.5817 * CHOOSE( CONTROL!$C$15, $D$11, 100%, $F$11)</f>
        <v>57.581699999999998</v>
      </c>
      <c r="H1001" s="4">
        <f>58.4801 * CHOOSE(CONTROL!$C$15, $D$11, 100%, $F$11)</f>
        <v>58.4801</v>
      </c>
      <c r="I1001" s="8">
        <f>56.7129 * CHOOSE(CONTROL!$C$15, $D$11, 100%, $F$11)</f>
        <v>56.712899999999998</v>
      </c>
      <c r="J1001" s="4">
        <f>56.576 * CHOOSE(CONTROL!$C$15, $D$11, 100%, $F$11)</f>
        <v>56.576000000000001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54.7447 * CHOOSE(CONTROL!$C$15, $D$11, 100%, $F$11)</f>
        <v>54.744700000000002</v>
      </c>
      <c r="C1002" s="8">
        <f>54.755 * CHOOSE(CONTROL!$C$15, $D$11, 100%, $F$11)</f>
        <v>54.755000000000003</v>
      </c>
      <c r="D1002" s="8">
        <f>54.7555 * CHOOSE( CONTROL!$C$15, $D$11, 100%, $F$11)</f>
        <v>54.755499999999998</v>
      </c>
      <c r="E1002" s="12">
        <f>54.7542 * CHOOSE( CONTROL!$C$15, $D$11, 100%, $F$11)</f>
        <v>54.754199999999997</v>
      </c>
      <c r="F1002" s="4">
        <f>55.4196 * CHOOSE(CONTROL!$C$15, $D$11, 100%, $F$11)</f>
        <v>55.419600000000003</v>
      </c>
      <c r="G1002" s="8">
        <f>53.8607 * CHOOSE( CONTROL!$C$15, $D$11, 100%, $F$11)</f>
        <v>53.860700000000001</v>
      </c>
      <c r="H1002" s="4">
        <f>54.7517 * CHOOSE(CONTROL!$C$15, $D$11, 100%, $F$11)</f>
        <v>54.7517</v>
      </c>
      <c r="I1002" s="8">
        <f>53.0426 * CHOOSE(CONTROL!$C$15, $D$11, 100%, $F$11)</f>
        <v>53.0426</v>
      </c>
      <c r="J1002" s="4">
        <f>52.9185 * CHOOSE(CONTROL!$C$15, $D$11, 100%, $F$11)</f>
        <v>52.918500000000002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53.5798 * CHOOSE(CONTROL!$C$15, $D$11, 100%, $F$11)</f>
        <v>53.579799999999999</v>
      </c>
      <c r="C1003" s="8">
        <f>53.5902 * CHOOSE(CONTROL!$C$15, $D$11, 100%, $F$11)</f>
        <v>53.590200000000003</v>
      </c>
      <c r="D1003" s="8">
        <f>53.5854 * CHOOSE( CONTROL!$C$15, $D$11, 100%, $F$11)</f>
        <v>53.5854</v>
      </c>
      <c r="E1003" s="12">
        <f>53.586 * CHOOSE( CONTROL!$C$15, $D$11, 100%, $F$11)</f>
        <v>53.585999999999999</v>
      </c>
      <c r="F1003" s="4">
        <f>54.2573 * CHOOSE(CONTROL!$C$15, $D$11, 100%, $F$11)</f>
        <v>54.257300000000001</v>
      </c>
      <c r="G1003" s="8">
        <f>52.7092 * CHOOSE( CONTROL!$C$15, $D$11, 100%, $F$11)</f>
        <v>52.709200000000003</v>
      </c>
      <c r="H1003" s="4">
        <f>53.6082 * CHOOSE(CONTROL!$C$15, $D$11, 100%, $F$11)</f>
        <v>53.608199999999997</v>
      </c>
      <c r="I1003" s="8">
        <f>51.9036 * CHOOSE(CONTROL!$C$15, $D$11, 100%, $F$11)</f>
        <v>51.903599999999997</v>
      </c>
      <c r="J1003" s="4">
        <f>51.7919 * CHOOSE(CONTROL!$C$15, $D$11, 100%, $F$11)</f>
        <v>51.791899999999998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54.3938 * CHOOSE(CONTROL!$C$15, $D$11, 100%, $F$11)</f>
        <v>54.393799999999999</v>
      </c>
      <c r="C1004" s="8">
        <f>54.4041 * CHOOSE(CONTROL!$C$15, $D$11, 100%, $F$11)</f>
        <v>54.4041</v>
      </c>
      <c r="D1004" s="8">
        <f>54.4154 * CHOOSE( CONTROL!$C$15, $D$11, 100%, $F$11)</f>
        <v>54.415399999999998</v>
      </c>
      <c r="E1004" s="12">
        <f>54.4105 * CHOOSE( CONTROL!$C$15, $D$11, 100%, $F$11)</f>
        <v>54.410499999999999</v>
      </c>
      <c r="F1004" s="4">
        <f>55.0739 * CHOOSE(CONTROL!$C$15, $D$11, 100%, $F$11)</f>
        <v>55.073900000000002</v>
      </c>
      <c r="G1004" s="8">
        <f>53.4906 * CHOOSE( CONTROL!$C$15, $D$11, 100%, $F$11)</f>
        <v>53.490600000000001</v>
      </c>
      <c r="H1004" s="4">
        <f>54.4116 * CHOOSE(CONTROL!$C$15, $D$11, 100%, $F$11)</f>
        <v>54.4116</v>
      </c>
      <c r="I1004" s="8">
        <f>52.6836 * CHOOSE(CONTROL!$C$15, $D$11, 100%, $F$11)</f>
        <v>52.683599999999998</v>
      </c>
      <c r="J1004" s="4">
        <f>52.5791 * CHOOSE(CONTROL!$C$15, $D$11, 100%, $F$11)</f>
        <v>52.579099999999997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CONTROL!$C$32, 55.8459, 55.8424) * CHOOSE(CONTROL!$C$15, $D$11, 100%, $F$11)</f>
        <v>55.8459</v>
      </c>
      <c r="C1005" s="8">
        <f>CHOOSE( CONTROL!$C$32, 55.8563, 55.8528) * CHOOSE(CONTROL!$C$15, $D$11, 100%, $F$11)</f>
        <v>55.856299999999997</v>
      </c>
      <c r="D1005" s="8">
        <f>CHOOSE( CONTROL!$C$32, 55.8671, 55.8636) * CHOOSE( CONTROL!$C$15, $D$11, 100%, $F$11)</f>
        <v>55.867100000000001</v>
      </c>
      <c r="E1005" s="12">
        <f>CHOOSE( CONTROL!$C$32, 55.8616, 55.8581) * CHOOSE( CONTROL!$C$15, $D$11, 100%, $F$11)</f>
        <v>55.861600000000003</v>
      </c>
      <c r="F1005" s="4">
        <f>CHOOSE( CONTROL!$C$32, 56.526, 56.5226) * CHOOSE(CONTROL!$C$15, $D$11, 100%, $F$11)</f>
        <v>56.526000000000003</v>
      </c>
      <c r="G1005" s="8">
        <f>CHOOSE( CONTROL!$C$32, 54.9205, 54.9171) * CHOOSE( CONTROL!$C$15, $D$11, 100%, $F$11)</f>
        <v>54.920499999999997</v>
      </c>
      <c r="H1005" s="4">
        <f>CHOOSE( CONTROL!$C$32, 55.8402, 55.8368) * CHOOSE(CONTROL!$C$15, $D$11, 100%, $F$11)</f>
        <v>55.840200000000003</v>
      </c>
      <c r="I1005" s="8">
        <f>CHOOSE( CONTROL!$C$32, 54.0902, 54.0868) * CHOOSE(CONTROL!$C$15, $D$11, 100%, $F$11)</f>
        <v>54.090200000000003</v>
      </c>
      <c r="J1005" s="4">
        <f>CHOOSE( CONTROL!$C$32, 53.9835, 53.9801) * CHOOSE(CONTROL!$C$15, $D$11, 100%, $F$11)</f>
        <v>53.983499999999999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CONTROL!$C$32, 54.9485, 54.9451) * CHOOSE(CONTROL!$C$15, $D$11, 100%, $F$11)</f>
        <v>54.948500000000003</v>
      </c>
      <c r="C1006" s="8">
        <f>CHOOSE( CONTROL!$C$32, 54.9589, 54.9554) * CHOOSE(CONTROL!$C$15, $D$11, 100%, $F$11)</f>
        <v>54.9589</v>
      </c>
      <c r="D1006" s="8">
        <f>CHOOSE( CONTROL!$C$32, 54.97, 54.9665) * CHOOSE( CONTROL!$C$15, $D$11, 100%, $F$11)</f>
        <v>54.97</v>
      </c>
      <c r="E1006" s="12">
        <f>CHOOSE( CONTROL!$C$32, 54.9644, 54.9609) * CHOOSE( CONTROL!$C$15, $D$11, 100%, $F$11)</f>
        <v>54.964399999999998</v>
      </c>
      <c r="F1006" s="4">
        <f>CHOOSE( CONTROL!$C$32, 55.6286, 55.6252) * CHOOSE(CONTROL!$C$15, $D$11, 100%, $F$11)</f>
        <v>55.628599999999999</v>
      </c>
      <c r="G1006" s="8">
        <f>CHOOSE( CONTROL!$C$32, 54.038, 54.0346) * CHOOSE( CONTROL!$C$15, $D$11, 100%, $F$11)</f>
        <v>54.037999999999997</v>
      </c>
      <c r="H1006" s="4">
        <f>CHOOSE( CONTROL!$C$32, 54.9573, 54.9539) * CHOOSE(CONTROL!$C$15, $D$11, 100%, $F$11)</f>
        <v>54.957299999999996</v>
      </c>
      <c r="I1006" s="8">
        <f>CHOOSE( CONTROL!$C$32, 53.2232, 53.2199) * CHOOSE(CONTROL!$C$15, $D$11, 100%, $F$11)</f>
        <v>53.223199999999999</v>
      </c>
      <c r="J1006" s="4">
        <f>CHOOSE( CONTROL!$C$32, 53.1156, 53.1123) * CHOOSE(CONTROL!$C$15, $D$11, 100%, $F$11)</f>
        <v>53.115600000000001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CONTROL!$C$32, 57.3117, 57.3082) * CHOOSE(CONTROL!$C$15, $D$11, 100%, $F$11)</f>
        <v>57.311700000000002</v>
      </c>
      <c r="C1007" s="8">
        <f>CHOOSE( CONTROL!$C$32, 57.322, 57.3186) * CHOOSE(CONTROL!$C$15, $D$11, 100%, $F$11)</f>
        <v>57.322000000000003</v>
      </c>
      <c r="D1007" s="8">
        <f>CHOOSE( CONTROL!$C$32, 57.3334, 57.33) * CHOOSE( CONTROL!$C$15, $D$11, 100%, $F$11)</f>
        <v>57.333399999999997</v>
      </c>
      <c r="E1007" s="12">
        <f>CHOOSE( CONTROL!$C$32, 57.3277, 57.3243) * CHOOSE( CONTROL!$C$15, $D$11, 100%, $F$11)</f>
        <v>57.3277</v>
      </c>
      <c r="F1007" s="4">
        <f>CHOOSE( CONTROL!$C$32, 57.9918, 57.9883) * CHOOSE(CONTROL!$C$15, $D$11, 100%, $F$11)</f>
        <v>57.991799999999998</v>
      </c>
      <c r="G1007" s="8">
        <f>CHOOSE( CONTROL!$C$32, 56.3634, 56.36) * CHOOSE( CONTROL!$C$15, $D$11, 100%, $F$11)</f>
        <v>56.363399999999999</v>
      </c>
      <c r="H1007" s="4">
        <f>CHOOSE( CONTROL!$C$32, 57.2823, 57.2789) * CHOOSE(CONTROL!$C$15, $D$11, 100%, $F$11)</f>
        <v>57.282299999999999</v>
      </c>
      <c r="I1007" s="8">
        <f>CHOOSE( CONTROL!$C$32, 55.5112, 55.5079) * CHOOSE(CONTROL!$C$15, $D$11, 100%, $F$11)</f>
        <v>55.511200000000002</v>
      </c>
      <c r="J1007" s="4">
        <f>CHOOSE( CONTROL!$C$32, 55.401, 55.3977) * CHOOSE(CONTROL!$C$15, $D$11, 100%, $F$11)</f>
        <v>55.401000000000003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CONTROL!$C$32, 52.8899, 52.8865) * CHOOSE(CONTROL!$C$15, $D$11, 100%, $F$11)</f>
        <v>52.889899999999997</v>
      </c>
      <c r="C1008" s="8">
        <f>CHOOSE( CONTROL!$C$32, 52.9003, 52.8968) * CHOOSE(CONTROL!$C$15, $D$11, 100%, $F$11)</f>
        <v>52.900300000000001</v>
      </c>
      <c r="D1008" s="8">
        <f>CHOOSE( CONTROL!$C$32, 52.9118, 52.9083) * CHOOSE( CONTROL!$C$15, $D$11, 100%, $F$11)</f>
        <v>52.911799999999999</v>
      </c>
      <c r="E1008" s="12">
        <f>CHOOSE( CONTROL!$C$32, 52.906, 52.9026) * CHOOSE( CONTROL!$C$15, $D$11, 100%, $F$11)</f>
        <v>52.905999999999999</v>
      </c>
      <c r="F1008" s="4">
        <f>CHOOSE( CONTROL!$C$32, 53.57, 53.5666) * CHOOSE(CONTROL!$C$15, $D$11, 100%, $F$11)</f>
        <v>53.57</v>
      </c>
      <c r="G1008" s="8">
        <f>CHOOSE( CONTROL!$C$32, 52.0134, 52.01) * CHOOSE( CONTROL!$C$15, $D$11, 100%, $F$11)</f>
        <v>52.013399999999997</v>
      </c>
      <c r="H1008" s="4">
        <f>CHOOSE( CONTROL!$C$32, 52.9321, 52.9286) * CHOOSE(CONTROL!$C$15, $D$11, 100%, $F$11)</f>
        <v>52.932099999999998</v>
      </c>
      <c r="I1008" s="8">
        <f>CHOOSE( CONTROL!$C$32, 51.2335, 51.2301) * CHOOSE(CONTROL!$C$15, $D$11, 100%, $F$11)</f>
        <v>51.233499999999999</v>
      </c>
      <c r="J1008" s="4">
        <f>CHOOSE( CONTROL!$C$32, 51.1248, 51.1214) * CHOOSE(CONTROL!$C$15, $D$11, 100%, $F$11)</f>
        <v>51.1248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CONTROL!$C$32, 51.7827, 51.7792) * CHOOSE(CONTROL!$C$15, $D$11, 100%, $F$11)</f>
        <v>51.782699999999998</v>
      </c>
      <c r="C1009" s="8">
        <f>CHOOSE( CONTROL!$C$32, 51.793, 51.7895) * CHOOSE(CONTROL!$C$15, $D$11, 100%, $F$11)</f>
        <v>51.792999999999999</v>
      </c>
      <c r="D1009" s="8">
        <f>CHOOSE( CONTROL!$C$32, 51.8046, 51.8011) * CHOOSE( CONTROL!$C$15, $D$11, 100%, $F$11)</f>
        <v>51.804600000000001</v>
      </c>
      <c r="E1009" s="12">
        <f>CHOOSE( CONTROL!$C$32, 51.7988, 51.7953) * CHOOSE( CONTROL!$C$15, $D$11, 100%, $F$11)</f>
        <v>51.7988</v>
      </c>
      <c r="F1009" s="4">
        <f>CHOOSE( CONTROL!$C$32, 52.4628, 52.4593) * CHOOSE(CONTROL!$C$15, $D$11, 100%, $F$11)</f>
        <v>52.462800000000001</v>
      </c>
      <c r="G1009" s="8">
        <f>CHOOSE( CONTROL!$C$32, 50.9241, 50.9207) * CHOOSE( CONTROL!$C$15, $D$11, 100%, $F$11)</f>
        <v>50.924100000000003</v>
      </c>
      <c r="H1009" s="4">
        <f>CHOOSE( CONTROL!$C$32, 51.8427, 51.8393) * CHOOSE(CONTROL!$C$15, $D$11, 100%, $F$11)</f>
        <v>51.842700000000001</v>
      </c>
      <c r="I1009" s="8">
        <f>CHOOSE( CONTROL!$C$32, 50.1623, 50.1589) * CHOOSE(CONTROL!$C$15, $D$11, 100%, $F$11)</f>
        <v>50.162300000000002</v>
      </c>
      <c r="J1009" s="4">
        <f>CHOOSE( CONTROL!$C$32, 50.0539, 50.0506) * CHOOSE(CONTROL!$C$15, $D$11, 100%, $F$11)</f>
        <v>50.053899999999999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54.0783 * CHOOSE(CONTROL!$C$15, $D$11, 100%, $F$11)</f>
        <v>54.078299999999999</v>
      </c>
      <c r="C1010" s="8">
        <f>54.0886 * CHOOSE(CONTROL!$C$15, $D$11, 100%, $F$11)</f>
        <v>54.0886</v>
      </c>
      <c r="D1010" s="8">
        <f>54.1011 * CHOOSE( CONTROL!$C$15, $D$11, 100%, $F$11)</f>
        <v>54.101100000000002</v>
      </c>
      <c r="E1010" s="12">
        <f>54.0959 * CHOOSE( CONTROL!$C$15, $D$11, 100%, $F$11)</f>
        <v>54.0959</v>
      </c>
      <c r="F1010" s="4">
        <f>54.7584 * CHOOSE(CONTROL!$C$15, $D$11, 100%, $F$11)</f>
        <v>54.758400000000002</v>
      </c>
      <c r="G1010" s="8">
        <f>53.1821 * CHOOSE( CONTROL!$C$15, $D$11, 100%, $F$11)</f>
        <v>53.182099999999998</v>
      </c>
      <c r="H1010" s="4">
        <f>54.1012 * CHOOSE(CONTROL!$C$15, $D$11, 100%, $F$11)</f>
        <v>54.101199999999999</v>
      </c>
      <c r="I1010" s="8">
        <f>52.3843 * CHOOSE(CONTROL!$C$15, $D$11, 100%, $F$11)</f>
        <v>52.384300000000003</v>
      </c>
      <c r="J1010" s="4">
        <f>52.274 * CHOOSE(CONTROL!$C$15, $D$11, 100%, $F$11)</f>
        <v>52.274000000000001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58.3219 * CHOOSE(CONTROL!$C$15, $D$11, 100%, $F$11)</f>
        <v>58.321899999999999</v>
      </c>
      <c r="C1011" s="8">
        <f>58.3322 * CHOOSE(CONTROL!$C$15, $D$11, 100%, $F$11)</f>
        <v>58.3322</v>
      </c>
      <c r="D1011" s="8">
        <f>58.3171 * CHOOSE( CONTROL!$C$15, $D$11, 100%, $F$11)</f>
        <v>58.317100000000003</v>
      </c>
      <c r="E1011" s="12">
        <f>58.3215 * CHOOSE( CONTROL!$C$15, $D$11, 100%, $F$11)</f>
        <v>58.3215</v>
      </c>
      <c r="F1011" s="4">
        <f>58.9761 * CHOOSE(CONTROL!$C$15, $D$11, 100%, $F$11)</f>
        <v>58.976100000000002</v>
      </c>
      <c r="G1011" s="8">
        <f>57.3665 * CHOOSE( CONTROL!$C$15, $D$11, 100%, $F$11)</f>
        <v>57.366500000000002</v>
      </c>
      <c r="H1011" s="4">
        <f>58.2507 * CHOOSE(CONTROL!$C$15, $D$11, 100%, $F$11)</f>
        <v>58.250700000000002</v>
      </c>
      <c r="I1011" s="8">
        <f>56.5107 * CHOOSE(CONTROL!$C$15, $D$11, 100%, $F$11)</f>
        <v>56.5107</v>
      </c>
      <c r="J1011" s="4">
        <f>56.378 * CHOOSE(CONTROL!$C$15, $D$11, 100%, $F$11)</f>
        <v>56.378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58.2158 * CHOOSE(CONTROL!$C$15, $D$11, 100%, $F$11)</f>
        <v>58.215800000000002</v>
      </c>
      <c r="C1012" s="8">
        <f>58.2262 * CHOOSE(CONTROL!$C$15, $D$11, 100%, $F$11)</f>
        <v>58.226199999999999</v>
      </c>
      <c r="D1012" s="8">
        <f>58.2127 * CHOOSE( CONTROL!$C$15, $D$11, 100%, $F$11)</f>
        <v>58.212699999999998</v>
      </c>
      <c r="E1012" s="12">
        <f>58.2165 * CHOOSE( CONTROL!$C$15, $D$11, 100%, $F$11)</f>
        <v>58.216500000000003</v>
      </c>
      <c r="F1012" s="4">
        <f>58.8701 * CHOOSE(CONTROL!$C$15, $D$11, 100%, $F$11)</f>
        <v>58.870100000000001</v>
      </c>
      <c r="G1012" s="8">
        <f>57.2634 * CHOOSE( CONTROL!$C$15, $D$11, 100%, $F$11)</f>
        <v>57.263399999999997</v>
      </c>
      <c r="H1012" s="4">
        <f>58.1464 * CHOOSE(CONTROL!$C$15, $D$11, 100%, $F$11)</f>
        <v>58.1464</v>
      </c>
      <c r="I1012" s="8">
        <f>56.4134 * CHOOSE(CONTROL!$C$15, $D$11, 100%, $F$11)</f>
        <v>56.413400000000003</v>
      </c>
      <c r="J1012" s="4">
        <f>56.2754 * CHOOSE(CONTROL!$C$15, $D$11, 100%, $F$11)</f>
        <v>56.275399999999998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60.4398 * CHOOSE(CONTROL!$C$15, $D$11, 100%, $F$11)</f>
        <v>60.439799999999998</v>
      </c>
      <c r="C1013" s="8">
        <f>60.4502 * CHOOSE(CONTROL!$C$15, $D$11, 100%, $F$11)</f>
        <v>60.450200000000002</v>
      </c>
      <c r="D1013" s="8">
        <f>60.4486 * CHOOSE( CONTROL!$C$15, $D$11, 100%, $F$11)</f>
        <v>60.448599999999999</v>
      </c>
      <c r="E1013" s="12">
        <f>60.4481 * CHOOSE( CONTROL!$C$15, $D$11, 100%, $F$11)</f>
        <v>60.448099999999997</v>
      </c>
      <c r="F1013" s="4">
        <f>61.1225 * CHOOSE(CONTROL!$C$15, $D$11, 100%, $F$11)</f>
        <v>61.122500000000002</v>
      </c>
      <c r="G1013" s="8">
        <f>59.4639 * CHOOSE( CONTROL!$C$15, $D$11, 100%, $F$11)</f>
        <v>59.463900000000002</v>
      </c>
      <c r="H1013" s="4">
        <f>60.3624 * CHOOSE(CONTROL!$C$15, $D$11, 100%, $F$11)</f>
        <v>60.362400000000001</v>
      </c>
      <c r="I1013" s="8">
        <f>58.5641 * CHOOSE(CONTROL!$C$15, $D$11, 100%, $F$11)</f>
        <v>58.564100000000003</v>
      </c>
      <c r="J1013" s="4">
        <f>58.4262 * CHOOSE(CONTROL!$C$15, $D$11, 100%, $F$11)</f>
        <v>58.426200000000001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56.5342 * CHOOSE(CONTROL!$C$15, $D$11, 100%, $F$11)</f>
        <v>56.534199999999998</v>
      </c>
      <c r="C1014" s="8">
        <f>56.5445 * CHOOSE(CONTROL!$C$15, $D$11, 100%, $F$11)</f>
        <v>56.544499999999999</v>
      </c>
      <c r="D1014" s="8">
        <f>56.545 * CHOOSE( CONTROL!$C$15, $D$11, 100%, $F$11)</f>
        <v>56.545000000000002</v>
      </c>
      <c r="E1014" s="12">
        <f>56.5437 * CHOOSE( CONTROL!$C$15, $D$11, 100%, $F$11)</f>
        <v>56.543700000000001</v>
      </c>
      <c r="F1014" s="4">
        <f>57.2091 * CHOOSE(CONTROL!$C$15, $D$11, 100%, $F$11)</f>
        <v>57.209099999999999</v>
      </c>
      <c r="G1014" s="8">
        <f>55.6212 * CHOOSE( CONTROL!$C$15, $D$11, 100%, $F$11)</f>
        <v>55.621200000000002</v>
      </c>
      <c r="H1014" s="4">
        <f>56.5123 * CHOOSE(CONTROL!$C$15, $D$11, 100%, $F$11)</f>
        <v>56.512300000000003</v>
      </c>
      <c r="I1014" s="8">
        <f>54.7741 * CHOOSE(CONTROL!$C$15, $D$11, 100%, $F$11)</f>
        <v>54.774099999999997</v>
      </c>
      <c r="J1014" s="4">
        <f>54.6491 * CHOOSE(CONTROL!$C$15, $D$11, 100%, $F$11)</f>
        <v>54.649099999999997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55.3312 * CHOOSE(CONTROL!$C$15, $D$11, 100%, $F$11)</f>
        <v>55.331200000000003</v>
      </c>
      <c r="C1015" s="8">
        <f>55.3416 * CHOOSE(CONTROL!$C$15, $D$11, 100%, $F$11)</f>
        <v>55.3416</v>
      </c>
      <c r="D1015" s="8">
        <f>55.3368 * CHOOSE( CONTROL!$C$15, $D$11, 100%, $F$11)</f>
        <v>55.336799999999997</v>
      </c>
      <c r="E1015" s="12">
        <f>55.3374 * CHOOSE( CONTROL!$C$15, $D$11, 100%, $F$11)</f>
        <v>55.337400000000002</v>
      </c>
      <c r="F1015" s="4">
        <f>56.0088 * CHOOSE(CONTROL!$C$15, $D$11, 100%, $F$11)</f>
        <v>56.008800000000001</v>
      </c>
      <c r="G1015" s="8">
        <f>54.4323 * CHOOSE( CONTROL!$C$15, $D$11, 100%, $F$11)</f>
        <v>54.432299999999998</v>
      </c>
      <c r="H1015" s="4">
        <f>55.3313 * CHOOSE(CONTROL!$C$15, $D$11, 100%, $F$11)</f>
        <v>55.331299999999999</v>
      </c>
      <c r="I1015" s="8">
        <f>53.5983 * CHOOSE(CONTROL!$C$15, $D$11, 100%, $F$11)</f>
        <v>53.598300000000002</v>
      </c>
      <c r="J1015" s="4">
        <f>53.4857 * CHOOSE(CONTROL!$C$15, $D$11, 100%, $F$11)</f>
        <v>53.485700000000001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56.1718 * CHOOSE(CONTROL!$C$15, $D$11, 100%, $F$11)</f>
        <v>56.171799999999998</v>
      </c>
      <c r="C1016" s="8">
        <f>56.1822 * CHOOSE(CONTROL!$C$15, $D$11, 100%, $F$11)</f>
        <v>56.182200000000002</v>
      </c>
      <c r="D1016" s="8">
        <f>56.1934 * CHOOSE( CONTROL!$C$15, $D$11, 100%, $F$11)</f>
        <v>56.193399999999997</v>
      </c>
      <c r="E1016" s="12">
        <f>56.1885 * CHOOSE( CONTROL!$C$15, $D$11, 100%, $F$11)</f>
        <v>56.188499999999998</v>
      </c>
      <c r="F1016" s="4">
        <f>56.8519 * CHOOSE(CONTROL!$C$15, $D$11, 100%, $F$11)</f>
        <v>56.851900000000001</v>
      </c>
      <c r="G1016" s="8">
        <f>55.2399 * CHOOSE( CONTROL!$C$15, $D$11, 100%, $F$11)</f>
        <v>55.239899999999999</v>
      </c>
      <c r="H1016" s="4">
        <f>56.1609 * CHOOSE(CONTROL!$C$15, $D$11, 100%, $F$11)</f>
        <v>56.160899999999998</v>
      </c>
      <c r="I1016" s="8">
        <f>54.404 * CHOOSE(CONTROL!$C$15, $D$11, 100%, $F$11)</f>
        <v>54.404000000000003</v>
      </c>
      <c r="J1016" s="4">
        <f>54.2987 * CHOOSE(CONTROL!$C$15, $D$11, 100%, $F$11)</f>
        <v>54.298699999999997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CONTROL!$C$32, 57.6713, 57.6679) * CHOOSE(CONTROL!$C$15, $D$11, 100%, $F$11)</f>
        <v>57.671300000000002</v>
      </c>
      <c r="C1017" s="8">
        <f>CHOOSE( CONTROL!$C$32, 57.6817, 57.6782) * CHOOSE(CONTROL!$C$15, $D$11, 100%, $F$11)</f>
        <v>57.681699999999999</v>
      </c>
      <c r="D1017" s="8">
        <f>CHOOSE( CONTROL!$C$32, 57.6925, 57.689) * CHOOSE( CONTROL!$C$15, $D$11, 100%, $F$11)</f>
        <v>57.692500000000003</v>
      </c>
      <c r="E1017" s="12">
        <f>CHOOSE( CONTROL!$C$32, 57.687, 57.6835) * CHOOSE( CONTROL!$C$15, $D$11, 100%, $F$11)</f>
        <v>57.686999999999998</v>
      </c>
      <c r="F1017" s="4">
        <f>CHOOSE( CONTROL!$C$32, 58.3514, 58.348) * CHOOSE(CONTROL!$C$15, $D$11, 100%, $F$11)</f>
        <v>58.351399999999998</v>
      </c>
      <c r="G1017" s="8">
        <f>CHOOSE( CONTROL!$C$32, 56.7164, 56.713) * CHOOSE( CONTROL!$C$15, $D$11, 100%, $F$11)</f>
        <v>56.7164</v>
      </c>
      <c r="H1017" s="4">
        <f>CHOOSE( CONTROL!$C$32, 57.6361, 57.6327) * CHOOSE(CONTROL!$C$15, $D$11, 100%, $F$11)</f>
        <v>57.636099999999999</v>
      </c>
      <c r="I1017" s="8">
        <f>CHOOSE( CONTROL!$C$32, 55.8564, 55.853) * CHOOSE(CONTROL!$C$15, $D$11, 100%, $F$11)</f>
        <v>55.856400000000001</v>
      </c>
      <c r="J1017" s="4">
        <f>CHOOSE( CONTROL!$C$32, 55.7488, 55.7455) * CHOOSE(CONTROL!$C$15, $D$11, 100%, $F$11)</f>
        <v>55.748800000000003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CONTROL!$C$32, 56.7446, 56.7411) * CHOOSE(CONTROL!$C$15, $D$11, 100%, $F$11)</f>
        <v>56.744599999999998</v>
      </c>
      <c r="C1018" s="8">
        <f>CHOOSE( CONTROL!$C$32, 56.7549, 56.7514) * CHOOSE(CONTROL!$C$15, $D$11, 100%, $F$11)</f>
        <v>56.754899999999999</v>
      </c>
      <c r="D1018" s="8">
        <f>CHOOSE( CONTROL!$C$32, 56.766, 56.7625) * CHOOSE( CONTROL!$C$15, $D$11, 100%, $F$11)</f>
        <v>56.765999999999998</v>
      </c>
      <c r="E1018" s="12">
        <f>CHOOSE( CONTROL!$C$32, 56.7604, 56.7569) * CHOOSE( CONTROL!$C$15, $D$11, 100%, $F$11)</f>
        <v>56.760399999999997</v>
      </c>
      <c r="F1018" s="4">
        <f>CHOOSE( CONTROL!$C$32, 57.4247, 57.4212) * CHOOSE(CONTROL!$C$15, $D$11, 100%, $F$11)</f>
        <v>57.424700000000001</v>
      </c>
      <c r="G1018" s="8">
        <f>CHOOSE( CONTROL!$C$32, 55.805, 55.8016) * CHOOSE( CONTROL!$C$15, $D$11, 100%, $F$11)</f>
        <v>55.805</v>
      </c>
      <c r="H1018" s="4">
        <f>CHOOSE( CONTROL!$C$32, 56.7244, 56.7209) * CHOOSE(CONTROL!$C$15, $D$11, 100%, $F$11)</f>
        <v>56.724400000000003</v>
      </c>
      <c r="I1018" s="8">
        <f>CHOOSE( CONTROL!$C$32, 54.9611, 54.9577) * CHOOSE(CONTROL!$C$15, $D$11, 100%, $F$11)</f>
        <v>54.961100000000002</v>
      </c>
      <c r="J1018" s="4">
        <f>CHOOSE( CONTROL!$C$32, 54.8526, 54.8492) * CHOOSE(CONTROL!$C$15, $D$11, 100%, $F$11)</f>
        <v>54.852600000000002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CONTROL!$C$32, 59.1851, 59.1816) * CHOOSE(CONTROL!$C$15, $D$11, 100%, $F$11)</f>
        <v>59.185099999999998</v>
      </c>
      <c r="C1019" s="8">
        <f>CHOOSE( CONTROL!$C$32, 59.1954, 59.1919) * CHOOSE(CONTROL!$C$15, $D$11, 100%, $F$11)</f>
        <v>59.195399999999999</v>
      </c>
      <c r="D1019" s="8">
        <f>CHOOSE( CONTROL!$C$32, 59.2068, 59.2033) * CHOOSE( CONTROL!$C$15, $D$11, 100%, $F$11)</f>
        <v>59.206800000000001</v>
      </c>
      <c r="E1019" s="12">
        <f>CHOOSE( CONTROL!$C$32, 59.2011, 59.1976) * CHOOSE( CONTROL!$C$15, $D$11, 100%, $F$11)</f>
        <v>59.201099999999997</v>
      </c>
      <c r="F1019" s="4">
        <f>CHOOSE( CONTROL!$C$32, 59.8652, 59.8617) * CHOOSE(CONTROL!$C$15, $D$11, 100%, $F$11)</f>
        <v>59.865200000000002</v>
      </c>
      <c r="G1019" s="8">
        <f>CHOOSE( CONTROL!$C$32, 58.2065, 58.2031) * CHOOSE( CONTROL!$C$15, $D$11, 100%, $F$11)</f>
        <v>58.206499999999998</v>
      </c>
      <c r="H1019" s="4">
        <f>CHOOSE( CONTROL!$C$32, 59.1253, 59.1219) * CHOOSE(CONTROL!$C$15, $D$11, 100%, $F$11)</f>
        <v>59.125300000000003</v>
      </c>
      <c r="I1019" s="8">
        <f>CHOOSE( CONTROL!$C$32, 57.3239, 57.3205) * CHOOSE(CONTROL!$C$15, $D$11, 100%, $F$11)</f>
        <v>57.323900000000002</v>
      </c>
      <c r="J1019" s="4">
        <f>CHOOSE( CONTROL!$C$32, 57.2128, 57.2094) * CHOOSE(CONTROL!$C$15, $D$11, 100%, $F$11)</f>
        <v>57.212800000000001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CONTROL!$C$32, 54.6187, 54.6152) * CHOOSE(CONTROL!$C$15, $D$11, 100%, $F$11)</f>
        <v>54.618699999999997</v>
      </c>
      <c r="C1020" s="8">
        <f>CHOOSE( CONTROL!$C$32, 54.629, 54.6255) * CHOOSE(CONTROL!$C$15, $D$11, 100%, $F$11)</f>
        <v>54.628999999999998</v>
      </c>
      <c r="D1020" s="8">
        <f>CHOOSE( CONTROL!$C$32, 54.6405, 54.6371) * CHOOSE( CONTROL!$C$15, $D$11, 100%, $F$11)</f>
        <v>54.640500000000003</v>
      </c>
      <c r="E1020" s="12">
        <f>CHOOSE( CONTROL!$C$32, 54.6348, 54.6313) * CHOOSE( CONTROL!$C$15, $D$11, 100%, $F$11)</f>
        <v>54.634799999999998</v>
      </c>
      <c r="F1020" s="4">
        <f>CHOOSE( CONTROL!$C$32, 55.2988, 55.2953) * CHOOSE(CONTROL!$C$15, $D$11, 100%, $F$11)</f>
        <v>55.2988</v>
      </c>
      <c r="G1020" s="8">
        <f>CHOOSE( CONTROL!$C$32, 53.7142, 53.7108) * CHOOSE( CONTROL!$C$15, $D$11, 100%, $F$11)</f>
        <v>53.714199999999998</v>
      </c>
      <c r="H1020" s="4">
        <f>CHOOSE( CONTROL!$C$32, 54.6328, 54.6294) * CHOOSE(CONTROL!$C$15, $D$11, 100%, $F$11)</f>
        <v>54.632800000000003</v>
      </c>
      <c r="I1020" s="8">
        <f>CHOOSE( CONTROL!$C$32, 52.9062, 52.9028) * CHOOSE(CONTROL!$C$15, $D$11, 100%, $F$11)</f>
        <v>52.906199999999998</v>
      </c>
      <c r="J1020" s="4">
        <f>CHOOSE( CONTROL!$C$32, 52.7966, 52.7933) * CHOOSE(CONTROL!$C$15, $D$11, 100%, $F$11)</f>
        <v>52.796599999999998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CONTROL!$C$32, 53.4752, 53.4717) * CHOOSE(CONTROL!$C$15, $D$11, 100%, $F$11)</f>
        <v>53.475200000000001</v>
      </c>
      <c r="C1021" s="8">
        <f>CHOOSE( CONTROL!$C$32, 53.4855, 53.4821) * CHOOSE(CONTROL!$C$15, $D$11, 100%, $F$11)</f>
        <v>53.485500000000002</v>
      </c>
      <c r="D1021" s="8">
        <f>CHOOSE( CONTROL!$C$32, 53.4971, 53.4936) * CHOOSE( CONTROL!$C$15, $D$11, 100%, $F$11)</f>
        <v>53.497100000000003</v>
      </c>
      <c r="E1021" s="12">
        <f>CHOOSE( CONTROL!$C$32, 53.4913, 53.4878) * CHOOSE( CONTROL!$C$15, $D$11, 100%, $F$11)</f>
        <v>53.491300000000003</v>
      </c>
      <c r="F1021" s="4">
        <f>CHOOSE( CONTROL!$C$32, 54.1553, 54.1518) * CHOOSE(CONTROL!$C$15, $D$11, 100%, $F$11)</f>
        <v>54.155299999999997</v>
      </c>
      <c r="G1021" s="8">
        <f>CHOOSE( CONTROL!$C$32, 52.5893, 52.5858) * CHOOSE( CONTROL!$C$15, $D$11, 100%, $F$11)</f>
        <v>52.589300000000001</v>
      </c>
      <c r="H1021" s="4">
        <f>CHOOSE( CONTROL!$C$32, 53.5078, 53.5044) * CHOOSE(CONTROL!$C$15, $D$11, 100%, $F$11)</f>
        <v>53.507800000000003</v>
      </c>
      <c r="I1021" s="8">
        <f>CHOOSE( CONTROL!$C$32, 51.8, 51.7966) * CHOOSE(CONTROL!$C$15, $D$11, 100%, $F$11)</f>
        <v>51.8</v>
      </c>
      <c r="J1021" s="4">
        <f>CHOOSE( CONTROL!$C$32, 51.6908, 51.6874) * CHOOSE(CONTROL!$C$15, $D$11, 100%, $F$11)</f>
        <v>51.690800000000003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55.846 * CHOOSE(CONTROL!$C$15, $D$11, 100%, $F$11)</f>
        <v>55.845999999999997</v>
      </c>
      <c r="C1022" s="8">
        <f>55.8563 * CHOOSE(CONTROL!$C$15, $D$11, 100%, $F$11)</f>
        <v>55.856299999999997</v>
      </c>
      <c r="D1022" s="8">
        <f>55.8689 * CHOOSE( CONTROL!$C$15, $D$11, 100%, $F$11)</f>
        <v>55.868899999999996</v>
      </c>
      <c r="E1022" s="12">
        <f>55.8636 * CHOOSE( CONTROL!$C$15, $D$11, 100%, $F$11)</f>
        <v>55.863599999999998</v>
      </c>
      <c r="F1022" s="4">
        <f>56.5261 * CHOOSE(CONTROL!$C$15, $D$11, 100%, $F$11)</f>
        <v>56.5261</v>
      </c>
      <c r="G1022" s="8">
        <f>54.9212 * CHOOSE( CONTROL!$C$15, $D$11, 100%, $F$11)</f>
        <v>54.921199999999999</v>
      </c>
      <c r="H1022" s="4">
        <f>55.8403 * CHOOSE(CONTROL!$C$15, $D$11, 100%, $F$11)</f>
        <v>55.840299999999999</v>
      </c>
      <c r="I1022" s="8">
        <f>54.0947 * CHOOSE(CONTROL!$C$15, $D$11, 100%, $F$11)</f>
        <v>54.094700000000003</v>
      </c>
      <c r="J1022" s="4">
        <f>53.9835 * CHOOSE(CONTROL!$C$15, $D$11, 100%, $F$11)</f>
        <v>53.983499999999999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60.2284 * CHOOSE(CONTROL!$C$15, $D$11, 100%, $F$11)</f>
        <v>60.228400000000001</v>
      </c>
      <c r="C1023" s="8">
        <f>60.2387 * CHOOSE(CONTROL!$C$15, $D$11, 100%, $F$11)</f>
        <v>60.238700000000001</v>
      </c>
      <c r="D1023" s="8">
        <f>60.2236 * CHOOSE( CONTROL!$C$15, $D$11, 100%, $F$11)</f>
        <v>60.223599999999998</v>
      </c>
      <c r="E1023" s="12">
        <f>60.228 * CHOOSE( CONTROL!$C$15, $D$11, 100%, $F$11)</f>
        <v>60.228000000000002</v>
      </c>
      <c r="F1023" s="4">
        <f>60.8826 * CHOOSE(CONTROL!$C$15, $D$11, 100%, $F$11)</f>
        <v>60.882599999999996</v>
      </c>
      <c r="G1023" s="8">
        <f>59.2421 * CHOOSE( CONTROL!$C$15, $D$11, 100%, $F$11)</f>
        <v>59.242100000000001</v>
      </c>
      <c r="H1023" s="4">
        <f>60.1263 * CHOOSE(CONTROL!$C$15, $D$11, 100%, $F$11)</f>
        <v>60.126300000000001</v>
      </c>
      <c r="I1023" s="8">
        <f>58.3554 * CHOOSE(CONTROL!$C$15, $D$11, 100%, $F$11)</f>
        <v>58.355400000000003</v>
      </c>
      <c r="J1023" s="4">
        <f>58.2217 * CHOOSE(CONTROL!$C$15, $D$11, 100%, $F$11)</f>
        <v>58.221699999999998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60.1189 * CHOOSE(CONTROL!$C$15, $D$11, 100%, $F$11)</f>
        <v>60.118899999999996</v>
      </c>
      <c r="C1024" s="8">
        <f>60.1292 * CHOOSE(CONTROL!$C$15, $D$11, 100%, $F$11)</f>
        <v>60.129199999999997</v>
      </c>
      <c r="D1024" s="8">
        <f>60.1158 * CHOOSE( CONTROL!$C$15, $D$11, 100%, $F$11)</f>
        <v>60.1158</v>
      </c>
      <c r="E1024" s="12">
        <f>60.1196 * CHOOSE( CONTROL!$C$15, $D$11, 100%, $F$11)</f>
        <v>60.119599999999998</v>
      </c>
      <c r="F1024" s="4">
        <f>60.7731 * CHOOSE(CONTROL!$C$15, $D$11, 100%, $F$11)</f>
        <v>60.773099999999999</v>
      </c>
      <c r="G1024" s="8">
        <f>59.1356 * CHOOSE( CONTROL!$C$15, $D$11, 100%, $F$11)</f>
        <v>59.135599999999997</v>
      </c>
      <c r="H1024" s="4">
        <f>60.0186 * CHOOSE(CONTROL!$C$15, $D$11, 100%, $F$11)</f>
        <v>60.018599999999999</v>
      </c>
      <c r="I1024" s="8">
        <f>58.2547 * CHOOSE(CONTROL!$C$15, $D$11, 100%, $F$11)</f>
        <v>58.2547</v>
      </c>
      <c r="J1024" s="4">
        <f>58.1158 * CHOOSE(CONTROL!$C$15, $D$11, 100%, $F$11)</f>
        <v>58.1158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62.4156 * CHOOSE(CONTROL!$C$15, $D$11, 100%, $F$11)</f>
        <v>62.415599999999998</v>
      </c>
      <c r="C1025" s="8">
        <f>62.4259 * CHOOSE(CONTROL!$C$15, $D$11, 100%, $F$11)</f>
        <v>62.425899999999999</v>
      </c>
      <c r="D1025" s="8">
        <f>62.4243 * CHOOSE( CONTROL!$C$15, $D$11, 100%, $F$11)</f>
        <v>62.424300000000002</v>
      </c>
      <c r="E1025" s="12">
        <f>62.4238 * CHOOSE( CONTROL!$C$15, $D$11, 100%, $F$11)</f>
        <v>62.4238</v>
      </c>
      <c r="F1025" s="4">
        <f>63.0983 * CHOOSE(CONTROL!$C$15, $D$11, 100%, $F$11)</f>
        <v>63.098300000000002</v>
      </c>
      <c r="G1025" s="8">
        <f>61.4077 * CHOOSE( CONTROL!$C$15, $D$11, 100%, $F$11)</f>
        <v>61.407699999999998</v>
      </c>
      <c r="H1025" s="4">
        <f>62.3062 * CHOOSE(CONTROL!$C$15, $D$11, 100%, $F$11)</f>
        <v>62.306199999999997</v>
      </c>
      <c r="I1025" s="8">
        <f>60.4758 * CHOOSE(CONTROL!$C$15, $D$11, 100%, $F$11)</f>
        <v>60.4758</v>
      </c>
      <c r="J1025" s="4">
        <f>60.337 * CHOOSE(CONTROL!$C$15, $D$11, 100%, $F$11)</f>
        <v>60.337000000000003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58.3822 * CHOOSE(CONTROL!$C$15, $D$11, 100%, $F$11)</f>
        <v>58.382199999999997</v>
      </c>
      <c r="C1026" s="8">
        <f>58.3925 * CHOOSE(CONTROL!$C$15, $D$11, 100%, $F$11)</f>
        <v>58.392499999999998</v>
      </c>
      <c r="D1026" s="8">
        <f>58.3931 * CHOOSE( CONTROL!$C$15, $D$11, 100%, $F$11)</f>
        <v>58.393099999999997</v>
      </c>
      <c r="E1026" s="12">
        <f>58.3918 * CHOOSE( CONTROL!$C$15, $D$11, 100%, $F$11)</f>
        <v>58.391800000000003</v>
      </c>
      <c r="F1026" s="4">
        <f>59.0571 * CHOOSE(CONTROL!$C$15, $D$11, 100%, $F$11)</f>
        <v>59.057099999999998</v>
      </c>
      <c r="G1026" s="8">
        <f>57.4394 * CHOOSE( CONTROL!$C$15, $D$11, 100%, $F$11)</f>
        <v>57.439399999999999</v>
      </c>
      <c r="H1026" s="4">
        <f>58.3304 * CHOOSE(CONTROL!$C$15, $D$11, 100%, $F$11)</f>
        <v>58.330399999999997</v>
      </c>
      <c r="I1026" s="8">
        <f>56.5622 * CHOOSE(CONTROL!$C$15, $D$11, 100%, $F$11)</f>
        <v>56.562199999999997</v>
      </c>
      <c r="J1026" s="4">
        <f>56.4363 * CHOOSE(CONTROL!$C$15, $D$11, 100%, $F$11)</f>
        <v>56.436300000000003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57.1399 * CHOOSE(CONTROL!$C$15, $D$11, 100%, $F$11)</f>
        <v>57.139899999999997</v>
      </c>
      <c r="C1027" s="8">
        <f>57.1503 * CHOOSE(CONTROL!$C$15, $D$11, 100%, $F$11)</f>
        <v>57.150300000000001</v>
      </c>
      <c r="D1027" s="8">
        <f>57.1455 * CHOOSE( CONTROL!$C$15, $D$11, 100%, $F$11)</f>
        <v>57.145499999999998</v>
      </c>
      <c r="E1027" s="12">
        <f>57.1461 * CHOOSE( CONTROL!$C$15, $D$11, 100%, $F$11)</f>
        <v>57.146099999999997</v>
      </c>
      <c r="F1027" s="4">
        <f>57.8174 * CHOOSE(CONTROL!$C$15, $D$11, 100%, $F$11)</f>
        <v>57.817399999999999</v>
      </c>
      <c r="G1027" s="8">
        <f>56.2117 * CHOOSE( CONTROL!$C$15, $D$11, 100%, $F$11)</f>
        <v>56.2117</v>
      </c>
      <c r="H1027" s="4">
        <f>57.1108 * CHOOSE(CONTROL!$C$15, $D$11, 100%, $F$11)</f>
        <v>57.110799999999998</v>
      </c>
      <c r="I1027" s="8">
        <f>55.3483 * CHOOSE(CONTROL!$C$15, $D$11, 100%, $F$11)</f>
        <v>55.348300000000002</v>
      </c>
      <c r="J1027" s="4">
        <f>55.2349 * CHOOSE(CONTROL!$C$15, $D$11, 100%, $F$11)</f>
        <v>55.234900000000003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58.008 * CHOOSE(CONTROL!$C$15, $D$11, 100%, $F$11)</f>
        <v>58.008000000000003</v>
      </c>
      <c r="C1028" s="8">
        <f>58.0183 * CHOOSE(CONTROL!$C$15, $D$11, 100%, $F$11)</f>
        <v>58.018300000000004</v>
      </c>
      <c r="D1028" s="8">
        <f>58.0296 * CHOOSE( CONTROL!$C$15, $D$11, 100%, $F$11)</f>
        <v>58.029600000000002</v>
      </c>
      <c r="E1028" s="12">
        <f>58.0247 * CHOOSE( CONTROL!$C$15, $D$11, 100%, $F$11)</f>
        <v>58.024700000000003</v>
      </c>
      <c r="F1028" s="4">
        <f>58.6881 * CHOOSE(CONTROL!$C$15, $D$11, 100%, $F$11)</f>
        <v>58.688099999999999</v>
      </c>
      <c r="G1028" s="8">
        <f>57.0464 * CHOOSE( CONTROL!$C$15, $D$11, 100%, $F$11)</f>
        <v>57.046399999999998</v>
      </c>
      <c r="H1028" s="4">
        <f>57.9673 * CHOOSE(CONTROL!$C$15, $D$11, 100%, $F$11)</f>
        <v>57.967300000000002</v>
      </c>
      <c r="I1028" s="8">
        <f>56.1806 * CHOOSE(CONTROL!$C$15, $D$11, 100%, $F$11)</f>
        <v>56.180599999999998</v>
      </c>
      <c r="J1028" s="4">
        <f>56.0744 * CHOOSE(CONTROL!$C$15, $D$11, 100%, $F$11)</f>
        <v>56.074399999999997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CONTROL!$C$32, 59.5564, 59.553) * CHOOSE(CONTROL!$C$15, $D$11, 100%, $F$11)</f>
        <v>59.556399999999996</v>
      </c>
      <c r="C1029" s="8">
        <f>CHOOSE( CONTROL!$C$32, 59.5668, 59.5633) * CHOOSE(CONTROL!$C$15, $D$11, 100%, $F$11)</f>
        <v>59.566800000000001</v>
      </c>
      <c r="D1029" s="8">
        <f>CHOOSE( CONTROL!$C$32, 59.5776, 59.5741) * CHOOSE( CONTROL!$C$15, $D$11, 100%, $F$11)</f>
        <v>59.577599999999997</v>
      </c>
      <c r="E1029" s="12">
        <f>CHOOSE( CONTROL!$C$32, 59.5721, 59.5686) * CHOOSE( CONTROL!$C$15, $D$11, 100%, $F$11)</f>
        <v>59.572099999999999</v>
      </c>
      <c r="F1029" s="4">
        <f>CHOOSE( CONTROL!$C$32, 60.2365, 60.2331) * CHOOSE(CONTROL!$C$15, $D$11, 100%, $F$11)</f>
        <v>60.236499999999999</v>
      </c>
      <c r="G1029" s="8">
        <f>CHOOSE( CONTROL!$C$32, 58.571, 58.5676) * CHOOSE( CONTROL!$C$15, $D$11, 100%, $F$11)</f>
        <v>58.570999999999998</v>
      </c>
      <c r="H1029" s="4">
        <f>CHOOSE( CONTROL!$C$32, 59.4907, 59.4873) * CHOOSE(CONTROL!$C$15, $D$11, 100%, $F$11)</f>
        <v>59.490699999999997</v>
      </c>
      <c r="I1029" s="8">
        <f>CHOOSE( CONTROL!$C$32, 57.6804, 57.677) * CHOOSE(CONTROL!$C$15, $D$11, 100%, $F$11)</f>
        <v>57.680399999999999</v>
      </c>
      <c r="J1029" s="4">
        <f>CHOOSE( CONTROL!$C$32, 57.5719, 57.5686) * CHOOSE(CONTROL!$C$15, $D$11, 100%, $F$11)</f>
        <v>57.571899999999999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CONTROL!$C$32, 58.5994, 58.5959) * CHOOSE(CONTROL!$C$15, $D$11, 100%, $F$11)</f>
        <v>58.599400000000003</v>
      </c>
      <c r="C1030" s="8">
        <f>CHOOSE( CONTROL!$C$32, 58.6097, 58.6062) * CHOOSE(CONTROL!$C$15, $D$11, 100%, $F$11)</f>
        <v>58.609699999999997</v>
      </c>
      <c r="D1030" s="8">
        <f>CHOOSE( CONTROL!$C$32, 58.6208, 58.6173) * CHOOSE( CONTROL!$C$15, $D$11, 100%, $F$11)</f>
        <v>58.620800000000003</v>
      </c>
      <c r="E1030" s="12">
        <f>CHOOSE( CONTROL!$C$32, 58.6152, 58.6117) * CHOOSE( CONTROL!$C$15, $D$11, 100%, $F$11)</f>
        <v>58.615200000000002</v>
      </c>
      <c r="F1030" s="4">
        <f>CHOOSE( CONTROL!$C$32, 59.2795, 59.276) * CHOOSE(CONTROL!$C$15, $D$11, 100%, $F$11)</f>
        <v>59.279499999999999</v>
      </c>
      <c r="G1030" s="8">
        <f>CHOOSE( CONTROL!$C$32, 57.6298, 57.6264) * CHOOSE( CONTROL!$C$15, $D$11, 100%, $F$11)</f>
        <v>57.629800000000003</v>
      </c>
      <c r="H1030" s="4">
        <f>CHOOSE( CONTROL!$C$32, 58.5491, 58.5457) * CHOOSE(CONTROL!$C$15, $D$11, 100%, $F$11)</f>
        <v>58.549100000000003</v>
      </c>
      <c r="I1030" s="8">
        <f>CHOOSE( CONTROL!$C$32, 56.7557, 56.7524) * CHOOSE(CONTROL!$C$15, $D$11, 100%, $F$11)</f>
        <v>56.755699999999997</v>
      </c>
      <c r="J1030" s="4">
        <f>CHOOSE( CONTROL!$C$32, 56.6464, 56.643) * CHOOSE(CONTROL!$C$15, $D$11, 100%, $F$11)</f>
        <v>56.6464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CONTROL!$C$32, 61.1197, 61.1162) * CHOOSE(CONTROL!$C$15, $D$11, 100%, $F$11)</f>
        <v>61.119700000000002</v>
      </c>
      <c r="C1031" s="8">
        <f>CHOOSE( CONTROL!$C$32, 61.13, 61.1265) * CHOOSE(CONTROL!$C$15, $D$11, 100%, $F$11)</f>
        <v>61.13</v>
      </c>
      <c r="D1031" s="8">
        <f>CHOOSE( CONTROL!$C$32, 61.1414, 61.1379) * CHOOSE( CONTROL!$C$15, $D$11, 100%, $F$11)</f>
        <v>61.141399999999997</v>
      </c>
      <c r="E1031" s="12">
        <f>CHOOSE( CONTROL!$C$32, 61.1357, 61.1322) * CHOOSE( CONTROL!$C$15, $D$11, 100%, $F$11)</f>
        <v>61.1357</v>
      </c>
      <c r="F1031" s="4">
        <f>CHOOSE( CONTROL!$C$32, 61.7998, 61.7963) * CHOOSE(CONTROL!$C$15, $D$11, 100%, $F$11)</f>
        <v>61.799799999999998</v>
      </c>
      <c r="G1031" s="8">
        <f>CHOOSE( CONTROL!$C$32, 60.1098, 60.1064) * CHOOSE( CONTROL!$C$15, $D$11, 100%, $F$11)</f>
        <v>60.1098</v>
      </c>
      <c r="H1031" s="4">
        <f>CHOOSE( CONTROL!$C$32, 61.0287, 61.0252) * CHOOSE(CONTROL!$C$15, $D$11, 100%, $F$11)</f>
        <v>61.028700000000001</v>
      </c>
      <c r="I1031" s="8">
        <f>CHOOSE( CONTROL!$C$32, 59.1958, 59.1924) * CHOOSE(CONTROL!$C$15, $D$11, 100%, $F$11)</f>
        <v>59.195799999999998</v>
      </c>
      <c r="J1031" s="4">
        <f>CHOOSE( CONTROL!$C$32, 59.0837, 59.0804) * CHOOSE(CONTROL!$C$15, $D$11, 100%, $F$11)</f>
        <v>59.0837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CONTROL!$C$32, 56.4039, 56.4005) * CHOOSE(CONTROL!$C$15, $D$11, 100%, $F$11)</f>
        <v>56.4039</v>
      </c>
      <c r="C1032" s="8">
        <f>CHOOSE( CONTROL!$C$32, 56.4143, 56.4108) * CHOOSE(CONTROL!$C$15, $D$11, 100%, $F$11)</f>
        <v>56.414299999999997</v>
      </c>
      <c r="D1032" s="8">
        <f>CHOOSE( CONTROL!$C$32, 56.4258, 56.4223) * CHOOSE( CONTROL!$C$15, $D$11, 100%, $F$11)</f>
        <v>56.425800000000002</v>
      </c>
      <c r="E1032" s="12">
        <f>CHOOSE( CONTROL!$C$32, 56.42, 56.4166) * CHOOSE( CONTROL!$C$15, $D$11, 100%, $F$11)</f>
        <v>56.42</v>
      </c>
      <c r="F1032" s="4">
        <f>CHOOSE( CONTROL!$C$32, 57.084, 57.0806) * CHOOSE(CONTROL!$C$15, $D$11, 100%, $F$11)</f>
        <v>57.084000000000003</v>
      </c>
      <c r="G1032" s="8">
        <f>CHOOSE( CONTROL!$C$32, 55.4706, 55.4671) * CHOOSE( CONTROL!$C$15, $D$11, 100%, $F$11)</f>
        <v>55.470599999999997</v>
      </c>
      <c r="H1032" s="4">
        <f>CHOOSE( CONTROL!$C$32, 56.3892, 56.3858) * CHOOSE(CONTROL!$C$15, $D$11, 100%, $F$11)</f>
        <v>56.389200000000002</v>
      </c>
      <c r="I1032" s="8">
        <f>CHOOSE( CONTROL!$C$32, 54.6336, 54.6302) * CHOOSE(CONTROL!$C$15, $D$11, 100%, $F$11)</f>
        <v>54.633600000000001</v>
      </c>
      <c r="J1032" s="4">
        <f>CHOOSE( CONTROL!$C$32, 54.5231, 54.5198) * CHOOSE(CONTROL!$C$15, $D$11, 100%, $F$11)</f>
        <v>54.523099999999999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CONTROL!$C$32, 55.2231, 55.2196) * CHOOSE(CONTROL!$C$15, $D$11, 100%, $F$11)</f>
        <v>55.223100000000002</v>
      </c>
      <c r="C1033" s="8">
        <f>CHOOSE( CONTROL!$C$32, 55.2334, 55.2299) * CHOOSE(CONTROL!$C$15, $D$11, 100%, $F$11)</f>
        <v>55.233400000000003</v>
      </c>
      <c r="D1033" s="8">
        <f>CHOOSE( CONTROL!$C$32, 55.245, 55.2415) * CHOOSE( CONTROL!$C$15, $D$11, 100%, $F$11)</f>
        <v>55.244999999999997</v>
      </c>
      <c r="E1033" s="12">
        <f>CHOOSE( CONTROL!$C$32, 55.2392, 55.2357) * CHOOSE( CONTROL!$C$15, $D$11, 100%, $F$11)</f>
        <v>55.239199999999997</v>
      </c>
      <c r="F1033" s="4">
        <f>CHOOSE( CONTROL!$C$32, 55.9032, 55.8997) * CHOOSE(CONTROL!$C$15, $D$11, 100%, $F$11)</f>
        <v>55.903199999999998</v>
      </c>
      <c r="G1033" s="8">
        <f>CHOOSE( CONTROL!$C$32, 54.3089, 54.3054) * CHOOSE( CONTROL!$C$15, $D$11, 100%, $F$11)</f>
        <v>54.308900000000001</v>
      </c>
      <c r="H1033" s="4">
        <f>CHOOSE( CONTROL!$C$32, 55.2275, 55.224) * CHOOSE(CONTROL!$C$15, $D$11, 100%, $F$11)</f>
        <v>55.227499999999999</v>
      </c>
      <c r="I1033" s="8">
        <f>CHOOSE( CONTROL!$C$32, 53.4912, 53.4878) * CHOOSE(CONTROL!$C$15, $D$11, 100%, $F$11)</f>
        <v>53.491199999999999</v>
      </c>
      <c r="J1033" s="4">
        <f>CHOOSE( CONTROL!$C$32, 53.3811, 53.3778) * CHOOSE(CONTROL!$C$15, $D$11, 100%, $F$11)</f>
        <v>53.381100000000004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57.6715 * CHOOSE(CONTROL!$C$15, $D$11, 100%, $F$11)</f>
        <v>57.671500000000002</v>
      </c>
      <c r="C1034" s="8">
        <f>57.6818 * CHOOSE(CONTROL!$C$15, $D$11, 100%, $F$11)</f>
        <v>57.681800000000003</v>
      </c>
      <c r="D1034" s="8">
        <f>57.6944 * CHOOSE( CONTROL!$C$15, $D$11, 100%, $F$11)</f>
        <v>57.694400000000002</v>
      </c>
      <c r="E1034" s="12">
        <f>57.6891 * CHOOSE( CONTROL!$C$15, $D$11, 100%, $F$11)</f>
        <v>57.689100000000003</v>
      </c>
      <c r="F1034" s="4">
        <f>58.3516 * CHOOSE(CONTROL!$C$15, $D$11, 100%, $F$11)</f>
        <v>58.351599999999998</v>
      </c>
      <c r="G1034" s="8">
        <f>56.7172 * CHOOSE( CONTROL!$C$15, $D$11, 100%, $F$11)</f>
        <v>56.717199999999998</v>
      </c>
      <c r="H1034" s="4">
        <f>57.6363 * CHOOSE(CONTROL!$C$15, $D$11, 100%, $F$11)</f>
        <v>57.636299999999999</v>
      </c>
      <c r="I1034" s="8">
        <f>55.8611 * CHOOSE(CONTROL!$C$15, $D$11, 100%, $F$11)</f>
        <v>55.8611</v>
      </c>
      <c r="J1034" s="4">
        <f>55.749 * CHOOSE(CONTROL!$C$15, $D$11, 100%, $F$11)</f>
        <v>55.749000000000002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62.1972 * CHOOSE(CONTROL!$C$15, $D$11, 100%, $F$11)</f>
        <v>62.197200000000002</v>
      </c>
      <c r="C1035" s="8">
        <f>62.2075 * CHOOSE(CONTROL!$C$15, $D$11, 100%, $F$11)</f>
        <v>62.207500000000003</v>
      </c>
      <c r="D1035" s="8">
        <f>62.1925 * CHOOSE( CONTROL!$C$15, $D$11, 100%, $F$11)</f>
        <v>62.192500000000003</v>
      </c>
      <c r="E1035" s="12">
        <f>62.1969 * CHOOSE( CONTROL!$C$15, $D$11, 100%, $F$11)</f>
        <v>62.196899999999999</v>
      </c>
      <c r="F1035" s="4">
        <f>62.8515 * CHOOSE(CONTROL!$C$15, $D$11, 100%, $F$11)</f>
        <v>62.851500000000001</v>
      </c>
      <c r="G1035" s="8">
        <f>61.1791 * CHOOSE( CONTROL!$C$15, $D$11, 100%, $F$11)</f>
        <v>61.179099999999998</v>
      </c>
      <c r="H1035" s="4">
        <f>62.0633 * CHOOSE(CONTROL!$C$15, $D$11, 100%, $F$11)</f>
        <v>62.063299999999998</v>
      </c>
      <c r="I1035" s="8">
        <f>60.2604 * CHOOSE(CONTROL!$C$15, $D$11, 100%, $F$11)</f>
        <v>60.260399999999997</v>
      </c>
      <c r="J1035" s="4">
        <f>60.1258 * CHOOSE(CONTROL!$C$15, $D$11, 100%, $F$11)</f>
        <v>60.125799999999998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62.0841 * CHOOSE(CONTROL!$C$15, $D$11, 100%, $F$11)</f>
        <v>62.084099999999999</v>
      </c>
      <c r="C1036" s="8">
        <f>62.0945 * CHOOSE(CONTROL!$C$15, $D$11, 100%, $F$11)</f>
        <v>62.094499999999996</v>
      </c>
      <c r="D1036" s="8">
        <f>62.081 * CHOOSE( CONTROL!$C$15, $D$11, 100%, $F$11)</f>
        <v>62.081000000000003</v>
      </c>
      <c r="E1036" s="12">
        <f>62.0848 * CHOOSE( CONTROL!$C$15, $D$11, 100%, $F$11)</f>
        <v>62.084800000000001</v>
      </c>
      <c r="F1036" s="4">
        <f>62.7384 * CHOOSE(CONTROL!$C$15, $D$11, 100%, $F$11)</f>
        <v>62.738399999999999</v>
      </c>
      <c r="G1036" s="8">
        <f>61.0691 * CHOOSE( CONTROL!$C$15, $D$11, 100%, $F$11)</f>
        <v>61.069099999999999</v>
      </c>
      <c r="H1036" s="4">
        <f>61.9521 * CHOOSE(CONTROL!$C$15, $D$11, 100%, $F$11)</f>
        <v>61.952100000000002</v>
      </c>
      <c r="I1036" s="8">
        <f>60.1563 * CHOOSE(CONTROL!$C$15, $D$11, 100%, $F$11)</f>
        <v>60.156300000000002</v>
      </c>
      <c r="J1036" s="4">
        <f>60.0164 * CHOOSE(CONTROL!$C$15, $D$11, 100%, $F$11)</f>
        <v>60.016399999999997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2.4732166666666671</v>
      </c>
      <c r="C1038" s="8">
        <f t="shared" si="1"/>
        <v>2.4835416666666665</v>
      </c>
      <c r="D1038" s="8">
        <f t="shared" si="1"/>
        <v>2.4793833333333333</v>
      </c>
      <c r="E1038" s="8">
        <f t="shared" si="1"/>
        <v>2.4796583333333331</v>
      </c>
      <c r="F1038" s="4">
        <f t="shared" si="1"/>
        <v>3.1485749999999997</v>
      </c>
      <c r="G1038" s="8">
        <f t="shared" si="1"/>
        <v>2.4191250000000006</v>
      </c>
      <c r="H1038" s="4">
        <f t="shared" si="1"/>
        <v>3.3261583333333324</v>
      </c>
      <c r="I1038" s="8"/>
      <c r="J1038" s="4">
        <f>AVERAGE(J17:J28)</f>
        <v>2.3667500000000001</v>
      </c>
      <c r="K1038" s="5"/>
      <c r="L1038" s="5">
        <f>SUM(L17:L28)</f>
        <v>378.12069999999994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5.3597999999999999</v>
      </c>
      <c r="P1038" s="5">
        <f>SUM(P17:P28)</f>
        <v>16.508199999999995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2.8451</v>
      </c>
      <c r="C1039" s="8">
        <f t="shared" si="2"/>
        <v>2.8554499999999998</v>
      </c>
      <c r="D1039" s="8">
        <f t="shared" si="2"/>
        <v>2.8505333333333334</v>
      </c>
      <c r="E1039" s="8">
        <f t="shared" si="2"/>
        <v>2.851008333333334</v>
      </c>
      <c r="F1039" s="4">
        <f t="shared" si="2"/>
        <v>3.5204666666666671</v>
      </c>
      <c r="G1039" s="8">
        <f t="shared" si="2"/>
        <v>2.7844749999999991</v>
      </c>
      <c r="H1039" s="4">
        <f t="shared" si="2"/>
        <v>3.6920500000000001</v>
      </c>
      <c r="I1039" s="8">
        <f t="shared" si="2"/>
        <v>2.8176249999999996</v>
      </c>
      <c r="J1039" s="4">
        <f t="shared" si="2"/>
        <v>2.7264166666666667</v>
      </c>
      <c r="K1039" s="4"/>
      <c r="L1039" s="5">
        <f t="shared" ref="L1039:Q1039" si="3">SUM(L29:L40)</f>
        <v>355.53689999999995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4.4046000000000003</v>
      </c>
      <c r="P1039" s="5">
        <f t="shared" si="3"/>
        <v>20.805900000000001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2.9608333333333334</v>
      </c>
      <c r="C1040" s="8">
        <f t="shared" si="4"/>
        <v>2.9711666666666665</v>
      </c>
      <c r="D1040" s="8">
        <f t="shared" si="4"/>
        <v>2.9750083333333333</v>
      </c>
      <c r="E1040" s="8">
        <f t="shared" si="4"/>
        <v>2.9723749999999995</v>
      </c>
      <c r="F1040" s="4">
        <f t="shared" si="4"/>
        <v>3.6361833333333329</v>
      </c>
      <c r="G1040" s="8">
        <f t="shared" si="4"/>
        <v>2.8983249999999998</v>
      </c>
      <c r="H1040" s="4">
        <f t="shared" si="4"/>
        <v>3.8058833333333326</v>
      </c>
      <c r="I1040" s="8">
        <f t="shared" si="4"/>
        <v>2.9296166666666665</v>
      </c>
      <c r="J1040" s="4">
        <f t="shared" si="4"/>
        <v>2.8383333333333334</v>
      </c>
      <c r="K1040" s="4"/>
      <c r="L1040" s="5">
        <f t="shared" ref="L1040:Q1040" si="5">SUM(L41:L52)</f>
        <v>355.53689999999995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4.4046000000000003</v>
      </c>
      <c r="P1040" s="5">
        <f t="shared" si="5"/>
        <v>14.707600000000001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3.7003333333333335</v>
      </c>
      <c r="C1041" s="8">
        <f t="shared" si="6"/>
        <v>3.7106749999999997</v>
      </c>
      <c r="D1041" s="8">
        <f t="shared" si="6"/>
        <v>3.7145166666666678</v>
      </c>
      <c r="E1041" s="8">
        <f t="shared" si="6"/>
        <v>3.7118833333333341</v>
      </c>
      <c r="F1041" s="4">
        <f t="shared" si="6"/>
        <v>4.3757000000000001</v>
      </c>
      <c r="G1041" s="8">
        <f t="shared" si="6"/>
        <v>3.6258500000000002</v>
      </c>
      <c r="H1041" s="4">
        <f t="shared" si="6"/>
        <v>4.5334416666666666</v>
      </c>
      <c r="I1041" s="8">
        <f t="shared" si="6"/>
        <v>3.6451416666666669</v>
      </c>
      <c r="J1041" s="4">
        <f t="shared" si="6"/>
        <v>3.5534833333333329</v>
      </c>
      <c r="K1041" s="4"/>
      <c r="L1041" s="5">
        <f t="shared" ref="L1041:Q1041" si="7">SUM(L53:L64)</f>
        <v>355.53689999999995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4.4046000000000003</v>
      </c>
      <c r="P1041" s="5">
        <f t="shared" si="7"/>
        <v>14.707600000000001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3.7780666666666671</v>
      </c>
      <c r="C1042" s="8">
        <f t="shared" si="8"/>
        <v>3.788391666666667</v>
      </c>
      <c r="D1042" s="8">
        <f t="shared" si="8"/>
        <v>3.7922166666666661</v>
      </c>
      <c r="E1042" s="8">
        <f t="shared" si="8"/>
        <v>3.7895999999999996</v>
      </c>
      <c r="F1042" s="4">
        <f t="shared" si="8"/>
        <v>4.4534333333333338</v>
      </c>
      <c r="G1042" s="8">
        <f t="shared" si="8"/>
        <v>3.7023333333333333</v>
      </c>
      <c r="H1042" s="4">
        <f t="shared" si="8"/>
        <v>4.6099083333333342</v>
      </c>
      <c r="I1042" s="8">
        <f t="shared" si="8"/>
        <v>3.720333333333333</v>
      </c>
      <c r="J1042" s="4">
        <f t="shared" si="8"/>
        <v>3.6286583333333335</v>
      </c>
      <c r="K1042" s="4"/>
      <c r="L1042" s="5">
        <f t="shared" ref="L1042:Q1042" si="9">SUM(L65:L76)</f>
        <v>356.48229999999995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4.4165999999999999</v>
      </c>
      <c r="P1042" s="5">
        <f t="shared" si="9"/>
        <v>14.7493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4.5047249999999996</v>
      </c>
      <c r="C1043" s="8">
        <f t="shared" si="10"/>
        <v>4.5150499999999996</v>
      </c>
      <c r="D1043" s="8">
        <f t="shared" si="10"/>
        <v>4.5188750000000004</v>
      </c>
      <c r="E1043" s="8">
        <f t="shared" si="10"/>
        <v>4.5162583333333339</v>
      </c>
      <c r="F1043" s="4">
        <f t="shared" si="10"/>
        <v>5.1800916666666668</v>
      </c>
      <c r="G1043" s="8">
        <f t="shared" si="10"/>
        <v>4.4172333333333329</v>
      </c>
      <c r="H1043" s="4">
        <f t="shared" si="10"/>
        <v>5.3247916666666653</v>
      </c>
      <c r="I1043" s="8">
        <f t="shared" si="10"/>
        <v>4.4234333333333327</v>
      </c>
      <c r="J1043" s="4">
        <f t="shared" si="10"/>
        <v>4.3313999999999995</v>
      </c>
      <c r="K1043" s="4"/>
      <c r="L1043" s="5">
        <f t="shared" ref="L1043:Q1043" si="11">SUM(L77:L88)</f>
        <v>355.53689999999995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4.4046000000000003</v>
      </c>
      <c r="P1043" s="5">
        <f t="shared" si="11"/>
        <v>14.707600000000001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4.7735666666666665</v>
      </c>
      <c r="C1044" s="8">
        <f t="shared" si="12"/>
        <v>4.7839</v>
      </c>
      <c r="D1044" s="8">
        <f t="shared" si="12"/>
        <v>4.7877499999999991</v>
      </c>
      <c r="E1044" s="8">
        <f t="shared" si="12"/>
        <v>4.7851249999999999</v>
      </c>
      <c r="F1044" s="4">
        <f t="shared" si="12"/>
        <v>5.4489333333333336</v>
      </c>
      <c r="G1044" s="8">
        <f t="shared" si="12"/>
        <v>4.6817333333333329</v>
      </c>
      <c r="H1044" s="4">
        <f t="shared" si="12"/>
        <v>5.5893000000000006</v>
      </c>
      <c r="I1044" s="8">
        <f t="shared" si="12"/>
        <v>4.6835666666666667</v>
      </c>
      <c r="J1044" s="4">
        <f t="shared" si="12"/>
        <v>4.5914083333333338</v>
      </c>
      <c r="K1044" s="4"/>
      <c r="L1044" s="5">
        <f t="shared" ref="L1044:Q1044" si="13">SUM(L89:L100)</f>
        <v>355.53689999999995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4.4046000000000003</v>
      </c>
      <c r="P1044" s="5">
        <f t="shared" si="13"/>
        <v>14.707600000000001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5.1044416666666663</v>
      </c>
      <c r="C1045" s="8">
        <f t="shared" si="14"/>
        <v>5.1147916666666662</v>
      </c>
      <c r="D1045" s="8">
        <f t="shared" si="14"/>
        <v>5.1186249999999998</v>
      </c>
      <c r="E1045" s="8">
        <f t="shared" si="14"/>
        <v>5.1160000000000005</v>
      </c>
      <c r="F1045" s="4">
        <f t="shared" si="14"/>
        <v>5.7798166666666662</v>
      </c>
      <c r="G1045" s="8">
        <f t="shared" si="14"/>
        <v>5.0072666666666663</v>
      </c>
      <c r="H1045" s="4">
        <f t="shared" si="14"/>
        <v>5.9148249999999996</v>
      </c>
      <c r="I1045" s="8">
        <f t="shared" si="14"/>
        <v>5.0037333333333329</v>
      </c>
      <c r="J1045" s="4">
        <f t="shared" si="14"/>
        <v>4.9113999999999995</v>
      </c>
      <c r="K1045" s="4"/>
      <c r="L1045" s="5">
        <f t="shared" ref="L1045:Q1045" si="15">SUM(L101:L112)</f>
        <v>355.53689999999995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4.4046000000000003</v>
      </c>
      <c r="P1045" s="5">
        <f t="shared" si="15"/>
        <v>14.707600000000001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5.7041916666666665</v>
      </c>
      <c r="C1046" s="8">
        <f t="shared" si="16"/>
        <v>5.7145083333333337</v>
      </c>
      <c r="D1046" s="8">
        <f t="shared" si="16"/>
        <v>5.7183416666666673</v>
      </c>
      <c r="E1046" s="8">
        <f t="shared" si="16"/>
        <v>5.7157249999999999</v>
      </c>
      <c r="F1046" s="4">
        <f t="shared" si="16"/>
        <v>6.3795500000000009</v>
      </c>
      <c r="G1046" s="8">
        <f t="shared" si="16"/>
        <v>5.5973083333333342</v>
      </c>
      <c r="H1046" s="4">
        <f t="shared" si="16"/>
        <v>6.5048583333333339</v>
      </c>
      <c r="I1046" s="8">
        <f t="shared" si="16"/>
        <v>5.5840249999999996</v>
      </c>
      <c r="J1046" s="4">
        <f t="shared" si="16"/>
        <v>5.4914083333333332</v>
      </c>
      <c r="K1046" s="4"/>
      <c r="L1046" s="5">
        <f t="shared" ref="L1046:Q1046" si="17">SUM(L113:L124)</f>
        <v>356.48229999999995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4.4165999999999999</v>
      </c>
      <c r="P1046" s="5">
        <f t="shared" si="17"/>
        <v>14.7493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5.6938333333333331</v>
      </c>
      <c r="C1047" s="8">
        <f t="shared" si="18"/>
        <v>5.7041833333333338</v>
      </c>
      <c r="D1047" s="8">
        <f t="shared" si="18"/>
        <v>5.7080000000000011</v>
      </c>
      <c r="E1047" s="8">
        <f t="shared" si="18"/>
        <v>5.7053833333333328</v>
      </c>
      <c r="F1047" s="4">
        <f t="shared" si="18"/>
        <v>6.3692000000000002</v>
      </c>
      <c r="G1047" s="8">
        <f t="shared" si="18"/>
        <v>5.5871333333333331</v>
      </c>
      <c r="H1047" s="4">
        <f t="shared" si="18"/>
        <v>6.4946833333333318</v>
      </c>
      <c r="I1047" s="8">
        <f t="shared" si="18"/>
        <v>5.574016666666668</v>
      </c>
      <c r="J1047" s="4">
        <f t="shared" si="18"/>
        <v>5.4813999999999998</v>
      </c>
      <c r="K1047" s="4"/>
      <c r="L1047" s="5">
        <f t="shared" ref="L1047:Q1047" si="19">SUM(L125:L136)</f>
        <v>355.53689999999995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4.4046000000000003</v>
      </c>
      <c r="P1047" s="5">
        <f t="shared" si="19"/>
        <v>14.707600000000001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5.6731583333333333</v>
      </c>
      <c r="C1048" s="8">
        <f t="shared" si="20"/>
        <v>5.6834833333333323</v>
      </c>
      <c r="D1048" s="8">
        <f t="shared" si="20"/>
        <v>5.6873250000000004</v>
      </c>
      <c r="E1048" s="8">
        <f t="shared" si="20"/>
        <v>5.6847166666666666</v>
      </c>
      <c r="F1048" s="4">
        <f t="shared" si="20"/>
        <v>6.3485249999999986</v>
      </c>
      <c r="G1048" s="8">
        <f t="shared" si="20"/>
        <v>5.5667749999999998</v>
      </c>
      <c r="H1048" s="4">
        <f t="shared" si="20"/>
        <v>6.4743499999999985</v>
      </c>
      <c r="I1048" s="8">
        <f t="shared" si="20"/>
        <v>5.554008333333333</v>
      </c>
      <c r="J1048" s="4">
        <f t="shared" si="20"/>
        <v>5.4613916666666666</v>
      </c>
      <c r="K1048" s="4"/>
      <c r="L1048" s="5">
        <f t="shared" ref="L1048:Q1048" si="21">SUM(L137:L148)</f>
        <v>355.53689999999995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4.4046000000000003</v>
      </c>
      <c r="P1048" s="5">
        <f t="shared" si="21"/>
        <v>14.707600000000001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5.8489416666666676</v>
      </c>
      <c r="C1049" s="8">
        <f t="shared" si="22"/>
        <v>5.8592833333333338</v>
      </c>
      <c r="D1049" s="8">
        <f t="shared" si="22"/>
        <v>5.8631083333333329</v>
      </c>
      <c r="E1049" s="8">
        <f t="shared" si="22"/>
        <v>5.8604833333333337</v>
      </c>
      <c r="F1049" s="4">
        <f t="shared" si="22"/>
        <v>6.5243166666666674</v>
      </c>
      <c r="G1049" s="8">
        <f t="shared" si="22"/>
        <v>5.7397333333333327</v>
      </c>
      <c r="H1049" s="4">
        <f t="shared" si="22"/>
        <v>6.6473000000000013</v>
      </c>
      <c r="I1049" s="8">
        <f t="shared" si="22"/>
        <v>5.7240916666666664</v>
      </c>
      <c r="J1049" s="4">
        <f t="shared" si="22"/>
        <v>5.6314083333333329</v>
      </c>
      <c r="K1049" s="4"/>
      <c r="L1049" s="5">
        <f t="shared" ref="L1049:Q1049" si="23">SUM(L149:L160)</f>
        <v>355.53689999999995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4.4046000000000003</v>
      </c>
      <c r="P1049" s="5">
        <f t="shared" si="23"/>
        <v>14.707600000000001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6.0350583333333345</v>
      </c>
      <c r="C1050" s="8">
        <f t="shared" si="24"/>
        <v>6.0454166666666671</v>
      </c>
      <c r="D1050" s="8">
        <f t="shared" si="24"/>
        <v>6.0492416666666662</v>
      </c>
      <c r="E1050" s="8">
        <f t="shared" si="24"/>
        <v>6.0466166666666661</v>
      </c>
      <c r="F1050" s="4">
        <f t="shared" si="24"/>
        <v>6.7104249999999999</v>
      </c>
      <c r="G1050" s="8">
        <f t="shared" si="24"/>
        <v>5.9228333333333341</v>
      </c>
      <c r="H1050" s="4">
        <f t="shared" si="24"/>
        <v>6.8304083333333345</v>
      </c>
      <c r="I1050" s="8">
        <f t="shared" si="24"/>
        <v>5.9041749999999995</v>
      </c>
      <c r="J1050" s="4">
        <f t="shared" si="24"/>
        <v>5.8114083333333335</v>
      </c>
      <c r="K1050" s="4"/>
      <c r="L1050" s="5">
        <f t="shared" ref="L1050:Q1050" si="25">SUM(L161:L172)</f>
        <v>356.48229999999995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4.4165999999999999</v>
      </c>
      <c r="P1050" s="5">
        <f t="shared" si="25"/>
        <v>14.7493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6.2212000000000005</v>
      </c>
      <c r="C1051" s="8">
        <f t="shared" si="26"/>
        <v>6.2315416666666676</v>
      </c>
      <c r="D1051" s="8">
        <f t="shared" si="26"/>
        <v>6.235358333333334</v>
      </c>
      <c r="E1051" s="8">
        <f t="shared" si="26"/>
        <v>6.2327500000000002</v>
      </c>
      <c r="F1051" s="4">
        <f t="shared" si="26"/>
        <v>6.8965666666666676</v>
      </c>
      <c r="G1051" s="8">
        <f t="shared" si="26"/>
        <v>6.1059666666666672</v>
      </c>
      <c r="H1051" s="4">
        <f t="shared" si="26"/>
        <v>7.0135083333333332</v>
      </c>
      <c r="I1051" s="8">
        <f t="shared" si="26"/>
        <v>6.0842666666666654</v>
      </c>
      <c r="J1051" s="4">
        <f t="shared" si="26"/>
        <v>5.9913999999999996</v>
      </c>
      <c r="K1051" s="4"/>
      <c r="L1051" s="5">
        <f t="shared" ref="L1051:Q1051" si="27">SUM(L173:L184)</f>
        <v>355.53689999999995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4.4046000000000003</v>
      </c>
      <c r="P1051" s="5">
        <f t="shared" si="27"/>
        <v>14.707600000000001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6.4176583333333328</v>
      </c>
      <c r="C1052" s="8">
        <f t="shared" si="28"/>
        <v>6.4279999999999999</v>
      </c>
      <c r="D1052" s="8">
        <f t="shared" si="28"/>
        <v>6.4318250000000008</v>
      </c>
      <c r="E1052" s="8">
        <f t="shared" si="28"/>
        <v>6.4292000000000007</v>
      </c>
      <c r="F1052" s="4">
        <f t="shared" si="28"/>
        <v>7.0930333333333317</v>
      </c>
      <c r="G1052" s="8">
        <f t="shared" si="28"/>
        <v>6.2992249999999999</v>
      </c>
      <c r="H1052" s="4">
        <f t="shared" si="28"/>
        <v>7.2068000000000012</v>
      </c>
      <c r="I1052" s="8">
        <f t="shared" si="28"/>
        <v>6.2743583333333328</v>
      </c>
      <c r="J1052" s="4">
        <f t="shared" si="28"/>
        <v>6.1813916666666664</v>
      </c>
      <c r="K1052" s="4"/>
      <c r="L1052" s="5">
        <f t="shared" ref="L1052:Q1052" si="29">SUM(L185:L196)</f>
        <v>355.53689999999995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4.4046000000000003</v>
      </c>
      <c r="P1052" s="5">
        <f t="shared" si="29"/>
        <v>14.707600000000001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6.6141333333333341</v>
      </c>
      <c r="C1053" s="8">
        <f t="shared" si="30"/>
        <v>6.624458333333334</v>
      </c>
      <c r="D1053" s="8">
        <f t="shared" si="30"/>
        <v>6.6282750000000012</v>
      </c>
      <c r="E1053" s="8">
        <f t="shared" si="30"/>
        <v>6.6256500000000003</v>
      </c>
      <c r="F1053" s="4">
        <f t="shared" si="30"/>
        <v>7.2894916666666667</v>
      </c>
      <c r="G1053" s="8">
        <f t="shared" si="30"/>
        <v>6.4925166666666678</v>
      </c>
      <c r="H1053" s="4">
        <f t="shared" si="30"/>
        <v>7.4000916666666656</v>
      </c>
      <c r="I1053" s="8">
        <f t="shared" si="30"/>
        <v>6.4644499999999994</v>
      </c>
      <c r="J1053" s="4">
        <f t="shared" si="30"/>
        <v>6.3713916666666668</v>
      </c>
      <c r="K1053" s="4"/>
      <c r="L1053" s="5">
        <f t="shared" ref="L1053:Q1053" si="31">SUM(L197:L208)</f>
        <v>355.53689999999995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4.4046000000000003</v>
      </c>
      <c r="P1053" s="5">
        <f t="shared" si="31"/>
        <v>14.707600000000001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6.8209166666666663</v>
      </c>
      <c r="C1054" s="8">
        <f t="shared" si="32"/>
        <v>6.8312750000000007</v>
      </c>
      <c r="D1054" s="8">
        <f t="shared" si="32"/>
        <v>6.8350999999999997</v>
      </c>
      <c r="E1054" s="8">
        <f t="shared" si="32"/>
        <v>6.832466666666666</v>
      </c>
      <c r="F1054" s="4">
        <f t="shared" si="32"/>
        <v>7.4962833333333343</v>
      </c>
      <c r="G1054" s="8">
        <f t="shared" si="32"/>
        <v>6.6959916666666652</v>
      </c>
      <c r="H1054" s="4">
        <f t="shared" si="32"/>
        <v>7.6035500000000011</v>
      </c>
      <c r="I1054" s="8">
        <f t="shared" si="32"/>
        <v>6.6645500000000011</v>
      </c>
      <c r="J1054" s="4">
        <f t="shared" si="32"/>
        <v>6.5714083333333333</v>
      </c>
      <c r="K1054" s="4"/>
      <c r="L1054" s="5">
        <f t="shared" ref="L1054:Q1054" si="33">SUM(L209:L220)</f>
        <v>356.48229999999995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4.4165999999999999</v>
      </c>
      <c r="P1054" s="5">
        <f t="shared" si="33"/>
        <v>14.7493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7.0277249999999993</v>
      </c>
      <c r="C1055" s="8">
        <f t="shared" si="34"/>
        <v>7.0380749999999992</v>
      </c>
      <c r="D1055" s="8">
        <f t="shared" si="34"/>
        <v>7.0418916666666673</v>
      </c>
      <c r="E1055" s="8">
        <f t="shared" si="34"/>
        <v>7.0392749999999999</v>
      </c>
      <c r="F1055" s="4">
        <f t="shared" si="34"/>
        <v>7.7030916666666664</v>
      </c>
      <c r="G1055" s="8">
        <f t="shared" si="34"/>
        <v>6.8994500000000016</v>
      </c>
      <c r="H1055" s="4">
        <f t="shared" si="34"/>
        <v>7.8070166666666667</v>
      </c>
      <c r="I1055" s="8">
        <f t="shared" si="34"/>
        <v>6.8646500000000001</v>
      </c>
      <c r="J1055" s="4">
        <f t="shared" si="34"/>
        <v>6.7714083333333326</v>
      </c>
      <c r="K1055" s="4"/>
      <c r="L1055" s="5">
        <f t="shared" ref="L1055:Q1055" si="35">SUM(L221:L232)</f>
        <v>355.53689999999995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4.4046000000000003</v>
      </c>
      <c r="P1055" s="5">
        <f t="shared" si="35"/>
        <v>14.707600000000001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7.1724916666666667</v>
      </c>
      <c r="C1056" s="8">
        <f t="shared" si="36"/>
        <v>7.1828250000000002</v>
      </c>
      <c r="D1056" s="8">
        <f t="shared" si="36"/>
        <v>7.1866583333333329</v>
      </c>
      <c r="E1056" s="8">
        <f t="shared" si="36"/>
        <v>7.1840333333333319</v>
      </c>
      <c r="F1056" s="4">
        <f t="shared" si="36"/>
        <v>7.8478500000000011</v>
      </c>
      <c r="G1056" s="8">
        <f t="shared" si="36"/>
        <v>7.0418583333333329</v>
      </c>
      <c r="H1056" s="4">
        <f t="shared" si="36"/>
        <v>7.9494249999999989</v>
      </c>
      <c r="I1056" s="8">
        <f t="shared" si="36"/>
        <v>7.0047333333333333</v>
      </c>
      <c r="J1056" s="4">
        <f t="shared" si="36"/>
        <v>6.9114166666666668</v>
      </c>
      <c r="K1056" s="4"/>
      <c r="L1056" s="5">
        <f t="shared" ref="L1056:Q1056" si="37">SUM(L233:L244)</f>
        <v>355.53689999999995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4.4046000000000003</v>
      </c>
      <c r="P1056" s="5">
        <f t="shared" si="37"/>
        <v>14.707600000000001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7.3172583333333323</v>
      </c>
      <c r="C1057" s="8">
        <f t="shared" si="38"/>
        <v>7.3276000000000003</v>
      </c>
      <c r="D1057" s="8">
        <f t="shared" si="38"/>
        <v>7.3314333333333339</v>
      </c>
      <c r="E1057" s="8">
        <f t="shared" si="38"/>
        <v>7.3288083333333347</v>
      </c>
      <c r="F1057" s="4">
        <f t="shared" si="38"/>
        <v>7.9926166666666667</v>
      </c>
      <c r="G1057" s="8">
        <f t="shared" si="38"/>
        <v>7.1842749999999995</v>
      </c>
      <c r="H1057" s="4">
        <f t="shared" si="38"/>
        <v>8.0918416666666673</v>
      </c>
      <c r="I1057" s="8">
        <f t="shared" si="38"/>
        <v>7.1448</v>
      </c>
      <c r="J1057" s="4">
        <f t="shared" si="38"/>
        <v>7.0514166666666673</v>
      </c>
      <c r="K1057" s="4"/>
      <c r="L1057" s="5">
        <f t="shared" ref="L1057:Q1057" si="39">SUM(L245:L256)</f>
        <v>355.53689999999995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4.4046000000000003</v>
      </c>
      <c r="P1057" s="5">
        <f t="shared" si="39"/>
        <v>14.707600000000001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7.5556666666666645</v>
      </c>
      <c r="C1058" s="8">
        <f t="shared" si="40"/>
        <v>7.5659916666666662</v>
      </c>
      <c r="D1058" s="8">
        <f t="shared" si="40"/>
        <v>7.5698250000000007</v>
      </c>
      <c r="E1058" s="8">
        <f t="shared" si="40"/>
        <v>7.5671999999999997</v>
      </c>
      <c r="F1058" s="4">
        <f t="shared" si="40"/>
        <v>8.2310166666666671</v>
      </c>
      <c r="G1058" s="8">
        <f t="shared" si="40"/>
        <v>7.4188333333333327</v>
      </c>
      <c r="H1058" s="4">
        <f t="shared" si="40"/>
        <v>8.3264083333333332</v>
      </c>
      <c r="I1058" s="8">
        <f t="shared" si="40"/>
        <v>7.3754833333333316</v>
      </c>
      <c r="J1058" s="4">
        <f t="shared" si="40"/>
        <v>7.2819583333333329</v>
      </c>
      <c r="K1058" s="4"/>
      <c r="L1058" s="5">
        <f t="shared" ref="L1058:Q1058" si="41">SUM(L257:L268)</f>
        <v>356.48229999999995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4.4165999999999999</v>
      </c>
      <c r="P1058" s="5">
        <f t="shared" si="41"/>
        <v>14.7493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7.8018750000000017</v>
      </c>
      <c r="C1059" s="8">
        <f t="shared" si="42"/>
        <v>7.8121916666666671</v>
      </c>
      <c r="D1059" s="8">
        <f t="shared" si="42"/>
        <v>7.8160333333333334</v>
      </c>
      <c r="E1059" s="8">
        <f t="shared" si="42"/>
        <v>7.8134083333333324</v>
      </c>
      <c r="F1059" s="4">
        <f t="shared" si="42"/>
        <v>8.4772416666666661</v>
      </c>
      <c r="G1059" s="8">
        <f t="shared" si="42"/>
        <v>7.6610500000000004</v>
      </c>
      <c r="H1059" s="4">
        <f t="shared" si="42"/>
        <v>8.5686333333333344</v>
      </c>
      <c r="I1059" s="8">
        <f t="shared" si="42"/>
        <v>7.6136999999999988</v>
      </c>
      <c r="J1059" s="4">
        <f t="shared" si="42"/>
        <v>7.5200749999999994</v>
      </c>
      <c r="K1059" s="4"/>
      <c r="L1059" s="5">
        <f t="shared" ref="L1059:Q1059" si="43">SUM(L269:L280)</f>
        <v>355.53689999999995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4.4046000000000003</v>
      </c>
      <c r="P1059" s="5">
        <f t="shared" si="43"/>
        <v>14.707600000000001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8.0561249999999998</v>
      </c>
      <c r="C1060" s="8">
        <f t="shared" si="45"/>
        <v>8.0664499999999997</v>
      </c>
      <c r="D1060" s="8">
        <f t="shared" si="45"/>
        <v>8.0702666666666669</v>
      </c>
      <c r="E1060" s="8">
        <f t="shared" si="45"/>
        <v>8.0676500000000004</v>
      </c>
      <c r="F1060" s="4">
        <f t="shared" si="45"/>
        <v>8.7314916666666651</v>
      </c>
      <c r="G1060" s="8">
        <f t="shared" si="45"/>
        <v>7.9111916666666664</v>
      </c>
      <c r="H1060" s="4">
        <f t="shared" si="45"/>
        <v>8.8187666666666686</v>
      </c>
      <c r="I1060" s="8">
        <f t="shared" si="45"/>
        <v>7.8597250000000001</v>
      </c>
      <c r="J1060" s="4">
        <f t="shared" si="45"/>
        <v>7.7659750000000001</v>
      </c>
      <c r="K1060" s="4"/>
      <c r="L1060" s="5">
        <f t="shared" ref="L1060:Q1060" si="46">SUM(L281:L292)</f>
        <v>355.53689999999995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4.4046000000000003</v>
      </c>
      <c r="P1060" s="5">
        <f t="shared" si="46"/>
        <v>14.707600000000001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8.3186833333333325</v>
      </c>
      <c r="C1061" s="8">
        <f t="shared" si="47"/>
        <v>8.3290166666666661</v>
      </c>
      <c r="D1061" s="8">
        <f t="shared" si="47"/>
        <v>8.3328583333333341</v>
      </c>
      <c r="E1061" s="8">
        <f t="shared" si="47"/>
        <v>8.330233333333334</v>
      </c>
      <c r="F1061" s="4">
        <f t="shared" si="47"/>
        <v>8.994041666666666</v>
      </c>
      <c r="G1061" s="8">
        <f t="shared" si="47"/>
        <v>8.1695083333333329</v>
      </c>
      <c r="H1061" s="4">
        <f t="shared" si="47"/>
        <v>9.0770833333333325</v>
      </c>
      <c r="I1061" s="8">
        <f t="shared" si="47"/>
        <v>8.1137583333333332</v>
      </c>
      <c r="J1061" s="4">
        <f t="shared" si="47"/>
        <v>8.0198916666666662</v>
      </c>
      <c r="K1061" s="7"/>
      <c r="L1061" s="5">
        <f t="shared" ref="L1061:Q1061" si="48">SUM(L293:L304)</f>
        <v>355.53689999999995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4.4046000000000003</v>
      </c>
      <c r="P1061" s="5">
        <f t="shared" si="48"/>
        <v>14.707600000000001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8.5898416666666666</v>
      </c>
      <c r="C1062" s="8">
        <f t="shared" si="49"/>
        <v>8.6001666666666647</v>
      </c>
      <c r="D1062" s="8">
        <f t="shared" si="49"/>
        <v>8.6039916666666656</v>
      </c>
      <c r="E1062" s="8">
        <f t="shared" si="49"/>
        <v>8.6013750000000027</v>
      </c>
      <c r="F1062" s="4">
        <f t="shared" si="49"/>
        <v>9.2652249999999992</v>
      </c>
      <c r="G1062" s="8">
        <f t="shared" si="49"/>
        <v>8.4362750000000002</v>
      </c>
      <c r="H1062" s="4">
        <f t="shared" si="49"/>
        <v>9.3438416666666662</v>
      </c>
      <c r="I1062" s="8">
        <f t="shared" si="49"/>
        <v>8.3761333333333354</v>
      </c>
      <c r="J1062" s="4">
        <f t="shared" si="49"/>
        <v>8.2821166666666652</v>
      </c>
      <c r="K1062" s="7"/>
      <c r="L1062" s="5">
        <f t="shared" ref="L1062:Q1062" si="50">SUM(L305:L316)</f>
        <v>356.48229999999995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4.4165999999999999</v>
      </c>
      <c r="P1062" s="5">
        <f t="shared" si="50"/>
        <v>14.7493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8.8698750000000022</v>
      </c>
      <c r="C1063" s="8">
        <f t="shared" si="51"/>
        <v>8.8801916666666667</v>
      </c>
      <c r="D1063" s="8">
        <f t="shared" si="51"/>
        <v>8.884033333333333</v>
      </c>
      <c r="E1063" s="8">
        <f t="shared" si="51"/>
        <v>8.8814166666666665</v>
      </c>
      <c r="F1063" s="4">
        <f t="shared" si="51"/>
        <v>9.5452333333333339</v>
      </c>
      <c r="G1063" s="8">
        <f t="shared" si="51"/>
        <v>8.7117750000000012</v>
      </c>
      <c r="H1063" s="4">
        <f t="shared" si="51"/>
        <v>9.6193333333333317</v>
      </c>
      <c r="I1063" s="8">
        <f t="shared" si="51"/>
        <v>8.6470749999999992</v>
      </c>
      <c r="J1063" s="4">
        <f t="shared" si="51"/>
        <v>8.5529500000000009</v>
      </c>
      <c r="K1063" s="7"/>
      <c r="L1063" s="5">
        <f t="shared" ref="L1063:Q1063" si="52">SUM(L317:L328)</f>
        <v>355.53689999999995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4.4046000000000003</v>
      </c>
      <c r="P1063" s="5">
        <f t="shared" si="52"/>
        <v>14.707600000000001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9.1590499999999988</v>
      </c>
      <c r="C1064" s="8">
        <f t="shared" si="53"/>
        <v>9.1693750000000005</v>
      </c>
      <c r="D1064" s="8">
        <f t="shared" si="53"/>
        <v>9.173216666666665</v>
      </c>
      <c r="E1064" s="8">
        <f t="shared" si="53"/>
        <v>9.1706000000000003</v>
      </c>
      <c r="F1064" s="4">
        <f t="shared" si="53"/>
        <v>9.8344250000000013</v>
      </c>
      <c r="G1064" s="8">
        <f t="shared" si="53"/>
        <v>8.9962749999999989</v>
      </c>
      <c r="H1064" s="4">
        <f t="shared" si="53"/>
        <v>9.9038499999999985</v>
      </c>
      <c r="I1064" s="8">
        <f t="shared" si="53"/>
        <v>8.926891666666668</v>
      </c>
      <c r="J1064" s="4">
        <f t="shared" si="53"/>
        <v>8.832608333333333</v>
      </c>
      <c r="K1064" s="7"/>
      <c r="L1064" s="5">
        <f t="shared" ref="L1064:Q1064" si="54">SUM(L329:L340)</f>
        <v>355.53689999999995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4.4046000000000003</v>
      </c>
      <c r="P1064" s="5">
        <f t="shared" si="54"/>
        <v>14.707600000000001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9.4576833333333337</v>
      </c>
      <c r="C1065" s="8">
        <f t="shared" si="55"/>
        <v>9.4680166666666654</v>
      </c>
      <c r="D1065" s="8">
        <f t="shared" si="55"/>
        <v>9.4718499999999999</v>
      </c>
      <c r="E1065" s="8">
        <f t="shared" si="55"/>
        <v>9.4692333333333316</v>
      </c>
      <c r="F1065" s="4">
        <f t="shared" si="55"/>
        <v>10.133049999999999</v>
      </c>
      <c r="G1065" s="8">
        <f t="shared" si="55"/>
        <v>9.2900833333333335</v>
      </c>
      <c r="H1065" s="4">
        <f t="shared" si="55"/>
        <v>10.197649999999998</v>
      </c>
      <c r="I1065" s="8">
        <f t="shared" si="55"/>
        <v>9.2158416666666678</v>
      </c>
      <c r="J1065" s="4">
        <f t="shared" si="55"/>
        <v>9.1214083333333331</v>
      </c>
      <c r="K1065" s="7"/>
      <c r="L1065" s="5">
        <f t="shared" ref="L1065:Q1065" si="56">SUM(L341:L352)</f>
        <v>355.53689999999995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4.4046000000000003</v>
      </c>
      <c r="P1065" s="5">
        <f t="shared" si="56"/>
        <v>14.707600000000001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9.7660916666666662</v>
      </c>
      <c r="C1066" s="8">
        <f t="shared" si="57"/>
        <v>9.7764333333333315</v>
      </c>
      <c r="D1066" s="8">
        <f t="shared" si="57"/>
        <v>9.7802500000000006</v>
      </c>
      <c r="E1066" s="8">
        <f t="shared" si="57"/>
        <v>9.7776250000000005</v>
      </c>
      <c r="F1066" s="4">
        <f t="shared" si="57"/>
        <v>10.441458333333335</v>
      </c>
      <c r="G1066" s="8">
        <f t="shared" si="57"/>
        <v>9.593491666666667</v>
      </c>
      <c r="H1066" s="4">
        <f t="shared" si="57"/>
        <v>10.501083333333332</v>
      </c>
      <c r="I1066" s="8">
        <f t="shared" si="57"/>
        <v>9.514266666666666</v>
      </c>
      <c r="J1066" s="4">
        <f t="shared" si="57"/>
        <v>9.4196666666666662</v>
      </c>
      <c r="K1066" s="7"/>
      <c r="L1066" s="5">
        <f t="shared" ref="L1066:Q1066" si="58">SUM(L353:L364)</f>
        <v>356.48229999999995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4.4165999999999999</v>
      </c>
      <c r="P1066" s="5">
        <f t="shared" si="58"/>
        <v>14.7493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10.084574999999999</v>
      </c>
      <c r="C1067" s="8">
        <f t="shared" si="59"/>
        <v>10.094916666666666</v>
      </c>
      <c r="D1067" s="8">
        <f t="shared" si="59"/>
        <v>10.098741666666667</v>
      </c>
      <c r="E1067" s="8">
        <f t="shared" si="59"/>
        <v>10.096116666666665</v>
      </c>
      <c r="F1067" s="4">
        <f t="shared" si="59"/>
        <v>10.759941666666668</v>
      </c>
      <c r="G1067" s="8">
        <f t="shared" si="59"/>
        <v>9.906858333333334</v>
      </c>
      <c r="H1067" s="4">
        <f t="shared" si="59"/>
        <v>10.814425</v>
      </c>
      <c r="I1067" s="8">
        <f t="shared" si="59"/>
        <v>9.8224083333333319</v>
      </c>
      <c r="J1067" s="4">
        <f t="shared" si="59"/>
        <v>9.7276833333333332</v>
      </c>
      <c r="K1067" s="7"/>
      <c r="L1067" s="5">
        <f t="shared" ref="L1067:Q1067" si="60">SUM(L365:L376)</f>
        <v>355.53689999999995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4.4046000000000003</v>
      </c>
      <c r="P1067" s="5">
        <f t="shared" si="60"/>
        <v>14.707600000000001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10.413475</v>
      </c>
      <c r="C1068" s="8">
        <f t="shared" si="61"/>
        <v>10.423824999999999</v>
      </c>
      <c r="D1068" s="8">
        <f t="shared" si="61"/>
        <v>10.427658333333332</v>
      </c>
      <c r="E1068" s="8">
        <f t="shared" si="61"/>
        <v>10.425033333333333</v>
      </c>
      <c r="F1068" s="4">
        <f t="shared" si="61"/>
        <v>11.088850000000001</v>
      </c>
      <c r="G1068" s="8">
        <f t="shared" si="61"/>
        <v>10.230433333333334</v>
      </c>
      <c r="H1068" s="4">
        <f t="shared" si="61"/>
        <v>11.138</v>
      </c>
      <c r="I1068" s="8">
        <f t="shared" si="61"/>
        <v>10.140675</v>
      </c>
      <c r="J1068" s="4">
        <f t="shared" si="61"/>
        <v>10.045791666666666</v>
      </c>
      <c r="K1068" s="7"/>
      <c r="L1068" s="5">
        <f t="shared" ref="L1068:Q1068" si="62">SUM(L377:L388)</f>
        <v>355.53689999999995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4.4046000000000003</v>
      </c>
      <c r="P1068" s="5">
        <f t="shared" si="62"/>
        <v>14.707600000000001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10.75315</v>
      </c>
      <c r="C1069" s="8">
        <f t="shared" si="63"/>
        <v>10.763491666666669</v>
      </c>
      <c r="D1069" s="8">
        <f t="shared" si="63"/>
        <v>10.767308333333334</v>
      </c>
      <c r="E1069" s="8">
        <f t="shared" si="63"/>
        <v>10.764683333333332</v>
      </c>
      <c r="F1069" s="4">
        <f t="shared" si="63"/>
        <v>11.428508333333333</v>
      </c>
      <c r="G1069" s="8">
        <f t="shared" si="63"/>
        <v>10.564583333333333</v>
      </c>
      <c r="H1069" s="4">
        <f t="shared" si="63"/>
        <v>11.472158333333333</v>
      </c>
      <c r="I1069" s="8">
        <f t="shared" si="63"/>
        <v>10.469316666666666</v>
      </c>
      <c r="J1069" s="4">
        <f t="shared" si="63"/>
        <v>10.374274999999999</v>
      </c>
      <c r="K1069" s="7"/>
      <c r="L1069" s="5">
        <f t="shared" ref="L1069:Q1069" si="64">SUM(L389:L400)</f>
        <v>355.53689999999995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4.4046000000000003</v>
      </c>
      <c r="P1069" s="5">
        <f t="shared" si="64"/>
        <v>14.707600000000001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11.103908333333331</v>
      </c>
      <c r="C1070" s="8">
        <f t="shared" si="65"/>
        <v>11.114266666666666</v>
      </c>
      <c r="D1070" s="8">
        <f t="shared" si="65"/>
        <v>11.118091666666666</v>
      </c>
      <c r="E1070" s="8">
        <f t="shared" si="65"/>
        <v>11.115458333333331</v>
      </c>
      <c r="F1070" s="4">
        <f t="shared" si="65"/>
        <v>11.779283333333334</v>
      </c>
      <c r="G1070" s="8">
        <f t="shared" si="65"/>
        <v>10.909708333333333</v>
      </c>
      <c r="H1070" s="4">
        <f t="shared" si="65"/>
        <v>11.817266666666663</v>
      </c>
      <c r="I1070" s="8">
        <f t="shared" si="65"/>
        <v>10.808708333333334</v>
      </c>
      <c r="J1070" s="4">
        <f t="shared" si="65"/>
        <v>10.713499999999998</v>
      </c>
      <c r="K1070" s="7"/>
      <c r="L1070" s="5">
        <f t="shared" ref="L1070:Q1070" si="66">SUM(L401:L412)</f>
        <v>356.48229999999995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4.4165999999999999</v>
      </c>
      <c r="P1070" s="5">
        <f t="shared" si="66"/>
        <v>14.7493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11.466166666666666</v>
      </c>
      <c r="C1071" s="8">
        <f t="shared" si="67"/>
        <v>11.476500000000001</v>
      </c>
      <c r="D1071" s="8">
        <f t="shared" si="67"/>
        <v>11.480333333333334</v>
      </c>
      <c r="E1071" s="8">
        <f t="shared" si="67"/>
        <v>11.477708333333334</v>
      </c>
      <c r="F1071" s="4">
        <f t="shared" si="67"/>
        <v>12.141550000000001</v>
      </c>
      <c r="G1071" s="8">
        <f t="shared" si="67"/>
        <v>11.266083333333333</v>
      </c>
      <c r="H1071" s="4">
        <f t="shared" si="67"/>
        <v>12.17365</v>
      </c>
      <c r="I1071" s="8">
        <f t="shared" si="67"/>
        <v>11.159224999999999</v>
      </c>
      <c r="J1071" s="4">
        <f t="shared" si="67"/>
        <v>11.063841666666669</v>
      </c>
      <c r="K1071" s="7"/>
      <c r="L1071" s="5">
        <f t="shared" ref="L1071:Q1071" si="68">SUM(L413:L424)</f>
        <v>355.53689999999995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4.4046000000000003</v>
      </c>
      <c r="P1071" s="5">
        <f t="shared" si="68"/>
        <v>14.707600000000001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11.840249999999999</v>
      </c>
      <c r="C1072" s="8">
        <f t="shared" si="69"/>
        <v>11.850608333333335</v>
      </c>
      <c r="D1072" s="8">
        <f t="shared" si="69"/>
        <v>11.854416666666665</v>
      </c>
      <c r="E1072" s="8">
        <f t="shared" si="69"/>
        <v>11.851799999999999</v>
      </c>
      <c r="F1072" s="4">
        <f t="shared" si="69"/>
        <v>12.515625</v>
      </c>
      <c r="G1072" s="8">
        <f t="shared" si="69"/>
        <v>11.634124999999997</v>
      </c>
      <c r="H1072" s="4">
        <f t="shared" si="69"/>
        <v>12.541691666666665</v>
      </c>
      <c r="I1072" s="8">
        <f t="shared" si="69"/>
        <v>11.521183333333333</v>
      </c>
      <c r="J1072" s="4">
        <f t="shared" si="69"/>
        <v>11.425583333333334</v>
      </c>
      <c r="K1072" s="7"/>
      <c r="L1072" s="5">
        <f t="shared" ref="L1072:Q1072" si="70">SUM(L425:L436)</f>
        <v>355.53689999999995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4.4046000000000003</v>
      </c>
      <c r="P1072" s="5">
        <f t="shared" si="70"/>
        <v>14.707600000000001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12.226591666666669</v>
      </c>
      <c r="C1073" s="8">
        <f t="shared" si="71"/>
        <v>12.236908333333332</v>
      </c>
      <c r="D1073" s="8">
        <f t="shared" si="71"/>
        <v>12.240741666666667</v>
      </c>
      <c r="E1073" s="8">
        <f t="shared" si="71"/>
        <v>12.238125000000004</v>
      </c>
      <c r="F1073" s="4">
        <f t="shared" si="71"/>
        <v>12.901949999999999</v>
      </c>
      <c r="G1073" s="8">
        <f t="shared" si="71"/>
        <v>12.014183333333333</v>
      </c>
      <c r="H1073" s="4">
        <f t="shared" si="71"/>
        <v>12.921766666666668</v>
      </c>
      <c r="I1073" s="8">
        <f t="shared" si="71"/>
        <v>11.895000000000001</v>
      </c>
      <c r="J1073" s="4">
        <f t="shared" si="71"/>
        <v>11.799225000000002</v>
      </c>
      <c r="K1073" s="7"/>
      <c r="L1073" s="5">
        <f t="shared" ref="L1073:Q1073" si="72">SUM(L437:L448)</f>
        <v>355.53689999999995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4.4046000000000003</v>
      </c>
      <c r="P1073" s="5">
        <f t="shared" si="72"/>
        <v>14.707600000000001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12.625533333333335</v>
      </c>
      <c r="C1074" s="8">
        <f t="shared" si="73"/>
        <v>12.635875</v>
      </c>
      <c r="D1074" s="8">
        <f t="shared" si="73"/>
        <v>12.639716666666665</v>
      </c>
      <c r="E1074" s="8">
        <f t="shared" si="73"/>
        <v>12.637083333333335</v>
      </c>
      <c r="F1074" s="4">
        <f t="shared" si="73"/>
        <v>13.300908333333334</v>
      </c>
      <c r="G1074" s="8">
        <f t="shared" si="73"/>
        <v>12.406708333333333</v>
      </c>
      <c r="H1074" s="4">
        <f t="shared" si="73"/>
        <v>13.314275</v>
      </c>
      <c r="I1074" s="8">
        <f t="shared" si="73"/>
        <v>12.281008333333332</v>
      </c>
      <c r="J1074" s="4">
        <f t="shared" si="73"/>
        <v>12.185041666666669</v>
      </c>
      <c r="K1074" s="7"/>
      <c r="L1074" s="5">
        <f t="shared" ref="L1074:Q1074" si="74">SUM(L449:L460)</f>
        <v>356.48229999999995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4.4165999999999999</v>
      </c>
      <c r="P1074" s="5">
        <f t="shared" si="74"/>
        <v>14.7493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13.037533333333334</v>
      </c>
      <c r="C1075" s="8">
        <f t="shared" si="75"/>
        <v>13.047891666666667</v>
      </c>
      <c r="D1075" s="8">
        <f t="shared" si="75"/>
        <v>13.051691666666665</v>
      </c>
      <c r="E1075" s="8">
        <f t="shared" si="75"/>
        <v>13.049066666666667</v>
      </c>
      <c r="F1075" s="4">
        <f t="shared" si="75"/>
        <v>13.712899999999999</v>
      </c>
      <c r="G1075" s="8">
        <f t="shared" si="75"/>
        <v>12.812041666666666</v>
      </c>
      <c r="H1075" s="4">
        <f t="shared" si="75"/>
        <v>13.719608333333333</v>
      </c>
      <c r="I1075" s="8">
        <f t="shared" si="75"/>
        <v>12.679650000000001</v>
      </c>
      <c r="J1075" s="4">
        <f t="shared" si="75"/>
        <v>12.583508333333333</v>
      </c>
      <c r="K1075" s="7"/>
      <c r="L1075" s="5">
        <f t="shared" ref="L1075:Q1075" si="76">SUM(L461:L472)</f>
        <v>355.53689999999995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4.4046000000000003</v>
      </c>
      <c r="P1075" s="5">
        <f t="shared" si="76"/>
        <v>14.707600000000001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13.463024999999996</v>
      </c>
      <c r="C1076" s="8">
        <f t="shared" si="77"/>
        <v>13.47335833333333</v>
      </c>
      <c r="D1076" s="8">
        <f t="shared" si="77"/>
        <v>13.477208333333335</v>
      </c>
      <c r="E1076" s="8">
        <f t="shared" si="77"/>
        <v>13.474575000000002</v>
      </c>
      <c r="F1076" s="4">
        <f t="shared" si="77"/>
        <v>14.138391666666665</v>
      </c>
      <c r="G1076" s="8">
        <f t="shared" si="77"/>
        <v>13.230649999999997</v>
      </c>
      <c r="H1076" s="4">
        <f t="shared" si="77"/>
        <v>14.138191666666666</v>
      </c>
      <c r="I1076" s="8">
        <f t="shared" si="77"/>
        <v>13.091341666666663</v>
      </c>
      <c r="J1076" s="4">
        <f t="shared" si="77"/>
        <v>12.994983333333332</v>
      </c>
      <c r="K1076" s="7"/>
      <c r="L1076" s="5">
        <f t="shared" ref="L1076:Q1076" si="78">SUM(L473:L484)</f>
        <v>355.53689999999995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4.4046000000000003</v>
      </c>
      <c r="P1076" s="5">
        <f t="shared" si="78"/>
        <v>14.707600000000001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13.902408333333334</v>
      </c>
      <c r="C1077" s="8">
        <f t="shared" si="79"/>
        <v>13.912758333333334</v>
      </c>
      <c r="D1077" s="8">
        <f t="shared" si="79"/>
        <v>13.91658333333333</v>
      </c>
      <c r="E1077" s="8">
        <f t="shared" si="79"/>
        <v>13.913966666666665</v>
      </c>
      <c r="F1077" s="4">
        <f t="shared" si="79"/>
        <v>14.577791666666668</v>
      </c>
      <c r="G1077" s="8">
        <f t="shared" si="79"/>
        <v>13.662933333333337</v>
      </c>
      <c r="H1077" s="4">
        <f t="shared" si="79"/>
        <v>14.570491666666664</v>
      </c>
      <c r="I1077" s="8">
        <f t="shared" si="79"/>
        <v>13.516491666666667</v>
      </c>
      <c r="J1077" s="4">
        <f t="shared" si="79"/>
        <v>13.419908333333334</v>
      </c>
      <c r="K1077" s="7"/>
      <c r="L1077" s="5">
        <f t="shared" ref="L1077:Q1077" si="80">SUM(L485:L496)</f>
        <v>355.53689999999995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4.4046000000000003</v>
      </c>
      <c r="P1077" s="5">
        <f t="shared" si="80"/>
        <v>14.707600000000001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14.356183333333334</v>
      </c>
      <c r="C1078" s="8">
        <f t="shared" si="81"/>
        <v>14.366525000000001</v>
      </c>
      <c r="D1078" s="8">
        <f t="shared" si="81"/>
        <v>14.370341666666667</v>
      </c>
      <c r="E1078" s="8">
        <f t="shared" si="81"/>
        <v>14.367724999999998</v>
      </c>
      <c r="F1078" s="4">
        <f t="shared" si="81"/>
        <v>15.031566666666668</v>
      </c>
      <c r="G1078" s="8">
        <f t="shared" si="81"/>
        <v>14.109350000000001</v>
      </c>
      <c r="H1078" s="4">
        <f t="shared" si="81"/>
        <v>15.016925000000001</v>
      </c>
      <c r="I1078" s="8">
        <f t="shared" si="81"/>
        <v>13.955549999999997</v>
      </c>
      <c r="J1078" s="4">
        <f t="shared" si="81"/>
        <v>13.858750000000001</v>
      </c>
      <c r="K1078" s="7"/>
      <c r="L1078" s="5">
        <f t="shared" ref="L1078:Q1078" si="82">SUM(L497:L508)</f>
        <v>356.48229999999995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4.4165999999999999</v>
      </c>
      <c r="P1078" s="5">
        <f t="shared" si="82"/>
        <v>14.7493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14.824775000000001</v>
      </c>
      <c r="C1079" s="8">
        <f t="shared" si="83"/>
        <v>14.835125</v>
      </c>
      <c r="D1079" s="8">
        <f t="shared" si="83"/>
        <v>14.838966666666666</v>
      </c>
      <c r="E1079" s="8">
        <f t="shared" si="83"/>
        <v>14.836341666666668</v>
      </c>
      <c r="F1079" s="4">
        <f t="shared" si="83"/>
        <v>15.500141666666664</v>
      </c>
      <c r="G1079" s="8">
        <f t="shared" si="83"/>
        <v>14.570358333333333</v>
      </c>
      <c r="H1079" s="4">
        <f t="shared" si="83"/>
        <v>15.477941666666666</v>
      </c>
      <c r="I1079" s="8">
        <f t="shared" si="83"/>
        <v>14.408983333333333</v>
      </c>
      <c r="J1079" s="4">
        <f t="shared" si="83"/>
        <v>14.311950000000003</v>
      </c>
      <c r="K1079" s="7"/>
      <c r="L1079" s="5">
        <f t="shared" ref="L1079:Q1079" si="84">SUM(L509:L520)</f>
        <v>355.53689999999995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4.4046000000000003</v>
      </c>
      <c r="P1079" s="5">
        <f t="shared" si="84"/>
        <v>14.707600000000001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15.308708333333334</v>
      </c>
      <c r="C1080" s="8">
        <f t="shared" si="85"/>
        <v>15.319049999999997</v>
      </c>
      <c r="D1080" s="8">
        <f t="shared" si="85"/>
        <v>15.322883333333335</v>
      </c>
      <c r="E1080" s="8">
        <f t="shared" si="85"/>
        <v>15.320250000000001</v>
      </c>
      <c r="F1080" s="4">
        <f t="shared" si="85"/>
        <v>15.984083333333333</v>
      </c>
      <c r="G1080" s="8">
        <f t="shared" si="85"/>
        <v>15.046475000000001</v>
      </c>
      <c r="H1080" s="4">
        <f t="shared" si="85"/>
        <v>15.954058333333334</v>
      </c>
      <c r="I1080" s="8">
        <f t="shared" si="85"/>
        <v>14.877208333333334</v>
      </c>
      <c r="J1080" s="4">
        <f t="shared" si="85"/>
        <v>14.779966666666667</v>
      </c>
      <c r="K1080" s="7"/>
      <c r="L1080" s="5">
        <f t="shared" ref="L1080:Q1080" si="86">SUM(L521:L532)</f>
        <v>355.53689999999995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4.4046000000000003</v>
      </c>
      <c r="P1080" s="5">
        <f t="shared" si="86"/>
        <v>14.707600000000001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15.808458333333334</v>
      </c>
      <c r="C1081" s="8">
        <f t="shared" si="87"/>
        <v>15.818808333333331</v>
      </c>
      <c r="D1081" s="8">
        <f t="shared" si="87"/>
        <v>15.822633333333334</v>
      </c>
      <c r="E1081" s="8">
        <f t="shared" si="87"/>
        <v>15.820016666666668</v>
      </c>
      <c r="F1081" s="4">
        <f t="shared" si="87"/>
        <v>16.483833333333333</v>
      </c>
      <c r="G1081" s="8">
        <f t="shared" si="87"/>
        <v>15.538149999999996</v>
      </c>
      <c r="H1081" s="4">
        <f t="shared" si="87"/>
        <v>16.445708333333332</v>
      </c>
      <c r="I1081" s="8">
        <f t="shared" si="87"/>
        <v>15.360774999999999</v>
      </c>
      <c r="J1081" s="4">
        <f t="shared" si="87"/>
        <v>15.263266666666668</v>
      </c>
      <c r="K1081" s="4"/>
      <c r="L1081" s="5">
        <f>SUM(L533:L544)</f>
        <v>355.53689999999995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4.4046000000000003</v>
      </c>
      <c r="P1081" s="5">
        <f>SUM(P533:P544)</f>
        <v>14.707600000000001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16.324558333333332</v>
      </c>
      <c r="C1082" s="8">
        <f t="shared" si="88"/>
        <v>16.334916666666668</v>
      </c>
      <c r="D1082" s="8">
        <f t="shared" si="88"/>
        <v>16.338741666666664</v>
      </c>
      <c r="E1082" s="8">
        <f t="shared" si="88"/>
        <v>16.336108333333332</v>
      </c>
      <c r="F1082" s="4">
        <f t="shared" si="88"/>
        <v>16.999933333333335</v>
      </c>
      <c r="G1082" s="8">
        <f t="shared" si="88"/>
        <v>16.045891666666666</v>
      </c>
      <c r="H1082" s="4">
        <f t="shared" si="88"/>
        <v>16.953466666666667</v>
      </c>
      <c r="I1082" s="8">
        <f t="shared" si="88"/>
        <v>15.860141666666665</v>
      </c>
      <c r="J1082" s="4">
        <f t="shared" si="88"/>
        <v>15.762375</v>
      </c>
      <c r="K1082" s="7"/>
      <c r="L1082" s="5">
        <f>SUM(L545:L556)</f>
        <v>356.48229999999995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4.4046000000000003</v>
      </c>
      <c r="P1082" s="5">
        <f>SUM(P545:P556)</f>
        <v>14.7493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16.857549999999996</v>
      </c>
      <c r="C1083" s="8">
        <f t="shared" si="89"/>
        <v>16.867874999999998</v>
      </c>
      <c r="D1083" s="8">
        <f t="shared" si="89"/>
        <v>16.871716666666668</v>
      </c>
      <c r="E1083" s="8">
        <f t="shared" si="89"/>
        <v>16.869083333333336</v>
      </c>
      <c r="F1083" s="4">
        <f t="shared" si="89"/>
        <v>17.532916666666669</v>
      </c>
      <c r="G1083" s="8">
        <f t="shared" si="89"/>
        <v>16.570258333333332</v>
      </c>
      <c r="H1083" s="4">
        <f t="shared" si="89"/>
        <v>17.477816666666669</v>
      </c>
      <c r="I1083" s="8">
        <f t="shared" si="89"/>
        <v>16.375824999999999</v>
      </c>
      <c r="J1083" s="4">
        <f t="shared" si="89"/>
        <v>16.277833333333334</v>
      </c>
      <c r="K1083" s="7"/>
      <c r="L1083" s="5">
        <f>SUM(L557:L568)</f>
        <v>355.53689999999995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4.4046000000000003</v>
      </c>
      <c r="P1083" s="5">
        <f>SUM(P557:P568)</f>
        <v>14.707600000000001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17.407941666666662</v>
      </c>
      <c r="C1084" s="4">
        <f t="shared" ca="1" si="90"/>
        <v>17.418283333333331</v>
      </c>
      <c r="D1084" s="4">
        <f t="shared" ca="1" si="90"/>
        <v>17.422133333333335</v>
      </c>
      <c r="E1084" s="4">
        <f t="shared" ca="1" si="90"/>
        <v>17.419508333333336</v>
      </c>
      <c r="F1084" s="4">
        <f t="shared" ca="1" si="90"/>
        <v>18.083324999999999</v>
      </c>
      <c r="G1084" s="4">
        <f t="shared" ca="1" si="90"/>
        <v>17.111758333333331</v>
      </c>
      <c r="H1084" s="4">
        <f t="shared" ca="1" si="90"/>
        <v>18.019325000000002</v>
      </c>
      <c r="I1084" s="4">
        <f t="shared" ca="1" si="90"/>
        <v>16.908400000000004</v>
      </c>
      <c r="J1084" s="4">
        <f t="shared" ca="1" si="90"/>
        <v>16.810124999999999</v>
      </c>
      <c r="K1084" s="4"/>
      <c r="L1084" s="5">
        <f t="shared" ref="L1084:Q1093" ca="1" si="91">SUM(OFFSET(L$569,($A1084-$A$1084)*12,0,12,1))</f>
        <v>355.53689999999995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4.4046000000000003</v>
      </c>
      <c r="P1084" s="5">
        <f t="shared" ca="1" si="91"/>
        <v>14.707600000000001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17.976366666666667</v>
      </c>
      <c r="C1085" s="4">
        <f t="shared" ca="1" si="90"/>
        <v>17.986699999999999</v>
      </c>
      <c r="D1085" s="4">
        <f t="shared" ca="1" si="90"/>
        <v>17.990516666666668</v>
      </c>
      <c r="E1085" s="4">
        <f t="shared" ca="1" si="90"/>
        <v>17.98789166666667</v>
      </c>
      <c r="F1085" s="4">
        <f t="shared" ca="1" si="90"/>
        <v>18.651716666666665</v>
      </c>
      <c r="G1085" s="4">
        <f t="shared" ca="1" si="90"/>
        <v>17.670991666666666</v>
      </c>
      <c r="H1085" s="4">
        <f t="shared" ca="1" si="90"/>
        <v>18.57855833333333</v>
      </c>
      <c r="I1085" s="4">
        <f t="shared" ca="1" si="90"/>
        <v>17.458366666666667</v>
      </c>
      <c r="J1085" s="4">
        <f t="shared" ca="1" si="90"/>
        <v>17.359841666666664</v>
      </c>
      <c r="K1085" s="4"/>
      <c r="L1085" s="5">
        <f t="shared" ca="1" si="91"/>
        <v>355.53689999999995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4.4046000000000003</v>
      </c>
      <c r="P1085" s="5">
        <f t="shared" ca="1" si="91"/>
        <v>14.707600000000001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18.563358333333333</v>
      </c>
      <c r="C1086" s="4">
        <f t="shared" ca="1" si="90"/>
        <v>18.573700000000002</v>
      </c>
      <c r="D1086" s="4">
        <f t="shared" ca="1" si="90"/>
        <v>18.577524999999998</v>
      </c>
      <c r="E1086" s="4">
        <f t="shared" ca="1" si="90"/>
        <v>18.5749</v>
      </c>
      <c r="F1086" s="4">
        <f t="shared" ca="1" si="90"/>
        <v>19.238733333333329</v>
      </c>
      <c r="G1086" s="4">
        <f t="shared" ca="1" si="90"/>
        <v>18.248466666666666</v>
      </c>
      <c r="H1086" s="4">
        <f t="shared" ca="1" si="90"/>
        <v>19.156041666666667</v>
      </c>
      <c r="I1086" s="4">
        <f t="shared" ca="1" si="90"/>
        <v>18.026358333333334</v>
      </c>
      <c r="J1086" s="4">
        <f t="shared" ca="1" si="90"/>
        <v>17.927524999999999</v>
      </c>
      <c r="K1086" s="4"/>
      <c r="L1086" s="5">
        <f t="shared" ca="1" si="91"/>
        <v>356.48229999999995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4.4165999999999999</v>
      </c>
      <c r="P1086" s="5">
        <f t="shared" ca="1" si="91"/>
        <v>14.7493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19.169558333333335</v>
      </c>
      <c r="C1087" s="4">
        <f t="shared" ca="1" si="90"/>
        <v>19.179883333333333</v>
      </c>
      <c r="D1087" s="4">
        <f t="shared" ca="1" si="90"/>
        <v>19.183716666666665</v>
      </c>
      <c r="E1087" s="4">
        <f t="shared" ca="1" si="90"/>
        <v>19.181091666666667</v>
      </c>
      <c r="F1087" s="4">
        <f t="shared" ca="1" si="90"/>
        <v>19.844916666666666</v>
      </c>
      <c r="G1087" s="4">
        <f t="shared" ca="1" si="90"/>
        <v>18.844866666666665</v>
      </c>
      <c r="H1087" s="4">
        <f t="shared" ca="1" si="90"/>
        <v>19.75245</v>
      </c>
      <c r="I1087" s="4">
        <f t="shared" ca="1" si="90"/>
        <v>18.612916666666667</v>
      </c>
      <c r="J1087" s="4">
        <f t="shared" ca="1" si="90"/>
        <v>18.513758333333332</v>
      </c>
      <c r="K1087" s="4"/>
      <c r="L1087" s="5">
        <f t="shared" ca="1" si="91"/>
        <v>355.53689999999995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4.4046000000000003</v>
      </c>
      <c r="P1087" s="5">
        <f t="shared" ca="1" si="91"/>
        <v>14.707600000000001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19.795566666666669</v>
      </c>
      <c r="C1088" s="4">
        <f t="shared" ca="1" si="90"/>
        <v>19.805908333333335</v>
      </c>
      <c r="D1088" s="4">
        <f t="shared" ca="1" si="90"/>
        <v>19.809733333333337</v>
      </c>
      <c r="E1088" s="4">
        <f t="shared" ca="1" si="90"/>
        <v>19.807116666666666</v>
      </c>
      <c r="F1088" s="4">
        <f t="shared" ca="1" si="90"/>
        <v>20.470924999999998</v>
      </c>
      <c r="G1088" s="4">
        <f t="shared" ca="1" si="90"/>
        <v>19.460758333333334</v>
      </c>
      <c r="H1088" s="4">
        <f t="shared" ca="1" si="90"/>
        <v>20.368341666666666</v>
      </c>
      <c r="I1088" s="4">
        <f t="shared" ca="1" si="90"/>
        <v>19.218616666666666</v>
      </c>
      <c r="J1088" s="4">
        <f t="shared" ca="1" si="90"/>
        <v>19.119199999999999</v>
      </c>
      <c r="K1088" s="4"/>
      <c r="L1088" s="5">
        <f t="shared" ca="1" si="91"/>
        <v>355.53689999999995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4.4046000000000003</v>
      </c>
      <c r="P1088" s="5">
        <f t="shared" ca="1" si="91"/>
        <v>14.707600000000001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20.442066666666665</v>
      </c>
      <c r="C1089" s="4">
        <f t="shared" ca="1" si="90"/>
        <v>20.452416666666664</v>
      </c>
      <c r="D1089" s="4">
        <f t="shared" ca="1" si="90"/>
        <v>20.456225</v>
      </c>
      <c r="E1089" s="4">
        <f t="shared" ca="1" si="90"/>
        <v>20.453608333333335</v>
      </c>
      <c r="F1089" s="4">
        <f t="shared" ca="1" si="90"/>
        <v>21.117425000000001</v>
      </c>
      <c r="G1089" s="4">
        <f t="shared" ca="1" si="90"/>
        <v>20.096791666666665</v>
      </c>
      <c r="H1089" s="4">
        <f t="shared" ca="1" si="90"/>
        <v>21.004358333333332</v>
      </c>
      <c r="I1089" s="4">
        <f t="shared" ca="1" si="90"/>
        <v>19.844158333333336</v>
      </c>
      <c r="J1089" s="4">
        <f t="shared" ca="1" si="90"/>
        <v>19.744408333333332</v>
      </c>
      <c r="K1089" s="4"/>
      <c r="L1089" s="5">
        <f t="shared" ca="1" si="91"/>
        <v>355.53689999999995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4.4046000000000003</v>
      </c>
      <c r="P1089" s="5">
        <f t="shared" ca="1" si="91"/>
        <v>14.707600000000001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21.109691666666663</v>
      </c>
      <c r="C1090" s="4">
        <f t="shared" ca="1" si="90"/>
        <v>21.120041666666665</v>
      </c>
      <c r="D1090" s="4">
        <f t="shared" ca="1" si="90"/>
        <v>21.123866666666668</v>
      </c>
      <c r="E1090" s="4">
        <f t="shared" ca="1" si="90"/>
        <v>21.121241666666666</v>
      </c>
      <c r="F1090" s="4">
        <f t="shared" ca="1" si="90"/>
        <v>21.785075000000003</v>
      </c>
      <c r="G1090" s="4">
        <f t="shared" ca="1" si="90"/>
        <v>20.75363333333333</v>
      </c>
      <c r="H1090" s="4">
        <f t="shared" ca="1" si="90"/>
        <v>21.661224999999998</v>
      </c>
      <c r="I1090" s="4">
        <f t="shared" ca="1" si="90"/>
        <v>20.490133333333333</v>
      </c>
      <c r="J1090" s="4">
        <f t="shared" ca="1" si="90"/>
        <v>20.3901</v>
      </c>
      <c r="K1090" s="4"/>
      <c r="L1090" s="5">
        <f t="shared" ca="1" si="91"/>
        <v>356.48229999999995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4.4165999999999999</v>
      </c>
      <c r="P1090" s="5">
        <f t="shared" ca="1" si="91"/>
        <v>14.7493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21.799166666666668</v>
      </c>
      <c r="C1091" s="4">
        <f t="shared" ca="1" si="90"/>
        <v>21.809508333333337</v>
      </c>
      <c r="D1091" s="4">
        <f t="shared" ca="1" si="90"/>
        <v>21.813341666666663</v>
      </c>
      <c r="E1091" s="4">
        <f t="shared" ca="1" si="90"/>
        <v>21.810716666666668</v>
      </c>
      <c r="F1091" s="4">
        <f t="shared" ca="1" si="90"/>
        <v>22.474524999999996</v>
      </c>
      <c r="G1091" s="4">
        <f t="shared" ca="1" si="90"/>
        <v>21.431966666666668</v>
      </c>
      <c r="H1091" s="4">
        <f t="shared" ca="1" si="90"/>
        <v>22.339524999999998</v>
      </c>
      <c r="I1091" s="4">
        <f t="shared" ca="1" si="90"/>
        <v>21.157274999999998</v>
      </c>
      <c r="J1091" s="4">
        <f t="shared" ca="1" si="90"/>
        <v>21.056866666666668</v>
      </c>
      <c r="K1091" s="4"/>
      <c r="L1091" s="5">
        <f t="shared" ca="1" si="91"/>
        <v>355.53689999999995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4.4046000000000003</v>
      </c>
      <c r="P1091" s="5">
        <f t="shared" ca="1" si="91"/>
        <v>14.707600000000001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22.511191666666665</v>
      </c>
      <c r="C1092" s="4">
        <f t="shared" ca="1" si="90"/>
        <v>22.521524999999997</v>
      </c>
      <c r="D1092" s="4">
        <f t="shared" ca="1" si="90"/>
        <v>22.52535833333333</v>
      </c>
      <c r="E1092" s="4">
        <f t="shared" ca="1" si="90"/>
        <v>22.522741666666672</v>
      </c>
      <c r="F1092" s="4">
        <f t="shared" ca="1" si="90"/>
        <v>23.186549999999997</v>
      </c>
      <c r="G1092" s="4">
        <f t="shared" ca="1" si="90"/>
        <v>22.132441666666665</v>
      </c>
      <c r="H1092" s="4">
        <f t="shared" ca="1" si="90"/>
        <v>23.040008333333333</v>
      </c>
      <c r="I1092" s="4">
        <f t="shared" ca="1" si="90"/>
        <v>21.846208333333333</v>
      </c>
      <c r="J1092" s="4">
        <f t="shared" ca="1" si="90"/>
        <v>21.745474999999999</v>
      </c>
      <c r="K1092" s="4"/>
      <c r="L1092" s="5">
        <f t="shared" ca="1" si="91"/>
        <v>355.53689999999995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4.4046000000000003</v>
      </c>
      <c r="P1092" s="5">
        <f t="shared" ca="1" si="91"/>
        <v>14.707600000000001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23.246491666666667</v>
      </c>
      <c r="C1093" s="4">
        <f t="shared" ca="1" si="90"/>
        <v>23.256825000000003</v>
      </c>
      <c r="D1093" s="4">
        <f t="shared" ca="1" si="90"/>
        <v>23.260674999999996</v>
      </c>
      <c r="E1093" s="4">
        <f t="shared" ca="1" si="90"/>
        <v>23.258041666666667</v>
      </c>
      <c r="F1093" s="4">
        <f t="shared" ca="1" si="90"/>
        <v>23.921841666666666</v>
      </c>
      <c r="G1093" s="4">
        <f t="shared" ca="1" si="90"/>
        <v>22.855866666666667</v>
      </c>
      <c r="H1093" s="4">
        <f t="shared" ca="1" si="90"/>
        <v>23.763441666666665</v>
      </c>
      <c r="I1093" s="4">
        <f t="shared" ca="1" si="90"/>
        <v>22.557675</v>
      </c>
      <c r="J1093" s="4">
        <f t="shared" ca="1" si="90"/>
        <v>22.456575000000001</v>
      </c>
      <c r="K1093" s="4"/>
      <c r="L1093" s="5">
        <f t="shared" ca="1" si="91"/>
        <v>355.53689999999995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4.4046000000000003</v>
      </c>
      <c r="P1093" s="5">
        <f t="shared" ca="1" si="91"/>
        <v>14.707600000000001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24.005849999999999</v>
      </c>
      <c r="C1094" s="4">
        <f t="shared" ca="1" si="93"/>
        <v>24.016183333333334</v>
      </c>
      <c r="D1094" s="4">
        <f t="shared" ca="1" si="93"/>
        <v>24.020024999999993</v>
      </c>
      <c r="E1094" s="4">
        <f t="shared" ca="1" si="93"/>
        <v>24.017399999999995</v>
      </c>
      <c r="F1094" s="4">
        <f t="shared" ca="1" si="93"/>
        <v>24.681200000000004</v>
      </c>
      <c r="G1094" s="4">
        <f t="shared" ca="1" si="93"/>
        <v>23.602933333333336</v>
      </c>
      <c r="H1094" s="4">
        <f t="shared" ca="1" si="93"/>
        <v>24.510500000000004</v>
      </c>
      <c r="I1094" s="4">
        <f t="shared" ca="1" si="93"/>
        <v>23.292400000000001</v>
      </c>
      <c r="J1094" s="4">
        <f t="shared" ca="1" si="93"/>
        <v>23.190950000000001</v>
      </c>
      <c r="K1094" s="4"/>
      <c r="L1094" s="5">
        <f t="shared" ref="L1094:Q1103" ca="1" si="94">SUM(OFFSET(L$569,($A1094-$A$1084)*12,0,12,1))</f>
        <v>356.48229999999995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4.4165999999999999</v>
      </c>
      <c r="P1094" s="5">
        <f t="shared" ca="1" si="94"/>
        <v>14.7493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24.790033333333337</v>
      </c>
      <c r="C1095" s="4">
        <f t="shared" ca="1" si="93"/>
        <v>24.800366666666672</v>
      </c>
      <c r="D1095" s="4">
        <f t="shared" ca="1" si="93"/>
        <v>24.804183333333331</v>
      </c>
      <c r="E1095" s="4">
        <f t="shared" ca="1" si="93"/>
        <v>24.801558333333332</v>
      </c>
      <c r="F1095" s="4">
        <f t="shared" ca="1" si="93"/>
        <v>25.465399999999999</v>
      </c>
      <c r="G1095" s="4">
        <f t="shared" ca="1" si="93"/>
        <v>24.374433333333332</v>
      </c>
      <c r="H1095" s="4">
        <f t="shared" ca="1" si="93"/>
        <v>25.281999999999996</v>
      </c>
      <c r="I1095" s="4">
        <f t="shared" ca="1" si="93"/>
        <v>24.051175000000001</v>
      </c>
      <c r="J1095" s="4">
        <f t="shared" ca="1" si="93"/>
        <v>23.949333333333332</v>
      </c>
      <c r="K1095" s="4"/>
      <c r="L1095" s="5">
        <f t="shared" ca="1" si="94"/>
        <v>355.53689999999995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4.4046000000000003</v>
      </c>
      <c r="P1095" s="5">
        <f t="shared" ca="1" si="94"/>
        <v>14.707600000000001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25.59985</v>
      </c>
      <c r="C1096" s="4">
        <f t="shared" ca="1" si="93"/>
        <v>25.610191666666665</v>
      </c>
      <c r="D1096" s="4">
        <f t="shared" ca="1" si="93"/>
        <v>25.614025000000002</v>
      </c>
      <c r="E1096" s="4">
        <f t="shared" ca="1" si="93"/>
        <v>25.611391666666673</v>
      </c>
      <c r="F1096" s="4">
        <f t="shared" ca="1" si="93"/>
        <v>26.275208333333328</v>
      </c>
      <c r="G1096" s="4">
        <f t="shared" ca="1" si="93"/>
        <v>25.171166666666664</v>
      </c>
      <c r="H1096" s="4">
        <f t="shared" ca="1" si="93"/>
        <v>26.078733333333332</v>
      </c>
      <c r="I1096" s="4">
        <f t="shared" ca="1" si="93"/>
        <v>24.834758333333337</v>
      </c>
      <c r="J1096" s="4">
        <f t="shared" ca="1" si="93"/>
        <v>24.732508333333332</v>
      </c>
      <c r="K1096" s="4"/>
      <c r="L1096" s="5">
        <f t="shared" ca="1" si="94"/>
        <v>355.53689999999995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4.4046000000000003</v>
      </c>
      <c r="P1096" s="5">
        <f t="shared" ca="1" si="94"/>
        <v>14.707600000000001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26.436175000000002</v>
      </c>
      <c r="C1097" s="4">
        <f t="shared" ca="1" si="93"/>
        <v>26.446508333333338</v>
      </c>
      <c r="D1097" s="4">
        <f t="shared" ca="1" si="93"/>
        <v>26.450333333333329</v>
      </c>
      <c r="E1097" s="4">
        <f t="shared" ca="1" si="93"/>
        <v>26.447716666666668</v>
      </c>
      <c r="F1097" s="4">
        <f t="shared" ca="1" si="93"/>
        <v>27.111533333333327</v>
      </c>
      <c r="G1097" s="4">
        <f t="shared" ca="1" si="93"/>
        <v>25.993933333333331</v>
      </c>
      <c r="H1097" s="4">
        <f t="shared" ca="1" si="93"/>
        <v>26.901525000000007</v>
      </c>
      <c r="I1097" s="4">
        <f t="shared" ca="1" si="93"/>
        <v>25.643941666666667</v>
      </c>
      <c r="J1097" s="4">
        <f t="shared" ca="1" si="93"/>
        <v>25.541308333333333</v>
      </c>
      <c r="K1097" s="4"/>
      <c r="L1097" s="5">
        <f t="shared" ca="1" si="94"/>
        <v>355.53689999999995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4.4046000000000003</v>
      </c>
      <c r="P1097" s="5">
        <f t="shared" ca="1" si="94"/>
        <v>14.707600000000001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27.299824999999998</v>
      </c>
      <c r="C1098" s="4">
        <f t="shared" ca="1" si="93"/>
        <v>27.310174999999997</v>
      </c>
      <c r="D1098" s="4">
        <f t="shared" ca="1" si="93"/>
        <v>27.314008333333337</v>
      </c>
      <c r="E1098" s="4">
        <f t="shared" ca="1" si="93"/>
        <v>27.311391666666662</v>
      </c>
      <c r="F1098" s="4">
        <f t="shared" ca="1" si="93"/>
        <v>27.975191666666671</v>
      </c>
      <c r="G1098" s="4">
        <f t="shared" ca="1" si="93"/>
        <v>26.843658333333334</v>
      </c>
      <c r="H1098" s="4">
        <f t="shared" ca="1" si="93"/>
        <v>27.751208333333327</v>
      </c>
      <c r="I1098" s="4">
        <f t="shared" ca="1" si="93"/>
        <v>26.479641666666666</v>
      </c>
      <c r="J1098" s="4">
        <f t="shared" ca="1" si="93"/>
        <v>26.376558333333332</v>
      </c>
      <c r="K1098" s="4"/>
      <c r="L1098" s="5">
        <f t="shared" ca="1" si="94"/>
        <v>356.48229999999995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4.4165999999999999</v>
      </c>
      <c r="P1098" s="5">
        <f t="shared" ca="1" si="94"/>
        <v>14.7493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28.191725000000002</v>
      </c>
      <c r="C1099" s="4">
        <f t="shared" ca="1" si="93"/>
        <v>28.202083333333331</v>
      </c>
      <c r="D1099" s="4">
        <f t="shared" ca="1" si="93"/>
        <v>28.20590833333333</v>
      </c>
      <c r="E1099" s="4">
        <f t="shared" ca="1" si="93"/>
        <v>28.203283333333335</v>
      </c>
      <c r="F1099" s="4">
        <f t="shared" ca="1" si="93"/>
        <v>28.867108333333334</v>
      </c>
      <c r="G1099" s="4">
        <f t="shared" ca="1" si="93"/>
        <v>27.721116666666671</v>
      </c>
      <c r="H1099" s="4">
        <f t="shared" ca="1" si="93"/>
        <v>28.628691666666665</v>
      </c>
      <c r="I1099" s="4">
        <f t="shared" ca="1" si="93"/>
        <v>27.342624999999995</v>
      </c>
      <c r="J1099" s="4">
        <f t="shared" ca="1" si="93"/>
        <v>27.239141666666665</v>
      </c>
      <c r="K1099" s="4"/>
      <c r="L1099" s="5">
        <f t="shared" ca="1" si="94"/>
        <v>355.53689999999995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4.4046000000000003</v>
      </c>
      <c r="P1099" s="5">
        <f t="shared" ca="1" si="94"/>
        <v>14.707600000000001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29.112816666666664</v>
      </c>
      <c r="C1100" s="4">
        <f t="shared" ca="1" si="93"/>
        <v>29.123149999999999</v>
      </c>
      <c r="D1100" s="4">
        <f t="shared" ca="1" si="93"/>
        <v>29.126975000000005</v>
      </c>
      <c r="E1100" s="4">
        <f t="shared" ca="1" si="93"/>
        <v>29.124350000000003</v>
      </c>
      <c r="F1100" s="4">
        <f t="shared" ca="1" si="93"/>
        <v>29.788183333333333</v>
      </c>
      <c r="G1100" s="4">
        <f t="shared" ca="1" si="93"/>
        <v>28.627291666666668</v>
      </c>
      <c r="H1100" s="4">
        <f t="shared" ca="1" si="93"/>
        <v>29.534866666666662</v>
      </c>
      <c r="I1100" s="4">
        <f t="shared" ca="1" si="93"/>
        <v>28.233841666666663</v>
      </c>
      <c r="J1100" s="4">
        <f t="shared" ca="1" si="93"/>
        <v>28.129900000000003</v>
      </c>
      <c r="K1100" s="4"/>
      <c r="L1100" s="5">
        <f t="shared" ca="1" si="94"/>
        <v>355.53689999999995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4.4046000000000003</v>
      </c>
      <c r="P1100" s="5">
        <f t="shared" ca="1" si="94"/>
        <v>14.707600000000001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30.063999999999997</v>
      </c>
      <c r="C1101" s="4">
        <f t="shared" ca="1" si="93"/>
        <v>30.074375</v>
      </c>
      <c r="D1101" s="4">
        <f t="shared" ca="1" si="93"/>
        <v>30.078183333333339</v>
      </c>
      <c r="E1101" s="4">
        <f t="shared" ca="1" si="93"/>
        <v>30.075558333333333</v>
      </c>
      <c r="F1101" s="4">
        <f t="shared" ca="1" si="93"/>
        <v>30.739391666666666</v>
      </c>
      <c r="G1101" s="4">
        <f t="shared" ca="1" si="93"/>
        <v>29.563133333333337</v>
      </c>
      <c r="H1101" s="4">
        <f t="shared" ca="1" si="93"/>
        <v>30.470691666666664</v>
      </c>
      <c r="I1101" s="4">
        <f t="shared" ca="1" si="93"/>
        <v>29.154191666666666</v>
      </c>
      <c r="J1101" s="4">
        <f t="shared" ca="1" si="93"/>
        <v>29.049800000000001</v>
      </c>
      <c r="K1101" s="4"/>
      <c r="L1101" s="5">
        <f t="shared" ca="1" si="94"/>
        <v>355.53689999999995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4.4046000000000003</v>
      </c>
      <c r="P1101" s="5">
        <f t="shared" ca="1" si="94"/>
        <v>14.707600000000001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31.046341666666667</v>
      </c>
      <c r="C1102" s="4">
        <f t="shared" ca="1" si="93"/>
        <v>31.056658333333335</v>
      </c>
      <c r="D1102" s="4">
        <f t="shared" ca="1" si="93"/>
        <v>31.060500000000005</v>
      </c>
      <c r="E1102" s="4">
        <f t="shared" ca="1" si="93"/>
        <v>31.057883333333333</v>
      </c>
      <c r="F1102" s="4">
        <f t="shared" ca="1" si="93"/>
        <v>31.721700000000009</v>
      </c>
      <c r="G1102" s="4">
        <f t="shared" ca="1" si="93"/>
        <v>30.529541666666674</v>
      </c>
      <c r="H1102" s="4">
        <f t="shared" ca="1" si="93"/>
        <v>31.437099999999997</v>
      </c>
      <c r="I1102" s="4">
        <f t="shared" ca="1" si="93"/>
        <v>30.104675</v>
      </c>
      <c r="J1102" s="4">
        <f t="shared" ca="1" si="93"/>
        <v>29.999791666666678</v>
      </c>
      <c r="K1102" s="4"/>
      <c r="L1102" s="5">
        <f t="shared" ca="1" si="94"/>
        <v>356.48229999999995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4.4165999999999999</v>
      </c>
      <c r="P1102" s="5">
        <f t="shared" ca="1" si="94"/>
        <v>14.7493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32.060775</v>
      </c>
      <c r="C1103" s="4">
        <f t="shared" ca="1" si="93"/>
        <v>32.071091666666668</v>
      </c>
      <c r="D1103" s="4">
        <f t="shared" ca="1" si="93"/>
        <v>32.074933333333341</v>
      </c>
      <c r="E1103" s="4">
        <f t="shared" ca="1" si="93"/>
        <v>32.072308333333332</v>
      </c>
      <c r="F1103" s="4">
        <f t="shared" ca="1" si="93"/>
        <v>32.736141666666661</v>
      </c>
      <c r="G1103" s="4">
        <f t="shared" ca="1" si="93"/>
        <v>31.527558333333328</v>
      </c>
      <c r="H1103" s="4">
        <f t="shared" ca="1" si="93"/>
        <v>32.435141666666674</v>
      </c>
      <c r="I1103" s="4">
        <f t="shared" ca="1" si="93"/>
        <v>31.086216666666662</v>
      </c>
      <c r="J1103" s="4">
        <f t="shared" ca="1" si="93"/>
        <v>30.980858333333334</v>
      </c>
      <c r="K1103" s="4"/>
      <c r="L1103" s="5">
        <f t="shared" ca="1" si="94"/>
        <v>355.53689999999995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4.4046000000000003</v>
      </c>
      <c r="P1103" s="5">
        <f t="shared" ca="1" si="94"/>
        <v>14.707600000000001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33.108375000000002</v>
      </c>
      <c r="C1104" s="4">
        <f t="shared" ca="1" si="95"/>
        <v>33.118708333333338</v>
      </c>
      <c r="D1104" s="4">
        <f t="shared" ca="1" si="95"/>
        <v>33.122525000000003</v>
      </c>
      <c r="E1104" s="4">
        <f t="shared" ca="1" si="95"/>
        <v>33.119908333333335</v>
      </c>
      <c r="F1104" s="4">
        <f t="shared" ca="1" si="95"/>
        <v>33.783741666666664</v>
      </c>
      <c r="G1104" s="4">
        <f t="shared" ca="1" si="95"/>
        <v>32.558250000000001</v>
      </c>
      <c r="H1104" s="4">
        <f t="shared" ca="1" si="95"/>
        <v>33.465800000000002</v>
      </c>
      <c r="I1104" s="4">
        <f t="shared" ca="1" si="95"/>
        <v>32.099875000000004</v>
      </c>
      <c r="J1104" s="4">
        <f t="shared" ca="1" si="95"/>
        <v>31.994</v>
      </c>
      <c r="K1104" s="4"/>
      <c r="L1104" s="5">
        <f t="shared" ref="L1104:Q1113" ca="1" si="96">SUM(OFFSET(L$569,($A1104-$A$1084)*12,0,12,1))</f>
        <v>355.53689999999995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4.4046000000000003</v>
      </c>
      <c r="P1104" s="5">
        <f t="shared" ca="1" si="96"/>
        <v>14.707600000000001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34.190258333333333</v>
      </c>
      <c r="C1105" s="4">
        <f t="shared" ca="1" si="95"/>
        <v>34.200583333333334</v>
      </c>
      <c r="D1105" s="4">
        <f t="shared" ca="1" si="95"/>
        <v>34.204408333333333</v>
      </c>
      <c r="E1105" s="4">
        <f t="shared" ca="1" si="95"/>
        <v>34.201783333333331</v>
      </c>
      <c r="F1105" s="4">
        <f t="shared" ca="1" si="95"/>
        <v>34.865625000000001</v>
      </c>
      <c r="G1105" s="4">
        <f t="shared" ca="1" si="95"/>
        <v>33.622608333333339</v>
      </c>
      <c r="H1105" s="4">
        <f t="shared" ca="1" si="95"/>
        <v>34.530158333333333</v>
      </c>
      <c r="I1105" s="4">
        <f t="shared" ca="1" si="95"/>
        <v>33.146674999999995</v>
      </c>
      <c r="J1105" s="4">
        <f t="shared" ca="1" si="95"/>
        <v>33.040275000000001</v>
      </c>
      <c r="K1105" s="4"/>
      <c r="L1105" s="5">
        <f t="shared" ca="1" si="96"/>
        <v>355.53689999999995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4.4046000000000003</v>
      </c>
      <c r="P1105" s="5">
        <f t="shared" ca="1" si="96"/>
        <v>14.707600000000001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35.307491666666664</v>
      </c>
      <c r="C1106" s="4">
        <f t="shared" ca="1" si="95"/>
        <v>35.317833333333333</v>
      </c>
      <c r="D1106" s="4">
        <f t="shared" ca="1" si="95"/>
        <v>35.321658333333332</v>
      </c>
      <c r="E1106" s="4">
        <f t="shared" ca="1" si="95"/>
        <v>35.319041666666671</v>
      </c>
      <c r="F1106" s="4">
        <f t="shared" ca="1" si="95"/>
        <v>35.982866666666666</v>
      </c>
      <c r="G1106" s="4">
        <f t="shared" ca="1" si="95"/>
        <v>34.721783333333335</v>
      </c>
      <c r="H1106" s="4">
        <f t="shared" ca="1" si="95"/>
        <v>35.629341666666669</v>
      </c>
      <c r="I1106" s="4">
        <f t="shared" ca="1" si="95"/>
        <v>34.227699999999999</v>
      </c>
      <c r="J1106" s="4">
        <f t="shared" ca="1" si="95"/>
        <v>34.120783333333328</v>
      </c>
      <c r="K1106" s="4"/>
      <c r="L1106" s="5">
        <f t="shared" ca="1" si="96"/>
        <v>356.48229999999995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4.4165999999999999</v>
      </c>
      <c r="P1106" s="5">
        <f t="shared" ca="1" si="96"/>
        <v>14.7493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36.461291666666661</v>
      </c>
      <c r="C1107" s="4">
        <f t="shared" ca="1" si="95"/>
        <v>36.471624999999996</v>
      </c>
      <c r="D1107" s="4">
        <f t="shared" ca="1" si="95"/>
        <v>36.475458333333336</v>
      </c>
      <c r="E1107" s="4">
        <f t="shared" ca="1" si="95"/>
        <v>36.472833333333334</v>
      </c>
      <c r="F1107" s="4">
        <f t="shared" ca="1" si="95"/>
        <v>37.136641666666669</v>
      </c>
      <c r="G1107" s="4">
        <f t="shared" ca="1" si="95"/>
        <v>35.856924999999997</v>
      </c>
      <c r="H1107" s="4">
        <f t="shared" ca="1" si="95"/>
        <v>36.764474999999997</v>
      </c>
      <c r="I1107" s="4">
        <f t="shared" ca="1" si="95"/>
        <v>35.344091666666664</v>
      </c>
      <c r="J1107" s="4">
        <f t="shared" ca="1" si="95"/>
        <v>35.236600000000003</v>
      </c>
      <c r="K1107" s="4"/>
      <c r="L1107" s="5">
        <f t="shared" ca="1" si="96"/>
        <v>355.53689999999995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4.4046000000000003</v>
      </c>
      <c r="P1107" s="5">
        <f t="shared" ca="1" si="96"/>
        <v>14.707600000000001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37.652808333333333</v>
      </c>
      <c r="C1108" s="4">
        <f t="shared" ca="1" si="95"/>
        <v>37.663149999999995</v>
      </c>
      <c r="D1108" s="4">
        <f t="shared" ca="1" si="95"/>
        <v>37.666975000000001</v>
      </c>
      <c r="E1108" s="4">
        <f t="shared" ca="1" si="95"/>
        <v>37.664350000000006</v>
      </c>
      <c r="F1108" s="4">
        <f t="shared" ca="1" si="95"/>
        <v>38.328200000000002</v>
      </c>
      <c r="G1108" s="4">
        <f t="shared" ca="1" si="95"/>
        <v>37.029166666666669</v>
      </c>
      <c r="H1108" s="4">
        <f t="shared" ca="1" si="95"/>
        <v>37.93674166666667</v>
      </c>
      <c r="I1108" s="4">
        <f t="shared" ca="1" si="95"/>
        <v>36.496983333333326</v>
      </c>
      <c r="J1108" s="4">
        <f t="shared" ca="1" si="95"/>
        <v>36.388933333333334</v>
      </c>
      <c r="K1108" s="4"/>
      <c r="L1108" s="5">
        <f t="shared" ca="1" si="96"/>
        <v>355.53689999999995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4.4046000000000003</v>
      </c>
      <c r="P1108" s="5">
        <f t="shared" ca="1" si="96"/>
        <v>14.707600000000001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38.883300000000006</v>
      </c>
      <c r="C1109" s="4">
        <f t="shared" ca="1" si="95"/>
        <v>38.893625</v>
      </c>
      <c r="D1109" s="4">
        <f t="shared" ca="1" si="95"/>
        <v>38.897458333333333</v>
      </c>
      <c r="E1109" s="4">
        <f t="shared" ca="1" si="95"/>
        <v>38.894841666666665</v>
      </c>
      <c r="F1109" s="4">
        <f t="shared" ca="1" si="95"/>
        <v>39.558658333333334</v>
      </c>
      <c r="G1109" s="4">
        <f t="shared" ca="1" si="95"/>
        <v>38.239733333333334</v>
      </c>
      <c r="H1109" s="4">
        <f t="shared" ca="1" si="95"/>
        <v>39.147316666666669</v>
      </c>
      <c r="I1109" s="4">
        <f t="shared" ca="1" si="95"/>
        <v>37.687608333333337</v>
      </c>
      <c r="J1109" s="4">
        <f t="shared" ca="1" si="95"/>
        <v>37.578933333333332</v>
      </c>
      <c r="K1109" s="4"/>
      <c r="L1109" s="5">
        <f t="shared" ca="1" si="96"/>
        <v>355.53689999999995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4.4046000000000003</v>
      </c>
      <c r="P1109" s="5">
        <f t="shared" ca="1" si="96"/>
        <v>14.707600000000001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40.154041666666672</v>
      </c>
      <c r="C1110" s="4">
        <f t="shared" ca="1" si="95"/>
        <v>40.164358333333332</v>
      </c>
      <c r="D1110" s="4">
        <f t="shared" ca="1" si="95"/>
        <v>40.168216666666666</v>
      </c>
      <c r="E1110" s="4">
        <f t="shared" ca="1" si="95"/>
        <v>40.165591666666664</v>
      </c>
      <c r="F1110" s="4">
        <f t="shared" ca="1" si="95"/>
        <v>40.8294</v>
      </c>
      <c r="G1110" s="4">
        <f t="shared" ca="1" si="95"/>
        <v>39.489933333333333</v>
      </c>
      <c r="H1110" s="4">
        <f t="shared" ca="1" si="95"/>
        <v>40.397500000000001</v>
      </c>
      <c r="I1110" s="4">
        <f t="shared" ca="1" si="95"/>
        <v>38.917133333333332</v>
      </c>
      <c r="J1110" s="4">
        <f t="shared" ca="1" si="95"/>
        <v>38.807858333333336</v>
      </c>
      <c r="K1110" s="4"/>
      <c r="L1110" s="5">
        <f t="shared" ca="1" si="96"/>
        <v>356.48229999999995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4.4165999999999999</v>
      </c>
      <c r="P1110" s="5">
        <f t="shared" ca="1" si="96"/>
        <v>14.7493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41.466316666666664</v>
      </c>
      <c r="C1111" s="4">
        <f t="shared" ca="1" si="95"/>
        <v>41.476649999999999</v>
      </c>
      <c r="D1111" s="4">
        <f t="shared" ca="1" si="95"/>
        <v>41.480499999999999</v>
      </c>
      <c r="E1111" s="4">
        <f t="shared" ca="1" si="95"/>
        <v>41.47787499999999</v>
      </c>
      <c r="F1111" s="4">
        <f t="shared" ca="1" si="95"/>
        <v>42.14168333333334</v>
      </c>
      <c r="G1111" s="4">
        <f t="shared" ca="1" si="95"/>
        <v>40.780999999999999</v>
      </c>
      <c r="H1111" s="4">
        <f t="shared" ca="1" si="95"/>
        <v>41.68855833333334</v>
      </c>
      <c r="I1111" s="4">
        <f t="shared" ca="1" si="95"/>
        <v>40.186875000000001</v>
      </c>
      <c r="J1111" s="4">
        <f t="shared" ca="1" si="95"/>
        <v>40.076983333333338</v>
      </c>
      <c r="K1111" s="4"/>
      <c r="L1111" s="5">
        <f t="shared" ca="1" si="96"/>
        <v>355.53689999999995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4.4046000000000003</v>
      </c>
      <c r="P1111" s="5">
        <f t="shared" ca="1" si="96"/>
        <v>14.707600000000001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42.82151666666666</v>
      </c>
      <c r="C1112" s="4">
        <f t="shared" ca="1" si="95"/>
        <v>42.831866666666663</v>
      </c>
      <c r="D1112" s="4">
        <f t="shared" ca="1" si="95"/>
        <v>42.835716666666677</v>
      </c>
      <c r="E1112" s="4">
        <f t="shared" ca="1" si="95"/>
        <v>42.833091666666661</v>
      </c>
      <c r="F1112" s="4">
        <f t="shared" ca="1" si="95"/>
        <v>43.496891666666663</v>
      </c>
      <c r="G1112" s="4">
        <f t="shared" ca="1" si="95"/>
        <v>42.114275000000006</v>
      </c>
      <c r="H1112" s="4">
        <f t="shared" ca="1" si="95"/>
        <v>43.02185833333332</v>
      </c>
      <c r="I1112" s="4">
        <f t="shared" ca="1" si="95"/>
        <v>41.49816666666667</v>
      </c>
      <c r="J1112" s="4">
        <f t="shared" ca="1" si="95"/>
        <v>41.387574999999998</v>
      </c>
      <c r="K1112" s="4"/>
      <c r="L1112" s="5">
        <f t="shared" ca="1" si="96"/>
        <v>355.53689999999995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4.4046000000000003</v>
      </c>
      <c r="P1112" s="5">
        <f t="shared" ca="1" si="96"/>
        <v>14.707600000000001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44.221058333333339</v>
      </c>
      <c r="C1113" s="4">
        <f t="shared" ca="1" si="95"/>
        <v>44.231400000000001</v>
      </c>
      <c r="D1113" s="4">
        <f t="shared" ca="1" si="95"/>
        <v>44.235216666666666</v>
      </c>
      <c r="E1113" s="4">
        <f t="shared" ca="1" si="95"/>
        <v>44.232591666666657</v>
      </c>
      <c r="F1113" s="4">
        <f t="shared" ca="1" si="95"/>
        <v>44.896416666666674</v>
      </c>
      <c r="G1113" s="4">
        <f t="shared" ca="1" si="95"/>
        <v>43.491174999999998</v>
      </c>
      <c r="H1113" s="4">
        <f t="shared" ca="1" si="95"/>
        <v>44.398725000000006</v>
      </c>
      <c r="I1113" s="4">
        <f t="shared" ca="1" si="95"/>
        <v>42.852325</v>
      </c>
      <c r="J1113" s="4">
        <f t="shared" ca="1" si="95"/>
        <v>42.741091666666669</v>
      </c>
      <c r="K1113" s="4"/>
      <c r="L1113" s="5">
        <f t="shared" ca="1" si="96"/>
        <v>355.53689999999995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4.4046000000000003</v>
      </c>
      <c r="P1113" s="5">
        <f t="shared" ca="1" si="96"/>
        <v>14.707600000000001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45.666341666666661</v>
      </c>
      <c r="C1114" s="4">
        <f t="shared" ca="1" si="97"/>
        <v>45.676700000000004</v>
      </c>
      <c r="D1114" s="4">
        <f t="shared" ca="1" si="97"/>
        <v>45.680516666666669</v>
      </c>
      <c r="E1114" s="4">
        <f t="shared" ca="1" si="97"/>
        <v>45.677891666666675</v>
      </c>
      <c r="F1114" s="4">
        <f t="shared" ca="1" si="97"/>
        <v>46.34173333333333</v>
      </c>
      <c r="G1114" s="4">
        <f t="shared" ca="1" si="97"/>
        <v>44.913075000000013</v>
      </c>
      <c r="H1114" s="4">
        <f t="shared" ca="1" si="97"/>
        <v>45.820650000000001</v>
      </c>
      <c r="I1114" s="4">
        <f t="shared" ca="1" si="97"/>
        <v>44.250766666666671</v>
      </c>
      <c r="J1114" s="4">
        <f t="shared" ca="1" si="97"/>
        <v>44.138833333333331</v>
      </c>
      <c r="K1114" s="4"/>
      <c r="L1114" s="5">
        <f t="shared" ref="L1114:Q1122" ca="1" si="98">SUM(OFFSET(L$569,($A1114-$A$1084)*12,0,12,1))</f>
        <v>356.48229999999995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4.4165999999999999</v>
      </c>
      <c r="P1114" s="5">
        <f t="shared" ca="1" si="98"/>
        <v>14.7493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47.158908333333329</v>
      </c>
      <c r="C1115" s="4">
        <f t="shared" ca="1" si="97"/>
        <v>47.169266666666665</v>
      </c>
      <c r="D1115" s="4">
        <f t="shared" ca="1" si="97"/>
        <v>47.173083333333331</v>
      </c>
      <c r="E1115" s="4">
        <f t="shared" ca="1" si="97"/>
        <v>47.170449999999995</v>
      </c>
      <c r="F1115" s="4">
        <f t="shared" ca="1" si="97"/>
        <v>47.834274999999991</v>
      </c>
      <c r="G1115" s="4">
        <f t="shared" ca="1" si="97"/>
        <v>46.381508333333329</v>
      </c>
      <c r="H1115" s="4">
        <f t="shared" ca="1" si="97"/>
        <v>47.289058333333337</v>
      </c>
      <c r="I1115" s="4">
        <f t="shared" ca="1" si="97"/>
        <v>45.694950000000006</v>
      </c>
      <c r="J1115" s="4">
        <f t="shared" ca="1" si="97"/>
        <v>45.582266666666669</v>
      </c>
      <c r="K1115" s="4"/>
      <c r="L1115" s="5">
        <f t="shared" ca="1" si="98"/>
        <v>355.53689999999995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4.4046000000000003</v>
      </c>
      <c r="P1115" s="5">
        <f t="shared" ca="1" si="98"/>
        <v>14.707600000000001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48.700291666666665</v>
      </c>
      <c r="C1116" s="4">
        <f t="shared" ca="1" si="97"/>
        <v>48.710624999999993</v>
      </c>
      <c r="D1116" s="4">
        <f t="shared" ca="1" si="97"/>
        <v>48.714449999999999</v>
      </c>
      <c r="E1116" s="4">
        <f t="shared" ca="1" si="97"/>
        <v>48.711825000000005</v>
      </c>
      <c r="F1116" s="4">
        <f t="shared" ca="1" si="97"/>
        <v>49.37566666666666</v>
      </c>
      <c r="G1116" s="4">
        <f t="shared" ca="1" si="97"/>
        <v>47.897941666666668</v>
      </c>
      <c r="H1116" s="4">
        <f t="shared" ca="1" si="97"/>
        <v>48.805516666666669</v>
      </c>
      <c r="I1116" s="4">
        <f t="shared" ca="1" si="97"/>
        <v>47.186358333333338</v>
      </c>
      <c r="J1116" s="4">
        <f t="shared" ca="1" si="97"/>
        <v>47.072966666666673</v>
      </c>
      <c r="K1116" s="4"/>
      <c r="L1116" s="5">
        <f t="shared" ca="1" si="98"/>
        <v>355.53689999999995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4.4046000000000003</v>
      </c>
      <c r="P1116" s="5">
        <f t="shared" ca="1" si="98"/>
        <v>14.707600000000001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50.292083333333345</v>
      </c>
      <c r="C1117" s="4">
        <f t="shared" ca="1" si="97"/>
        <v>50.302408333333339</v>
      </c>
      <c r="D1117" s="4">
        <f t="shared" ca="1" si="97"/>
        <v>50.306233333333331</v>
      </c>
      <c r="E1117" s="4">
        <f t="shared" ca="1" si="97"/>
        <v>50.303608333333329</v>
      </c>
      <c r="F1117" s="4">
        <f t="shared" ca="1" si="97"/>
        <v>50.967450000000007</v>
      </c>
      <c r="G1117" s="4">
        <f t="shared" ca="1" si="97"/>
        <v>49.463975000000005</v>
      </c>
      <c r="H1117" s="4">
        <f t="shared" ca="1" si="97"/>
        <v>50.371524999999991</v>
      </c>
      <c r="I1117" s="4">
        <f t="shared" ca="1" si="97"/>
        <v>48.726541666666662</v>
      </c>
      <c r="J1117" s="4">
        <f t="shared" ca="1" si="97"/>
        <v>48.612358333333333</v>
      </c>
      <c r="K1117" s="4"/>
      <c r="L1117" s="5">
        <f t="shared" ca="1" si="98"/>
        <v>355.53689999999995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4.4046000000000003</v>
      </c>
      <c r="P1117" s="5">
        <f t="shared" ca="1" si="98"/>
        <v>14.707600000000001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51.935916666666657</v>
      </c>
      <c r="C1118" s="4">
        <f t="shared" ca="1" si="97"/>
        <v>51.946249999999999</v>
      </c>
      <c r="D1118" s="4">
        <f t="shared" ca="1" si="97"/>
        <v>51.950091666666673</v>
      </c>
      <c r="E1118" s="4">
        <f t="shared" ca="1" si="97"/>
        <v>51.947466666666664</v>
      </c>
      <c r="F1118" s="4">
        <f t="shared" ca="1" si="97"/>
        <v>52.611275000000006</v>
      </c>
      <c r="G1118" s="4">
        <f t="shared" ca="1" si="97"/>
        <v>51.08121666666667</v>
      </c>
      <c r="H1118" s="4">
        <f t="shared" ca="1" si="97"/>
        <v>51.988816666666672</v>
      </c>
      <c r="I1118" s="4">
        <f t="shared" ca="1" si="97"/>
        <v>50.31709166666667</v>
      </c>
      <c r="J1118" s="4">
        <f t="shared" ca="1" si="97"/>
        <v>50.202116666666676</v>
      </c>
      <c r="K1118" s="4"/>
      <c r="L1118" s="5">
        <f t="shared" ca="1" si="98"/>
        <v>356.48229999999995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4.4165999999999999</v>
      </c>
      <c r="P1118" s="5">
        <f t="shared" ca="1" si="98"/>
        <v>14.7493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53.633499999999998</v>
      </c>
      <c r="C1119" s="4">
        <f t="shared" ca="1" si="97"/>
        <v>53.643866666666661</v>
      </c>
      <c r="D1119" s="4">
        <f t="shared" ca="1" si="97"/>
        <v>53.647683333333333</v>
      </c>
      <c r="E1119" s="4">
        <f t="shared" ca="1" si="97"/>
        <v>53.645066666666658</v>
      </c>
      <c r="F1119" s="4">
        <f t="shared" ca="1" si="97"/>
        <v>54.308883333333334</v>
      </c>
      <c r="G1119" s="4">
        <f t="shared" ca="1" si="97"/>
        <v>52.751391666666656</v>
      </c>
      <c r="H1119" s="4">
        <f t="shared" ca="1" si="97"/>
        <v>53.658933333333323</v>
      </c>
      <c r="I1119" s="4">
        <f t="shared" ca="1" si="97"/>
        <v>51.959658333333344</v>
      </c>
      <c r="J1119" s="4">
        <f t="shared" ca="1" si="97"/>
        <v>51.843850000000003</v>
      </c>
      <c r="K1119" s="4"/>
      <c r="L1119" s="5">
        <f t="shared" ca="1" si="98"/>
        <v>355.53689999999995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4.4046000000000003</v>
      </c>
      <c r="P1119" s="5">
        <f t="shared" ca="1" si="98"/>
        <v>14.707600000000001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55.386633333333329</v>
      </c>
      <c r="C1120" s="4">
        <f t="shared" ca="1" si="97"/>
        <v>55.396983333333338</v>
      </c>
      <c r="D1120" s="4">
        <f t="shared" ca="1" si="97"/>
        <v>55.400791666666663</v>
      </c>
      <c r="E1120" s="4">
        <f t="shared" ca="1" si="97"/>
        <v>55.398166666666668</v>
      </c>
      <c r="F1120" s="4">
        <f t="shared" ca="1" si="97"/>
        <v>56.061991666666671</v>
      </c>
      <c r="G1120" s="4">
        <f t="shared" ca="1" si="97"/>
        <v>54.476133333333337</v>
      </c>
      <c r="H1120" s="4">
        <f t="shared" ca="1" si="97"/>
        <v>55.383708333333324</v>
      </c>
      <c r="I1120" s="4">
        <f t="shared" ca="1" si="97"/>
        <v>53.655958333333338</v>
      </c>
      <c r="J1120" s="4">
        <f t="shared" ca="1" si="97"/>
        <v>53.539308333333338</v>
      </c>
      <c r="K1120" s="4"/>
      <c r="L1120" s="5">
        <f t="shared" ca="1" si="98"/>
        <v>355.53689999999995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4.4046000000000003</v>
      </c>
      <c r="P1120" s="5">
        <f t="shared" ca="1" si="98"/>
        <v>14.707600000000001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57.197099999999999</v>
      </c>
      <c r="C1121" s="4">
        <f t="shared" ca="1" si="97"/>
        <v>57.207433333333334</v>
      </c>
      <c r="D1121" s="4">
        <f t="shared" ca="1" si="97"/>
        <v>57.211250000000007</v>
      </c>
      <c r="E1121" s="4">
        <f t="shared" ca="1" si="97"/>
        <v>57.208624999999991</v>
      </c>
      <c r="F1121" s="4">
        <f t="shared" ca="1" si="97"/>
        <v>57.872458333333334</v>
      </c>
      <c r="G1121" s="4">
        <f t="shared" ca="1" si="97"/>
        <v>56.257300000000008</v>
      </c>
      <c r="H1121" s="4">
        <f t="shared" ca="1" si="97"/>
        <v>57.164874999999995</v>
      </c>
      <c r="I1121" s="4">
        <f t="shared" ca="1" si="97"/>
        <v>55.407741666666659</v>
      </c>
      <c r="J1121" s="4">
        <f t="shared" ca="1" si="97"/>
        <v>55.290191666666679</v>
      </c>
      <c r="K1121" s="4"/>
      <c r="L1121" s="5">
        <f t="shared" ca="1" si="98"/>
        <v>355.53689999999995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4.4046000000000003</v>
      </c>
      <c r="P1121" s="5">
        <f t="shared" ca="1" si="98"/>
        <v>14.707600000000001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59.066750000000013</v>
      </c>
      <c r="C1122" s="4">
        <f t="shared" ca="1" si="97"/>
        <v>59.077083333333327</v>
      </c>
      <c r="D1122" s="4">
        <f t="shared" ca="1" si="97"/>
        <v>59.080916666666667</v>
      </c>
      <c r="E1122" s="4">
        <f t="shared" ca="1" si="97"/>
        <v>59.078283333333339</v>
      </c>
      <c r="F1122" s="4">
        <f t="shared" ca="1" si="97"/>
        <v>59.742116666666654</v>
      </c>
      <c r="G1122" s="4">
        <f t="shared" ca="1" si="97"/>
        <v>58.096724999999999</v>
      </c>
      <c r="H1122" s="4">
        <f t="shared" ca="1" si="97"/>
        <v>59.004300000000001</v>
      </c>
      <c r="I1122" s="4">
        <f t="shared" ca="1" si="97"/>
        <v>57.216783333333332</v>
      </c>
      <c r="J1122" s="4">
        <f t="shared" ca="1" si="97"/>
        <v>57.098333333333329</v>
      </c>
      <c r="K1122" s="4"/>
      <c r="L1122" s="5">
        <f t="shared" ca="1" si="98"/>
        <v>355.53689999999995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4.4046000000000003</v>
      </c>
      <c r="P1122" s="5">
        <f t="shared" ca="1" si="98"/>
        <v>14.707600000000001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sqref="A1:XFD7"/>
      <selection pane="topRight" sqref="A1:XFD7"/>
      <selection pane="bottomLeft" sqref="A1:XFD7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sqref="A1:A6"/>
      <selection pane="topRight" sqref="A1:A6"/>
      <selection pane="bottomLeft" sqref="A1: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15.75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CHOOSE(CONTROL!$C$9, $C$13, 100%, $E$13) + CHOOSE(CONTROL!$C$28, 0.0003, 0)</f>
        <v>5.3487</v>
      </c>
      <c r="C17" s="4">
        <f>5.0359 * CHOOSE(CONTROL!$C$9, $C$13, 100%, $E$13) + CHOOSE(CONTROL!$C$28, 0.0003, 0)</f>
        <v>5.0362</v>
      </c>
      <c r="D17" s="4">
        <f>9.095 * CHOOSE(CONTROL!$C$9, $C$13, 100%, $E$13) + CHOOSE(CONTROL!$C$28, 0, 0)</f>
        <v>9.0950000000000006</v>
      </c>
      <c r="E17" s="4">
        <f>34.74 * CHOOSE(CONTROL!$C$9, $C$13, 100%, $E$13) + CHOOSE(CONTROL!$C$28, 0, 0)</f>
        <v>34.74</v>
      </c>
    </row>
    <row r="18" spans="1:5" ht="15">
      <c r="A18" s="13">
        <v>42401</v>
      </c>
      <c r="B18" s="4">
        <f>5.6688 * CHOOSE(CONTROL!$C$9, $C$13, 100%, $E$13) + CHOOSE(CONTROL!$C$28, 0.0003, 0)</f>
        <v>5.6691000000000003</v>
      </c>
      <c r="C18" s="4">
        <f>5.3563 * CHOOSE(CONTROL!$C$9, $C$13, 100%, $E$13) + CHOOSE(CONTROL!$C$28, 0.0003, 0)</f>
        <v>5.3566000000000003</v>
      </c>
      <c r="D18" s="4">
        <f>8.7665 * CHOOSE(CONTROL!$C$9, $C$13, 100%, $E$13) + CHOOSE(CONTROL!$C$28, 0, 0)</f>
        <v>8.7665000000000006</v>
      </c>
      <c r="E18" s="4">
        <f>26.55 * CHOOSE(CONTROL!$C$9, $C$13, 100%, $E$13) + CHOOSE(CONTROL!$C$28, 0, 0)</f>
        <v>26.55</v>
      </c>
    </row>
    <row r="19" spans="1:5" ht="15">
      <c r="A19" s="13">
        <v>42430</v>
      </c>
      <c r="B19" s="4">
        <f>6.125 * CHOOSE(CONTROL!$C$9, $C$13, 100%, $E$13) + CHOOSE(CONTROL!$C$28, 0.0003, 0)</f>
        <v>6.1253000000000002</v>
      </c>
      <c r="C19" s="4">
        <f>5.8125 * CHOOSE(CONTROL!$C$9, $C$13, 100%, $E$13) + CHOOSE(CONTROL!$C$28, 0.0003, 0)</f>
        <v>5.8128000000000002</v>
      </c>
      <c r="D19" s="4">
        <f>8.6325 * CHOOSE(CONTROL!$C$9, $C$13, 100%, $E$13) + CHOOSE(CONTROL!$C$28, 0, 0)</f>
        <v>8.6325000000000003</v>
      </c>
      <c r="E19" s="4">
        <f>31.62 * CHOOSE(CONTROL!$C$9, $C$13, 100%, $E$13) + CHOOSE(CONTROL!$C$28, 0, 0)</f>
        <v>31.62</v>
      </c>
    </row>
    <row r="20" spans="1:5" ht="15">
      <c r="A20" s="13">
        <v>42461</v>
      </c>
      <c r="B20" s="4">
        <f>6.2188 * CHOOSE(CONTROL!$C$9, $C$13, 100%, $E$13) + CHOOSE(CONTROL!$C$28, 0.0003, 0)</f>
        <v>6.2191000000000001</v>
      </c>
      <c r="C20" s="4">
        <f>5.9062 * CHOOSE(CONTROL!$C$9, $C$13, 100%, $E$13) + CHOOSE(CONTROL!$C$28, 0.0003, 0)</f>
        <v>5.9065000000000003</v>
      </c>
      <c r="D20" s="4">
        <f>8.7355 * CHOOSE(CONTROL!$C$9, $C$13, 100%, $E$13) + CHOOSE(CONTROL!$C$28, 0, 0)</f>
        <v>8.7355</v>
      </c>
      <c r="E20" s="4">
        <f>33.36 * CHOOSE(CONTROL!$C$9, $C$13, 100%, $E$13) + CHOOSE(CONTROL!$C$28, 0, 0)</f>
        <v>33.36</v>
      </c>
    </row>
    <row r="21" spans="1:5" ht="15">
      <c r="A21" s="13">
        <v>42491</v>
      </c>
      <c r="B21" s="4">
        <f>6.3125 * CHOOSE(CONTROL!$C$9, $C$13, 100%, $E$13) + CHOOSE(CONTROL!$C$28, 0.0197, 0)</f>
        <v>6.3322000000000003</v>
      </c>
      <c r="C21" s="4">
        <f>6 * CHOOSE(CONTROL!$C$9, $C$13, 100%, $E$13) + CHOOSE(CONTROL!$C$28, 0.0197, 0)</f>
        <v>6.0197000000000003</v>
      </c>
      <c r="D21" s="4">
        <f>8.8702 * CHOOSE(CONTROL!$C$9, $C$13, 100%, $E$13) + CHOOSE(CONTROL!$C$28, 0, 0)</f>
        <v>8.8702000000000005</v>
      </c>
      <c r="E21" s="4">
        <f>34.93 * CHOOSE(CONTROL!$C$9, $C$13, 100%, $E$13) + CHOOSE(CONTROL!$C$28, 0, 0)</f>
        <v>34.93</v>
      </c>
    </row>
    <row r="22" spans="1:5" ht="15">
      <c r="A22" s="13">
        <v>42522</v>
      </c>
      <c r="B22" s="4">
        <f>6.4062 * CHOOSE(CONTROL!$C$9, $C$13, 100%, $E$13) + CHOOSE(CONTROL!$C$28, 0.0197, 0)</f>
        <v>6.4259000000000004</v>
      </c>
      <c r="C22" s="4">
        <f>6.0938 * CHOOSE(CONTROL!$C$9, $C$13, 100%, $E$13) + CHOOSE(CONTROL!$C$28, 0.0197, 0)</f>
        <v>6.1135000000000002</v>
      </c>
      <c r="D22" s="4">
        <f>9.0208 * CHOOSE(CONTROL!$C$9, $C$13, 100%, $E$13) + CHOOSE(CONTROL!$C$28, 0, 0)</f>
        <v>9.0207999999999995</v>
      </c>
      <c r="E22" s="4">
        <f>36.23 * CHOOSE(CONTROL!$C$9, $C$13, 100%, $E$13) + CHOOSE(CONTROL!$C$28, 0, 0)</f>
        <v>36.229999999999997</v>
      </c>
    </row>
    <row r="23" spans="1:5" ht="15">
      <c r="A23" s="13">
        <v>42552</v>
      </c>
      <c r="B23" s="4">
        <f>6.4922 * CHOOSE(CONTROL!$C$9, $C$13, 100%, $E$13) + CHOOSE(CONTROL!$C$28, 0.0197, 0)</f>
        <v>6.5119000000000007</v>
      </c>
      <c r="C23" s="4">
        <f>6.1797 * CHOOSE(CONTROL!$C$9, $C$13, 100%, $E$13) + CHOOSE(CONTROL!$C$28, 0.0197, 0)</f>
        <v>6.1994000000000007</v>
      </c>
      <c r="D23" s="4">
        <f>9.1916 * CHOOSE(CONTROL!$C$9, $C$13, 100%, $E$13) + CHOOSE(CONTROL!$C$28, 0, 0)</f>
        <v>9.1915999999999993</v>
      </c>
      <c r="E23" s="4">
        <f>37.27 * CHOOSE(CONTROL!$C$9, $C$13, 100%, $E$13) + CHOOSE(CONTROL!$C$28, 0, 0)</f>
        <v>37.270000000000003</v>
      </c>
    </row>
    <row r="24" spans="1:5" ht="15">
      <c r="A24" s="13">
        <v>42583</v>
      </c>
      <c r="B24" s="4">
        <f>6.5781 * CHOOSE(CONTROL!$C$9, $C$13, 100%, $E$13) + CHOOSE(CONTROL!$C$28, 0.0197, 0)</f>
        <v>6.5978000000000003</v>
      </c>
      <c r="C24" s="4">
        <f>6.2656 * CHOOSE(CONTROL!$C$9, $C$13, 100%, $E$13) + CHOOSE(CONTROL!$C$28, 0.0197, 0)</f>
        <v>6.2853000000000003</v>
      </c>
      <c r="D24" s="4">
        <f>9.3457 * CHOOSE(CONTROL!$C$9, $C$13, 100%, $E$13) + CHOOSE(CONTROL!$C$28, 0, 0)</f>
        <v>9.3457000000000008</v>
      </c>
      <c r="E24" s="4">
        <f>38.08 * CHOOSE(CONTROL!$C$9, $C$13, 100%, $E$13) + CHOOSE(CONTROL!$C$28, 0, 0)</f>
        <v>38.08</v>
      </c>
    </row>
    <row r="25" spans="1:5" ht="15">
      <c r="A25" s="13">
        <v>42614</v>
      </c>
      <c r="B25" s="4">
        <f>6.6562 * CHOOSE(CONTROL!$C$9, $C$13, 100%, $E$13) + CHOOSE(CONTROL!$C$28, 0.0197, 0)</f>
        <v>6.6759000000000004</v>
      </c>
      <c r="C25" s="4">
        <f>6.3438 * CHOOSE(CONTROL!$C$9, $C$13, 100%, $E$13) + CHOOSE(CONTROL!$C$28, 0.0197, 0)</f>
        <v>6.3635000000000002</v>
      </c>
      <c r="D25" s="4">
        <f>9.4941 * CHOOSE(CONTROL!$C$9, $C$13, 100%, $E$13) + CHOOSE(CONTROL!$C$28, 0, 0)</f>
        <v>9.4940999999999995</v>
      </c>
      <c r="E25" s="4">
        <f>38.72 * CHOOSE(CONTROL!$C$9, $C$13, 100%, $E$13) + CHOOSE(CONTROL!$C$28, 0, 0)</f>
        <v>38.72</v>
      </c>
    </row>
    <row r="26" spans="1:5" ht="15">
      <c r="A26" s="13">
        <v>42644</v>
      </c>
      <c r="B26" s="4">
        <f>6.7344 * CHOOSE(CONTROL!$C$9, $C$13, 100%, $E$13) + CHOOSE(CONTROL!$C$28, 0.0003, 0)</f>
        <v>6.7347000000000001</v>
      </c>
      <c r="C26" s="4">
        <f>6.4219 * CHOOSE(CONTROL!$C$9, $C$13, 100%, $E$13) + CHOOSE(CONTROL!$C$28, 0.0003, 0)</f>
        <v>6.4222000000000001</v>
      </c>
      <c r="D26" s="4">
        <f>9.6483 * CHOOSE(CONTROL!$C$9, $C$13, 100%, $E$13) + CHOOSE(CONTROL!$C$28, 0, 0)</f>
        <v>9.6483000000000008</v>
      </c>
      <c r="E26" s="4">
        <f>39.26 * CHOOSE(CONTROL!$C$9, $C$13, 100%, $E$13) + CHOOSE(CONTROL!$C$28, 0, 0)</f>
        <v>39.26</v>
      </c>
    </row>
    <row r="27" spans="1:5" ht="15">
      <c r="A27" s="13">
        <v>42675</v>
      </c>
      <c r="B27" s="4">
        <f>6.8125 * CHOOSE(CONTROL!$C$9, $C$13, 100%, $E$13) + CHOOSE(CONTROL!$C$28, 0.0003, 0)</f>
        <v>6.8128000000000002</v>
      </c>
      <c r="C27" s="4">
        <f>6.5 * CHOOSE(CONTROL!$C$9, $C$13, 100%, $E$13) + CHOOSE(CONTROL!$C$28, 0.0003, 0)</f>
        <v>6.5003000000000002</v>
      </c>
      <c r="D27" s="4">
        <f>9.7989 * CHOOSE(CONTROL!$C$9, $C$13, 100%, $E$13) + CHOOSE(CONTROL!$C$28, 0, 0)</f>
        <v>9.7988999999999997</v>
      </c>
      <c r="E27" s="4">
        <f>39.76 * CHOOSE(CONTROL!$C$9, $C$13, 100%, $E$13) + CHOOSE(CONTROL!$C$28, 0, 0)</f>
        <v>39.76</v>
      </c>
    </row>
    <row r="28" spans="1:5" ht="15">
      <c r="A28" s="13">
        <v>42705</v>
      </c>
      <c r="B28" s="4">
        <f>6.8906 * CHOOSE(CONTROL!$C$9, $C$13, 100%, $E$13) + CHOOSE(CONTROL!$C$28, 0.0003, 0)</f>
        <v>6.8909000000000002</v>
      </c>
      <c r="C28" s="4">
        <f>6.5781 * CHOOSE(CONTROL!$C$9, $C$13, 100%, $E$13) + CHOOSE(CONTROL!$C$28, 0.0003, 0)</f>
        <v>6.5784000000000002</v>
      </c>
      <c r="D28" s="4">
        <f>9.9422 * CHOOSE(CONTROL!$C$9, $C$13, 100%, $E$13) + CHOOSE(CONTROL!$C$28, 0, 0)</f>
        <v>9.9421999999999997</v>
      </c>
      <c r="E28" s="4">
        <f>40.25 * CHOOSE(CONTROL!$C$9, $C$13, 100%, $E$13) + CHOOSE(CONTROL!$C$28, 0, 0)</f>
        <v>40.25</v>
      </c>
    </row>
    <row r="29" spans="1:5" ht="15">
      <c r="A29" s="13">
        <v>42736</v>
      </c>
      <c r="B29" s="4">
        <f>6.9531 * CHOOSE(CONTROL!$C$9, $C$13, 100%, $E$13) + CHOOSE(CONTROL!$C$28, 0.0003, 0)</f>
        <v>6.9534000000000002</v>
      </c>
      <c r="C29" s="4">
        <f>6.6406 * CHOOSE(CONTROL!$C$9, $C$13, 100%, $E$13) + CHOOSE(CONTROL!$C$28, 0.0003, 0)</f>
        <v>6.6409000000000002</v>
      </c>
      <c r="D29" s="4">
        <f>10.0762 * CHOOSE(CONTROL!$C$9, $C$13, 100%, $E$13) + CHOOSE(CONTROL!$C$28, 0, 0)</f>
        <v>10.0762</v>
      </c>
      <c r="E29" s="4">
        <f>40.65 * CHOOSE(CONTROL!$C$9, $C$13, 100%, $E$13) + CHOOSE(CONTROL!$C$28, 0, 0)</f>
        <v>40.65</v>
      </c>
    </row>
    <row r="30" spans="1:5" ht="15">
      <c r="A30" s="13">
        <v>42767</v>
      </c>
      <c r="B30" s="4">
        <f>7.0156 * CHOOSE(CONTROL!$C$9, $C$13, 100%, $E$13) + CHOOSE(CONTROL!$C$28, 0.0003, 0)</f>
        <v>7.0159000000000002</v>
      </c>
      <c r="C30" s="4">
        <f>6.7031 * CHOOSE(CONTROL!$C$9, $C$13, 100%, $E$13) + CHOOSE(CONTROL!$C$28, 0.0003, 0)</f>
        <v>6.7034000000000002</v>
      </c>
      <c r="D30" s="4">
        <f>10.1785 * CHOOSE(CONTROL!$C$9, $C$13, 100%, $E$13) + CHOOSE(CONTROL!$C$28, 0, 0)</f>
        <v>10.1785</v>
      </c>
      <c r="E30" s="4">
        <f>41.05 * CHOOSE(CONTROL!$C$9, $C$13, 100%, $E$13) + CHOOSE(CONTROL!$C$28, 0, 0)</f>
        <v>41.05</v>
      </c>
    </row>
    <row r="31" spans="1:5" ht="15">
      <c r="A31" s="13">
        <v>42795</v>
      </c>
      <c r="B31" s="4">
        <f>7.0781 * CHOOSE(CONTROL!$C$9, $C$13, 100%, $E$13) + CHOOSE(CONTROL!$C$28, 0.0003, 0)</f>
        <v>7.0784000000000002</v>
      </c>
      <c r="C31" s="4">
        <f>6.7656 * CHOOSE(CONTROL!$C$9, $C$13, 100%, $E$13) + CHOOSE(CONTROL!$C$28, 0.0003, 0)</f>
        <v>6.7659000000000002</v>
      </c>
      <c r="D31" s="4">
        <f>10.239 * CHOOSE(CONTROL!$C$9, $C$13, 100%, $E$13) + CHOOSE(CONTROL!$C$28, 0, 0)</f>
        <v>10.239000000000001</v>
      </c>
      <c r="E31" s="4">
        <f>41.43 * CHOOSE(CONTROL!$C$9, $C$13, 100%, $E$13) + CHOOSE(CONTROL!$C$28, 0, 0)</f>
        <v>41.43</v>
      </c>
    </row>
    <row r="32" spans="1:5" ht="15">
      <c r="A32" s="13">
        <v>42826</v>
      </c>
      <c r="B32" s="4">
        <f>7.1328 * CHOOSE(CONTROL!$C$9, $C$13, 100%, $E$13) + CHOOSE(CONTROL!$C$28, 0.0003, 0)</f>
        <v>7.1330999999999998</v>
      </c>
      <c r="C32" s="4">
        <f>6.8203 * CHOOSE(CONTROL!$C$9, $C$13, 100%, $E$13) + CHOOSE(CONTROL!$C$28, 0.0003, 0)</f>
        <v>6.8205999999999998</v>
      </c>
      <c r="D32" s="4">
        <f>10.2426 * CHOOSE(CONTROL!$C$9, $C$13, 100%, $E$13) + CHOOSE(CONTROL!$C$28, 0, 0)</f>
        <v>10.242599999999999</v>
      </c>
      <c r="E32" s="4">
        <f>41.76 * CHOOSE(CONTROL!$C$9, $C$13, 100%, $E$13) + CHOOSE(CONTROL!$C$28, 0, 0)</f>
        <v>41.76</v>
      </c>
    </row>
    <row r="33" spans="1:5" ht="15">
      <c r="A33" s="13">
        <v>42856</v>
      </c>
      <c r="B33" s="4">
        <f>7.1875 * CHOOSE(CONTROL!$C$9, $C$13, 100%, $E$13) + CHOOSE(CONTROL!$C$28, 0.0197, 0)</f>
        <v>7.2072000000000003</v>
      </c>
      <c r="C33" s="4">
        <f>6.875 * CHOOSE(CONTROL!$C$9, $C$13, 100%, $E$13) + CHOOSE(CONTROL!$C$28, 0.0197, 0)</f>
        <v>6.8947000000000003</v>
      </c>
      <c r="D33" s="4">
        <f>10.2902 * CHOOSE(CONTROL!$C$9, $C$13, 100%, $E$13) + CHOOSE(CONTROL!$C$28, 0, 0)</f>
        <v>10.2902</v>
      </c>
      <c r="E33" s="4">
        <f>42.06 * CHOOSE(CONTROL!$C$9, $C$13, 100%, $E$13) + CHOOSE(CONTROL!$C$28, 0, 0)</f>
        <v>42.06</v>
      </c>
    </row>
    <row r="34" spans="1:5" ht="15">
      <c r="A34" s="13">
        <v>42887</v>
      </c>
      <c r="B34" s="4">
        <f>7.2422 * CHOOSE(CONTROL!$C$9, $C$13, 100%, $E$13) + CHOOSE(CONTROL!$C$28, 0.0197, 0)</f>
        <v>7.2619000000000007</v>
      </c>
      <c r="C34" s="4">
        <f>6.9297 * CHOOSE(CONTROL!$C$9, $C$13, 100%, $E$13) + CHOOSE(CONTROL!$C$28, 0.0197, 0)</f>
        <v>6.9494000000000007</v>
      </c>
      <c r="D34" s="4">
        <f>10.3413 * CHOOSE(CONTROL!$C$9, $C$13, 100%, $E$13) + CHOOSE(CONTROL!$C$28, 0, 0)</f>
        <v>10.3413</v>
      </c>
      <c r="E34" s="4">
        <f>42.33 * CHOOSE(CONTROL!$C$9, $C$13, 100%, $E$13) + CHOOSE(CONTROL!$C$28, 0, 0)</f>
        <v>42.33</v>
      </c>
    </row>
    <row r="35" spans="1:5" ht="15">
      <c r="A35" s="13">
        <v>42917</v>
      </c>
      <c r="B35" s="4">
        <f>7.2969 * CHOOSE(CONTROL!$C$9, $C$13, 100%, $E$13) + CHOOSE(CONTROL!$C$28, 0.0197, 0)</f>
        <v>7.3166000000000002</v>
      </c>
      <c r="C35" s="4">
        <f>6.9844 * CHOOSE(CONTROL!$C$9, $C$13, 100%, $E$13) + CHOOSE(CONTROL!$C$28, 0.0197, 0)</f>
        <v>7.0041000000000002</v>
      </c>
      <c r="D35" s="4">
        <f>10.4242 * CHOOSE(CONTROL!$C$9, $C$13, 100%, $E$13) + CHOOSE(CONTROL!$C$28, 0, 0)</f>
        <v>10.424200000000001</v>
      </c>
      <c r="E35" s="4">
        <f>42.56 * CHOOSE(CONTROL!$C$9, $C$13, 100%, $E$13) + CHOOSE(CONTROL!$C$28, 0, 0)</f>
        <v>42.56</v>
      </c>
    </row>
    <row r="36" spans="1:5" ht="15">
      <c r="A36" s="13">
        <v>42948</v>
      </c>
      <c r="B36" s="4">
        <f>7.3516 * CHOOSE(CONTROL!$C$9, $C$13, 100%, $E$13) + CHOOSE(CONTROL!$C$28, 0.0197, 0)</f>
        <v>7.3713000000000006</v>
      </c>
      <c r="C36" s="4">
        <f>7.0391 * CHOOSE(CONTROL!$C$9, $C$13, 100%, $E$13) + CHOOSE(CONTROL!$C$28, 0.0197, 0)</f>
        <v>7.0588000000000006</v>
      </c>
      <c r="D36" s="4">
        <f>10.5034 * CHOOSE(CONTROL!$C$9, $C$13, 100%, $E$13) + CHOOSE(CONTROL!$C$28, 0, 0)</f>
        <v>10.503399999999999</v>
      </c>
      <c r="E36" s="4">
        <f>42.79 * CHOOSE(CONTROL!$C$9, $C$13, 100%, $E$13) + CHOOSE(CONTROL!$C$28, 0, 0)</f>
        <v>42.79</v>
      </c>
    </row>
    <row r="37" spans="1:5" ht="15">
      <c r="A37" s="13">
        <v>42979</v>
      </c>
      <c r="B37" s="4">
        <f>7.4141 * CHOOSE(CONTROL!$C$9, $C$13, 100%, $E$13) + CHOOSE(CONTROL!$C$28, 0.0197, 0)</f>
        <v>7.4338000000000006</v>
      </c>
      <c r="C37" s="4">
        <f>7.1016 * CHOOSE(CONTROL!$C$9, $C$13, 100%, $E$13) + CHOOSE(CONTROL!$C$28, 0.0197, 0)</f>
        <v>7.1213000000000006</v>
      </c>
      <c r="D37" s="4">
        <f>10.6043 * CHOOSE(CONTROL!$C$9, $C$13, 100%, $E$13) + CHOOSE(CONTROL!$C$28, 0, 0)</f>
        <v>10.6043</v>
      </c>
      <c r="E37" s="4">
        <f>43.04 * CHOOSE(CONTROL!$C$9, $C$13, 100%, $E$13) + CHOOSE(CONTROL!$C$28, 0, 0)</f>
        <v>43.04</v>
      </c>
    </row>
    <row r="38" spans="1:5" ht="15">
      <c r="A38" s="13">
        <v>43009</v>
      </c>
      <c r="B38" s="4">
        <f>7.4766 * CHOOSE(CONTROL!$C$9, $C$13, 100%, $E$13) + CHOOSE(CONTROL!$C$28, 0.0003, 0)</f>
        <v>7.4769000000000005</v>
      </c>
      <c r="C38" s="4">
        <f>7.1641 * CHOOSE(CONTROL!$C$9, $C$13, 100%, $E$13) + CHOOSE(CONTROL!$C$28, 0.0003, 0)</f>
        <v>7.1644000000000005</v>
      </c>
      <c r="D38" s="4">
        <f>10.7066 * CHOOSE(CONTROL!$C$9, $C$13, 100%, $E$13) + CHOOSE(CONTROL!$C$28, 0, 0)</f>
        <v>10.7066</v>
      </c>
      <c r="E38" s="4">
        <f>43.29 * CHOOSE(CONTROL!$C$9, $C$13, 100%, $E$13) + CHOOSE(CONTROL!$C$28, 0, 0)</f>
        <v>43.29</v>
      </c>
    </row>
    <row r="39" spans="1:5" ht="15">
      <c r="A39" s="13">
        <v>43040</v>
      </c>
      <c r="B39" s="4">
        <f>7.5391 * CHOOSE(CONTROL!$C$9, $C$13, 100%, $E$13) + CHOOSE(CONTROL!$C$28, 0.0003, 0)</f>
        <v>7.5394000000000005</v>
      </c>
      <c r="C39" s="4">
        <f>7.2266 * CHOOSE(CONTROL!$C$9, $C$13, 100%, $E$13) + CHOOSE(CONTROL!$C$28, 0.0003, 0)</f>
        <v>7.2269000000000005</v>
      </c>
      <c r="D39" s="4">
        <f>10.8002 * CHOOSE(CONTROL!$C$9, $C$13, 100%, $E$13) + CHOOSE(CONTROL!$C$28, 0, 0)</f>
        <v>10.8002</v>
      </c>
      <c r="E39" s="4">
        <f>43.54 * CHOOSE(CONTROL!$C$9, $C$13, 100%, $E$13) + CHOOSE(CONTROL!$C$28, 0, 0)</f>
        <v>43.54</v>
      </c>
    </row>
    <row r="40" spans="1:5" ht="15">
      <c r="A40" s="13">
        <v>43070</v>
      </c>
      <c r="B40" s="4">
        <f>7.6016 * CHOOSE(CONTROL!$C$9, $C$13, 100%, $E$13) + CHOOSE(CONTROL!$C$28, 0.0003, 0)</f>
        <v>7.6019000000000005</v>
      </c>
      <c r="C40" s="4">
        <f>7.2891 * CHOOSE(CONTROL!$C$9, $C$13, 100%, $E$13) + CHOOSE(CONTROL!$C$28, 0.0003, 0)</f>
        <v>7.2894000000000005</v>
      </c>
      <c r="D40" s="4">
        <f>10.8809 * CHOOSE(CONTROL!$C$9, $C$13, 100%, $E$13) + CHOOSE(CONTROL!$C$28, 0, 0)</f>
        <v>10.8809</v>
      </c>
      <c r="E40" s="4">
        <f>43.79 * CHOOSE(CONTROL!$C$9, $C$13, 100%, $E$13) + CHOOSE(CONTROL!$C$28, 0, 0)</f>
        <v>43.79</v>
      </c>
    </row>
    <row r="41" spans="1:5" ht="15">
      <c r="A41" s="13">
        <v>43101</v>
      </c>
      <c r="B41" s="4">
        <f>7.4641 * CHOOSE(CONTROL!$C$9, $C$13, 100%, $E$13) + CHOOSE(CONTROL!$C$28, 0.0003, 0)</f>
        <v>7.4644000000000004</v>
      </c>
      <c r="C41" s="4">
        <f>7.1516 * CHOOSE(CONTROL!$C$9, $C$13, 100%, $E$13) + CHOOSE(CONTROL!$C$28, 0.0003, 0)</f>
        <v>7.1519000000000004</v>
      </c>
      <c r="D41" s="4">
        <f>10.9623 * CHOOSE(CONTROL!$C$9, $C$13, 100%, $E$13) + CHOOSE(CONTROL!$C$28, 0, 0)</f>
        <v>10.962300000000001</v>
      </c>
      <c r="E41" s="4">
        <f>43.92 * CHOOSE(CONTROL!$C$9, $C$13, 100%, $E$13) + CHOOSE(CONTROL!$C$28, 0, 0)</f>
        <v>43.92</v>
      </c>
    </row>
    <row r="42" spans="1:5" ht="15">
      <c r="A42" s="13">
        <v>43132</v>
      </c>
      <c r="B42" s="4">
        <f>7.4891 * CHOOSE(CONTROL!$C$9, $C$13, 100%, $E$13) + CHOOSE(CONTROL!$C$28, 0.0003, 0)</f>
        <v>7.4893999999999998</v>
      </c>
      <c r="C42" s="4">
        <f>7.1766 * CHOOSE(CONTROL!$C$9, $C$13, 100%, $E$13) + CHOOSE(CONTROL!$C$28, 0.0003, 0)</f>
        <v>7.1768999999999998</v>
      </c>
      <c r="D42" s="4">
        <f>11.0041 * CHOOSE(CONTROL!$C$9, $C$13, 100%, $E$13) + CHOOSE(CONTROL!$C$28, 0, 0)</f>
        <v>11.004099999999999</v>
      </c>
      <c r="E42" s="4">
        <f>44.08 * CHOOSE(CONTROL!$C$9, $C$13, 100%, $E$13) + CHOOSE(CONTROL!$C$28, 0, 0)</f>
        <v>44.08</v>
      </c>
    </row>
    <row r="43" spans="1:5" ht="15">
      <c r="A43" s="13">
        <v>43160</v>
      </c>
      <c r="B43" s="4">
        <f>7.5187 * CHOOSE(CONTROL!$C$9, $C$13, 100%, $E$13) + CHOOSE(CONTROL!$C$28, 0.0003, 0)</f>
        <v>7.5190000000000001</v>
      </c>
      <c r="C43" s="4">
        <f>7.2062 * CHOOSE(CONTROL!$C$9, $C$13, 100%, $E$13) + CHOOSE(CONTROL!$C$28, 0.0003, 0)</f>
        <v>7.2065000000000001</v>
      </c>
      <c r="D43" s="4">
        <f>10.9983 * CHOOSE(CONTROL!$C$9, $C$13, 100%, $E$13) + CHOOSE(CONTROL!$C$28, 0, 0)</f>
        <v>10.9983</v>
      </c>
      <c r="E43" s="4">
        <f>44.25 * CHOOSE(CONTROL!$C$9, $C$13, 100%, $E$13) + CHOOSE(CONTROL!$C$28, 0, 0)</f>
        <v>44.25</v>
      </c>
    </row>
    <row r="44" spans="1:5" ht="15">
      <c r="A44" s="13">
        <v>43191</v>
      </c>
      <c r="B44" s="4">
        <f>7.5531 * CHOOSE(CONTROL!$C$9, $C$13, 100%, $E$13) + CHOOSE(CONTROL!$C$28, 0.0003, 0)</f>
        <v>7.5533999999999999</v>
      </c>
      <c r="C44" s="4">
        <f>7.2406 * CHOOSE(CONTROL!$C$9, $C$13, 100%, $E$13) + CHOOSE(CONTROL!$C$28, 0.0003, 0)</f>
        <v>7.2408999999999999</v>
      </c>
      <c r="D44" s="4">
        <f>10.9674 * CHOOSE(CONTROL!$C$9, $C$13, 100%, $E$13) + CHOOSE(CONTROL!$C$28, 0, 0)</f>
        <v>10.9674</v>
      </c>
      <c r="E44" s="4">
        <f>44.45 * CHOOSE(CONTROL!$C$9, $C$13, 100%, $E$13) + CHOOSE(CONTROL!$C$28, 0, 0)</f>
        <v>44.45</v>
      </c>
    </row>
    <row r="45" spans="1:5" ht="15">
      <c r="A45" s="13">
        <v>43221</v>
      </c>
      <c r="B45" s="4">
        <f>7.5938 * CHOOSE(CONTROL!$C$9, $C$13, 100%, $E$13) + CHOOSE(CONTROL!$C$28, 0.0197, 0)</f>
        <v>7.6135000000000002</v>
      </c>
      <c r="C45" s="4">
        <f>7.2812 * CHOOSE(CONTROL!$C$9, $C$13, 100%, $E$13) + CHOOSE(CONTROL!$C$28, 0.0197, 0)</f>
        <v>7.3009000000000004</v>
      </c>
      <c r="D45" s="4">
        <f>11.0192 * CHOOSE(CONTROL!$C$9, $C$13, 100%, $E$13) + CHOOSE(CONTROL!$C$28, 0, 0)</f>
        <v>11.0192</v>
      </c>
      <c r="E45" s="4">
        <f>44.66 * CHOOSE(CONTROL!$C$9, $C$13, 100%, $E$13) + CHOOSE(CONTROL!$C$28, 0, 0)</f>
        <v>44.66</v>
      </c>
    </row>
    <row r="46" spans="1:5" ht="15">
      <c r="A46" s="13">
        <v>43252</v>
      </c>
      <c r="B46" s="4">
        <f>7.6422 * CHOOSE(CONTROL!$C$9, $C$13, 100%, $E$13) + CHOOSE(CONTROL!$C$28, 0.0197, 0)</f>
        <v>7.6619000000000002</v>
      </c>
      <c r="C46" s="4">
        <f>7.3297 * CHOOSE(CONTROL!$C$9, $C$13, 100%, $E$13) + CHOOSE(CONTROL!$C$28, 0.0197, 0)</f>
        <v>7.3494000000000002</v>
      </c>
      <c r="D46" s="4">
        <f>11.0855 * CHOOSE(CONTROL!$C$9, $C$13, 100%, $E$13) + CHOOSE(CONTROL!$C$28, 0, 0)</f>
        <v>11.0855</v>
      </c>
      <c r="E46" s="4">
        <f>44.89 * CHOOSE(CONTROL!$C$9, $C$13, 100%, $E$13) + CHOOSE(CONTROL!$C$28, 0, 0)</f>
        <v>44.89</v>
      </c>
    </row>
    <row r="47" spans="1:5" ht="15">
      <c r="A47" s="13">
        <v>43282</v>
      </c>
      <c r="B47" s="4">
        <f>7.6844 * CHOOSE(CONTROL!$C$9, $C$13, 100%, $E$13) + CHOOSE(CONTROL!$C$28, 0.0197, 0)</f>
        <v>7.7041000000000004</v>
      </c>
      <c r="C47" s="4">
        <f>7.3719 * CHOOSE(CONTROL!$C$9, $C$13, 100%, $E$13) + CHOOSE(CONTROL!$C$28, 0.0197, 0)</f>
        <v>7.3916000000000004</v>
      </c>
      <c r="D47" s="4">
        <f>11.177 * CHOOSE(CONTROL!$C$9, $C$13, 100%, $E$13) + CHOOSE(CONTROL!$C$28, 0, 0)</f>
        <v>11.177</v>
      </c>
      <c r="E47" s="4">
        <f>45.04 * CHOOSE(CONTROL!$C$9, $C$13, 100%, $E$13) + CHOOSE(CONTROL!$C$28, 0, 0)</f>
        <v>45.04</v>
      </c>
    </row>
    <row r="48" spans="1:5" ht="15">
      <c r="A48" s="13">
        <v>43313</v>
      </c>
      <c r="B48" s="4">
        <f>7.7281 * CHOOSE(CONTROL!$C$9, $C$13, 100%, $E$13) + CHOOSE(CONTROL!$C$28, 0.0197, 0)</f>
        <v>7.7478000000000007</v>
      </c>
      <c r="C48" s="4">
        <f>7.4156 * CHOOSE(CONTROL!$C$9, $C$13, 100%, $E$13) + CHOOSE(CONTROL!$C$28, 0.0197, 0)</f>
        <v>7.4353000000000007</v>
      </c>
      <c r="D48" s="4">
        <f>11.2635 * CHOOSE(CONTROL!$C$9, $C$13, 100%, $E$13) + CHOOSE(CONTROL!$C$28, 0, 0)</f>
        <v>11.263500000000001</v>
      </c>
      <c r="E48" s="4">
        <f>45.2 * CHOOSE(CONTROL!$C$9, $C$13, 100%, $E$13) + CHOOSE(CONTROL!$C$28, 0, 0)</f>
        <v>45.2</v>
      </c>
    </row>
    <row r="49" spans="1:5" ht="15">
      <c r="A49" s="13">
        <v>43344</v>
      </c>
      <c r="B49" s="4">
        <f>7.7797 * CHOOSE(CONTROL!$C$9, $C$13, 100%, $E$13) + CHOOSE(CONTROL!$C$28, 0.0197, 0)</f>
        <v>7.7994000000000003</v>
      </c>
      <c r="C49" s="4">
        <f>7.4672 * CHOOSE(CONTROL!$C$9, $C$13, 100%, $E$13) + CHOOSE(CONTROL!$C$28, 0.0197, 0)</f>
        <v>7.4869000000000003</v>
      </c>
      <c r="D49" s="4">
        <f>11.3535 * CHOOSE(CONTROL!$C$9, $C$13, 100%, $E$13) + CHOOSE(CONTROL!$C$28, 0, 0)</f>
        <v>11.3535</v>
      </c>
      <c r="E49" s="4">
        <f>45.38 * CHOOSE(CONTROL!$C$9, $C$13, 100%, $E$13) + CHOOSE(CONTROL!$C$28, 0, 0)</f>
        <v>45.38</v>
      </c>
    </row>
    <row r="50" spans="1:5" ht="15">
      <c r="A50" s="13">
        <v>43374</v>
      </c>
      <c r="B50" s="4">
        <f>7.8328 * CHOOSE(CONTROL!$C$9, $C$13, 100%, $E$13) + CHOOSE(CONTROL!$C$28, 0.0003, 0)</f>
        <v>7.8331</v>
      </c>
      <c r="C50" s="4">
        <f>7.5203 * CHOOSE(CONTROL!$C$9, $C$13, 100%, $E$13) + CHOOSE(CONTROL!$C$28, 0.0003, 0)</f>
        <v>7.5206</v>
      </c>
      <c r="D50" s="4">
        <f>11.44 * CHOOSE(CONTROL!$C$9, $C$13, 100%, $E$13) + CHOOSE(CONTROL!$C$28, 0, 0)</f>
        <v>11.44</v>
      </c>
      <c r="E50" s="4">
        <f>45.57 * CHOOSE(CONTROL!$C$9, $C$13, 100%, $E$13) + CHOOSE(CONTROL!$C$28, 0, 0)</f>
        <v>45.57</v>
      </c>
    </row>
    <row r="51" spans="1:5" ht="15">
      <c r="A51" s="13">
        <v>43405</v>
      </c>
      <c r="B51" s="4">
        <f>7.8875 * CHOOSE(CONTROL!$C$9, $C$13, 100%, $E$13) + CHOOSE(CONTROL!$C$28, 0.0003, 0)</f>
        <v>7.8878000000000004</v>
      </c>
      <c r="C51" s="4">
        <f>7.575 * CHOOSE(CONTROL!$C$9, $C$13, 100%, $E$13) + CHOOSE(CONTROL!$C$28, 0.0003, 0)</f>
        <v>7.5753000000000004</v>
      </c>
      <c r="D51" s="4">
        <f>11.5048 * CHOOSE(CONTROL!$C$9, $C$13, 100%, $E$13) + CHOOSE(CONTROL!$C$28, 0, 0)</f>
        <v>11.504799999999999</v>
      </c>
      <c r="E51" s="4">
        <f>45.77 * CHOOSE(CONTROL!$C$9, $C$13, 100%, $E$13) + CHOOSE(CONTROL!$C$28, 0, 0)</f>
        <v>45.77</v>
      </c>
    </row>
    <row r="52" spans="1:5" ht="15">
      <c r="A52" s="13">
        <v>43435</v>
      </c>
      <c r="B52" s="4">
        <f>7.9469 * CHOOSE(CONTROL!$C$9, $C$13, 100%, $E$13) + CHOOSE(CONTROL!$C$28, 0.0003, 0)</f>
        <v>7.9472000000000005</v>
      </c>
      <c r="C52" s="4">
        <f>7.6344 * CHOOSE(CONTROL!$C$9, $C$13, 100%, $E$13) + CHOOSE(CONTROL!$C$28, 0.0003, 0)</f>
        <v>7.6347000000000005</v>
      </c>
      <c r="D52" s="4">
        <f>11.5639 * CHOOSE(CONTROL!$C$9, $C$13, 100%, $E$13) + CHOOSE(CONTROL!$C$28, 0, 0)</f>
        <v>11.5639</v>
      </c>
      <c r="E52" s="4">
        <f>46 * CHOOSE(CONTROL!$C$9, $C$13, 100%, $E$13) + CHOOSE(CONTROL!$C$28, 0, 0)</f>
        <v>46</v>
      </c>
    </row>
    <row r="53" spans="1:5" ht="15">
      <c r="A53" s="13">
        <v>43466</v>
      </c>
      <c r="B53" s="4">
        <f>9.2719 * CHOOSE(CONTROL!$C$9, $C$13, 100%, $E$13) + CHOOSE(CONTROL!$C$28, 0.0003, 0)</f>
        <v>9.2721999999999998</v>
      </c>
      <c r="C53" s="4">
        <f>8.9594 * CHOOSE(CONTROL!$C$9, $C$13, 100%, $E$13) + CHOOSE(CONTROL!$C$28, 0.0003, 0)</f>
        <v>8.9596999999999998</v>
      </c>
      <c r="D53" s="4">
        <f>13.1957 * CHOOSE(CONTROL!$C$9, $C$13, 100%, $E$13) + CHOOSE(CONTROL!$C$28, 0, 0)</f>
        <v>13.1957</v>
      </c>
      <c r="E53" s="4">
        <f>53.0239071846715 * CHOOSE(CONTROL!$C$9, $C$13, 100%, $E$13) + CHOOSE(CONTROL!$C$28, 0, 0)</f>
        <v>53.023907184671501</v>
      </c>
    </row>
    <row r="54" spans="1:5" ht="15">
      <c r="A54" s="13">
        <v>43497</v>
      </c>
      <c r="B54" s="4">
        <f>9.4475 * CHOOSE(CONTROL!$C$9, $C$13, 100%, $E$13) + CHOOSE(CONTROL!$C$28, 0.0003, 0)</f>
        <v>9.4477999999999991</v>
      </c>
      <c r="C54" s="4">
        <f>9.135 * CHOOSE(CONTROL!$C$9, $C$13, 100%, $E$13) + CHOOSE(CONTROL!$C$28, 0.0003, 0)</f>
        <v>9.1352999999999991</v>
      </c>
      <c r="D54" s="4">
        <f>13.6203 * CHOOSE(CONTROL!$C$9, $C$13, 100%, $E$13) + CHOOSE(CONTROL!$C$28, 0, 0)</f>
        <v>13.6203</v>
      </c>
      <c r="E54" s="4">
        <f>54.282903703652 * CHOOSE(CONTROL!$C$9, $C$13, 100%, $E$13) + CHOOSE(CONTROL!$C$28, 0, 0)</f>
        <v>54.282903703652003</v>
      </c>
    </row>
    <row r="55" spans="1:5" ht="15">
      <c r="A55" s="13">
        <v>43525</v>
      </c>
      <c r="B55" s="4">
        <f>9.9087 * CHOOSE(CONTROL!$C$9, $C$13, 100%, $E$13) + CHOOSE(CONTROL!$C$28, 0.0003, 0)</f>
        <v>9.9089999999999989</v>
      </c>
      <c r="C55" s="4">
        <f>9.5962 * CHOOSE(CONTROL!$C$9, $C$13, 100%, $E$13) + CHOOSE(CONTROL!$C$28, 0.0003, 0)</f>
        <v>9.5964999999999989</v>
      </c>
      <c r="D55" s="4">
        <f>14.2849 * CHOOSE(CONTROL!$C$9, $C$13, 100%, $E$13) + CHOOSE(CONTROL!$C$28, 0, 0)</f>
        <v>14.2849</v>
      </c>
      <c r="E55" s="4">
        <f>57.5890954696332 * CHOOSE(CONTROL!$C$9, $C$13, 100%, $E$13) + CHOOSE(CONTROL!$C$28, 0, 0)</f>
        <v>57.5890954696332</v>
      </c>
    </row>
    <row r="56" spans="1:5" ht="15">
      <c r="A56" s="13">
        <v>43556</v>
      </c>
      <c r="B56" s="4">
        <f>10.2364 * CHOOSE(CONTROL!$C$9, $C$13, 100%, $E$13) + CHOOSE(CONTROL!$C$28, 0.0003, 0)</f>
        <v>10.236699999999999</v>
      </c>
      <c r="C56" s="4">
        <f>9.9239 * CHOOSE(CONTROL!$C$9, $C$13, 100%, $E$13) + CHOOSE(CONTROL!$C$28, 0.0003, 0)</f>
        <v>9.924199999999999</v>
      </c>
      <c r="D56" s="4">
        <f>14.6678 * CHOOSE(CONTROL!$C$9, $C$13, 100%, $E$13) + CHOOSE(CONTROL!$C$28, 0, 0)</f>
        <v>14.6678</v>
      </c>
      <c r="E56" s="4">
        <f>59.9381887801613 * CHOOSE(CONTROL!$C$9, $C$13, 100%, $E$13) + CHOOSE(CONTROL!$C$28, 0, 0)</f>
        <v>59.938188780161298</v>
      </c>
    </row>
    <row r="57" spans="1:5" ht="15">
      <c r="A57" s="13">
        <v>43586</v>
      </c>
      <c r="B57" s="4">
        <f>10.4366 * CHOOSE(CONTROL!$C$9, $C$13, 100%, $E$13) + CHOOSE(CONTROL!$C$28, 0.0197, 0)</f>
        <v>10.456300000000001</v>
      </c>
      <c r="C57" s="4">
        <f>10.1241 * CHOOSE(CONTROL!$C$9, $C$13, 100%, $E$13) + CHOOSE(CONTROL!$C$28, 0.0197, 0)</f>
        <v>10.143800000000001</v>
      </c>
      <c r="D57" s="4">
        <f>14.5165 * CHOOSE(CONTROL!$C$9, $C$13, 100%, $E$13) + CHOOSE(CONTROL!$C$28, 0, 0)</f>
        <v>14.516500000000001</v>
      </c>
      <c r="E57" s="4">
        <f>61.3734284929848 * CHOOSE(CONTROL!$C$9, $C$13, 100%, $E$13) + CHOOSE(CONTROL!$C$28, 0, 0)</f>
        <v>61.3734284929848</v>
      </c>
    </row>
    <row r="58" spans="1:5" ht="15">
      <c r="A58" s="13">
        <v>43617</v>
      </c>
      <c r="B58" s="4">
        <f>10.4637 * CHOOSE(CONTROL!$C$9, $C$13, 100%, $E$13) + CHOOSE(CONTROL!$C$28, 0.0197, 0)</f>
        <v>10.4834</v>
      </c>
      <c r="C58" s="4">
        <f>10.1512 * CHOOSE(CONTROL!$C$9, $C$13, 100%, $E$13) + CHOOSE(CONTROL!$C$28, 0.0197, 0)</f>
        <v>10.1709</v>
      </c>
      <c r="D58" s="4">
        <f>14.6397 * CHOOSE(CONTROL!$C$9, $C$13, 100%, $E$13) + CHOOSE(CONTROL!$C$28, 0, 0)</f>
        <v>14.639699999999999</v>
      </c>
      <c r="E58" s="4">
        <f>61.5676223824971 * CHOOSE(CONTROL!$C$9, $C$13, 100%, $E$13) + CHOOSE(CONTROL!$C$28, 0, 0)</f>
        <v>61.567622382497099</v>
      </c>
    </row>
    <row r="59" spans="1:5" ht="15">
      <c r="A59" s="13">
        <v>43647</v>
      </c>
      <c r="B59" s="4">
        <f>10.461 * CHOOSE(CONTROL!$C$9, $C$13, 100%, $E$13) + CHOOSE(CONTROL!$C$28, 0.0197, 0)</f>
        <v>10.480700000000001</v>
      </c>
      <c r="C59" s="4">
        <f>10.1485 * CHOOSE(CONTROL!$C$9, $C$13, 100%, $E$13) + CHOOSE(CONTROL!$C$28, 0.0197, 0)</f>
        <v>10.168200000000001</v>
      </c>
      <c r="D59" s="4">
        <f>14.862 * CHOOSE(CONTROL!$C$9, $C$13, 100%, $E$13) + CHOOSE(CONTROL!$C$28, 0, 0)</f>
        <v>14.862</v>
      </c>
      <c r="E59" s="4">
        <f>61.5480398054034 * CHOOSE(CONTROL!$C$9, $C$13, 100%, $E$13) + CHOOSE(CONTROL!$C$28, 0, 0)</f>
        <v>61.548039805403398</v>
      </c>
    </row>
    <row r="60" spans="1:5" ht="15">
      <c r="A60" s="13">
        <v>43678</v>
      </c>
      <c r="B60" s="4">
        <f>10.6665 * CHOOSE(CONTROL!$C$9, $C$13, 100%, $E$13) + CHOOSE(CONTROL!$C$28, 0.0197, 0)</f>
        <v>10.686199999999999</v>
      </c>
      <c r="C60" s="4">
        <f>10.354 * CHOOSE(CONTROL!$C$9, $C$13, 100%, $E$13) + CHOOSE(CONTROL!$C$28, 0.0197, 0)</f>
        <v>10.373699999999999</v>
      </c>
      <c r="D60" s="4">
        <f>14.7152 * CHOOSE(CONTROL!$C$9, $C$13, 100%, $E$13) + CHOOSE(CONTROL!$C$28, 0, 0)</f>
        <v>14.715199999999999</v>
      </c>
      <c r="E60" s="4">
        <f>63.021628731702 * CHOOSE(CONTROL!$C$9, $C$13, 100%, $E$13) + CHOOSE(CONTROL!$C$28, 0, 0)</f>
        <v>63.021628731702002</v>
      </c>
    </row>
    <row r="61" spans="1:5" ht="15">
      <c r="A61" s="13">
        <v>43709</v>
      </c>
      <c r="B61" s="4">
        <f>10.3162 * CHOOSE(CONTROL!$C$9, $C$13, 100%, $E$13) + CHOOSE(CONTROL!$C$28, 0.0197, 0)</f>
        <v>10.335900000000001</v>
      </c>
      <c r="C61" s="4">
        <f>10.0037 * CHOOSE(CONTROL!$C$9, $C$13, 100%, $E$13) + CHOOSE(CONTROL!$C$28, 0.0197, 0)</f>
        <v>10.023400000000001</v>
      </c>
      <c r="D61" s="4">
        <f>14.6458 * CHOOSE(CONTROL!$C$9, $C$13, 100%, $E$13) + CHOOSE(CONTROL!$C$28, 0, 0)</f>
        <v>14.645799999999999</v>
      </c>
      <c r="E61" s="4">
        <f>60.5101632194389 * CHOOSE(CONTROL!$C$9, $C$13, 100%, $E$13) + CHOOSE(CONTROL!$C$28, 0, 0)</f>
        <v>60.510163219438901</v>
      </c>
    </row>
    <row r="62" spans="1:5" ht="15">
      <c r="A62" s="13">
        <v>43739</v>
      </c>
      <c r="B62" s="4">
        <f>10.0357 * CHOOSE(CONTROL!$C$9, $C$13, 100%, $E$13) + CHOOSE(CONTROL!$C$28, 0.0003, 0)</f>
        <v>10.036</v>
      </c>
      <c r="C62" s="4">
        <f>9.7232 * CHOOSE(CONTROL!$C$9, $C$13, 100%, $E$13) + CHOOSE(CONTROL!$C$28, 0.0003, 0)</f>
        <v>9.7234999999999996</v>
      </c>
      <c r="D62" s="4">
        <f>14.4601 * CHOOSE(CONTROL!$C$9, $C$13, 100%, $E$13) + CHOOSE(CONTROL!$C$28, 0, 0)</f>
        <v>14.460100000000001</v>
      </c>
      <c r="E62" s="4">
        <f>58.4996853044888 * CHOOSE(CONTROL!$C$9, $C$13, 100%, $E$13) + CHOOSE(CONTROL!$C$28, 0, 0)</f>
        <v>58.4996853044888</v>
      </c>
    </row>
    <row r="63" spans="1:5" ht="15">
      <c r="A63" s="13">
        <v>43770</v>
      </c>
      <c r="B63" s="4">
        <f>9.8551 * CHOOSE(CONTROL!$C$9, $C$13, 100%, $E$13) + CHOOSE(CONTROL!$C$28, 0.0003, 0)</f>
        <v>9.8553999999999995</v>
      </c>
      <c r="C63" s="4">
        <f>9.5426 * CHOOSE(CONTROL!$C$9, $C$13, 100%, $E$13) + CHOOSE(CONTROL!$C$28, 0.0003, 0)</f>
        <v>9.5428999999999995</v>
      </c>
      <c r="D63" s="4">
        <f>14.3962 * CHOOSE(CONTROL!$C$9, $C$13, 100%, $E$13) + CHOOSE(CONTROL!$C$28, 0, 0)</f>
        <v>14.3962</v>
      </c>
      <c r="E63" s="4">
        <f>57.2047873941699 * CHOOSE(CONTROL!$C$9, $C$13, 100%, $E$13) + CHOOSE(CONTROL!$C$28, 0, 0)</f>
        <v>57.204787394169898</v>
      </c>
    </row>
    <row r="64" spans="1:5" ht="15">
      <c r="A64" s="13">
        <v>43800</v>
      </c>
      <c r="B64" s="4">
        <f>9.7301 * CHOOSE(CONTROL!$C$9, $C$13, 100%, $E$13) + CHOOSE(CONTROL!$C$28, 0.0003, 0)</f>
        <v>9.7303999999999995</v>
      </c>
      <c r="C64" s="4">
        <f>9.4176 * CHOOSE(CONTROL!$C$9, $C$13, 100%, $E$13) + CHOOSE(CONTROL!$C$28, 0.0003, 0)</f>
        <v>9.4178999999999995</v>
      </c>
      <c r="D64" s="4">
        <f>13.9261 * CHOOSE(CONTROL!$C$9, $C$13, 100%, $E$13) + CHOOSE(CONTROL!$C$28, 0, 0)</f>
        <v>13.9261</v>
      </c>
      <c r="E64" s="4">
        <f>56.3088844921346 * CHOOSE(CONTROL!$C$9, $C$13, 100%, $E$13) + CHOOSE(CONTROL!$C$28, 0, 0)</f>
        <v>56.308884492134602</v>
      </c>
    </row>
    <row r="65" spans="1:5" ht="15">
      <c r="A65" s="13">
        <v>43831</v>
      </c>
      <c r="B65" s="4">
        <f>9.7576 * CHOOSE(CONTROL!$C$9, $C$13, 100%, $E$13) + CHOOSE(CONTROL!$C$28, 0.0003, 0)</f>
        <v>9.7578999999999994</v>
      </c>
      <c r="C65" s="4">
        <f>9.4451 * CHOOSE(CONTROL!$C$9, $C$13, 100%, $E$13) + CHOOSE(CONTROL!$C$28, 0.0003, 0)</f>
        <v>9.4453999999999994</v>
      </c>
      <c r="D65" s="4">
        <f>13.7719 * CHOOSE(CONTROL!$C$9, $C$13, 100%, $E$13) + CHOOSE(CONTROL!$C$28, 0, 0)</f>
        <v>13.7719</v>
      </c>
      <c r="E65" s="4">
        <f>55.8385807634937 * CHOOSE(CONTROL!$C$9, $C$13, 100%, $E$13) + CHOOSE(CONTROL!$C$28, 0, 0)</f>
        <v>55.838580763493702</v>
      </c>
    </row>
    <row r="66" spans="1:5" ht="15">
      <c r="A66" s="13">
        <v>43862</v>
      </c>
      <c r="B66" s="4">
        <f>9.9447 * CHOOSE(CONTROL!$C$9, $C$13, 100%, $E$13) + CHOOSE(CONTROL!$C$28, 0.0003, 0)</f>
        <v>9.9449999999999985</v>
      </c>
      <c r="C66" s="4">
        <f>9.6322 * CHOOSE(CONTROL!$C$9, $C$13, 100%, $E$13) + CHOOSE(CONTROL!$C$28, 0.0003, 0)</f>
        <v>9.6324999999999985</v>
      </c>
      <c r="D66" s="4">
        <f>14.2168 * CHOOSE(CONTROL!$C$9, $C$13, 100%, $E$13) + CHOOSE(CONTROL!$C$28, 0, 0)</f>
        <v>14.216799999999999</v>
      </c>
      <c r="E66" s="4">
        <f>57.1644087256091 * CHOOSE(CONTROL!$C$9, $C$13, 100%, $E$13) + CHOOSE(CONTROL!$C$28, 0, 0)</f>
        <v>57.1644087256091</v>
      </c>
    </row>
    <row r="67" spans="1:5" ht="15">
      <c r="A67" s="13">
        <v>43891</v>
      </c>
      <c r="B67" s="4">
        <f>10.4362 * CHOOSE(CONTROL!$C$9, $C$13, 100%, $E$13) + CHOOSE(CONTROL!$C$28, 0.0003, 0)</f>
        <v>10.436499999999999</v>
      </c>
      <c r="C67" s="4">
        <f>10.1237 * CHOOSE(CONTROL!$C$9, $C$13, 100%, $E$13) + CHOOSE(CONTROL!$C$28, 0.0003, 0)</f>
        <v>10.123999999999999</v>
      </c>
      <c r="D67" s="4">
        <f>14.9133 * CHOOSE(CONTROL!$C$9, $C$13, 100%, $E$13) + CHOOSE(CONTROL!$C$28, 0, 0)</f>
        <v>14.9133</v>
      </c>
      <c r="E67" s="4">
        <f>60.6461034129012 * CHOOSE(CONTROL!$C$9, $C$13, 100%, $E$13) + CHOOSE(CONTROL!$C$28, 0, 0)</f>
        <v>60.646103412901198</v>
      </c>
    </row>
    <row r="68" spans="1:5" ht="15">
      <c r="A68" s="13">
        <v>43922</v>
      </c>
      <c r="B68" s="4">
        <f>10.7854 * CHOOSE(CONTROL!$C$9, $C$13, 100%, $E$13) + CHOOSE(CONTROL!$C$28, 0.0003, 0)</f>
        <v>10.785699999999999</v>
      </c>
      <c r="C68" s="4">
        <f>10.4729 * CHOOSE(CONTROL!$C$9, $C$13, 100%, $E$13) + CHOOSE(CONTROL!$C$28, 0.0003, 0)</f>
        <v>10.473199999999999</v>
      </c>
      <c r="D68" s="4">
        <f>15.3145 * CHOOSE(CONTROL!$C$9, $C$13, 100%, $E$13) + CHOOSE(CONTROL!$C$28, 0, 0)</f>
        <v>15.314500000000001</v>
      </c>
      <c r="E68" s="4">
        <f>63.1198938879046 * CHOOSE(CONTROL!$C$9, $C$13, 100%, $E$13) + CHOOSE(CONTROL!$C$28, 0, 0)</f>
        <v>63.119893887904603</v>
      </c>
    </row>
    <row r="69" spans="1:5" ht="15">
      <c r="A69" s="13">
        <v>43952</v>
      </c>
      <c r="B69" s="4">
        <f>10.9988 * CHOOSE(CONTROL!$C$9, $C$13, 100%, $E$13) + CHOOSE(CONTROL!$C$28, 0.0197, 0)</f>
        <v>11.0185</v>
      </c>
      <c r="C69" s="4">
        <f>10.6863 * CHOOSE(CONTROL!$C$9, $C$13, 100%, $E$13) + CHOOSE(CONTROL!$C$28, 0.0197, 0)</f>
        <v>10.706</v>
      </c>
      <c r="D69" s="4">
        <f>15.156 * CHOOSE(CONTROL!$C$9, $C$13, 100%, $E$13) + CHOOSE(CONTROL!$C$28, 0, 0)</f>
        <v>15.156000000000001</v>
      </c>
      <c r="E69" s="4">
        <f>64.6313205796486 * CHOOSE(CONTROL!$C$9, $C$13, 100%, $E$13) + CHOOSE(CONTROL!$C$28, 0, 0)</f>
        <v>64.631320579648602</v>
      </c>
    </row>
    <row r="70" spans="1:5" ht="15">
      <c r="A70" s="13">
        <v>43983</v>
      </c>
      <c r="B70" s="4">
        <f>11.0277 * CHOOSE(CONTROL!$C$9, $C$13, 100%, $E$13) + CHOOSE(CONTROL!$C$28, 0.0197, 0)</f>
        <v>11.0474</v>
      </c>
      <c r="C70" s="4">
        <f>10.7152 * CHOOSE(CONTROL!$C$9, $C$13, 100%, $E$13) + CHOOSE(CONTROL!$C$28, 0.0197, 0)</f>
        <v>10.7349</v>
      </c>
      <c r="D70" s="4">
        <f>15.2851 * CHOOSE(CONTROL!$C$9, $C$13, 100%, $E$13) + CHOOSE(CONTROL!$C$28, 0, 0)</f>
        <v>15.2851</v>
      </c>
      <c r="E70" s="4">
        <f>64.8358228835913 * CHOOSE(CONTROL!$C$9, $C$13, 100%, $E$13) + CHOOSE(CONTROL!$C$28, 0, 0)</f>
        <v>64.835822883591305</v>
      </c>
    </row>
    <row r="71" spans="1:5" ht="15">
      <c r="A71" s="13">
        <v>44013</v>
      </c>
      <c r="B71" s="4">
        <f>11.0248 * CHOOSE(CONTROL!$C$9, $C$13, 100%, $E$13) + CHOOSE(CONTROL!$C$28, 0.0197, 0)</f>
        <v>11.044500000000001</v>
      </c>
      <c r="C71" s="4">
        <f>10.7123 * CHOOSE(CONTROL!$C$9, $C$13, 100%, $E$13) + CHOOSE(CONTROL!$C$28, 0.0197, 0)</f>
        <v>10.732000000000001</v>
      </c>
      <c r="D71" s="4">
        <f>15.5181 * CHOOSE(CONTROL!$C$9, $C$13, 100%, $E$13) + CHOOSE(CONTROL!$C$28, 0, 0)</f>
        <v>15.5181</v>
      </c>
      <c r="E71" s="4">
        <f>64.8152008025214 * CHOOSE(CONTROL!$C$9, $C$13, 100%, $E$13) + CHOOSE(CONTROL!$C$28, 0, 0)</f>
        <v>64.815200802521403</v>
      </c>
    </row>
    <row r="72" spans="1:5" ht="15">
      <c r="A72" s="13">
        <v>44044</v>
      </c>
      <c r="B72" s="4">
        <f>11.2438 * CHOOSE(CONTROL!$C$9, $C$13, 100%, $E$13) + CHOOSE(CONTROL!$C$28, 0.0197, 0)</f>
        <v>11.263500000000001</v>
      </c>
      <c r="C72" s="4">
        <f>10.9313 * CHOOSE(CONTROL!$C$9, $C$13, 100%, $E$13) + CHOOSE(CONTROL!$C$28, 0.0197, 0)</f>
        <v>10.951000000000001</v>
      </c>
      <c r="D72" s="4">
        <f>15.3642 * CHOOSE(CONTROL!$C$9, $C$13, 100%, $E$13) + CHOOSE(CONTROL!$C$28, 0, 0)</f>
        <v>15.3642</v>
      </c>
      <c r="E72" s="4">
        <f>66.3670124030272 * CHOOSE(CONTROL!$C$9, $C$13, 100%, $E$13) + CHOOSE(CONTROL!$C$28, 0, 0)</f>
        <v>66.367012403027204</v>
      </c>
    </row>
    <row r="73" spans="1:5" ht="15">
      <c r="A73" s="13">
        <v>44075</v>
      </c>
      <c r="B73" s="4">
        <f>10.8705 * CHOOSE(CONTROL!$C$9, $C$13, 100%, $E$13) + CHOOSE(CONTROL!$C$28, 0.0197, 0)</f>
        <v>10.8902</v>
      </c>
      <c r="C73" s="4">
        <f>10.558 * CHOOSE(CONTROL!$C$9, $C$13, 100%, $E$13) + CHOOSE(CONTROL!$C$28, 0.0197, 0)</f>
        <v>10.5777</v>
      </c>
      <c r="D73" s="4">
        <f>15.2915 * CHOOSE(CONTROL!$C$9, $C$13, 100%, $E$13) + CHOOSE(CONTROL!$C$28, 0, 0)</f>
        <v>15.291499999999999</v>
      </c>
      <c r="E73" s="4">
        <f>63.7222305058197 * CHOOSE(CONTROL!$C$9, $C$13, 100%, $E$13) + CHOOSE(CONTROL!$C$28, 0, 0)</f>
        <v>63.722230505819702</v>
      </c>
    </row>
    <row r="74" spans="1:5" ht="15">
      <c r="A74" s="13">
        <v>44105</v>
      </c>
      <c r="B74" s="4">
        <f>10.5716 * CHOOSE(CONTROL!$C$9, $C$13, 100%, $E$13) + CHOOSE(CONTROL!$C$28, 0.0003, 0)</f>
        <v>10.571899999999999</v>
      </c>
      <c r="C74" s="4">
        <f>10.2591 * CHOOSE(CONTROL!$C$9, $C$13, 100%, $E$13) + CHOOSE(CONTROL!$C$28, 0.0003, 0)</f>
        <v>10.259399999999999</v>
      </c>
      <c r="D74" s="4">
        <f>15.0969 * CHOOSE(CONTROL!$C$9, $C$13, 100%, $E$13) + CHOOSE(CONTROL!$C$28, 0, 0)</f>
        <v>15.0969</v>
      </c>
      <c r="E74" s="4">
        <f>61.605030182649 * CHOOSE(CONTROL!$C$9, $C$13, 100%, $E$13) + CHOOSE(CONTROL!$C$28, 0, 0)</f>
        <v>61.605030182649003</v>
      </c>
    </row>
    <row r="75" spans="1:5" ht="15">
      <c r="A75" s="13">
        <v>44136</v>
      </c>
      <c r="B75" s="4">
        <f>10.3791 * CHOOSE(CONTROL!$C$9, $C$13, 100%, $E$13) + CHOOSE(CONTROL!$C$28, 0.0003, 0)</f>
        <v>10.379399999999999</v>
      </c>
      <c r="C75" s="4">
        <f>10.0666 * CHOOSE(CONTROL!$C$9, $C$13, 100%, $E$13) + CHOOSE(CONTROL!$C$28, 0.0003, 0)</f>
        <v>10.066899999999999</v>
      </c>
      <c r="D75" s="4">
        <f>15.03 * CHOOSE(CONTROL!$C$9, $C$13, 100%, $E$13) + CHOOSE(CONTROL!$C$28, 0, 0)</f>
        <v>15.03</v>
      </c>
      <c r="E75" s="4">
        <f>60.2413950719055 * CHOOSE(CONTROL!$C$9, $C$13, 100%, $E$13) + CHOOSE(CONTROL!$C$28, 0, 0)</f>
        <v>60.241395071905501</v>
      </c>
    </row>
    <row r="76" spans="1:5" ht="15">
      <c r="A76" s="13">
        <v>44166</v>
      </c>
      <c r="B76" s="4">
        <f>10.2459 * CHOOSE(CONTROL!$C$9, $C$13, 100%, $E$13) + CHOOSE(CONTROL!$C$28, 0.0003, 0)</f>
        <v>10.2462</v>
      </c>
      <c r="C76" s="4">
        <f>9.9334 * CHOOSE(CONTROL!$C$9, $C$13, 100%, $E$13) + CHOOSE(CONTROL!$C$28, 0.0003, 0)</f>
        <v>9.9337</v>
      </c>
      <c r="D76" s="4">
        <f>14.5373 * CHOOSE(CONTROL!$C$9, $C$13, 100%, $E$13) + CHOOSE(CONTROL!$C$28, 0, 0)</f>
        <v>14.5373</v>
      </c>
      <c r="E76" s="4">
        <f>59.2979348629601 * CHOOSE(CONTROL!$C$9, $C$13, 100%, $E$13) + CHOOSE(CONTROL!$C$28, 0, 0)</f>
        <v>59.297934862960098</v>
      </c>
    </row>
    <row r="77" spans="1:5" ht="15">
      <c r="A77" s="13">
        <v>44197</v>
      </c>
      <c r="B77" s="4">
        <f>12.68 * CHOOSE(CONTROL!$C$9, $C$13, 100%, $E$13) + CHOOSE(CONTROL!$C$28, 0.0003, 0)</f>
        <v>12.680299999999999</v>
      </c>
      <c r="C77" s="4">
        <f>12.3675 * CHOOSE(CONTROL!$C$9, $C$13, 100%, $E$13) + CHOOSE(CONTROL!$C$28, 0.0003, 0)</f>
        <v>12.367799999999999</v>
      </c>
      <c r="D77" s="4">
        <f>17.0195 * CHOOSE(CONTROL!$C$9, $C$13, 100%, $E$13) + CHOOSE(CONTROL!$C$28, 0, 0)</f>
        <v>17.019500000000001</v>
      </c>
      <c r="E77" s="4">
        <f>71.7047853608682 * CHOOSE(CONTROL!$C$9, $C$13, 100%, $E$13) + CHOOSE(CONTROL!$C$28, 0, 0)</f>
        <v>71.7047853608682</v>
      </c>
    </row>
    <row r="78" spans="1:5" ht="15">
      <c r="A78" s="13">
        <v>44228</v>
      </c>
      <c r="B78" s="4">
        <f>12.9365 * CHOOSE(CONTROL!$C$9, $C$13, 100%, $E$13) + CHOOSE(CONTROL!$C$28, 0.0003, 0)</f>
        <v>12.9368</v>
      </c>
      <c r="C78" s="4">
        <f>12.624 * CHOOSE(CONTROL!$C$9, $C$13, 100%, $E$13) + CHOOSE(CONTROL!$C$28, 0.0003, 0)</f>
        <v>12.6243</v>
      </c>
      <c r="D78" s="4">
        <f>17.5791 * CHOOSE(CONTROL!$C$9, $C$13, 100%, $E$13) + CHOOSE(CONTROL!$C$28, 0, 0)</f>
        <v>17.5791</v>
      </c>
      <c r="E78" s="4">
        <f>73.4073395474008 * CHOOSE(CONTROL!$C$9, $C$13, 100%, $E$13) + CHOOSE(CONTROL!$C$28, 0, 0)</f>
        <v>73.407339547400795</v>
      </c>
    </row>
    <row r="79" spans="1:5" ht="15">
      <c r="A79" s="13">
        <v>44256</v>
      </c>
      <c r="B79" s="4">
        <f>13.6103 * CHOOSE(CONTROL!$C$9, $C$13, 100%, $E$13) + CHOOSE(CONTROL!$C$28, 0.0003, 0)</f>
        <v>13.6106</v>
      </c>
      <c r="C79" s="4">
        <f>13.2978 * CHOOSE(CONTROL!$C$9, $C$13, 100%, $E$13) + CHOOSE(CONTROL!$C$28, 0.0003, 0)</f>
        <v>13.2981</v>
      </c>
      <c r="D79" s="4">
        <f>18.455 * CHOOSE(CONTROL!$C$9, $C$13, 100%, $E$13) + CHOOSE(CONTROL!$C$28, 0, 0)</f>
        <v>18.454999999999998</v>
      </c>
      <c r="E79" s="4">
        <f>77.8783373204597 * CHOOSE(CONTROL!$C$9, $C$13, 100%, $E$13) + CHOOSE(CONTROL!$C$28, 0, 0)</f>
        <v>77.878337320459707</v>
      </c>
    </row>
    <row r="80" spans="1:5" ht="15">
      <c r="A80" s="13">
        <v>44287</v>
      </c>
      <c r="B80" s="4">
        <f>14.089 * CHOOSE(CONTROL!$C$9, $C$13, 100%, $E$13) + CHOOSE(CONTROL!$C$28, 0.0003, 0)</f>
        <v>14.0893</v>
      </c>
      <c r="C80" s="4">
        <f>13.7765 * CHOOSE(CONTROL!$C$9, $C$13, 100%, $E$13) + CHOOSE(CONTROL!$C$28, 0.0003, 0)</f>
        <v>13.7768</v>
      </c>
      <c r="D80" s="4">
        <f>18.9596 * CHOOSE(CONTROL!$C$9, $C$13, 100%, $E$13) + CHOOSE(CONTROL!$C$28, 0, 0)</f>
        <v>18.959599999999998</v>
      </c>
      <c r="E80" s="4">
        <f>81.0550408220977 * CHOOSE(CONTROL!$C$9, $C$13, 100%, $E$13) + CHOOSE(CONTROL!$C$28, 0, 0)</f>
        <v>81.055040822097695</v>
      </c>
    </row>
    <row r="81" spans="1:5" ht="15">
      <c r="A81" s="13">
        <v>44317</v>
      </c>
      <c r="B81" s="4">
        <f>14.3814 * CHOOSE(CONTROL!$C$9, $C$13, 100%, $E$13) + CHOOSE(CONTROL!$C$28, 0.0197, 0)</f>
        <v>14.4011</v>
      </c>
      <c r="C81" s="4">
        <f>14.0689 * CHOOSE(CONTROL!$C$9, $C$13, 100%, $E$13) + CHOOSE(CONTROL!$C$28, 0.0197, 0)</f>
        <v>14.0886</v>
      </c>
      <c r="D81" s="4">
        <f>18.7602 * CHOOSE(CONTROL!$C$9, $C$13, 100%, $E$13) + CHOOSE(CONTROL!$C$28, 0, 0)</f>
        <v>18.760200000000001</v>
      </c>
      <c r="E81" s="4">
        <f>82.9959305266413 * CHOOSE(CONTROL!$C$9, $C$13, 100%, $E$13) + CHOOSE(CONTROL!$C$28, 0, 0)</f>
        <v>82.995930526641303</v>
      </c>
    </row>
    <row r="82" spans="1:5" ht="15">
      <c r="A82" s="13">
        <v>44348</v>
      </c>
      <c r="B82" s="4">
        <f>14.421 * CHOOSE(CONTROL!$C$9, $C$13, 100%, $E$13) + CHOOSE(CONTROL!$C$28, 0.0197, 0)</f>
        <v>14.4407</v>
      </c>
      <c r="C82" s="4">
        <f>14.1085 * CHOOSE(CONTROL!$C$9, $C$13, 100%, $E$13) + CHOOSE(CONTROL!$C$28, 0.0197, 0)</f>
        <v>14.1282</v>
      </c>
      <c r="D82" s="4">
        <f>18.9226 * CHOOSE(CONTROL!$C$9, $C$13, 100%, $E$13) + CHOOSE(CONTROL!$C$28, 0, 0)</f>
        <v>18.922599999999999</v>
      </c>
      <c r="E82" s="4">
        <f>83.2585409585238 * CHOOSE(CONTROL!$C$9, $C$13, 100%, $E$13) + CHOOSE(CONTROL!$C$28, 0, 0)</f>
        <v>83.258540958523795</v>
      </c>
    </row>
    <row r="83" spans="1:5" ht="15">
      <c r="A83" s="13">
        <v>44378</v>
      </c>
      <c r="B83" s="4">
        <f>14.417 * CHOOSE(CONTROL!$C$9, $C$13, 100%, $E$13) + CHOOSE(CONTROL!$C$28, 0.0197, 0)</f>
        <v>14.4367</v>
      </c>
      <c r="C83" s="4">
        <f>14.1045 * CHOOSE(CONTROL!$C$9, $C$13, 100%, $E$13) + CHOOSE(CONTROL!$C$28, 0.0197, 0)</f>
        <v>14.1242</v>
      </c>
      <c r="D83" s="4">
        <f>19.2156 * CHOOSE(CONTROL!$C$9, $C$13, 100%, $E$13) + CHOOSE(CONTROL!$C$28, 0, 0)</f>
        <v>19.215599999999998</v>
      </c>
      <c r="E83" s="4">
        <f>83.2320592343004 * CHOOSE(CONTROL!$C$9, $C$13, 100%, $E$13) + CHOOSE(CONTROL!$C$28, 0, 0)</f>
        <v>83.232059234300394</v>
      </c>
    </row>
    <row r="84" spans="1:5" ht="15">
      <c r="A84" s="13">
        <v>44409</v>
      </c>
      <c r="B84" s="4">
        <f>14.7173 * CHOOSE(CONTROL!$C$9, $C$13, 100%, $E$13) + CHOOSE(CONTROL!$C$28, 0.0197, 0)</f>
        <v>14.737</v>
      </c>
      <c r="C84" s="4">
        <f>14.4048 * CHOOSE(CONTROL!$C$9, $C$13, 100%, $E$13) + CHOOSE(CONTROL!$C$28, 0.0197, 0)</f>
        <v>14.4245</v>
      </c>
      <c r="D84" s="4">
        <f>19.0221 * CHOOSE(CONTROL!$C$9, $C$13, 100%, $E$13) + CHOOSE(CONTROL!$C$28, 0, 0)</f>
        <v>19.022099999999998</v>
      </c>
      <c r="E84" s="4">
        <f>85.2248089821149 * CHOOSE(CONTROL!$C$9, $C$13, 100%, $E$13) + CHOOSE(CONTROL!$C$28, 0, 0)</f>
        <v>85.224808982114894</v>
      </c>
    </row>
    <row r="85" spans="1:5" ht="15">
      <c r="A85" s="13">
        <v>44440</v>
      </c>
      <c r="B85" s="4">
        <f>14.2055 * CHOOSE(CONTROL!$C$9, $C$13, 100%, $E$13) + CHOOSE(CONTROL!$C$28, 0.0197, 0)</f>
        <v>14.225200000000001</v>
      </c>
      <c r="C85" s="4">
        <f>13.893 * CHOOSE(CONTROL!$C$9, $C$13, 100%, $E$13) + CHOOSE(CONTROL!$C$28, 0.0197, 0)</f>
        <v>13.912700000000001</v>
      </c>
      <c r="D85" s="4">
        <f>18.9306 * CHOOSE(CONTROL!$C$9, $C$13, 100%, $E$13) + CHOOSE(CONTROL!$C$28, 0, 0)</f>
        <v>18.930599999999998</v>
      </c>
      <c r="E85" s="4">
        <f>81.8285278504576 * CHOOSE(CONTROL!$C$9, $C$13, 100%, $E$13) + CHOOSE(CONTROL!$C$28, 0, 0)</f>
        <v>81.828527850457604</v>
      </c>
    </row>
    <row r="86" spans="1:5" ht="15">
      <c r="A86" s="13">
        <v>44470</v>
      </c>
      <c r="B86" s="4">
        <f>13.7958 * CHOOSE(CONTROL!$C$9, $C$13, 100%, $E$13) + CHOOSE(CONTROL!$C$28, 0.0003, 0)</f>
        <v>13.796099999999999</v>
      </c>
      <c r="C86" s="4">
        <f>13.4833 * CHOOSE(CONTROL!$C$9, $C$13, 100%, $E$13) + CHOOSE(CONTROL!$C$28, 0.0003, 0)</f>
        <v>13.483599999999999</v>
      </c>
      <c r="D86" s="4">
        <f>18.6859 * CHOOSE(CONTROL!$C$9, $C$13, 100%, $E$13) + CHOOSE(CONTROL!$C$28, 0, 0)</f>
        <v>18.6859</v>
      </c>
      <c r="E86" s="4">
        <f>79.1097374968501 * CHOOSE(CONTROL!$C$9, $C$13, 100%, $E$13) + CHOOSE(CONTROL!$C$28, 0, 0)</f>
        <v>79.109737496850101</v>
      </c>
    </row>
    <row r="87" spans="1:5" ht="15">
      <c r="A87" s="13">
        <v>44501</v>
      </c>
      <c r="B87" s="4">
        <f>13.532 * CHOOSE(CONTROL!$C$9, $C$13, 100%, $E$13) + CHOOSE(CONTROL!$C$28, 0.0003, 0)</f>
        <v>13.532299999999999</v>
      </c>
      <c r="C87" s="4">
        <f>13.2195 * CHOOSE(CONTROL!$C$9, $C$13, 100%, $E$13) + CHOOSE(CONTROL!$C$28, 0.0003, 0)</f>
        <v>13.219799999999999</v>
      </c>
      <c r="D87" s="4">
        <f>18.6017 * CHOOSE(CONTROL!$C$9, $C$13, 100%, $E$13) + CHOOSE(CONTROL!$C$28, 0, 0)</f>
        <v>18.601700000000001</v>
      </c>
      <c r="E87" s="4">
        <f>77.3586334825745 * CHOOSE(CONTROL!$C$9, $C$13, 100%, $E$13) + CHOOSE(CONTROL!$C$28, 0, 0)</f>
        <v>77.358633482574504</v>
      </c>
    </row>
    <row r="88" spans="1:5" ht="15">
      <c r="A88" s="13">
        <v>44531</v>
      </c>
      <c r="B88" s="4">
        <f>13.3494 * CHOOSE(CONTROL!$C$9, $C$13, 100%, $E$13) + CHOOSE(CONTROL!$C$28, 0.0003, 0)</f>
        <v>13.349699999999999</v>
      </c>
      <c r="C88" s="4">
        <f>13.0369 * CHOOSE(CONTROL!$C$9, $C$13, 100%, $E$13) + CHOOSE(CONTROL!$C$28, 0.0003, 0)</f>
        <v>13.037199999999999</v>
      </c>
      <c r="D88" s="4">
        <f>17.9821 * CHOOSE(CONTROL!$C$9, $C$13, 100%, $E$13) + CHOOSE(CONTROL!$C$28, 0, 0)</f>
        <v>17.982099999999999</v>
      </c>
      <c r="E88" s="4">
        <f>76.1470945993518 * CHOOSE(CONTROL!$C$9, $C$13, 100%, $E$13) + CHOOSE(CONTROL!$C$28, 0, 0)</f>
        <v>76.147094599351803</v>
      </c>
    </row>
    <row r="89" spans="1:5" ht="15">
      <c r="A89" s="13">
        <v>44562</v>
      </c>
      <c r="B89" s="4">
        <f>13.2312 * CHOOSE(CONTROL!$C$9, $C$13, 100%, $E$13) + CHOOSE(CONTROL!$C$28, 0.0003, 0)</f>
        <v>13.231499999999999</v>
      </c>
      <c r="C89" s="4">
        <f>12.9187 * CHOOSE(CONTROL!$C$9, $C$13, 100%, $E$13) + CHOOSE(CONTROL!$C$28, 0.0003, 0)</f>
        <v>12.918999999999999</v>
      </c>
      <c r="D89" s="4">
        <f>17.7719 * CHOOSE(CONTROL!$C$9, $C$13, 100%, $E$13) + CHOOSE(CONTROL!$C$28, 0, 0)</f>
        <v>17.771899999999999</v>
      </c>
      <c r="E89" s="4">
        <f>75.1594060162188 * CHOOSE(CONTROL!$C$9, $C$13, 100%, $E$13) + CHOOSE(CONTROL!$C$28, 0, 0)</f>
        <v>75.159406016218796</v>
      </c>
    </row>
    <row r="90" spans="1:5" ht="15">
      <c r="A90" s="13">
        <v>44593</v>
      </c>
      <c r="B90" s="4">
        <f>13.5008 * CHOOSE(CONTROL!$C$9, $C$13, 100%, $E$13) + CHOOSE(CONTROL!$C$28, 0.0003, 0)</f>
        <v>13.501099999999999</v>
      </c>
      <c r="C90" s="4">
        <f>13.1883 * CHOOSE(CONTROL!$C$9, $C$13, 100%, $E$13) + CHOOSE(CONTROL!$C$28, 0.0003, 0)</f>
        <v>13.188599999999999</v>
      </c>
      <c r="D90" s="4">
        <f>18.358 * CHOOSE(CONTROL!$C$9, $C$13, 100%, $E$13) + CHOOSE(CONTROL!$C$28, 0, 0)</f>
        <v>18.358000000000001</v>
      </c>
      <c r="E90" s="4">
        <f>76.9439865114566 * CHOOSE(CONTROL!$C$9, $C$13, 100%, $E$13) + CHOOSE(CONTROL!$C$28, 0, 0)</f>
        <v>76.9439865114566</v>
      </c>
    </row>
    <row r="91" spans="1:5" ht="15">
      <c r="A91" s="13">
        <v>44621</v>
      </c>
      <c r="B91" s="4">
        <f>14.2089 * CHOOSE(CONTROL!$C$9, $C$13, 100%, $E$13) + CHOOSE(CONTROL!$C$28, 0.0003, 0)</f>
        <v>14.209199999999999</v>
      </c>
      <c r="C91" s="4">
        <f>13.8964 * CHOOSE(CONTROL!$C$9, $C$13, 100%, $E$13) + CHOOSE(CONTROL!$C$28, 0.0003, 0)</f>
        <v>13.896699999999999</v>
      </c>
      <c r="D91" s="4">
        <f>19.2755 * CHOOSE(CONTROL!$C$9, $C$13, 100%, $E$13) + CHOOSE(CONTROL!$C$28, 0, 0)</f>
        <v>19.275500000000001</v>
      </c>
      <c r="E91" s="4">
        <f>81.6303897303181 * CHOOSE(CONTROL!$C$9, $C$13, 100%, $E$13) + CHOOSE(CONTROL!$C$28, 0, 0)</f>
        <v>81.6303897303181</v>
      </c>
    </row>
    <row r="92" spans="1:5" ht="15">
      <c r="A92" s="13">
        <v>44652</v>
      </c>
      <c r="B92" s="4">
        <f>14.712 * CHOOSE(CONTROL!$C$9, $C$13, 100%, $E$13) + CHOOSE(CONTROL!$C$28, 0.0003, 0)</f>
        <v>14.712299999999999</v>
      </c>
      <c r="C92" s="4">
        <f>14.3995 * CHOOSE(CONTROL!$C$9, $C$13, 100%, $E$13) + CHOOSE(CONTROL!$C$28, 0.0003, 0)</f>
        <v>14.399799999999999</v>
      </c>
      <c r="D92" s="4">
        <f>19.804 * CHOOSE(CONTROL!$C$9, $C$13, 100%, $E$13) + CHOOSE(CONTROL!$C$28, 0, 0)</f>
        <v>19.803999999999998</v>
      </c>
      <c r="E92" s="4">
        <f>84.9601416718538 * CHOOSE(CONTROL!$C$9, $C$13, 100%, $E$13) + CHOOSE(CONTROL!$C$28, 0, 0)</f>
        <v>84.960141671853805</v>
      </c>
    </row>
    <row r="93" spans="1:5" ht="15">
      <c r="A93" s="13">
        <v>44682</v>
      </c>
      <c r="B93" s="4">
        <f>15.0194 * CHOOSE(CONTROL!$C$9, $C$13, 100%, $E$13) + CHOOSE(CONTROL!$C$28, 0.0197, 0)</f>
        <v>15.039099999999999</v>
      </c>
      <c r="C93" s="4">
        <f>14.7069 * CHOOSE(CONTROL!$C$9, $C$13, 100%, $E$13) + CHOOSE(CONTROL!$C$28, 0.0197, 0)</f>
        <v>14.726599999999999</v>
      </c>
      <c r="D93" s="4">
        <f>19.5951 * CHOOSE(CONTROL!$C$9, $C$13, 100%, $E$13) + CHOOSE(CONTROL!$C$28, 0, 0)</f>
        <v>19.595099999999999</v>
      </c>
      <c r="E93" s="4">
        <f>86.9945403051157 * CHOOSE(CONTROL!$C$9, $C$13, 100%, $E$13) + CHOOSE(CONTROL!$C$28, 0, 0)</f>
        <v>86.994540305115706</v>
      </c>
    </row>
    <row r="94" spans="1:5" ht="15">
      <c r="A94" s="13">
        <v>44713</v>
      </c>
      <c r="B94" s="4">
        <f>15.061 * CHOOSE(CONTROL!$C$9, $C$13, 100%, $E$13) + CHOOSE(CONTROL!$C$28, 0.0197, 0)</f>
        <v>15.0807</v>
      </c>
      <c r="C94" s="4">
        <f>14.7485 * CHOOSE(CONTROL!$C$9, $C$13, 100%, $E$13) + CHOOSE(CONTROL!$C$28, 0.0197, 0)</f>
        <v>14.7682</v>
      </c>
      <c r="D94" s="4">
        <f>19.7652 * CHOOSE(CONTROL!$C$9, $C$13, 100%, $E$13) + CHOOSE(CONTROL!$C$28, 0, 0)</f>
        <v>19.7652</v>
      </c>
      <c r="E94" s="4">
        <f>87.2698028831239 * CHOOSE(CONTROL!$C$9, $C$13, 100%, $E$13) + CHOOSE(CONTROL!$C$28, 0, 0)</f>
        <v>87.269802883123901</v>
      </c>
    </row>
    <row r="95" spans="1:5" ht="15">
      <c r="A95" s="13">
        <v>44743</v>
      </c>
      <c r="B95" s="4">
        <f>15.0568 * CHOOSE(CONTROL!$C$9, $C$13, 100%, $E$13) + CHOOSE(CONTROL!$C$28, 0.0197, 0)</f>
        <v>15.076500000000001</v>
      </c>
      <c r="C95" s="4">
        <f>14.7443 * CHOOSE(CONTROL!$C$9, $C$13, 100%, $E$13) + CHOOSE(CONTROL!$C$28, 0.0197, 0)</f>
        <v>14.764000000000001</v>
      </c>
      <c r="D95" s="4">
        <f>20.0721 * CHOOSE(CONTROL!$C$9, $C$13, 100%, $E$13) + CHOOSE(CONTROL!$C$28, 0, 0)</f>
        <v>20.072099999999999</v>
      </c>
      <c r="E95" s="4">
        <f>87.2420453122323 * CHOOSE(CONTROL!$C$9, $C$13, 100%, $E$13) + CHOOSE(CONTROL!$C$28, 0, 0)</f>
        <v>87.242045312232307</v>
      </c>
    </row>
    <row r="96" spans="1:5" ht="15">
      <c r="A96" s="13">
        <v>44774</v>
      </c>
      <c r="B96" s="4">
        <f>15.3724 * CHOOSE(CONTROL!$C$9, $C$13, 100%, $E$13) + CHOOSE(CONTROL!$C$28, 0.0197, 0)</f>
        <v>15.392100000000001</v>
      </c>
      <c r="C96" s="4">
        <f>15.0599 * CHOOSE(CONTROL!$C$9, $C$13, 100%, $E$13) + CHOOSE(CONTROL!$C$28, 0.0197, 0)</f>
        <v>15.079600000000001</v>
      </c>
      <c r="D96" s="4">
        <f>19.8695 * CHOOSE(CONTROL!$C$9, $C$13, 100%, $E$13) + CHOOSE(CONTROL!$C$28, 0, 0)</f>
        <v>19.869499999999999</v>
      </c>
      <c r="E96" s="4">
        <f>89.3308025218236 * CHOOSE(CONTROL!$C$9, $C$13, 100%, $E$13) + CHOOSE(CONTROL!$C$28, 0, 0)</f>
        <v>89.3308025218236</v>
      </c>
    </row>
    <row r="97" spans="1:5" ht="15">
      <c r="A97" s="13">
        <v>44805</v>
      </c>
      <c r="B97" s="4">
        <f>14.8345 * CHOOSE(CONTROL!$C$9, $C$13, 100%, $E$13) + CHOOSE(CONTROL!$C$28, 0.0197, 0)</f>
        <v>14.854200000000001</v>
      </c>
      <c r="C97" s="4">
        <f>14.522 * CHOOSE(CONTROL!$C$9, $C$13, 100%, $E$13) + CHOOSE(CONTROL!$C$28, 0.0197, 0)</f>
        <v>14.541700000000001</v>
      </c>
      <c r="D97" s="4">
        <f>19.7737 * CHOOSE(CONTROL!$C$9, $C$13, 100%, $E$13) + CHOOSE(CONTROL!$C$28, 0, 0)</f>
        <v>19.773700000000002</v>
      </c>
      <c r="E97" s="4">
        <f>85.7708940549787 * CHOOSE(CONTROL!$C$9, $C$13, 100%, $E$13) + CHOOSE(CONTROL!$C$28, 0, 0)</f>
        <v>85.770894054978697</v>
      </c>
    </row>
    <row r="98" spans="1:5" ht="15">
      <c r="A98" s="13">
        <v>44835</v>
      </c>
      <c r="B98" s="4">
        <f>14.4039 * CHOOSE(CONTROL!$C$9, $C$13, 100%, $E$13) + CHOOSE(CONTROL!$C$28, 0.0003, 0)</f>
        <v>14.404199999999999</v>
      </c>
      <c r="C98" s="4">
        <f>14.0914 * CHOOSE(CONTROL!$C$9, $C$13, 100%, $E$13) + CHOOSE(CONTROL!$C$28, 0.0003, 0)</f>
        <v>14.091699999999999</v>
      </c>
      <c r="D98" s="4">
        <f>19.5173 * CHOOSE(CONTROL!$C$9, $C$13, 100%, $E$13) + CHOOSE(CONTROL!$C$28, 0, 0)</f>
        <v>19.517299999999999</v>
      </c>
      <c r="E98" s="4">
        <f>82.9211167767765 * CHOOSE(CONTROL!$C$9, $C$13, 100%, $E$13) + CHOOSE(CONTROL!$C$28, 0, 0)</f>
        <v>82.921116776776501</v>
      </c>
    </row>
    <row r="99" spans="1:5" ht="15">
      <c r="A99" s="13">
        <v>44866</v>
      </c>
      <c r="B99" s="4">
        <f>14.1266 * CHOOSE(CONTROL!$C$9, $C$13, 100%, $E$13) + CHOOSE(CONTROL!$C$28, 0.0003, 0)</f>
        <v>14.126899999999999</v>
      </c>
      <c r="C99" s="4">
        <f>13.8141 * CHOOSE(CONTROL!$C$9, $C$13, 100%, $E$13) + CHOOSE(CONTROL!$C$28, 0.0003, 0)</f>
        <v>13.814399999999999</v>
      </c>
      <c r="D99" s="4">
        <f>19.4291 * CHOOSE(CONTROL!$C$9, $C$13, 100%, $E$13) + CHOOSE(CONTROL!$C$28, 0, 0)</f>
        <v>19.429099999999998</v>
      </c>
      <c r="E99" s="4">
        <f>81.0856474015709 * CHOOSE(CONTROL!$C$9, $C$13, 100%, $E$13) + CHOOSE(CONTROL!$C$28, 0, 0)</f>
        <v>81.085647401570895</v>
      </c>
    </row>
    <row r="100" spans="1:5" ht="15">
      <c r="A100" s="13">
        <v>44896</v>
      </c>
      <c r="B100" s="4">
        <f>13.9347 * CHOOSE(CONTROL!$C$9, $C$13, 100%, $E$13) + CHOOSE(CONTROL!$C$28, 0.0003, 0)</f>
        <v>13.934999999999999</v>
      </c>
      <c r="C100" s="4">
        <f>13.6222 * CHOOSE(CONTROL!$C$9, $C$13, 100%, $E$13) + CHOOSE(CONTROL!$C$28, 0.0003, 0)</f>
        <v>13.622499999999999</v>
      </c>
      <c r="D100" s="4">
        <f>18.7802 * CHOOSE(CONTROL!$C$9, $C$13, 100%, $E$13) + CHOOSE(CONTROL!$C$28, 0, 0)</f>
        <v>18.780200000000001</v>
      </c>
      <c r="E100" s="4">
        <f>79.8157385332812 * CHOOSE(CONTROL!$C$9, $C$13, 100%, $E$13) + CHOOSE(CONTROL!$C$28, 0, 0)</f>
        <v>79.815738533281205</v>
      </c>
    </row>
    <row r="101" spans="1:5" ht="15">
      <c r="A101" s="13">
        <v>44927</v>
      </c>
      <c r="B101" s="4">
        <f>13.8649 * CHOOSE(CONTROL!$C$9, $C$13, 100%, $E$13) + CHOOSE(CONTROL!$C$28, 0.0003, 0)</f>
        <v>13.8652</v>
      </c>
      <c r="C101" s="4">
        <f>13.5524 * CHOOSE(CONTROL!$C$9, $C$13, 100%, $E$13) + CHOOSE(CONTROL!$C$28, 0.0003, 0)</f>
        <v>13.5527</v>
      </c>
      <c r="D101" s="4">
        <f>18.6135 * CHOOSE(CONTROL!$C$9, $C$13, 100%, $E$13) + CHOOSE(CONTROL!$C$28, 0, 0)</f>
        <v>18.613499999999998</v>
      </c>
      <c r="E101" s="4">
        <f>78.7697917303344 * CHOOSE(CONTROL!$C$9, $C$13, 100%, $E$13) + CHOOSE(CONTROL!$C$28, 0, 0)</f>
        <v>78.769791730334404</v>
      </c>
    </row>
    <row r="102" spans="1:5" ht="15">
      <c r="A102" s="13">
        <v>44958</v>
      </c>
      <c r="B102" s="4">
        <f>14.1496 * CHOOSE(CONTROL!$C$9, $C$13, 100%, $E$13) + CHOOSE(CONTROL!$C$28, 0.0003, 0)</f>
        <v>14.149899999999999</v>
      </c>
      <c r="C102" s="4">
        <f>13.8371 * CHOOSE(CONTROL!$C$9, $C$13, 100%, $E$13) + CHOOSE(CONTROL!$C$28, 0.0003, 0)</f>
        <v>13.837399999999999</v>
      </c>
      <c r="D102" s="4">
        <f>19.2293 * CHOOSE(CONTROL!$C$9, $C$13, 100%, $E$13) + CHOOSE(CONTROL!$C$28, 0, 0)</f>
        <v>19.229299999999999</v>
      </c>
      <c r="E102" s="4">
        <f>80.6400970106285 * CHOOSE(CONTROL!$C$9, $C$13, 100%, $E$13) + CHOOSE(CONTROL!$C$28, 0, 0)</f>
        <v>80.640097010628494</v>
      </c>
    </row>
    <row r="103" spans="1:5" ht="15">
      <c r="A103" s="13">
        <v>44986</v>
      </c>
      <c r="B103" s="4">
        <f>14.8972 * CHOOSE(CONTROL!$C$9, $C$13, 100%, $E$13) + CHOOSE(CONTROL!$C$28, 0.0003, 0)</f>
        <v>14.897499999999999</v>
      </c>
      <c r="C103" s="4">
        <f>14.5847 * CHOOSE(CONTROL!$C$9, $C$13, 100%, $E$13) + CHOOSE(CONTROL!$C$28, 0.0003, 0)</f>
        <v>14.584999999999999</v>
      </c>
      <c r="D103" s="4">
        <f>20.1933 * CHOOSE(CONTROL!$C$9, $C$13, 100%, $E$13) + CHOOSE(CONTROL!$C$28, 0, 0)</f>
        <v>20.193300000000001</v>
      </c>
      <c r="E103" s="4">
        <f>85.5516180707395 * CHOOSE(CONTROL!$C$9, $C$13, 100%, $E$13) + CHOOSE(CONTROL!$C$28, 0, 0)</f>
        <v>85.551618070739494</v>
      </c>
    </row>
    <row r="104" spans="1:5" ht="15">
      <c r="A104" s="13">
        <v>45017</v>
      </c>
      <c r="B104" s="4">
        <f>15.4284 * CHOOSE(CONTROL!$C$9, $C$13, 100%, $E$13) + CHOOSE(CONTROL!$C$28, 0.0003, 0)</f>
        <v>15.428699999999999</v>
      </c>
      <c r="C104" s="4">
        <f>15.1159 * CHOOSE(CONTROL!$C$9, $C$13, 100%, $E$13) + CHOOSE(CONTROL!$C$28, 0.0003, 0)</f>
        <v>15.116199999999999</v>
      </c>
      <c r="D104" s="4">
        <f>20.7486 * CHOOSE(CONTROL!$C$9, $C$13, 100%, $E$13) + CHOOSE(CONTROL!$C$28, 0, 0)</f>
        <v>20.7486</v>
      </c>
      <c r="E104" s="4">
        <f>89.0413192385726 * CHOOSE(CONTROL!$C$9, $C$13, 100%, $E$13) + CHOOSE(CONTROL!$C$28, 0, 0)</f>
        <v>89.041319238572598</v>
      </c>
    </row>
    <row r="105" spans="1:5" ht="15">
      <c r="A105" s="13">
        <v>45047</v>
      </c>
      <c r="B105" s="4">
        <f>15.7529 * CHOOSE(CONTROL!$C$9, $C$13, 100%, $E$13) + CHOOSE(CONTROL!$C$28, 0.0197, 0)</f>
        <v>15.772600000000001</v>
      </c>
      <c r="C105" s="4">
        <f>15.4404 * CHOOSE(CONTROL!$C$9, $C$13, 100%, $E$13) + CHOOSE(CONTROL!$C$28, 0.0197, 0)</f>
        <v>15.460100000000001</v>
      </c>
      <c r="D105" s="4">
        <f>20.5292 * CHOOSE(CONTROL!$C$9, $C$13, 100%, $E$13) + CHOOSE(CONTROL!$C$28, 0, 0)</f>
        <v>20.529199999999999</v>
      </c>
      <c r="E105" s="4">
        <f>91.1734430156543 * CHOOSE(CONTROL!$C$9, $C$13, 100%, $E$13) + CHOOSE(CONTROL!$C$28, 0, 0)</f>
        <v>91.1734430156543</v>
      </c>
    </row>
    <row r="106" spans="1:5" ht="15">
      <c r="A106" s="13">
        <v>45078</v>
      </c>
      <c r="B106" s="4">
        <f>15.7968 * CHOOSE(CONTROL!$C$9, $C$13, 100%, $E$13) + CHOOSE(CONTROL!$C$28, 0.0197, 0)</f>
        <v>15.8165</v>
      </c>
      <c r="C106" s="4">
        <f>15.4843 * CHOOSE(CONTROL!$C$9, $C$13, 100%, $E$13) + CHOOSE(CONTROL!$C$28, 0.0197, 0)</f>
        <v>15.504</v>
      </c>
      <c r="D106" s="4">
        <f>20.7079 * CHOOSE(CONTROL!$C$9, $C$13, 100%, $E$13) + CHOOSE(CONTROL!$C$28, 0, 0)</f>
        <v>20.707899999999999</v>
      </c>
      <c r="E106" s="4">
        <f>91.461928211189 * CHOOSE(CONTROL!$C$9, $C$13, 100%, $E$13) + CHOOSE(CONTROL!$C$28, 0, 0)</f>
        <v>91.461928211189004</v>
      </c>
    </row>
    <row r="107" spans="1:5" ht="15">
      <c r="A107" s="13">
        <v>45108</v>
      </c>
      <c r="B107" s="4">
        <f>15.7924 * CHOOSE(CONTROL!$C$9, $C$13, 100%, $E$13) + CHOOSE(CONTROL!$C$28, 0.0197, 0)</f>
        <v>15.812100000000001</v>
      </c>
      <c r="C107" s="4">
        <f>15.4799 * CHOOSE(CONTROL!$C$9, $C$13, 100%, $E$13) + CHOOSE(CONTROL!$C$28, 0.0197, 0)</f>
        <v>15.499600000000001</v>
      </c>
      <c r="D107" s="4">
        <f>21.0303 * CHOOSE(CONTROL!$C$9, $C$13, 100%, $E$13) + CHOOSE(CONTROL!$C$28, 0, 0)</f>
        <v>21.0303</v>
      </c>
      <c r="E107" s="4">
        <f>91.4328372671015 * CHOOSE(CONTROL!$C$9, $C$13, 100%, $E$13) + CHOOSE(CONTROL!$C$28, 0, 0)</f>
        <v>91.432837267101505</v>
      </c>
    </row>
    <row r="108" spans="1:5" ht="15">
      <c r="A108" s="13">
        <v>45139</v>
      </c>
      <c r="B108" s="4">
        <f>16.1256 * CHOOSE(CONTROL!$C$9, $C$13, 100%, $E$13) + CHOOSE(CONTROL!$C$28, 0.0197, 0)</f>
        <v>16.145299999999999</v>
      </c>
      <c r="C108" s="4">
        <f>15.8131 * CHOOSE(CONTROL!$C$9, $C$13, 100%, $E$13) + CHOOSE(CONTROL!$C$28, 0.0197, 0)</f>
        <v>15.832800000000001</v>
      </c>
      <c r="D108" s="4">
        <f>20.8174 * CHOOSE(CONTROL!$C$9, $C$13, 100%, $E$13) + CHOOSE(CONTROL!$C$28, 0, 0)</f>
        <v>20.817399999999999</v>
      </c>
      <c r="E108" s="4">
        <f>93.621930809688 * CHOOSE(CONTROL!$C$9, $C$13, 100%, $E$13) + CHOOSE(CONTROL!$C$28, 0, 0)</f>
        <v>93.621930809687996</v>
      </c>
    </row>
    <row r="109" spans="1:5" ht="15">
      <c r="A109" s="13">
        <v>45170</v>
      </c>
      <c r="B109" s="4">
        <f>15.5577 * CHOOSE(CONTROL!$C$9, $C$13, 100%, $E$13) + CHOOSE(CONTROL!$C$28, 0.0197, 0)</f>
        <v>15.577400000000001</v>
      </c>
      <c r="C109" s="4">
        <f>15.2452 * CHOOSE(CONTROL!$C$9, $C$13, 100%, $E$13) + CHOOSE(CONTROL!$C$28, 0.0197, 0)</f>
        <v>15.264900000000001</v>
      </c>
      <c r="D109" s="4">
        <f>20.7168 * CHOOSE(CONTROL!$C$9, $C$13, 100%, $E$13) + CHOOSE(CONTROL!$C$28, 0, 0)</f>
        <v>20.716799999999999</v>
      </c>
      <c r="E109" s="4">
        <f>89.8910172304625 * CHOOSE(CONTROL!$C$9, $C$13, 100%, $E$13) + CHOOSE(CONTROL!$C$28, 0, 0)</f>
        <v>89.891017230462495</v>
      </c>
    </row>
    <row r="110" spans="1:5" ht="15">
      <c r="A110" s="13">
        <v>45200</v>
      </c>
      <c r="B110" s="4">
        <f>15.1031 * CHOOSE(CONTROL!$C$9, $C$13, 100%, $E$13) + CHOOSE(CONTROL!$C$28, 0.0003, 0)</f>
        <v>15.103399999999999</v>
      </c>
      <c r="C110" s="4">
        <f>14.7906 * CHOOSE(CONTROL!$C$9, $C$13, 100%, $E$13) + CHOOSE(CONTROL!$C$28, 0.0003, 0)</f>
        <v>14.790899999999999</v>
      </c>
      <c r="D110" s="4">
        <f>20.4474 * CHOOSE(CONTROL!$C$9, $C$13, 100%, $E$13) + CHOOSE(CONTROL!$C$28, 0, 0)</f>
        <v>20.447399999999998</v>
      </c>
      <c r="E110" s="4">
        <f>86.9043469708095 * CHOOSE(CONTROL!$C$9, $C$13, 100%, $E$13) + CHOOSE(CONTROL!$C$28, 0, 0)</f>
        <v>86.904346970809499</v>
      </c>
    </row>
    <row r="111" spans="1:5" ht="15">
      <c r="A111" s="13">
        <v>45231</v>
      </c>
      <c r="B111" s="4">
        <f>14.8103 * CHOOSE(CONTROL!$C$9, $C$13, 100%, $E$13) + CHOOSE(CONTROL!$C$28, 0.0003, 0)</f>
        <v>14.810599999999999</v>
      </c>
      <c r="C111" s="4">
        <f>14.4978 * CHOOSE(CONTROL!$C$9, $C$13, 100%, $E$13) + CHOOSE(CONTROL!$C$28, 0.0003, 0)</f>
        <v>14.498099999999999</v>
      </c>
      <c r="D111" s="4">
        <f>20.3548 * CHOOSE(CONTROL!$C$9, $C$13, 100%, $E$13) + CHOOSE(CONTROL!$C$28, 0, 0)</f>
        <v>20.354800000000001</v>
      </c>
      <c r="E111" s="4">
        <f>84.9807082930217 * CHOOSE(CONTROL!$C$9, $C$13, 100%, $E$13) + CHOOSE(CONTROL!$C$28, 0, 0)</f>
        <v>84.980708293021706</v>
      </c>
    </row>
    <row r="112" spans="1:5" ht="15">
      <c r="A112" s="13">
        <v>45261</v>
      </c>
      <c r="B112" s="4">
        <f>14.6077 * CHOOSE(CONTROL!$C$9, $C$13, 100%, $E$13) + CHOOSE(CONTROL!$C$28, 0.0003, 0)</f>
        <v>14.607999999999999</v>
      </c>
      <c r="C112" s="4">
        <f>14.2952 * CHOOSE(CONTROL!$C$9, $C$13, 100%, $E$13) + CHOOSE(CONTROL!$C$28, 0.0003, 0)</f>
        <v>14.295499999999999</v>
      </c>
      <c r="D112" s="4">
        <f>19.6729 * CHOOSE(CONTROL!$C$9, $C$13, 100%, $E$13) + CHOOSE(CONTROL!$C$28, 0, 0)</f>
        <v>19.672899999999998</v>
      </c>
      <c r="E112" s="4">
        <f>83.6497976010173 * CHOOSE(CONTROL!$C$9, $C$13, 100%, $E$13) + CHOOSE(CONTROL!$C$28, 0, 0)</f>
        <v>83.649797601017298</v>
      </c>
    </row>
    <row r="113" spans="1:5" ht="15">
      <c r="A113" s="13">
        <v>45292</v>
      </c>
      <c r="B113" s="4">
        <f>14.4786 * CHOOSE(CONTROL!$C$9, $C$13, 100%, $E$13) + CHOOSE(CONTROL!$C$28, 0.0003, 0)</f>
        <v>14.478899999999999</v>
      </c>
      <c r="C113" s="4">
        <f>14.1661 * CHOOSE(CONTROL!$C$9, $C$13, 100%, $E$13) + CHOOSE(CONTROL!$C$28, 0.0003, 0)</f>
        <v>14.166399999999999</v>
      </c>
      <c r="D113" s="4">
        <f>19.7883 * CHOOSE(CONTROL!$C$9, $C$13, 100%, $E$13) + CHOOSE(CONTROL!$C$28, 0, 0)</f>
        <v>19.7883</v>
      </c>
      <c r="E113" s="4">
        <f>82.4886558209195 * CHOOSE(CONTROL!$C$9, $C$13, 100%, $E$13) + CHOOSE(CONTROL!$C$28, 0, 0)</f>
        <v>82.488655820919504</v>
      </c>
    </row>
    <row r="114" spans="1:5" ht="15">
      <c r="A114" s="13">
        <v>45323</v>
      </c>
      <c r="B114" s="4">
        <f>14.7778 * CHOOSE(CONTROL!$C$9, $C$13, 100%, $E$13) + CHOOSE(CONTROL!$C$28, 0.0003, 0)</f>
        <v>14.778099999999998</v>
      </c>
      <c r="C114" s="4">
        <f>14.4653 * CHOOSE(CONTROL!$C$9, $C$13, 100%, $E$13) + CHOOSE(CONTROL!$C$28, 0.0003, 0)</f>
        <v>14.465599999999998</v>
      </c>
      <c r="D114" s="4">
        <f>20.4456 * CHOOSE(CONTROL!$C$9, $C$13, 100%, $E$13) + CHOOSE(CONTROL!$C$28, 0, 0)</f>
        <v>20.445599999999999</v>
      </c>
      <c r="E114" s="4">
        <f>84.4472615904306 * CHOOSE(CONTROL!$C$9, $C$13, 100%, $E$13) + CHOOSE(CONTROL!$C$28, 0, 0)</f>
        <v>84.4472615904306</v>
      </c>
    </row>
    <row r="115" spans="1:5" ht="15">
      <c r="A115" s="13">
        <v>45352</v>
      </c>
      <c r="B115" s="4">
        <f>15.5637 * CHOOSE(CONTROL!$C$9, $C$13, 100%, $E$13) + CHOOSE(CONTROL!$C$28, 0.0003, 0)</f>
        <v>15.564</v>
      </c>
      <c r="C115" s="4">
        <f>15.2512 * CHOOSE(CONTROL!$C$9, $C$13, 100%, $E$13) + CHOOSE(CONTROL!$C$28, 0.0003, 0)</f>
        <v>15.2515</v>
      </c>
      <c r="D115" s="4">
        <f>21.4745 * CHOOSE(CONTROL!$C$9, $C$13, 100%, $E$13) + CHOOSE(CONTROL!$C$28, 0, 0)</f>
        <v>21.474499999999999</v>
      </c>
      <c r="E115" s="4">
        <f>89.5906644277987 * CHOOSE(CONTROL!$C$9, $C$13, 100%, $E$13) + CHOOSE(CONTROL!$C$28, 0, 0)</f>
        <v>89.5906644277987</v>
      </c>
    </row>
    <row r="116" spans="1:5" ht="15">
      <c r="A116" s="13">
        <v>45383</v>
      </c>
      <c r="B116" s="4">
        <f>16.1221 * CHOOSE(CONTROL!$C$9, $C$13, 100%, $E$13) + CHOOSE(CONTROL!$C$28, 0.0003, 0)</f>
        <v>16.122399999999999</v>
      </c>
      <c r="C116" s="4">
        <f>15.8096 * CHOOSE(CONTROL!$C$9, $C$13, 100%, $E$13) + CHOOSE(CONTROL!$C$28, 0.0003, 0)</f>
        <v>15.809899999999999</v>
      </c>
      <c r="D116" s="4">
        <f>22.0672 * CHOOSE(CONTROL!$C$9, $C$13, 100%, $E$13) + CHOOSE(CONTROL!$C$28, 0, 0)</f>
        <v>22.0672</v>
      </c>
      <c r="E116" s="4">
        <f>93.2451206886039 * CHOOSE(CONTROL!$C$9, $C$13, 100%, $E$13) + CHOOSE(CONTROL!$C$28, 0, 0)</f>
        <v>93.245120688603905</v>
      </c>
    </row>
    <row r="117" spans="1:5" ht="15">
      <c r="A117" s="13">
        <v>45413</v>
      </c>
      <c r="B117" s="4">
        <f>16.4632 * CHOOSE(CONTROL!$C$9, $C$13, 100%, $E$13) + CHOOSE(CONTROL!$C$28, 0.0197, 0)</f>
        <v>16.482900000000001</v>
      </c>
      <c r="C117" s="4">
        <f>16.1507 * CHOOSE(CONTROL!$C$9, $C$13, 100%, $E$13) + CHOOSE(CONTROL!$C$28, 0.0197, 0)</f>
        <v>16.170400000000001</v>
      </c>
      <c r="D117" s="4">
        <f>21.833 * CHOOSE(CONTROL!$C$9, $C$13, 100%, $E$13) + CHOOSE(CONTROL!$C$28, 0, 0)</f>
        <v>21.832999999999998</v>
      </c>
      <c r="E117" s="4">
        <f>95.4779058788631 * CHOOSE(CONTROL!$C$9, $C$13, 100%, $E$13) + CHOOSE(CONTROL!$C$28, 0, 0)</f>
        <v>95.477905878863098</v>
      </c>
    </row>
    <row r="118" spans="1:5" ht="15">
      <c r="A118" s="13">
        <v>45444</v>
      </c>
      <c r="B118" s="4">
        <f>16.5094 * CHOOSE(CONTROL!$C$9, $C$13, 100%, $E$13) + CHOOSE(CONTROL!$C$28, 0.0197, 0)</f>
        <v>16.5291</v>
      </c>
      <c r="C118" s="4">
        <f>16.1969 * CHOOSE(CONTROL!$C$9, $C$13, 100%, $E$13) + CHOOSE(CONTROL!$C$28, 0.0197, 0)</f>
        <v>16.2166</v>
      </c>
      <c r="D118" s="4">
        <f>22.0238 * CHOOSE(CONTROL!$C$9, $C$13, 100%, $E$13) + CHOOSE(CONTROL!$C$28, 0, 0)</f>
        <v>22.023800000000001</v>
      </c>
      <c r="E118" s="4">
        <f>95.7800109813541 * CHOOSE(CONTROL!$C$9, $C$13, 100%, $E$13) + CHOOSE(CONTROL!$C$28, 0, 0)</f>
        <v>95.780010981354096</v>
      </c>
    </row>
    <row r="119" spans="1:5" ht="15">
      <c r="A119" s="13">
        <v>45474</v>
      </c>
      <c r="B119" s="4">
        <f>16.5047 * CHOOSE(CONTROL!$C$9, $C$13, 100%, $E$13) + CHOOSE(CONTROL!$C$28, 0.0197, 0)</f>
        <v>16.5244</v>
      </c>
      <c r="C119" s="4">
        <f>16.1922 * CHOOSE(CONTROL!$C$9, $C$13, 100%, $E$13) + CHOOSE(CONTROL!$C$28, 0.0197, 0)</f>
        <v>16.2119</v>
      </c>
      <c r="D119" s="4">
        <f>22.3679 * CHOOSE(CONTROL!$C$9, $C$13, 100%, $E$13) + CHOOSE(CONTROL!$C$28, 0, 0)</f>
        <v>22.367899999999999</v>
      </c>
      <c r="E119" s="4">
        <f>95.749546601271 * CHOOSE(CONTROL!$C$9, $C$13, 100%, $E$13) + CHOOSE(CONTROL!$C$28, 0, 0)</f>
        <v>95.749546601271007</v>
      </c>
    </row>
    <row r="120" spans="1:5" ht="15">
      <c r="A120" s="13">
        <v>45505</v>
      </c>
      <c r="B120" s="4">
        <f>16.855 * CHOOSE(CONTROL!$C$9, $C$13, 100%, $E$13) + CHOOSE(CONTROL!$C$28, 0.0197, 0)</f>
        <v>16.874700000000001</v>
      </c>
      <c r="C120" s="4">
        <f>16.5425 * CHOOSE(CONTROL!$C$9, $C$13, 100%, $E$13) + CHOOSE(CONTROL!$C$28, 0.0197, 0)</f>
        <v>16.562200000000001</v>
      </c>
      <c r="D120" s="4">
        <f>22.1406 * CHOOSE(CONTROL!$C$9, $C$13, 100%, $E$13) + CHOOSE(CONTROL!$C$28, 0, 0)</f>
        <v>22.140599999999999</v>
      </c>
      <c r="E120" s="4">
        <f>98.0419912025264 * CHOOSE(CONTROL!$C$9, $C$13, 100%, $E$13) + CHOOSE(CONTROL!$C$28, 0, 0)</f>
        <v>98.041991202526404</v>
      </c>
    </row>
    <row r="121" spans="1:5" ht="15">
      <c r="A121" s="13">
        <v>45536</v>
      </c>
      <c r="B121" s="4">
        <f>16.258 * CHOOSE(CONTROL!$C$9, $C$13, 100%, $E$13) + CHOOSE(CONTROL!$C$28, 0.0197, 0)</f>
        <v>16.277699999999999</v>
      </c>
      <c r="C121" s="4">
        <f>15.9455 * CHOOSE(CONTROL!$C$9, $C$13, 100%, $E$13) + CHOOSE(CONTROL!$C$28, 0.0197, 0)</f>
        <v>15.965199999999999</v>
      </c>
      <c r="D121" s="4">
        <f>22.0332 * CHOOSE(CONTROL!$C$9, $C$13, 100%, $E$13) + CHOOSE(CONTROL!$C$28, 0, 0)</f>
        <v>22.033200000000001</v>
      </c>
      <c r="E121" s="4">
        <f>94.1349344568653 * CHOOSE(CONTROL!$C$9, $C$13, 100%, $E$13) + CHOOSE(CONTROL!$C$28, 0, 0)</f>
        <v>94.134934456865295</v>
      </c>
    </row>
    <row r="122" spans="1:5" ht="15">
      <c r="A122" s="13">
        <v>45566</v>
      </c>
      <c r="B122" s="4">
        <f>15.7801 * CHOOSE(CONTROL!$C$9, $C$13, 100%, $E$13) + CHOOSE(CONTROL!$C$28, 0.0003, 0)</f>
        <v>15.780399999999998</v>
      </c>
      <c r="C122" s="4">
        <f>15.4676 * CHOOSE(CONTROL!$C$9, $C$13, 100%, $E$13) + CHOOSE(CONTROL!$C$28, 0.0003, 0)</f>
        <v>15.467899999999998</v>
      </c>
      <c r="D122" s="4">
        <f>21.7457 * CHOOSE(CONTROL!$C$9, $C$13, 100%, $E$13) + CHOOSE(CONTROL!$C$28, 0, 0)</f>
        <v>21.745699999999999</v>
      </c>
      <c r="E122" s="4">
        <f>91.0072581016641 * CHOOSE(CONTROL!$C$9, $C$13, 100%, $E$13) + CHOOSE(CONTROL!$C$28, 0, 0)</f>
        <v>91.007258101664107</v>
      </c>
    </row>
    <row r="123" spans="1:5" ht="15">
      <c r="A123" s="13">
        <v>45597</v>
      </c>
      <c r="B123" s="4">
        <f>15.4723 * CHOOSE(CONTROL!$C$9, $C$13, 100%, $E$13) + CHOOSE(CONTROL!$C$28, 0.0003, 0)</f>
        <v>15.4726</v>
      </c>
      <c r="C123" s="4">
        <f>15.1598 * CHOOSE(CONTROL!$C$9, $C$13, 100%, $E$13) + CHOOSE(CONTROL!$C$28, 0.0003, 0)</f>
        <v>15.1601</v>
      </c>
      <c r="D123" s="4">
        <f>21.6469 * CHOOSE(CONTROL!$C$9, $C$13, 100%, $E$13) + CHOOSE(CONTROL!$C$28, 0, 0)</f>
        <v>21.646899999999999</v>
      </c>
      <c r="E123" s="4">
        <f>88.9928009686673 * CHOOSE(CONTROL!$C$9, $C$13, 100%, $E$13) + CHOOSE(CONTROL!$C$28, 0, 0)</f>
        <v>88.992800968667297</v>
      </c>
    </row>
    <row r="124" spans="1:5" ht="15">
      <c r="A124" s="13">
        <v>45627</v>
      </c>
      <c r="B124" s="4">
        <f>15.2594 * CHOOSE(CONTROL!$C$9, $C$13, 100%, $E$13) + CHOOSE(CONTROL!$C$28, 0.0003, 0)</f>
        <v>15.259699999999999</v>
      </c>
      <c r="C124" s="4">
        <f>14.9469 * CHOOSE(CONTROL!$C$9, $C$13, 100%, $E$13) + CHOOSE(CONTROL!$C$28, 0.0003, 0)</f>
        <v>14.947199999999999</v>
      </c>
      <c r="D124" s="4">
        <f>20.9191 * CHOOSE(CONTROL!$C$9, $C$13, 100%, $E$13) + CHOOSE(CONTROL!$C$28, 0, 0)</f>
        <v>20.9191</v>
      </c>
      <c r="E124" s="4">
        <f>87.5990555798642 * CHOOSE(CONTROL!$C$9, $C$13, 100%, $E$13) + CHOOSE(CONTROL!$C$28, 0, 0)</f>
        <v>87.599055579864199</v>
      </c>
    </row>
    <row r="125" spans="1:5" ht="15">
      <c r="A125" s="13">
        <v>45658</v>
      </c>
      <c r="B125" s="4">
        <f>15.1778 * CHOOSE(CONTROL!$C$9, $C$13, 100%, $E$13) + CHOOSE(CONTROL!$C$28, 0.0003, 0)</f>
        <v>15.178099999999999</v>
      </c>
      <c r="C125" s="4">
        <f>14.8653 * CHOOSE(CONTROL!$C$9, $C$13, 100%, $E$13) + CHOOSE(CONTROL!$C$28, 0.0003, 0)</f>
        <v>14.865599999999999</v>
      </c>
      <c r="D125" s="4">
        <f>20.5858 * CHOOSE(CONTROL!$C$9, $C$13, 100%, $E$13) + CHOOSE(CONTROL!$C$28, 0, 0)</f>
        <v>20.585799999999999</v>
      </c>
      <c r="E125" s="4">
        <f>85.1854705466113 * CHOOSE(CONTROL!$C$9, $C$13, 100%, $E$13) + CHOOSE(CONTROL!$C$28, 0, 0)</f>
        <v>85.185470546611299</v>
      </c>
    </row>
    <row r="126" spans="1:5" ht="15">
      <c r="A126" s="13">
        <v>45689</v>
      </c>
      <c r="B126" s="4">
        <f>15.4936 * CHOOSE(CONTROL!$C$9, $C$13, 100%, $E$13) + CHOOSE(CONTROL!$C$28, 0.0003, 0)</f>
        <v>15.4939</v>
      </c>
      <c r="C126" s="4">
        <f>15.1811 * CHOOSE(CONTROL!$C$9, $C$13, 100%, $E$13) + CHOOSE(CONTROL!$C$28, 0.0003, 0)</f>
        <v>15.1814</v>
      </c>
      <c r="D126" s="4">
        <f>21.2712 * CHOOSE(CONTROL!$C$9, $C$13, 100%, $E$13) + CHOOSE(CONTROL!$C$28, 0, 0)</f>
        <v>21.2712</v>
      </c>
      <c r="E126" s="4">
        <f>87.208109325613 * CHOOSE(CONTROL!$C$9, $C$13, 100%, $E$13) + CHOOSE(CONTROL!$C$28, 0, 0)</f>
        <v>87.208109325612995</v>
      </c>
    </row>
    <row r="127" spans="1:5" ht="15">
      <c r="A127" s="13">
        <v>45717</v>
      </c>
      <c r="B127" s="4">
        <f>16.3231 * CHOOSE(CONTROL!$C$9, $C$13, 100%, $E$13) + CHOOSE(CONTROL!$C$28, 0.0003, 0)</f>
        <v>16.323399999999999</v>
      </c>
      <c r="C127" s="4">
        <f>16.0106 * CHOOSE(CONTROL!$C$9, $C$13, 100%, $E$13) + CHOOSE(CONTROL!$C$28, 0.0003, 0)</f>
        <v>16.010899999999999</v>
      </c>
      <c r="D127" s="4">
        <f>22.3442 * CHOOSE(CONTROL!$C$9, $C$13, 100%, $E$13) + CHOOSE(CONTROL!$C$28, 0, 0)</f>
        <v>22.344200000000001</v>
      </c>
      <c r="E127" s="4">
        <f>92.519666248824 * CHOOSE(CONTROL!$C$9, $C$13, 100%, $E$13) + CHOOSE(CONTROL!$C$28, 0, 0)</f>
        <v>92.519666248823995</v>
      </c>
    </row>
    <row r="128" spans="1:5" ht="15">
      <c r="A128" s="13">
        <v>45748</v>
      </c>
      <c r="B128" s="4">
        <f>16.9124 * CHOOSE(CONTROL!$C$9, $C$13, 100%, $E$13) + CHOOSE(CONTROL!$C$28, 0.0003, 0)</f>
        <v>16.912700000000001</v>
      </c>
      <c r="C128" s="4">
        <f>16.5999 * CHOOSE(CONTROL!$C$9, $C$13, 100%, $E$13) + CHOOSE(CONTROL!$C$28, 0.0003, 0)</f>
        <v>16.600200000000001</v>
      </c>
      <c r="D128" s="4">
        <f>22.9623 * CHOOSE(CONTROL!$C$9, $C$13, 100%, $E$13) + CHOOSE(CONTROL!$C$28, 0, 0)</f>
        <v>22.962299999999999</v>
      </c>
      <c r="E128" s="4">
        <f>96.2935982285685 * CHOOSE(CONTROL!$C$9, $C$13, 100%, $E$13) + CHOOSE(CONTROL!$C$28, 0, 0)</f>
        <v>96.293598228568499</v>
      </c>
    </row>
    <row r="129" spans="1:5" ht="15">
      <c r="A129" s="13">
        <v>45778</v>
      </c>
      <c r="B129" s="4">
        <f>17.2725 * CHOOSE(CONTROL!$C$9, $C$13, 100%, $E$13) + CHOOSE(CONTROL!$C$28, 0.0197, 0)</f>
        <v>17.292200000000001</v>
      </c>
      <c r="C129" s="4">
        <f>16.96 * CHOOSE(CONTROL!$C$9, $C$13, 100%, $E$13) + CHOOSE(CONTROL!$C$28, 0.0197, 0)</f>
        <v>16.979700000000001</v>
      </c>
      <c r="D129" s="4">
        <f>22.718 * CHOOSE(CONTROL!$C$9, $C$13, 100%, $E$13) + CHOOSE(CONTROL!$C$28, 0, 0)</f>
        <v>22.718</v>
      </c>
      <c r="E129" s="4">
        <f>98.5993802196663 * CHOOSE(CONTROL!$C$9, $C$13, 100%, $E$13) + CHOOSE(CONTROL!$C$28, 0, 0)</f>
        <v>98.599380219666301</v>
      </c>
    </row>
    <row r="130" spans="1:5" ht="15">
      <c r="A130" s="13">
        <v>45809</v>
      </c>
      <c r="B130" s="4">
        <f>17.3212 * CHOOSE(CONTROL!$C$9, $C$13, 100%, $E$13) + CHOOSE(CONTROL!$C$28, 0.0197, 0)</f>
        <v>17.340900000000001</v>
      </c>
      <c r="C130" s="4">
        <f>17.0087 * CHOOSE(CONTROL!$C$9, $C$13, 100%, $E$13) + CHOOSE(CONTROL!$C$28, 0.0197, 0)</f>
        <v>17.028400000000001</v>
      </c>
      <c r="D130" s="4">
        <f>22.9169 * CHOOSE(CONTROL!$C$9, $C$13, 100%, $E$13) + CHOOSE(CONTROL!$C$28, 0, 0)</f>
        <v>22.916899999999998</v>
      </c>
      <c r="E130" s="4">
        <f>98.9113620922537 * CHOOSE(CONTROL!$C$9, $C$13, 100%, $E$13) + CHOOSE(CONTROL!$C$28, 0, 0)</f>
        <v>98.911362092253697</v>
      </c>
    </row>
    <row r="131" spans="1:5" ht="15">
      <c r="A131" s="13">
        <v>45839</v>
      </c>
      <c r="B131" s="4">
        <f>17.3163 * CHOOSE(CONTROL!$C$9, $C$13, 100%, $E$13) + CHOOSE(CONTROL!$C$28, 0.0197, 0)</f>
        <v>17.335999999999999</v>
      </c>
      <c r="C131" s="4">
        <f>17.0038 * CHOOSE(CONTROL!$C$9, $C$13, 100%, $E$13) + CHOOSE(CONTROL!$C$28, 0.0197, 0)</f>
        <v>17.023499999999999</v>
      </c>
      <c r="D131" s="4">
        <f>23.2758 * CHOOSE(CONTROL!$C$9, $C$13, 100%, $E$13) + CHOOSE(CONTROL!$C$28, 0, 0)</f>
        <v>23.2758</v>
      </c>
      <c r="E131" s="4">
        <f>98.8799017353541 * CHOOSE(CONTROL!$C$9, $C$13, 100%, $E$13) + CHOOSE(CONTROL!$C$28, 0, 0)</f>
        <v>98.879901735354096</v>
      </c>
    </row>
    <row r="132" spans="1:5" ht="15">
      <c r="A132" s="13">
        <v>45870</v>
      </c>
      <c r="B132" s="4">
        <f>17.686 * CHOOSE(CONTROL!$C$9, $C$13, 100%, $E$13) + CHOOSE(CONTROL!$C$28, 0.0197, 0)</f>
        <v>17.7057</v>
      </c>
      <c r="C132" s="4">
        <f>17.3735 * CHOOSE(CONTROL!$C$9, $C$13, 100%, $E$13) + CHOOSE(CONTROL!$C$28, 0.0197, 0)</f>
        <v>17.3932</v>
      </c>
      <c r="D132" s="4">
        <f>23.0388 * CHOOSE(CONTROL!$C$9, $C$13, 100%, $E$13) + CHOOSE(CONTROL!$C$28, 0, 0)</f>
        <v>23.038799999999998</v>
      </c>
      <c r="E132" s="4">
        <f>101.247293592047 * CHOOSE(CONTROL!$C$9, $C$13, 100%, $E$13) + CHOOSE(CONTROL!$C$28, 0, 0)</f>
        <v>101.247293592047</v>
      </c>
    </row>
    <row r="133" spans="1:5" ht="15">
      <c r="A133" s="13">
        <v>45901</v>
      </c>
      <c r="B133" s="4">
        <f>17.0559 * CHOOSE(CONTROL!$C$9, $C$13, 100%, $E$13) + CHOOSE(CONTROL!$C$28, 0.0197, 0)</f>
        <v>17.075600000000001</v>
      </c>
      <c r="C133" s="4">
        <f>16.7434 * CHOOSE(CONTROL!$C$9, $C$13, 100%, $E$13) + CHOOSE(CONTROL!$C$28, 0.0197, 0)</f>
        <v>16.763100000000001</v>
      </c>
      <c r="D133" s="4">
        <f>22.9268 * CHOOSE(CONTROL!$C$9, $C$13, 100%, $E$13) + CHOOSE(CONTROL!$C$28, 0, 0)</f>
        <v>22.9268</v>
      </c>
      <c r="E133" s="4">
        <f>97.2125028196768 * CHOOSE(CONTROL!$C$9, $C$13, 100%, $E$13) + CHOOSE(CONTROL!$C$28, 0, 0)</f>
        <v>97.2125028196768</v>
      </c>
    </row>
    <row r="134" spans="1:5" ht="15">
      <c r="A134" s="13">
        <v>45931</v>
      </c>
      <c r="B134" s="4">
        <f>16.5515 * CHOOSE(CONTROL!$C$9, $C$13, 100%, $E$13) + CHOOSE(CONTROL!$C$28, 0.0003, 0)</f>
        <v>16.5518</v>
      </c>
      <c r="C134" s="4">
        <f>16.239 * CHOOSE(CONTROL!$C$9, $C$13, 100%, $E$13) + CHOOSE(CONTROL!$C$28, 0.0003, 0)</f>
        <v>16.2393</v>
      </c>
      <c r="D134" s="4">
        <f>22.627 * CHOOSE(CONTROL!$C$9, $C$13, 100%, $E$13) + CHOOSE(CONTROL!$C$28, 0, 0)</f>
        <v>22.626999999999999</v>
      </c>
      <c r="E134" s="4">
        <f>93.9825728446541 * CHOOSE(CONTROL!$C$9, $C$13, 100%, $E$13) + CHOOSE(CONTROL!$C$28, 0, 0)</f>
        <v>93.982572844654101</v>
      </c>
    </row>
    <row r="135" spans="1:5" ht="15">
      <c r="A135" s="13">
        <v>45962</v>
      </c>
      <c r="B135" s="4">
        <f>16.2267 * CHOOSE(CONTROL!$C$9, $C$13, 100%, $E$13) + CHOOSE(CONTROL!$C$28, 0.0003, 0)</f>
        <v>16.227</v>
      </c>
      <c r="C135" s="4">
        <f>15.9142 * CHOOSE(CONTROL!$C$9, $C$13, 100%, $E$13) + CHOOSE(CONTROL!$C$28, 0.0003, 0)</f>
        <v>15.914499999999999</v>
      </c>
      <c r="D135" s="4">
        <f>22.5239 * CHOOSE(CONTROL!$C$9, $C$13, 100%, $E$13) + CHOOSE(CONTROL!$C$28, 0, 0)</f>
        <v>22.523900000000001</v>
      </c>
      <c r="E135" s="4">
        <f>91.9022567446699 * CHOOSE(CONTROL!$C$9, $C$13, 100%, $E$13) + CHOOSE(CONTROL!$C$28, 0, 0)</f>
        <v>91.902256744669899</v>
      </c>
    </row>
    <row r="136" spans="1:5" ht="15">
      <c r="A136" s="13">
        <v>45992</v>
      </c>
      <c r="B136" s="4">
        <f>16.0019 * CHOOSE(CONTROL!$C$9, $C$13, 100%, $E$13) + CHOOSE(CONTROL!$C$28, 0.0003, 0)</f>
        <v>16.002199999999998</v>
      </c>
      <c r="C136" s="4">
        <f>15.6894 * CHOOSE(CONTROL!$C$9, $C$13, 100%, $E$13) + CHOOSE(CONTROL!$C$28, 0.0003, 0)</f>
        <v>15.689699999999998</v>
      </c>
      <c r="D136" s="4">
        <f>21.765 * CHOOSE(CONTROL!$C$9, $C$13, 100%, $E$13) + CHOOSE(CONTROL!$C$28, 0, 0)</f>
        <v>21.765000000000001</v>
      </c>
      <c r="E136" s="4">
        <f>90.4629454165145 * CHOOSE(CONTROL!$C$9, $C$13, 100%, $E$13) + CHOOSE(CONTROL!$C$28, 0, 0)</f>
        <v>90.462945416514501</v>
      </c>
    </row>
    <row r="137" spans="1:5" ht="15">
      <c r="A137" s="13">
        <v>46023</v>
      </c>
      <c r="B137" s="4">
        <f>15.5859 * CHOOSE(CONTROL!$C$9, $C$13, 100%, $E$13) + CHOOSE(CONTROL!$C$28, 0.0003, 0)</f>
        <v>15.5862</v>
      </c>
      <c r="C137" s="4">
        <f>15.2734 * CHOOSE(CONTROL!$C$9, $C$13, 100%, $E$13) + CHOOSE(CONTROL!$C$28, 0.0003, 0)</f>
        <v>15.2737</v>
      </c>
      <c r="D137" s="4">
        <f>21.1756 * CHOOSE(CONTROL!$C$9, $C$13, 100%, $E$13) + CHOOSE(CONTROL!$C$28, 0, 0)</f>
        <v>21.175599999999999</v>
      </c>
      <c r="E137" s="4">
        <f>88.1231952849309 * CHOOSE(CONTROL!$C$9, $C$13, 100%, $E$13) + CHOOSE(CONTROL!$C$28, 0, 0)</f>
        <v>88.123195284930901</v>
      </c>
    </row>
    <row r="138" spans="1:5" ht="15">
      <c r="A138" s="13">
        <v>46054</v>
      </c>
      <c r="B138" s="4">
        <f>15.9115 * CHOOSE(CONTROL!$C$9, $C$13, 100%, $E$13) + CHOOSE(CONTROL!$C$28, 0.0003, 0)</f>
        <v>15.911799999999999</v>
      </c>
      <c r="C138" s="4">
        <f>15.599 * CHOOSE(CONTROL!$C$9, $C$13, 100%, $E$13) + CHOOSE(CONTROL!$C$28, 0.0003, 0)</f>
        <v>15.599299999999999</v>
      </c>
      <c r="D138" s="4">
        <f>21.8818 * CHOOSE(CONTROL!$C$9, $C$13, 100%, $E$13) + CHOOSE(CONTROL!$C$28, 0, 0)</f>
        <v>21.881799999999998</v>
      </c>
      <c r="E138" s="4">
        <f>90.2155872265274 * CHOOSE(CONTROL!$C$9, $C$13, 100%, $E$13) + CHOOSE(CONTROL!$C$28, 0, 0)</f>
        <v>90.215587226527404</v>
      </c>
    </row>
    <row r="139" spans="1:5" ht="15">
      <c r="A139" s="13">
        <v>46082</v>
      </c>
      <c r="B139" s="4">
        <f>16.7664 * CHOOSE(CONTROL!$C$9, $C$13, 100%, $E$13) + CHOOSE(CONTROL!$C$28, 0.0003, 0)</f>
        <v>16.7667</v>
      </c>
      <c r="C139" s="4">
        <f>16.4539 * CHOOSE(CONTROL!$C$9, $C$13, 100%, $E$13) + CHOOSE(CONTROL!$C$28, 0.0003, 0)</f>
        <v>16.4542</v>
      </c>
      <c r="D139" s="4">
        <f>22.9874 * CHOOSE(CONTROL!$C$9, $C$13, 100%, $E$13) + CHOOSE(CONTROL!$C$28, 0, 0)</f>
        <v>22.987400000000001</v>
      </c>
      <c r="E139" s="4">
        <f>95.7103196616207 * CHOOSE(CONTROL!$C$9, $C$13, 100%, $E$13) + CHOOSE(CONTROL!$C$28, 0, 0)</f>
        <v>95.710319661620701</v>
      </c>
    </row>
    <row r="140" spans="1:5" ht="15">
      <c r="A140" s="13">
        <v>46113</v>
      </c>
      <c r="B140" s="4">
        <f>17.3738 * CHOOSE(CONTROL!$C$9, $C$13, 100%, $E$13) + CHOOSE(CONTROL!$C$28, 0.0003, 0)</f>
        <v>17.374099999999999</v>
      </c>
      <c r="C140" s="4">
        <f>17.0613 * CHOOSE(CONTROL!$C$9, $C$13, 100%, $E$13) + CHOOSE(CONTROL!$C$28, 0.0003, 0)</f>
        <v>17.061599999999999</v>
      </c>
      <c r="D140" s="4">
        <f>23.6242 * CHOOSE(CONTROL!$C$9, $C$13, 100%, $E$13) + CHOOSE(CONTROL!$C$28, 0, 0)</f>
        <v>23.624199999999998</v>
      </c>
      <c r="E140" s="4">
        <f>99.6144002836922 * CHOOSE(CONTROL!$C$9, $C$13, 100%, $E$13) + CHOOSE(CONTROL!$C$28, 0, 0)</f>
        <v>99.614400283692206</v>
      </c>
    </row>
    <row r="141" spans="1:5" ht="15">
      <c r="A141" s="13">
        <v>46143</v>
      </c>
      <c r="B141" s="4">
        <f>17.745 * CHOOSE(CONTROL!$C$9, $C$13, 100%, $E$13) + CHOOSE(CONTROL!$C$28, 0.0197, 0)</f>
        <v>17.764700000000001</v>
      </c>
      <c r="C141" s="4">
        <f>17.4325 * CHOOSE(CONTROL!$C$9, $C$13, 100%, $E$13) + CHOOSE(CONTROL!$C$28, 0.0197, 0)</f>
        <v>17.452200000000001</v>
      </c>
      <c r="D141" s="4">
        <f>23.3726 * CHOOSE(CONTROL!$C$9, $C$13, 100%, $E$13) + CHOOSE(CONTROL!$C$28, 0, 0)</f>
        <v>23.372599999999998</v>
      </c>
      <c r="E141" s="4">
        <f>101.999699976024 * CHOOSE(CONTROL!$C$9, $C$13, 100%, $E$13) + CHOOSE(CONTROL!$C$28, 0, 0)</f>
        <v>101.999699976024</v>
      </c>
    </row>
    <row r="142" spans="1:5" ht="15">
      <c r="A142" s="13">
        <v>46174</v>
      </c>
      <c r="B142" s="4">
        <f>17.7952 * CHOOSE(CONTROL!$C$9, $C$13, 100%, $E$13) + CHOOSE(CONTROL!$C$28, 0.0197, 0)</f>
        <v>17.814900000000002</v>
      </c>
      <c r="C142" s="4">
        <f>17.4827 * CHOOSE(CONTROL!$C$9, $C$13, 100%, $E$13) + CHOOSE(CONTROL!$C$28, 0.0197, 0)</f>
        <v>17.502400000000002</v>
      </c>
      <c r="D142" s="4">
        <f>23.5775 * CHOOSE(CONTROL!$C$9, $C$13, 100%, $E$13) + CHOOSE(CONTROL!$C$28, 0, 0)</f>
        <v>23.577500000000001</v>
      </c>
      <c r="E142" s="4">
        <f>102.322440923594 * CHOOSE(CONTROL!$C$9, $C$13, 100%, $E$13) + CHOOSE(CONTROL!$C$28, 0, 0)</f>
        <v>102.322440923594</v>
      </c>
    </row>
    <row r="143" spans="1:5" ht="15">
      <c r="A143" s="13">
        <v>46204</v>
      </c>
      <c r="B143" s="4">
        <f>17.7901 * CHOOSE(CONTROL!$C$9, $C$13, 100%, $E$13) + CHOOSE(CONTROL!$C$28, 0.0197, 0)</f>
        <v>17.809799999999999</v>
      </c>
      <c r="C143" s="4">
        <f>17.4776 * CHOOSE(CONTROL!$C$9, $C$13, 100%, $E$13) + CHOOSE(CONTROL!$C$28, 0.0197, 0)</f>
        <v>17.497299999999999</v>
      </c>
      <c r="D143" s="4">
        <f>23.9473 * CHOOSE(CONTROL!$C$9, $C$13, 100%, $E$13) + CHOOSE(CONTROL!$C$28, 0, 0)</f>
        <v>23.947299999999998</v>
      </c>
      <c r="E143" s="4">
        <f>102.289895617957 * CHOOSE(CONTROL!$C$9, $C$13, 100%, $E$13) + CHOOSE(CONTROL!$C$28, 0, 0)</f>
        <v>102.289895617957</v>
      </c>
    </row>
    <row r="144" spans="1:5" ht="15">
      <c r="A144" s="13">
        <v>46235</v>
      </c>
      <c r="B144" s="4">
        <f>18.1712 * CHOOSE(CONTROL!$C$9, $C$13, 100%, $E$13) + CHOOSE(CONTROL!$C$28, 0.0197, 0)</f>
        <v>18.190899999999999</v>
      </c>
      <c r="C144" s="4">
        <f>17.8587 * CHOOSE(CONTROL!$C$9, $C$13, 100%, $E$13) + CHOOSE(CONTROL!$C$28, 0.0197, 0)</f>
        <v>17.878399999999999</v>
      </c>
      <c r="D144" s="4">
        <f>23.7031 * CHOOSE(CONTROL!$C$9, $C$13, 100%, $E$13) + CHOOSE(CONTROL!$C$28, 0, 0)</f>
        <v>23.703099999999999</v>
      </c>
      <c r="E144" s="4">
        <f>104.738929867162 * CHOOSE(CONTROL!$C$9, $C$13, 100%, $E$13) + CHOOSE(CONTROL!$C$28, 0, 0)</f>
        <v>104.738929867162</v>
      </c>
    </row>
    <row r="145" spans="1:5" ht="15">
      <c r="A145" s="13">
        <v>46266</v>
      </c>
      <c r="B145" s="4">
        <f>17.5217 * CHOOSE(CONTROL!$C$9, $C$13, 100%, $E$13) + CHOOSE(CONTROL!$C$28, 0.0197, 0)</f>
        <v>17.541399999999999</v>
      </c>
      <c r="C145" s="4">
        <f>17.2092 * CHOOSE(CONTROL!$C$9, $C$13, 100%, $E$13) + CHOOSE(CONTROL!$C$28, 0.0197, 0)</f>
        <v>17.228899999999999</v>
      </c>
      <c r="D145" s="4">
        <f>23.5877 * CHOOSE(CONTROL!$C$9, $C$13, 100%, $E$13) + CHOOSE(CONTROL!$C$28, 0, 0)</f>
        <v>23.587700000000002</v>
      </c>
      <c r="E145" s="4">
        <f>100.564994419181 * CHOOSE(CONTROL!$C$9, $C$13, 100%, $E$13) + CHOOSE(CONTROL!$C$28, 0, 0)</f>
        <v>100.56499441918101</v>
      </c>
    </row>
    <row r="146" spans="1:5" ht="15">
      <c r="A146" s="13">
        <v>46296</v>
      </c>
      <c r="B146" s="4">
        <f>17.0019 * CHOOSE(CONTROL!$C$9, $C$13, 100%, $E$13) + CHOOSE(CONTROL!$C$28, 0.0003, 0)</f>
        <v>17.002199999999998</v>
      </c>
      <c r="C146" s="4">
        <f>16.6894 * CHOOSE(CONTROL!$C$9, $C$13, 100%, $E$13) + CHOOSE(CONTROL!$C$28, 0.0003, 0)</f>
        <v>16.689699999999998</v>
      </c>
      <c r="D146" s="4">
        <f>23.2787 * CHOOSE(CONTROL!$C$9, $C$13, 100%, $E$13) + CHOOSE(CONTROL!$C$28, 0, 0)</f>
        <v>23.278700000000001</v>
      </c>
      <c r="E146" s="4">
        <f>97.223676373754 * CHOOSE(CONTROL!$C$9, $C$13, 100%, $E$13) + CHOOSE(CONTROL!$C$28, 0, 0)</f>
        <v>97.223676373754003</v>
      </c>
    </row>
    <row r="147" spans="1:5" ht="15">
      <c r="A147" s="13">
        <v>46327</v>
      </c>
      <c r="B147" s="4">
        <f>16.667 * CHOOSE(CONTROL!$C$9, $C$13, 100%, $E$13) + CHOOSE(CONTROL!$C$28, 0.0003, 0)</f>
        <v>16.667300000000001</v>
      </c>
      <c r="C147" s="4">
        <f>16.3545 * CHOOSE(CONTROL!$C$9, $C$13, 100%, $E$13) + CHOOSE(CONTROL!$C$28, 0.0003, 0)</f>
        <v>16.354800000000001</v>
      </c>
      <c r="D147" s="4">
        <f>23.1725 * CHOOSE(CONTROL!$C$9, $C$13, 100%, $E$13) + CHOOSE(CONTROL!$C$28, 0, 0)</f>
        <v>23.172499999999999</v>
      </c>
      <c r="E147" s="4">
        <f>95.0716180384892 * CHOOSE(CONTROL!$C$9, $C$13, 100%, $E$13) + CHOOSE(CONTROL!$C$28, 0, 0)</f>
        <v>95.071618038489206</v>
      </c>
    </row>
    <row r="148" spans="1:5" ht="15">
      <c r="A148" s="13">
        <v>46357</v>
      </c>
      <c r="B148" s="4">
        <f>16.4354 * CHOOSE(CONTROL!$C$9, $C$13, 100%, $E$13) + CHOOSE(CONTROL!$C$28, 0.0003, 0)</f>
        <v>16.435700000000001</v>
      </c>
      <c r="C148" s="4">
        <f>16.1229 * CHOOSE(CONTROL!$C$9, $C$13, 100%, $E$13) + CHOOSE(CONTROL!$C$28, 0.0003, 0)</f>
        <v>16.123200000000001</v>
      </c>
      <c r="D148" s="4">
        <f>22.3905 * CHOOSE(CONTROL!$C$9, $C$13, 100%, $E$13) + CHOOSE(CONTROL!$C$28, 0, 0)</f>
        <v>22.390499999999999</v>
      </c>
      <c r="E148" s="4">
        <f>93.5826703055839 * CHOOSE(CONTROL!$C$9, $C$13, 100%, $E$13) + CHOOSE(CONTROL!$C$28, 0, 0)</f>
        <v>93.582670305583903</v>
      </c>
    </row>
    <row r="149" spans="1:5" ht="15">
      <c r="A149" s="13">
        <v>46388</v>
      </c>
      <c r="B149" s="4">
        <f>15.9494 * CHOOSE(CONTROL!$C$9, $C$13, 100%, $E$13) + CHOOSE(CONTROL!$C$28, 0.0003, 0)</f>
        <v>15.9497</v>
      </c>
      <c r="C149" s="4">
        <f>15.6369 * CHOOSE(CONTROL!$C$9, $C$13, 100%, $E$13) + CHOOSE(CONTROL!$C$28, 0.0003, 0)</f>
        <v>15.6372</v>
      </c>
      <c r="D149" s="4">
        <f>21.668 * CHOOSE(CONTROL!$C$9, $C$13, 100%, $E$13) + CHOOSE(CONTROL!$C$28, 0, 0)</f>
        <v>21.667999999999999</v>
      </c>
      <c r="E149" s="4">
        <f>90.5081217650008 * CHOOSE(CONTROL!$C$9, $C$13, 100%, $E$13) + CHOOSE(CONTROL!$C$28, 0, 0)</f>
        <v>90.508121765000794</v>
      </c>
    </row>
    <row r="150" spans="1:5" ht="15">
      <c r="A150" s="13">
        <v>46419</v>
      </c>
      <c r="B150" s="4">
        <f>16.2836 * CHOOSE(CONTROL!$C$9, $C$13, 100%, $E$13) + CHOOSE(CONTROL!$C$28, 0.0003, 0)</f>
        <v>16.283899999999999</v>
      </c>
      <c r="C150" s="4">
        <f>15.9711 * CHOOSE(CONTROL!$C$9, $C$13, 100%, $E$13) + CHOOSE(CONTROL!$C$28, 0.0003, 0)</f>
        <v>15.971399999999999</v>
      </c>
      <c r="D150" s="4">
        <f>22.3916 * CHOOSE(CONTROL!$C$9, $C$13, 100%, $E$13) + CHOOSE(CONTROL!$C$28, 0, 0)</f>
        <v>22.3916</v>
      </c>
      <c r="E150" s="4">
        <f>92.6571412600134 * CHOOSE(CONTROL!$C$9, $C$13, 100%, $E$13) + CHOOSE(CONTROL!$C$28, 0, 0)</f>
        <v>92.657141260013404</v>
      </c>
    </row>
    <row r="151" spans="1:5" ht="15">
      <c r="A151" s="13">
        <v>46447</v>
      </c>
      <c r="B151" s="4">
        <f>17.1612 * CHOOSE(CONTROL!$C$9, $C$13, 100%, $E$13) + CHOOSE(CONTROL!$C$28, 0.0003, 0)</f>
        <v>17.1615</v>
      </c>
      <c r="C151" s="4">
        <f>16.8487 * CHOOSE(CONTROL!$C$9, $C$13, 100%, $E$13) + CHOOSE(CONTROL!$C$28, 0.0003, 0)</f>
        <v>16.849</v>
      </c>
      <c r="D151" s="4">
        <f>23.5243 * CHOOSE(CONTROL!$C$9, $C$13, 100%, $E$13) + CHOOSE(CONTROL!$C$28, 0, 0)</f>
        <v>23.5243</v>
      </c>
      <c r="E151" s="4">
        <f>98.3005806597485 * CHOOSE(CONTROL!$C$9, $C$13, 100%, $E$13) + CHOOSE(CONTROL!$C$28, 0, 0)</f>
        <v>98.300580659748505</v>
      </c>
    </row>
    <row r="152" spans="1:5" ht="15">
      <c r="A152" s="13">
        <v>46478</v>
      </c>
      <c r="B152" s="4">
        <f>17.7847 * CHOOSE(CONTROL!$C$9, $C$13, 100%, $E$13) + CHOOSE(CONTROL!$C$28, 0.0003, 0)</f>
        <v>17.785</v>
      </c>
      <c r="C152" s="4">
        <f>17.4722 * CHOOSE(CONTROL!$C$9, $C$13, 100%, $E$13) + CHOOSE(CONTROL!$C$28, 0.0003, 0)</f>
        <v>17.4725</v>
      </c>
      <c r="D152" s="4">
        <f>24.1769 * CHOOSE(CONTROL!$C$9, $C$13, 100%, $E$13) + CHOOSE(CONTROL!$C$28, 0, 0)</f>
        <v>24.1769</v>
      </c>
      <c r="E152" s="4">
        <f>102.310319561979 * CHOOSE(CONTROL!$C$9, $C$13, 100%, $E$13) + CHOOSE(CONTROL!$C$28, 0, 0)</f>
        <v>102.310319561979</v>
      </c>
    </row>
    <row r="153" spans="1:5" ht="15">
      <c r="A153" s="13">
        <v>46508</v>
      </c>
      <c r="B153" s="4">
        <f>18.1657 * CHOOSE(CONTROL!$C$9, $C$13, 100%, $E$13) + CHOOSE(CONTROL!$C$28, 0.0197, 0)</f>
        <v>18.185400000000001</v>
      </c>
      <c r="C153" s="4">
        <f>17.8532 * CHOOSE(CONTROL!$C$9, $C$13, 100%, $E$13) + CHOOSE(CONTROL!$C$28, 0.0197, 0)</f>
        <v>17.872900000000001</v>
      </c>
      <c r="D153" s="4">
        <f>23.919 * CHOOSE(CONTROL!$C$9, $C$13, 100%, $E$13) + CHOOSE(CONTROL!$C$28, 0, 0)</f>
        <v>23.919</v>
      </c>
      <c r="E153" s="4">
        <f>104.760173931212 * CHOOSE(CONTROL!$C$9, $C$13, 100%, $E$13) + CHOOSE(CONTROL!$C$28, 0, 0)</f>
        <v>104.76017393121199</v>
      </c>
    </row>
    <row r="154" spans="1:5" ht="15">
      <c r="A154" s="13">
        <v>46539</v>
      </c>
      <c r="B154" s="4">
        <f>18.2172 * CHOOSE(CONTROL!$C$9, $C$13, 100%, $E$13) + CHOOSE(CONTROL!$C$28, 0.0197, 0)</f>
        <v>18.236899999999999</v>
      </c>
      <c r="C154" s="4">
        <f>17.9047 * CHOOSE(CONTROL!$C$9, $C$13, 100%, $E$13) + CHOOSE(CONTROL!$C$28, 0.0197, 0)</f>
        <v>17.924399999999999</v>
      </c>
      <c r="D154" s="4">
        <f>24.129 * CHOOSE(CONTROL!$C$9, $C$13, 100%, $E$13) + CHOOSE(CONTROL!$C$28, 0, 0)</f>
        <v>24.129000000000001</v>
      </c>
      <c r="E154" s="4">
        <f>105.091649394474 * CHOOSE(CONTROL!$C$9, $C$13, 100%, $E$13) + CHOOSE(CONTROL!$C$28, 0, 0)</f>
        <v>105.091649394474</v>
      </c>
    </row>
    <row r="155" spans="1:5" ht="15">
      <c r="A155" s="13">
        <v>46569</v>
      </c>
      <c r="B155" s="4">
        <f>18.212 * CHOOSE(CONTROL!$C$9, $C$13, 100%, $E$13) + CHOOSE(CONTROL!$C$28, 0.0197, 0)</f>
        <v>18.2317</v>
      </c>
      <c r="C155" s="4">
        <f>17.8995 * CHOOSE(CONTROL!$C$9, $C$13, 100%, $E$13) + CHOOSE(CONTROL!$C$28, 0.0197, 0)</f>
        <v>17.9192</v>
      </c>
      <c r="D155" s="4">
        <f>24.5079 * CHOOSE(CONTROL!$C$9, $C$13, 100%, $E$13) + CHOOSE(CONTROL!$C$28, 0, 0)</f>
        <v>24.507899999999999</v>
      </c>
      <c r="E155" s="4">
        <f>105.058223297338 * CHOOSE(CONTROL!$C$9, $C$13, 100%, $E$13) + CHOOSE(CONTROL!$C$28, 0, 0)</f>
        <v>105.058223297338</v>
      </c>
    </row>
    <row r="156" spans="1:5" ht="15">
      <c r="A156" s="13">
        <v>46600</v>
      </c>
      <c r="B156" s="4">
        <f>18.6031 * CHOOSE(CONTROL!$C$9, $C$13, 100%, $E$13) + CHOOSE(CONTROL!$C$28, 0.0197, 0)</f>
        <v>18.622800000000002</v>
      </c>
      <c r="C156" s="4">
        <f>18.2906 * CHOOSE(CONTROL!$C$9, $C$13, 100%, $E$13) + CHOOSE(CONTROL!$C$28, 0.0197, 0)</f>
        <v>18.310300000000002</v>
      </c>
      <c r="D156" s="4">
        <f>24.2577 * CHOOSE(CONTROL!$C$9, $C$13, 100%, $E$13) + CHOOSE(CONTROL!$C$28, 0, 0)</f>
        <v>24.2577</v>
      </c>
      <c r="E156" s="4">
        <f>107.573537106796 * CHOOSE(CONTROL!$C$9, $C$13, 100%, $E$13) + CHOOSE(CONTROL!$C$28, 0, 0)</f>
        <v>107.573537106796</v>
      </c>
    </row>
    <row r="157" spans="1:5" ht="15">
      <c r="A157" s="13">
        <v>46631</v>
      </c>
      <c r="B157" s="4">
        <f>17.9365 * CHOOSE(CONTROL!$C$9, $C$13, 100%, $E$13) + CHOOSE(CONTROL!$C$28, 0.0197, 0)</f>
        <v>17.956199999999999</v>
      </c>
      <c r="C157" s="4">
        <f>17.624 * CHOOSE(CONTROL!$C$9, $C$13, 100%, $E$13) + CHOOSE(CONTROL!$C$28, 0.0197, 0)</f>
        <v>17.643699999999999</v>
      </c>
      <c r="D157" s="4">
        <f>24.1394 * CHOOSE(CONTROL!$C$9, $C$13, 100%, $E$13) + CHOOSE(CONTROL!$C$28, 0, 0)</f>
        <v>24.139399999999998</v>
      </c>
      <c r="E157" s="4">
        <f>103.286640149149 * CHOOSE(CONTROL!$C$9, $C$13, 100%, $E$13) + CHOOSE(CONTROL!$C$28, 0, 0)</f>
        <v>103.28664014914899</v>
      </c>
    </row>
    <row r="158" spans="1:5" ht="15">
      <c r="A158" s="13">
        <v>46661</v>
      </c>
      <c r="B158" s="4">
        <f>17.4029 * CHOOSE(CONTROL!$C$9, $C$13, 100%, $E$13) + CHOOSE(CONTROL!$C$28, 0.0003, 0)</f>
        <v>17.403199999999998</v>
      </c>
      <c r="C158" s="4">
        <f>17.0904 * CHOOSE(CONTROL!$C$9, $C$13, 100%, $E$13) + CHOOSE(CONTROL!$C$28, 0.0003, 0)</f>
        <v>17.090699999999998</v>
      </c>
      <c r="D158" s="4">
        <f>23.8229 * CHOOSE(CONTROL!$C$9, $C$13, 100%, $E$13) + CHOOSE(CONTROL!$C$28, 0, 0)</f>
        <v>23.822900000000001</v>
      </c>
      <c r="E158" s="4">
        <f>99.8548941765561 * CHOOSE(CONTROL!$C$9, $C$13, 100%, $E$13) + CHOOSE(CONTROL!$C$28, 0, 0)</f>
        <v>99.854894176556101</v>
      </c>
    </row>
    <row r="159" spans="1:5" ht="15">
      <c r="A159" s="13">
        <v>46692</v>
      </c>
      <c r="B159" s="4">
        <f>17.0592 * CHOOSE(CONTROL!$C$9, $C$13, 100%, $E$13) + CHOOSE(CONTROL!$C$28, 0.0003, 0)</f>
        <v>17.0595</v>
      </c>
      <c r="C159" s="4">
        <f>16.7467 * CHOOSE(CONTROL!$C$9, $C$13, 100%, $E$13) + CHOOSE(CONTROL!$C$28, 0.0003, 0)</f>
        <v>16.747</v>
      </c>
      <c r="D159" s="4">
        <f>23.7141 * CHOOSE(CONTROL!$C$9, $C$13, 100%, $E$13) + CHOOSE(CONTROL!$C$28, 0, 0)</f>
        <v>23.714099999999998</v>
      </c>
      <c r="E159" s="4">
        <f>97.6445935034614 * CHOOSE(CONTROL!$C$9, $C$13, 100%, $E$13) + CHOOSE(CONTROL!$C$28, 0, 0)</f>
        <v>97.644593503461394</v>
      </c>
    </row>
    <row r="160" spans="1:5" ht="15">
      <c r="A160" s="13">
        <v>46722</v>
      </c>
      <c r="B160" s="4">
        <f>16.8213 * CHOOSE(CONTROL!$C$9, $C$13, 100%, $E$13) + CHOOSE(CONTROL!$C$28, 0.0003, 0)</f>
        <v>16.8216</v>
      </c>
      <c r="C160" s="4">
        <f>16.5088 * CHOOSE(CONTROL!$C$9, $C$13, 100%, $E$13) + CHOOSE(CONTROL!$C$28, 0.0003, 0)</f>
        <v>16.5091</v>
      </c>
      <c r="D160" s="4">
        <f>22.9128 * CHOOSE(CONTROL!$C$9, $C$13, 100%, $E$13) + CHOOSE(CONTROL!$C$28, 0, 0)</f>
        <v>22.912800000000001</v>
      </c>
      <c r="E160" s="4">
        <f>96.1153495595056 * CHOOSE(CONTROL!$C$9, $C$13, 100%, $E$13) + CHOOSE(CONTROL!$C$28, 0, 0)</f>
        <v>96.115349559505603</v>
      </c>
    </row>
    <row r="161" spans="1:5" ht="15">
      <c r="A161" s="13">
        <v>46753</v>
      </c>
      <c r="B161" s="4">
        <f>16.2913 * CHOOSE(CONTROL!$C$9, $C$13, 100%, $E$13) + CHOOSE(CONTROL!$C$28, 0.0003, 0)</f>
        <v>16.291599999999999</v>
      </c>
      <c r="C161" s="4">
        <f>15.9788 * CHOOSE(CONTROL!$C$9, $C$13, 100%, $E$13) + CHOOSE(CONTROL!$C$28, 0.0003, 0)</f>
        <v>15.979099999999999</v>
      </c>
      <c r="D161" s="4">
        <f>22.0903 * CHOOSE(CONTROL!$C$9, $C$13, 100%, $E$13) + CHOOSE(CONTROL!$C$28, 0, 0)</f>
        <v>22.090299999999999</v>
      </c>
      <c r="E161" s="4">
        <f>92.804755896246 * CHOOSE(CONTROL!$C$9, $C$13, 100%, $E$13) + CHOOSE(CONTROL!$C$28, 0, 0)</f>
        <v>92.804755896245993</v>
      </c>
    </row>
    <row r="162" spans="1:5" ht="15">
      <c r="A162" s="13">
        <v>46784</v>
      </c>
      <c r="B162" s="4">
        <f>16.6336 * CHOOSE(CONTROL!$C$9, $C$13, 100%, $E$13) + CHOOSE(CONTROL!$C$28, 0.0003, 0)</f>
        <v>16.633900000000001</v>
      </c>
      <c r="C162" s="4">
        <f>16.3211 * CHOOSE(CONTROL!$C$9, $C$13, 100%, $E$13) + CHOOSE(CONTROL!$C$28, 0.0003, 0)</f>
        <v>16.321400000000001</v>
      </c>
      <c r="D162" s="4">
        <f>22.8288 * CHOOSE(CONTROL!$C$9, $C$13, 100%, $E$13) + CHOOSE(CONTROL!$C$28, 0, 0)</f>
        <v>22.828800000000001</v>
      </c>
      <c r="E162" s="4">
        <f>95.0083065363615 * CHOOSE(CONTROL!$C$9, $C$13, 100%, $E$13) + CHOOSE(CONTROL!$C$28, 0, 0)</f>
        <v>95.008306536361502</v>
      </c>
    </row>
    <row r="163" spans="1:5" ht="15">
      <c r="A163" s="13">
        <v>46813</v>
      </c>
      <c r="B163" s="4">
        <f>17.5325 * CHOOSE(CONTROL!$C$9, $C$13, 100%, $E$13) + CHOOSE(CONTROL!$C$28, 0.0003, 0)</f>
        <v>17.532799999999998</v>
      </c>
      <c r="C163" s="4">
        <f>17.22 * CHOOSE(CONTROL!$C$9, $C$13, 100%, $E$13) + CHOOSE(CONTROL!$C$28, 0.0003, 0)</f>
        <v>17.220299999999998</v>
      </c>
      <c r="D163" s="4">
        <f>23.9849 * CHOOSE(CONTROL!$C$9, $C$13, 100%, $E$13) + CHOOSE(CONTROL!$C$28, 0, 0)</f>
        <v>23.9849</v>
      </c>
      <c r="E163" s="4">
        <f>100.794947621098 * CHOOSE(CONTROL!$C$9, $C$13, 100%, $E$13) + CHOOSE(CONTROL!$C$28, 0, 0)</f>
        <v>100.794947621098</v>
      </c>
    </row>
    <row r="164" spans="1:5" ht="15">
      <c r="A164" s="13">
        <v>46844</v>
      </c>
      <c r="B164" s="4">
        <f>18.1712 * CHOOSE(CONTROL!$C$9, $C$13, 100%, $E$13) + CHOOSE(CONTROL!$C$28, 0.0003, 0)</f>
        <v>18.171499999999998</v>
      </c>
      <c r="C164" s="4">
        <f>17.8587 * CHOOSE(CONTROL!$C$9, $C$13, 100%, $E$13) + CHOOSE(CONTROL!$C$28, 0.0003, 0)</f>
        <v>17.858999999999998</v>
      </c>
      <c r="D164" s="4">
        <f>24.6508 * CHOOSE(CONTROL!$C$9, $C$13, 100%, $E$13) + CHOOSE(CONTROL!$C$28, 0, 0)</f>
        <v>24.6508</v>
      </c>
      <c r="E164" s="4">
        <f>104.906433228935 * CHOOSE(CONTROL!$C$9, $C$13, 100%, $E$13) + CHOOSE(CONTROL!$C$28, 0, 0)</f>
        <v>104.906433228935</v>
      </c>
    </row>
    <row r="165" spans="1:5" ht="15">
      <c r="A165" s="13">
        <v>46874</v>
      </c>
      <c r="B165" s="4">
        <f>18.5614 * CHOOSE(CONTROL!$C$9, $C$13, 100%, $E$13) + CHOOSE(CONTROL!$C$28, 0.0197, 0)</f>
        <v>18.581099999999999</v>
      </c>
      <c r="C165" s="4">
        <f>18.2489 * CHOOSE(CONTROL!$C$9, $C$13, 100%, $E$13) + CHOOSE(CONTROL!$C$28, 0.0197, 0)</f>
        <v>18.268599999999999</v>
      </c>
      <c r="D165" s="4">
        <f>24.3877 * CHOOSE(CONTROL!$C$9, $C$13, 100%, $E$13) + CHOOSE(CONTROL!$C$28, 0, 0)</f>
        <v>24.387699999999999</v>
      </c>
      <c r="E165" s="4">
        <f>107.418452396766 * CHOOSE(CONTROL!$C$9, $C$13, 100%, $E$13) + CHOOSE(CONTROL!$C$28, 0, 0)</f>
        <v>107.418452396766</v>
      </c>
    </row>
    <row r="166" spans="1:5" ht="15">
      <c r="A166" s="13">
        <v>46905</v>
      </c>
      <c r="B166" s="4">
        <f>18.6142 * CHOOSE(CONTROL!$C$9, $C$13, 100%, $E$13) + CHOOSE(CONTROL!$C$28, 0.0197, 0)</f>
        <v>18.633900000000001</v>
      </c>
      <c r="C166" s="4">
        <f>18.3017 * CHOOSE(CONTROL!$C$9, $C$13, 100%, $E$13) + CHOOSE(CONTROL!$C$28, 0.0197, 0)</f>
        <v>18.321400000000001</v>
      </c>
      <c r="D166" s="4">
        <f>24.602 * CHOOSE(CONTROL!$C$9, $C$13, 100%, $E$13) + CHOOSE(CONTROL!$C$28, 0, 0)</f>
        <v>24.602</v>
      </c>
      <c r="E166" s="4">
        <f>107.758339015267 * CHOOSE(CONTROL!$C$9, $C$13, 100%, $E$13) + CHOOSE(CONTROL!$C$28, 0, 0)</f>
        <v>107.758339015267</v>
      </c>
    </row>
    <row r="167" spans="1:5" ht="15">
      <c r="A167" s="13">
        <v>46935</v>
      </c>
      <c r="B167" s="4">
        <f>18.6089 * CHOOSE(CONTROL!$C$9, $C$13, 100%, $E$13) + CHOOSE(CONTROL!$C$28, 0.0197, 0)</f>
        <v>18.628599999999999</v>
      </c>
      <c r="C167" s="4">
        <f>18.2964 * CHOOSE(CONTROL!$C$9, $C$13, 100%, $E$13) + CHOOSE(CONTROL!$C$28, 0.0197, 0)</f>
        <v>18.316099999999999</v>
      </c>
      <c r="D167" s="4">
        <f>24.9887 * CHOOSE(CONTROL!$C$9, $C$13, 100%, $E$13) + CHOOSE(CONTROL!$C$28, 0, 0)</f>
        <v>24.988700000000001</v>
      </c>
      <c r="E167" s="4">
        <f>107.72406473441 * CHOOSE(CONTROL!$C$9, $C$13, 100%, $E$13) + CHOOSE(CONTROL!$C$28, 0, 0)</f>
        <v>107.72406473441001</v>
      </c>
    </row>
    <row r="168" spans="1:5" ht="15">
      <c r="A168" s="13">
        <v>46966</v>
      </c>
      <c r="B168" s="4">
        <f>19.0095 * CHOOSE(CONTROL!$C$9, $C$13, 100%, $E$13) + CHOOSE(CONTROL!$C$28, 0.0197, 0)</f>
        <v>19.029199999999999</v>
      </c>
      <c r="C168" s="4">
        <f>18.697 * CHOOSE(CONTROL!$C$9, $C$13, 100%, $E$13) + CHOOSE(CONTROL!$C$28, 0.0197, 0)</f>
        <v>18.716699999999999</v>
      </c>
      <c r="D168" s="4">
        <f>24.7333 * CHOOSE(CONTROL!$C$9, $C$13, 100%, $E$13) + CHOOSE(CONTROL!$C$28, 0, 0)</f>
        <v>24.7333</v>
      </c>
      <c r="E168" s="4">
        <f>110.30320436892 * CHOOSE(CONTROL!$C$9, $C$13, 100%, $E$13) + CHOOSE(CONTROL!$C$28, 0, 0)</f>
        <v>110.30320436892001</v>
      </c>
    </row>
    <row r="169" spans="1:5" ht="15">
      <c r="A169" s="13">
        <v>46997</v>
      </c>
      <c r="B169" s="4">
        <f>18.3267 * CHOOSE(CONTROL!$C$9, $C$13, 100%, $E$13) + CHOOSE(CONTROL!$C$28, 0.0197, 0)</f>
        <v>18.346399999999999</v>
      </c>
      <c r="C169" s="4">
        <f>18.0142 * CHOOSE(CONTROL!$C$9, $C$13, 100%, $E$13) + CHOOSE(CONTROL!$C$28, 0.0197, 0)</f>
        <v>18.033899999999999</v>
      </c>
      <c r="D169" s="4">
        <f>24.6127 * CHOOSE(CONTROL!$C$9, $C$13, 100%, $E$13) + CHOOSE(CONTROL!$C$28, 0, 0)</f>
        <v>24.6127</v>
      </c>
      <c r="E169" s="4">
        <f>105.907527848974 * CHOOSE(CONTROL!$C$9, $C$13, 100%, $E$13) + CHOOSE(CONTROL!$C$28, 0, 0)</f>
        <v>105.907527848974</v>
      </c>
    </row>
    <row r="170" spans="1:5" ht="15">
      <c r="A170" s="13">
        <v>47027</v>
      </c>
      <c r="B170" s="4">
        <f>17.7801 * CHOOSE(CONTROL!$C$9, $C$13, 100%, $E$13) + CHOOSE(CONTROL!$C$28, 0.0003, 0)</f>
        <v>17.7804</v>
      </c>
      <c r="C170" s="4">
        <f>17.4676 * CHOOSE(CONTROL!$C$9, $C$13, 100%, $E$13) + CHOOSE(CONTROL!$C$28, 0.0003, 0)</f>
        <v>17.4679</v>
      </c>
      <c r="D170" s="4">
        <f>24.2896 * CHOOSE(CONTROL!$C$9, $C$13, 100%, $E$13) + CHOOSE(CONTROL!$C$28, 0, 0)</f>
        <v>24.2896</v>
      </c>
      <c r="E170" s="4">
        <f>102.388701680961 * CHOOSE(CONTROL!$C$9, $C$13, 100%, $E$13) + CHOOSE(CONTROL!$C$28, 0, 0)</f>
        <v>102.38870168096101</v>
      </c>
    </row>
    <row r="171" spans="1:5" ht="15">
      <c r="A171" s="13">
        <v>47058</v>
      </c>
      <c r="B171" s="4">
        <f>17.428 * CHOOSE(CONTROL!$C$9, $C$13, 100%, $E$13) + CHOOSE(CONTROL!$C$28, 0.0003, 0)</f>
        <v>17.4283</v>
      </c>
      <c r="C171" s="4">
        <f>17.1155 * CHOOSE(CONTROL!$C$9, $C$13, 100%, $E$13) + CHOOSE(CONTROL!$C$28, 0.0003, 0)</f>
        <v>17.1158</v>
      </c>
      <c r="D171" s="4">
        <f>24.1785 * CHOOSE(CONTROL!$C$9, $C$13, 100%, $E$13) + CHOOSE(CONTROL!$C$28, 0, 0)</f>
        <v>24.1785</v>
      </c>
      <c r="E171" s="4">
        <f>100.122314859274 * CHOOSE(CONTROL!$C$9, $C$13, 100%, $E$13) + CHOOSE(CONTROL!$C$28, 0, 0)</f>
        <v>100.122314859274</v>
      </c>
    </row>
    <row r="172" spans="1:5" ht="15">
      <c r="A172" s="13">
        <v>47088</v>
      </c>
      <c r="B172" s="4">
        <f>17.1844 * CHOOSE(CONTROL!$C$9, $C$13, 100%, $E$13) + CHOOSE(CONTROL!$C$28, 0.0003, 0)</f>
        <v>17.184699999999999</v>
      </c>
      <c r="C172" s="4">
        <f>16.8719 * CHOOSE(CONTROL!$C$9, $C$13, 100%, $E$13) + CHOOSE(CONTROL!$C$28, 0.0003, 0)</f>
        <v>16.872199999999999</v>
      </c>
      <c r="D172" s="4">
        <f>23.3608 * CHOOSE(CONTROL!$C$9, $C$13, 100%, $E$13) + CHOOSE(CONTROL!$C$28, 0, 0)</f>
        <v>23.360800000000001</v>
      </c>
      <c r="E172" s="4">
        <f>98.5542665100536 * CHOOSE(CONTROL!$C$9, $C$13, 100%, $E$13) + CHOOSE(CONTROL!$C$28, 0, 0)</f>
        <v>98.554266510053594</v>
      </c>
    </row>
    <row r="173" spans="1:5" ht="15">
      <c r="A173" s="13">
        <v>47119</v>
      </c>
      <c r="B173" s="4">
        <f>16.6936 * CHOOSE(CONTROL!$C$9, $C$13, 100%, $E$13) + CHOOSE(CONTROL!$C$28, 0.0003, 0)</f>
        <v>16.693899999999999</v>
      </c>
      <c r="C173" s="4">
        <f>16.3811 * CHOOSE(CONTROL!$C$9, $C$13, 100%, $E$13) + CHOOSE(CONTROL!$C$28, 0.0003, 0)</f>
        <v>16.381399999999999</v>
      </c>
      <c r="D173" s="4">
        <f>22.5178 * CHOOSE(CONTROL!$C$9, $C$13, 100%, $E$13) + CHOOSE(CONTROL!$C$28, 0, 0)</f>
        <v>22.517800000000001</v>
      </c>
      <c r="E173" s="4">
        <f>95.3972244926834 * CHOOSE(CONTROL!$C$9, $C$13, 100%, $E$13) + CHOOSE(CONTROL!$C$28, 0, 0)</f>
        <v>95.397224492683407</v>
      </c>
    </row>
    <row r="174" spans="1:5" ht="15">
      <c r="A174" s="13">
        <v>47150</v>
      </c>
      <c r="B174" s="4">
        <f>17.0454 * CHOOSE(CONTROL!$C$9, $C$13, 100%, $E$13) + CHOOSE(CONTROL!$C$28, 0.0003, 0)</f>
        <v>17.0457</v>
      </c>
      <c r="C174" s="4">
        <f>16.7329 * CHOOSE(CONTROL!$C$9, $C$13, 100%, $E$13) + CHOOSE(CONTROL!$C$28, 0.0003, 0)</f>
        <v>16.7332</v>
      </c>
      <c r="D174" s="4">
        <f>23.2714 * CHOOSE(CONTROL!$C$9, $C$13, 100%, $E$13) + CHOOSE(CONTROL!$C$28, 0, 0)</f>
        <v>23.2714</v>
      </c>
      <c r="E174" s="4">
        <f>97.6623305539623 * CHOOSE(CONTROL!$C$9, $C$13, 100%, $E$13) + CHOOSE(CONTROL!$C$28, 0, 0)</f>
        <v>97.662330553962306</v>
      </c>
    </row>
    <row r="175" spans="1:5" ht="15">
      <c r="A175" s="13">
        <v>47178</v>
      </c>
      <c r="B175" s="4">
        <f>17.9694 * CHOOSE(CONTROL!$C$9, $C$13, 100%, $E$13) + CHOOSE(CONTROL!$C$28, 0.0003, 0)</f>
        <v>17.9697</v>
      </c>
      <c r="C175" s="4">
        <f>17.6569 * CHOOSE(CONTROL!$C$9, $C$13, 100%, $E$13) + CHOOSE(CONTROL!$C$28, 0.0003, 0)</f>
        <v>17.6572</v>
      </c>
      <c r="D175" s="4">
        <f>24.4511 * CHOOSE(CONTROL!$C$9, $C$13, 100%, $E$13) + CHOOSE(CONTROL!$C$28, 0, 0)</f>
        <v>24.4511</v>
      </c>
      <c r="E175" s="4">
        <f>103.610619445927 * CHOOSE(CONTROL!$C$9, $C$13, 100%, $E$13) + CHOOSE(CONTROL!$C$28, 0, 0)</f>
        <v>103.610619445927</v>
      </c>
    </row>
    <row r="176" spans="1:5" ht="15">
      <c r="A176" s="13">
        <v>47209</v>
      </c>
      <c r="B176" s="4">
        <f>18.6259 * CHOOSE(CONTROL!$C$9, $C$13, 100%, $E$13) + CHOOSE(CONTROL!$C$28, 0.0003, 0)</f>
        <v>18.626200000000001</v>
      </c>
      <c r="C176" s="4">
        <f>18.3134 * CHOOSE(CONTROL!$C$9, $C$13, 100%, $E$13) + CHOOSE(CONTROL!$C$28, 0.0003, 0)</f>
        <v>18.313700000000001</v>
      </c>
      <c r="D176" s="4">
        <f>25.1307 * CHOOSE(CONTROL!$C$9, $C$13, 100%, $E$13) + CHOOSE(CONTROL!$C$28, 0, 0)</f>
        <v>25.130700000000001</v>
      </c>
      <c r="E176" s="4">
        <f>107.836957975041 * CHOOSE(CONTROL!$C$9, $C$13, 100%, $E$13) + CHOOSE(CONTROL!$C$28, 0, 0)</f>
        <v>107.836957975041</v>
      </c>
    </row>
    <row r="177" spans="1:5" ht="15">
      <c r="A177" s="13">
        <v>47239</v>
      </c>
      <c r="B177" s="4">
        <f>19.027 * CHOOSE(CONTROL!$C$9, $C$13, 100%, $E$13) + CHOOSE(CONTROL!$C$28, 0.0197, 0)</f>
        <v>19.046700000000001</v>
      </c>
      <c r="C177" s="4">
        <f>18.7145 * CHOOSE(CONTROL!$C$9, $C$13, 100%, $E$13) + CHOOSE(CONTROL!$C$28, 0.0197, 0)</f>
        <v>18.734200000000001</v>
      </c>
      <c r="D177" s="4">
        <f>24.8622 * CHOOSE(CONTROL!$C$9, $C$13, 100%, $E$13) + CHOOSE(CONTROL!$C$28, 0, 0)</f>
        <v>24.862200000000001</v>
      </c>
      <c r="E177" s="4">
        <f>110.419149525131 * CHOOSE(CONTROL!$C$9, $C$13, 100%, $E$13) + CHOOSE(CONTROL!$C$28, 0, 0)</f>
        <v>110.419149525131</v>
      </c>
    </row>
    <row r="178" spans="1:5" ht="15">
      <c r="A178" s="13">
        <v>47270</v>
      </c>
      <c r="B178" s="4">
        <f>19.0813 * CHOOSE(CONTROL!$C$9, $C$13, 100%, $E$13) + CHOOSE(CONTROL!$C$28, 0.0197, 0)</f>
        <v>19.100999999999999</v>
      </c>
      <c r="C178" s="4">
        <f>18.7688 * CHOOSE(CONTROL!$C$9, $C$13, 100%, $E$13) + CHOOSE(CONTROL!$C$28, 0.0197, 0)</f>
        <v>18.788499999999999</v>
      </c>
      <c r="D178" s="4">
        <f>25.0809 * CHOOSE(CONTROL!$C$9, $C$13, 100%, $E$13) + CHOOSE(CONTROL!$C$28, 0, 0)</f>
        <v>25.0809</v>
      </c>
      <c r="E178" s="4">
        <f>110.768530758174 * CHOOSE(CONTROL!$C$9, $C$13, 100%, $E$13) + CHOOSE(CONTROL!$C$28, 0, 0)</f>
        <v>110.76853075817399</v>
      </c>
    </row>
    <row r="179" spans="1:5" ht="15">
      <c r="A179" s="13">
        <v>47300</v>
      </c>
      <c r="B179" s="4">
        <f>19.0758 * CHOOSE(CONTROL!$C$9, $C$13, 100%, $E$13) + CHOOSE(CONTROL!$C$28, 0.0197, 0)</f>
        <v>19.095500000000001</v>
      </c>
      <c r="C179" s="4">
        <f>18.7633 * CHOOSE(CONTROL!$C$9, $C$13, 100%, $E$13) + CHOOSE(CONTROL!$C$28, 0.0197, 0)</f>
        <v>18.783000000000001</v>
      </c>
      <c r="D179" s="4">
        <f>25.4755 * CHOOSE(CONTROL!$C$9, $C$13, 100%, $E$13) + CHOOSE(CONTROL!$C$28, 0, 0)</f>
        <v>25.4755</v>
      </c>
      <c r="E179" s="4">
        <f>110.733299037195 * CHOOSE(CONTROL!$C$9, $C$13, 100%, $E$13) + CHOOSE(CONTROL!$C$28, 0, 0)</f>
        <v>110.733299037195</v>
      </c>
    </row>
    <row r="180" spans="1:5" ht="15">
      <c r="A180" s="13">
        <v>47331</v>
      </c>
      <c r="B180" s="4">
        <f>19.4876 * CHOOSE(CONTROL!$C$9, $C$13, 100%, $E$13) + CHOOSE(CONTROL!$C$28, 0.0197, 0)</f>
        <v>19.507300000000001</v>
      </c>
      <c r="C180" s="4">
        <f>19.1751 * CHOOSE(CONTROL!$C$9, $C$13, 100%, $E$13) + CHOOSE(CONTROL!$C$28, 0.0197, 0)</f>
        <v>19.194800000000001</v>
      </c>
      <c r="D180" s="4">
        <f>25.2149 * CHOOSE(CONTROL!$C$9, $C$13, 100%, $E$13) + CHOOSE(CONTROL!$C$28, 0, 0)</f>
        <v>25.2149</v>
      </c>
      <c r="E180" s="4">
        <f>113.384486040869 * CHOOSE(CONTROL!$C$9, $C$13, 100%, $E$13) + CHOOSE(CONTROL!$C$28, 0, 0)</f>
        <v>113.38448604086901</v>
      </c>
    </row>
    <row r="181" spans="1:5" ht="15">
      <c r="A181" s="13">
        <v>47362</v>
      </c>
      <c r="B181" s="4">
        <f>18.7857 * CHOOSE(CONTROL!$C$9, $C$13, 100%, $E$13) + CHOOSE(CONTROL!$C$28, 0.0197, 0)</f>
        <v>18.805399999999999</v>
      </c>
      <c r="C181" s="4">
        <f>18.4732 * CHOOSE(CONTROL!$C$9, $C$13, 100%, $E$13) + CHOOSE(CONTROL!$C$28, 0.0197, 0)</f>
        <v>18.492899999999999</v>
      </c>
      <c r="D181" s="4">
        <f>25.0917 * CHOOSE(CONTROL!$C$9, $C$13, 100%, $E$13) + CHOOSE(CONTROL!$C$28, 0, 0)</f>
        <v>25.091699999999999</v>
      </c>
      <c r="E181" s="4">
        <f>108.866017825304 * CHOOSE(CONTROL!$C$9, $C$13, 100%, $E$13) + CHOOSE(CONTROL!$C$28, 0, 0)</f>
        <v>108.866017825304</v>
      </c>
    </row>
    <row r="182" spans="1:5" ht="15">
      <c r="A182" s="13">
        <v>47392</v>
      </c>
      <c r="B182" s="4">
        <f>18.2239 * CHOOSE(CONTROL!$C$9, $C$13, 100%, $E$13) + CHOOSE(CONTROL!$C$28, 0.0003, 0)</f>
        <v>18.2242</v>
      </c>
      <c r="C182" s="4">
        <f>17.9114 * CHOOSE(CONTROL!$C$9, $C$13, 100%, $E$13) + CHOOSE(CONTROL!$C$28, 0.0003, 0)</f>
        <v>17.9117</v>
      </c>
      <c r="D182" s="4">
        <f>24.7621 * CHOOSE(CONTROL!$C$9, $C$13, 100%, $E$13) + CHOOSE(CONTROL!$C$28, 0, 0)</f>
        <v>24.7621</v>
      </c>
      <c r="E182" s="4">
        <f>105.248894471454 * CHOOSE(CONTROL!$C$9, $C$13, 100%, $E$13) + CHOOSE(CONTROL!$C$28, 0, 0)</f>
        <v>105.24889447145399</v>
      </c>
    </row>
    <row r="183" spans="1:5" ht="15">
      <c r="A183" s="13">
        <v>47423</v>
      </c>
      <c r="B183" s="4">
        <f>17.862 * CHOOSE(CONTROL!$C$9, $C$13, 100%, $E$13) + CHOOSE(CONTROL!$C$28, 0.0003, 0)</f>
        <v>17.862299999999998</v>
      </c>
      <c r="C183" s="4">
        <f>17.5495 * CHOOSE(CONTROL!$C$9, $C$13, 100%, $E$13) + CHOOSE(CONTROL!$C$28, 0.0003, 0)</f>
        <v>17.549799999999998</v>
      </c>
      <c r="D183" s="4">
        <f>24.6487 * CHOOSE(CONTROL!$C$9, $C$13, 100%, $E$13) + CHOOSE(CONTROL!$C$28, 0, 0)</f>
        <v>24.648700000000002</v>
      </c>
      <c r="E183" s="4">
        <f>102.919196921713 * CHOOSE(CONTROL!$C$9, $C$13, 100%, $E$13) + CHOOSE(CONTROL!$C$28, 0, 0)</f>
        <v>102.919196921713</v>
      </c>
    </row>
    <row r="184" spans="1:5" ht="15">
      <c r="A184" s="13">
        <v>47453</v>
      </c>
      <c r="B184" s="4">
        <f>17.6116 * CHOOSE(CONTROL!$C$9, $C$13, 100%, $E$13) + CHOOSE(CONTROL!$C$28, 0.0003, 0)</f>
        <v>17.611899999999999</v>
      </c>
      <c r="C184" s="4">
        <f>17.2991 * CHOOSE(CONTROL!$C$9, $C$13, 100%, $E$13) + CHOOSE(CONTROL!$C$28, 0.0003, 0)</f>
        <v>17.299399999999999</v>
      </c>
      <c r="D184" s="4">
        <f>23.8143 * CHOOSE(CONTROL!$C$9, $C$13, 100%, $E$13) + CHOOSE(CONTROL!$C$28, 0, 0)</f>
        <v>23.814299999999999</v>
      </c>
      <c r="E184" s="4">
        <f>101.307345686921 * CHOOSE(CONTROL!$C$9, $C$13, 100%, $E$13) + CHOOSE(CONTROL!$C$28, 0, 0)</f>
        <v>101.307345686921</v>
      </c>
    </row>
    <row r="185" spans="1:5" ht="15">
      <c r="A185" s="13">
        <v>47484</v>
      </c>
      <c r="B185" s="4">
        <f>17.0969 * CHOOSE(CONTROL!$C$9, $C$13, 100%, $E$13) + CHOOSE(CONTROL!$C$28, 0.0003, 0)</f>
        <v>17.097200000000001</v>
      </c>
      <c r="C185" s="4">
        <f>16.7844 * CHOOSE(CONTROL!$C$9, $C$13, 100%, $E$13) + CHOOSE(CONTROL!$C$28, 0.0003, 0)</f>
        <v>16.784700000000001</v>
      </c>
      <c r="D185" s="4">
        <f>22.9537 * CHOOSE(CONTROL!$C$9, $C$13, 100%, $E$13) + CHOOSE(CONTROL!$C$28, 0, 0)</f>
        <v>22.953700000000001</v>
      </c>
      <c r="E185" s="4">
        <f>98.0092110701324 * CHOOSE(CONTROL!$C$9, $C$13, 100%, $E$13) + CHOOSE(CONTROL!$C$28, 0, 0)</f>
        <v>98.009211070132395</v>
      </c>
    </row>
    <row r="186" spans="1:5" ht="15">
      <c r="A186" s="13">
        <v>47515</v>
      </c>
      <c r="B186" s="4">
        <f>17.4583 * CHOOSE(CONTROL!$C$9, $C$13, 100%, $E$13) + CHOOSE(CONTROL!$C$28, 0.0003, 0)</f>
        <v>17.458600000000001</v>
      </c>
      <c r="C186" s="4">
        <f>17.1458 * CHOOSE(CONTROL!$C$9, $C$13, 100%, $E$13) + CHOOSE(CONTROL!$C$28, 0.0003, 0)</f>
        <v>17.146100000000001</v>
      </c>
      <c r="D186" s="4">
        <f>23.7227 * CHOOSE(CONTROL!$C$9, $C$13, 100%, $E$13) + CHOOSE(CONTROL!$C$28, 0, 0)</f>
        <v>23.7227</v>
      </c>
      <c r="E186" s="4">
        <f>100.336335986363 * CHOOSE(CONTROL!$C$9, $C$13, 100%, $E$13) + CHOOSE(CONTROL!$C$28, 0, 0)</f>
        <v>100.336335986363</v>
      </c>
    </row>
    <row r="187" spans="1:5" ht="15">
      <c r="A187" s="13">
        <v>47543</v>
      </c>
      <c r="B187" s="4">
        <f>18.4075 * CHOOSE(CONTROL!$C$9, $C$13, 100%, $E$13) + CHOOSE(CONTROL!$C$28, 0.0003, 0)</f>
        <v>18.407799999999998</v>
      </c>
      <c r="C187" s="4">
        <f>18.095 * CHOOSE(CONTROL!$C$9, $C$13, 100%, $E$13) + CHOOSE(CONTROL!$C$28, 0.0003, 0)</f>
        <v>18.095299999999998</v>
      </c>
      <c r="D187" s="4">
        <f>24.9265 * CHOOSE(CONTROL!$C$9, $C$13, 100%, $E$13) + CHOOSE(CONTROL!$C$28, 0, 0)</f>
        <v>24.926500000000001</v>
      </c>
      <c r="E187" s="4">
        <f>106.447489687312 * CHOOSE(CONTROL!$C$9, $C$13, 100%, $E$13) + CHOOSE(CONTROL!$C$28, 0, 0)</f>
        <v>106.447489687312</v>
      </c>
    </row>
    <row r="188" spans="1:5" ht="15">
      <c r="A188" s="13">
        <v>47574</v>
      </c>
      <c r="B188" s="4">
        <f>19.0818 * CHOOSE(CONTROL!$C$9, $C$13, 100%, $E$13) + CHOOSE(CONTROL!$C$28, 0.0003, 0)</f>
        <v>19.082100000000001</v>
      </c>
      <c r="C188" s="4">
        <f>18.7693 * CHOOSE(CONTROL!$C$9, $C$13, 100%, $E$13) + CHOOSE(CONTROL!$C$28, 0.0003, 0)</f>
        <v>18.769600000000001</v>
      </c>
      <c r="D188" s="4">
        <f>25.6199 * CHOOSE(CONTROL!$C$9, $C$13, 100%, $E$13) + CHOOSE(CONTROL!$C$28, 0, 0)</f>
        <v>25.619900000000001</v>
      </c>
      <c r="E188" s="4">
        <f>110.789545833667 * CHOOSE(CONTROL!$C$9, $C$13, 100%, $E$13) + CHOOSE(CONTROL!$C$28, 0, 0)</f>
        <v>110.78954583366701</v>
      </c>
    </row>
    <row r="189" spans="1:5" ht="15">
      <c r="A189" s="13">
        <v>47604</v>
      </c>
      <c r="B189" s="4">
        <f>19.4939 * CHOOSE(CONTROL!$C$9, $C$13, 100%, $E$13) + CHOOSE(CONTROL!$C$28, 0.0197, 0)</f>
        <v>19.5136</v>
      </c>
      <c r="C189" s="4">
        <f>19.1814 * CHOOSE(CONTROL!$C$9, $C$13, 100%, $E$13) + CHOOSE(CONTROL!$C$28, 0.0197, 0)</f>
        <v>19.2011</v>
      </c>
      <c r="D189" s="4">
        <f>25.3459 * CHOOSE(CONTROL!$C$9, $C$13, 100%, $E$13) + CHOOSE(CONTROL!$C$28, 0, 0)</f>
        <v>25.3459</v>
      </c>
      <c r="E189" s="4">
        <f>113.442438074528 * CHOOSE(CONTROL!$C$9, $C$13, 100%, $E$13) + CHOOSE(CONTROL!$C$28, 0, 0)</f>
        <v>113.442438074528</v>
      </c>
    </row>
    <row r="190" spans="1:5" ht="15">
      <c r="A190" s="13">
        <v>47635</v>
      </c>
      <c r="B190" s="4">
        <f>19.5496 * CHOOSE(CONTROL!$C$9, $C$13, 100%, $E$13) + CHOOSE(CONTROL!$C$28, 0.0197, 0)</f>
        <v>19.569300000000002</v>
      </c>
      <c r="C190" s="4">
        <f>19.2371 * CHOOSE(CONTROL!$C$9, $C$13, 100%, $E$13) + CHOOSE(CONTROL!$C$28, 0.0197, 0)</f>
        <v>19.256800000000002</v>
      </c>
      <c r="D190" s="4">
        <f>25.569 * CHOOSE(CONTROL!$C$9, $C$13, 100%, $E$13) + CHOOSE(CONTROL!$C$28, 0, 0)</f>
        <v>25.568999999999999</v>
      </c>
      <c r="E190" s="4">
        <f>113.801385404446 * CHOOSE(CONTROL!$C$9, $C$13, 100%, $E$13) + CHOOSE(CONTROL!$C$28, 0, 0)</f>
        <v>113.80138540444599</v>
      </c>
    </row>
    <row r="191" spans="1:5" ht="15">
      <c r="A191" s="13">
        <v>47665</v>
      </c>
      <c r="B191" s="4">
        <f>19.544 * CHOOSE(CONTROL!$C$9, $C$13, 100%, $E$13) + CHOOSE(CONTROL!$C$28, 0.0197, 0)</f>
        <v>19.563700000000001</v>
      </c>
      <c r="C191" s="4">
        <f>19.2315 * CHOOSE(CONTROL!$C$9, $C$13, 100%, $E$13) + CHOOSE(CONTROL!$C$28, 0.0197, 0)</f>
        <v>19.251200000000001</v>
      </c>
      <c r="D191" s="4">
        <f>25.9717 * CHOOSE(CONTROL!$C$9, $C$13, 100%, $E$13) + CHOOSE(CONTROL!$C$28, 0, 0)</f>
        <v>25.971699999999998</v>
      </c>
      <c r="E191" s="4">
        <f>113.765189035042 * CHOOSE(CONTROL!$C$9, $C$13, 100%, $E$13) + CHOOSE(CONTROL!$C$28, 0, 0)</f>
        <v>113.765189035042</v>
      </c>
    </row>
    <row r="192" spans="1:5" ht="15">
      <c r="A192" s="13">
        <v>47696</v>
      </c>
      <c r="B192" s="4">
        <f>19.967 * CHOOSE(CONTROL!$C$9, $C$13, 100%, $E$13) + CHOOSE(CONTROL!$C$28, 0.0197, 0)</f>
        <v>19.986699999999999</v>
      </c>
      <c r="C192" s="4">
        <f>19.6545 * CHOOSE(CONTROL!$C$9, $C$13, 100%, $E$13) + CHOOSE(CONTROL!$C$28, 0.0197, 0)</f>
        <v>19.674199999999999</v>
      </c>
      <c r="D192" s="4">
        <f>25.7058 * CHOOSE(CONTROL!$C$9, $C$13, 100%, $E$13) + CHOOSE(CONTROL!$C$28, 0, 0)</f>
        <v>25.7058</v>
      </c>
      <c r="E192" s="4">
        <f>116.488965832652 * CHOOSE(CONTROL!$C$9, $C$13, 100%, $E$13) + CHOOSE(CONTROL!$C$28, 0, 0)</f>
        <v>116.488965832652</v>
      </c>
    </row>
    <row r="193" spans="1:5" ht="15">
      <c r="A193" s="13">
        <v>47727</v>
      </c>
      <c r="B193" s="4">
        <f>19.246 * CHOOSE(CONTROL!$C$9, $C$13, 100%, $E$13) + CHOOSE(CONTROL!$C$28, 0.0197, 0)</f>
        <v>19.265699999999999</v>
      </c>
      <c r="C193" s="4">
        <f>18.9335 * CHOOSE(CONTROL!$C$9, $C$13, 100%, $E$13) + CHOOSE(CONTROL!$C$28, 0.0197, 0)</f>
        <v>18.953199999999999</v>
      </c>
      <c r="D193" s="4">
        <f>25.5801 * CHOOSE(CONTROL!$C$9, $C$13, 100%, $E$13) + CHOOSE(CONTROL!$C$28, 0, 0)</f>
        <v>25.580100000000002</v>
      </c>
      <c r="E193" s="4">
        <f>111.84678145666 * CHOOSE(CONTROL!$C$9, $C$13, 100%, $E$13) + CHOOSE(CONTROL!$C$28, 0, 0)</f>
        <v>111.84678145666</v>
      </c>
    </row>
    <row r="194" spans="1:5" ht="15">
      <c r="A194" s="13">
        <v>47757</v>
      </c>
      <c r="B194" s="4">
        <f>18.6689 * CHOOSE(CONTROL!$C$9, $C$13, 100%, $E$13) + CHOOSE(CONTROL!$C$28, 0.0003, 0)</f>
        <v>18.6692</v>
      </c>
      <c r="C194" s="4">
        <f>18.3564 * CHOOSE(CONTROL!$C$9, $C$13, 100%, $E$13) + CHOOSE(CONTROL!$C$28, 0.0003, 0)</f>
        <v>18.3567</v>
      </c>
      <c r="D194" s="4">
        <f>25.2437 * CHOOSE(CONTROL!$C$9, $C$13, 100%, $E$13) + CHOOSE(CONTROL!$C$28, 0, 0)</f>
        <v>25.2437</v>
      </c>
      <c r="E194" s="4">
        <f>108.130620864572 * CHOOSE(CONTROL!$C$9, $C$13, 100%, $E$13) + CHOOSE(CONTROL!$C$28, 0, 0)</f>
        <v>108.13062086457199</v>
      </c>
    </row>
    <row r="195" spans="1:5" ht="15">
      <c r="A195" s="13">
        <v>47788</v>
      </c>
      <c r="B195" s="4">
        <f>18.2971 * CHOOSE(CONTROL!$C$9, $C$13, 100%, $E$13) + CHOOSE(CONTROL!$C$28, 0.0003, 0)</f>
        <v>18.2974</v>
      </c>
      <c r="C195" s="4">
        <f>17.9846 * CHOOSE(CONTROL!$C$9, $C$13, 100%, $E$13) + CHOOSE(CONTROL!$C$28, 0.0003, 0)</f>
        <v>17.9849</v>
      </c>
      <c r="D195" s="4">
        <f>25.1281 * CHOOSE(CONTROL!$C$9, $C$13, 100%, $E$13) + CHOOSE(CONTROL!$C$28, 0, 0)</f>
        <v>25.1281</v>
      </c>
      <c r="E195" s="4">
        <f>105.737135937769 * CHOOSE(CONTROL!$C$9, $C$13, 100%, $E$13) + CHOOSE(CONTROL!$C$28, 0, 0)</f>
        <v>105.737135937769</v>
      </c>
    </row>
    <row r="196" spans="1:5" ht="15">
      <c r="A196" s="13">
        <v>47818</v>
      </c>
      <c r="B196" s="4">
        <f>18.04 * CHOOSE(CONTROL!$C$9, $C$13, 100%, $E$13) + CHOOSE(CONTROL!$C$28, 0.0003, 0)</f>
        <v>18.040299999999998</v>
      </c>
      <c r="C196" s="4">
        <f>17.7275 * CHOOSE(CONTROL!$C$9, $C$13, 100%, $E$13) + CHOOSE(CONTROL!$C$28, 0.0003, 0)</f>
        <v>17.727799999999998</v>
      </c>
      <c r="D196" s="4">
        <f>24.2766 * CHOOSE(CONTROL!$C$9, $C$13, 100%, $E$13) + CHOOSE(CONTROL!$C$28, 0, 0)</f>
        <v>24.276599999999998</v>
      </c>
      <c r="E196" s="4">
        <f>104.081152037561 * CHOOSE(CONTROL!$C$9, $C$13, 100%, $E$13) + CHOOSE(CONTROL!$C$28, 0, 0)</f>
        <v>104.081152037561</v>
      </c>
    </row>
    <row r="197" spans="1:5" ht="15">
      <c r="A197" s="13">
        <v>47849</v>
      </c>
      <c r="B197" s="4">
        <f>17.3992 * CHOOSE(CONTROL!$C$9, $C$13, 100%, $E$13) + CHOOSE(CONTROL!$C$28, 0.0003, 0)</f>
        <v>17.3995</v>
      </c>
      <c r="C197" s="4">
        <f>17.0867 * CHOOSE(CONTROL!$C$9, $C$13, 100%, $E$13) + CHOOSE(CONTROL!$C$28, 0.0003, 0)</f>
        <v>17.087</v>
      </c>
      <c r="D197" s="4">
        <f>23.2891 * CHOOSE(CONTROL!$C$9, $C$13, 100%, $E$13) + CHOOSE(CONTROL!$C$28, 0, 0)</f>
        <v>23.289100000000001</v>
      </c>
      <c r="E197" s="4">
        <f>100.014666401381 * CHOOSE(CONTROL!$C$9, $C$13, 100%, $E$13) + CHOOSE(CONTROL!$C$28, 0, 0)</f>
        <v>100.01466640138101</v>
      </c>
    </row>
    <row r="198" spans="1:5" ht="15">
      <c r="A198" s="13">
        <v>47880</v>
      </c>
      <c r="B198" s="4">
        <f>17.7678 * CHOOSE(CONTROL!$C$9, $C$13, 100%, $E$13) + CHOOSE(CONTROL!$C$28, 0.0003, 0)</f>
        <v>17.7681</v>
      </c>
      <c r="C198" s="4">
        <f>17.4553 * CHOOSE(CONTROL!$C$9, $C$13, 100%, $E$13) + CHOOSE(CONTROL!$C$28, 0.0003, 0)</f>
        <v>17.4556</v>
      </c>
      <c r="D198" s="4">
        <f>24.07 * CHOOSE(CONTROL!$C$9, $C$13, 100%, $E$13) + CHOOSE(CONTROL!$C$28, 0, 0)</f>
        <v>24.07</v>
      </c>
      <c r="E198" s="4">
        <f>102.389408730493 * CHOOSE(CONTROL!$C$9, $C$13, 100%, $E$13) + CHOOSE(CONTROL!$C$28, 0, 0)</f>
        <v>102.389408730493</v>
      </c>
    </row>
    <row r="199" spans="1:5" ht="15">
      <c r="A199" s="13">
        <v>47908</v>
      </c>
      <c r="B199" s="4">
        <f>18.7358 * CHOOSE(CONTROL!$C$9, $C$13, 100%, $E$13) + CHOOSE(CONTROL!$C$28, 0.0003, 0)</f>
        <v>18.7361</v>
      </c>
      <c r="C199" s="4">
        <f>18.4233 * CHOOSE(CONTROL!$C$9, $C$13, 100%, $E$13) + CHOOSE(CONTROL!$C$28, 0.0003, 0)</f>
        <v>18.4236</v>
      </c>
      <c r="D199" s="4">
        <f>25.2923 * CHOOSE(CONTROL!$C$9, $C$13, 100%, $E$13) + CHOOSE(CONTROL!$C$28, 0, 0)</f>
        <v>25.292300000000001</v>
      </c>
      <c r="E199" s="4">
        <f>108.625608288212 * CHOOSE(CONTROL!$C$9, $C$13, 100%, $E$13) + CHOOSE(CONTROL!$C$28, 0, 0)</f>
        <v>108.62560828821201</v>
      </c>
    </row>
    <row r="200" spans="1:5" ht="15">
      <c r="A200" s="13">
        <v>47939</v>
      </c>
      <c r="B200" s="4">
        <f>19.4235 * CHOOSE(CONTROL!$C$9, $C$13, 100%, $E$13) + CHOOSE(CONTROL!$C$28, 0.0003, 0)</f>
        <v>19.4238</v>
      </c>
      <c r="C200" s="4">
        <f>19.111 * CHOOSE(CONTROL!$C$9, $C$13, 100%, $E$13) + CHOOSE(CONTROL!$C$28, 0.0003, 0)</f>
        <v>19.1113</v>
      </c>
      <c r="D200" s="4">
        <f>25.9964 * CHOOSE(CONTROL!$C$9, $C$13, 100%, $E$13) + CHOOSE(CONTROL!$C$28, 0, 0)</f>
        <v>25.996400000000001</v>
      </c>
      <c r="E200" s="4">
        <f>113.056511182258 * CHOOSE(CONTROL!$C$9, $C$13, 100%, $E$13) + CHOOSE(CONTROL!$C$28, 0, 0)</f>
        <v>113.05651118225801</v>
      </c>
    </row>
    <row r="201" spans="1:5" ht="15">
      <c r="A201" s="13">
        <v>47969</v>
      </c>
      <c r="B201" s="4">
        <f>19.8437 * CHOOSE(CONTROL!$C$9, $C$13, 100%, $E$13) + CHOOSE(CONTROL!$C$28, 0.0197, 0)</f>
        <v>19.863399999999999</v>
      </c>
      <c r="C201" s="4">
        <f>19.5312 * CHOOSE(CONTROL!$C$9, $C$13, 100%, $E$13) + CHOOSE(CONTROL!$C$28, 0.0197, 0)</f>
        <v>19.550899999999999</v>
      </c>
      <c r="D201" s="4">
        <f>25.7182 * CHOOSE(CONTROL!$C$9, $C$13, 100%, $E$13) + CHOOSE(CONTROL!$C$28, 0, 0)</f>
        <v>25.7182</v>
      </c>
      <c r="E201" s="4">
        <f>115.763686656599 * CHOOSE(CONTROL!$C$9, $C$13, 100%, $E$13) + CHOOSE(CONTROL!$C$28, 0, 0)</f>
        <v>115.76368665659901</v>
      </c>
    </row>
    <row r="202" spans="1:5" ht="15">
      <c r="A202" s="13">
        <v>48000</v>
      </c>
      <c r="B202" s="4">
        <f>19.9006 * CHOOSE(CONTROL!$C$9, $C$13, 100%, $E$13) + CHOOSE(CONTROL!$C$28, 0.0197, 0)</f>
        <v>19.920300000000001</v>
      </c>
      <c r="C202" s="4">
        <f>19.5881 * CHOOSE(CONTROL!$C$9, $C$13, 100%, $E$13) + CHOOSE(CONTROL!$C$28, 0.0197, 0)</f>
        <v>19.607800000000001</v>
      </c>
      <c r="D202" s="4">
        <f>25.9448 * CHOOSE(CONTROL!$C$9, $C$13, 100%, $E$13) + CHOOSE(CONTROL!$C$28, 0, 0)</f>
        <v>25.944800000000001</v>
      </c>
      <c r="E202" s="4">
        <f>116.129978733286 * CHOOSE(CONTROL!$C$9, $C$13, 100%, $E$13) + CHOOSE(CONTROL!$C$28, 0, 0)</f>
        <v>116.12997873328599</v>
      </c>
    </row>
    <row r="203" spans="1:5" ht="15">
      <c r="A203" s="13">
        <v>48030</v>
      </c>
      <c r="B203" s="4">
        <f>19.8949 * CHOOSE(CONTROL!$C$9, $C$13, 100%, $E$13) + CHOOSE(CONTROL!$C$28, 0.0197, 0)</f>
        <v>19.9146</v>
      </c>
      <c r="C203" s="4">
        <f>19.5824 * CHOOSE(CONTROL!$C$9, $C$13, 100%, $E$13) + CHOOSE(CONTROL!$C$28, 0.0197, 0)</f>
        <v>19.6021</v>
      </c>
      <c r="D203" s="4">
        <f>26.3536 * CHOOSE(CONTROL!$C$9, $C$13, 100%, $E$13) + CHOOSE(CONTROL!$C$28, 0, 0)</f>
        <v>26.3536</v>
      </c>
      <c r="E203" s="4">
        <f>116.093041717149 * CHOOSE(CONTROL!$C$9, $C$13, 100%, $E$13) + CHOOSE(CONTROL!$C$28, 0, 0)</f>
        <v>116.09304171714901</v>
      </c>
    </row>
    <row r="204" spans="1:5" ht="15">
      <c r="A204" s="13">
        <v>48061</v>
      </c>
      <c r="B204" s="4">
        <f>20.3263 * CHOOSE(CONTROL!$C$9, $C$13, 100%, $E$13) + CHOOSE(CONTROL!$C$28, 0.0197, 0)</f>
        <v>20.346</v>
      </c>
      <c r="C204" s="4">
        <f>20.0138 * CHOOSE(CONTROL!$C$9, $C$13, 100%, $E$13) + CHOOSE(CONTROL!$C$28, 0.0197, 0)</f>
        <v>20.0335</v>
      </c>
      <c r="D204" s="4">
        <f>26.0836 * CHOOSE(CONTROL!$C$9, $C$13, 100%, $E$13) + CHOOSE(CONTROL!$C$28, 0, 0)</f>
        <v>26.083600000000001</v>
      </c>
      <c r="E204" s="4">
        <f>118.872552181424 * CHOOSE(CONTROL!$C$9, $C$13, 100%, $E$13) + CHOOSE(CONTROL!$C$28, 0, 0)</f>
        <v>118.872552181424</v>
      </c>
    </row>
    <row r="205" spans="1:5" ht="15">
      <c r="A205" s="13">
        <v>48092</v>
      </c>
      <c r="B205" s="4">
        <f>19.591 * CHOOSE(CONTROL!$C$9, $C$13, 100%, $E$13) + CHOOSE(CONTROL!$C$28, 0.0197, 0)</f>
        <v>19.610700000000001</v>
      </c>
      <c r="C205" s="4">
        <f>19.2785 * CHOOSE(CONTROL!$C$9, $C$13, 100%, $E$13) + CHOOSE(CONTROL!$C$28, 0.0197, 0)</f>
        <v>19.298200000000001</v>
      </c>
      <c r="D205" s="4">
        <f>25.956 * CHOOSE(CONTROL!$C$9, $C$13, 100%, $E$13) + CHOOSE(CONTROL!$C$28, 0, 0)</f>
        <v>25.956</v>
      </c>
      <c r="E205" s="4">
        <f>114.135379861913 * CHOOSE(CONTROL!$C$9, $C$13, 100%, $E$13) + CHOOSE(CONTROL!$C$28, 0, 0)</f>
        <v>114.13537986191299</v>
      </c>
    </row>
    <row r="206" spans="1:5" ht="15">
      <c r="A206" s="13">
        <v>48122</v>
      </c>
      <c r="B206" s="4">
        <f>19.0024 * CHOOSE(CONTROL!$C$9, $C$13, 100%, $E$13) + CHOOSE(CONTROL!$C$28, 0.0003, 0)</f>
        <v>19.002700000000001</v>
      </c>
      <c r="C206" s="4">
        <f>18.6899 * CHOOSE(CONTROL!$C$9, $C$13, 100%, $E$13) + CHOOSE(CONTROL!$C$28, 0.0003, 0)</f>
        <v>18.690200000000001</v>
      </c>
      <c r="D206" s="4">
        <f>25.6144 * CHOOSE(CONTROL!$C$9, $C$13, 100%, $E$13) + CHOOSE(CONTROL!$C$28, 0, 0)</f>
        <v>25.6144</v>
      </c>
      <c r="E206" s="4">
        <f>110.343179538561 * CHOOSE(CONTROL!$C$9, $C$13, 100%, $E$13) + CHOOSE(CONTROL!$C$28, 0, 0)</f>
        <v>110.343179538561</v>
      </c>
    </row>
    <row r="207" spans="1:5" ht="15">
      <c r="A207" s="13">
        <v>48153</v>
      </c>
      <c r="B207" s="4">
        <f>18.6233 * CHOOSE(CONTROL!$C$9, $C$13, 100%, $E$13) + CHOOSE(CONTROL!$C$28, 0.0003, 0)</f>
        <v>18.6236</v>
      </c>
      <c r="C207" s="4">
        <f>18.3108 * CHOOSE(CONTROL!$C$9, $C$13, 100%, $E$13) + CHOOSE(CONTROL!$C$28, 0.0003, 0)</f>
        <v>18.3111</v>
      </c>
      <c r="D207" s="4">
        <f>25.497 * CHOOSE(CONTROL!$C$9, $C$13, 100%, $E$13) + CHOOSE(CONTROL!$C$28, 0, 0)</f>
        <v>25.497</v>
      </c>
      <c r="E207" s="4">
        <f>107.900719346532 * CHOOSE(CONTROL!$C$9, $C$13, 100%, $E$13) + CHOOSE(CONTROL!$C$28, 0, 0)</f>
        <v>107.900719346532</v>
      </c>
    </row>
    <row r="208" spans="1:5" ht="15">
      <c r="A208" s="13">
        <v>48183</v>
      </c>
      <c r="B208" s="4">
        <f>18.361 * CHOOSE(CONTROL!$C$9, $C$13, 100%, $E$13) + CHOOSE(CONTROL!$C$28, 0.0003, 0)</f>
        <v>18.3613</v>
      </c>
      <c r="C208" s="4">
        <f>18.0485 * CHOOSE(CONTROL!$C$9, $C$13, 100%, $E$13) + CHOOSE(CONTROL!$C$28, 0.0003, 0)</f>
        <v>18.0488</v>
      </c>
      <c r="D208" s="4">
        <f>24.6324 * CHOOSE(CONTROL!$C$9, $C$13, 100%, $E$13) + CHOOSE(CONTROL!$C$28, 0, 0)</f>
        <v>24.632400000000001</v>
      </c>
      <c r="E208" s="4">
        <f>106.210850858286 * CHOOSE(CONTROL!$C$9, $C$13, 100%, $E$13) + CHOOSE(CONTROL!$C$28, 0, 0)</f>
        <v>106.21085085828599</v>
      </c>
    </row>
    <row r="209" spans="1:5" ht="15">
      <c r="A209" s="13">
        <v>48214</v>
      </c>
      <c r="B209" s="4">
        <f>17.7188 * CHOOSE(CONTROL!$C$9, $C$13, 100%, $E$13) + CHOOSE(CONTROL!$C$28, 0.0003, 0)</f>
        <v>17.719100000000001</v>
      </c>
      <c r="C209" s="4">
        <f>17.4063 * CHOOSE(CONTROL!$C$9, $C$13, 100%, $E$13) + CHOOSE(CONTROL!$C$28, 0.0003, 0)</f>
        <v>17.406600000000001</v>
      </c>
      <c r="D209" s="4">
        <f>23.6282 * CHOOSE(CONTROL!$C$9, $C$13, 100%, $E$13) + CHOOSE(CONTROL!$C$28, 0, 0)</f>
        <v>23.6282</v>
      </c>
      <c r="E209" s="4">
        <f>102.029350418076 * CHOOSE(CONTROL!$C$9, $C$13, 100%, $E$13) + CHOOSE(CONTROL!$C$28, 0, 0)</f>
        <v>102.02935041807601</v>
      </c>
    </row>
    <row r="210" spans="1:5" ht="15">
      <c r="A210" s="13">
        <v>48245</v>
      </c>
      <c r="B210" s="4">
        <f>18.095 * CHOOSE(CONTROL!$C$9, $C$13, 100%, $E$13) + CHOOSE(CONTROL!$C$28, 0.0003, 0)</f>
        <v>18.095299999999998</v>
      </c>
      <c r="C210" s="4">
        <f>17.7825 * CHOOSE(CONTROL!$C$9, $C$13, 100%, $E$13) + CHOOSE(CONTROL!$C$28, 0.0003, 0)</f>
        <v>17.782799999999998</v>
      </c>
      <c r="D210" s="4">
        <f>24.421 * CHOOSE(CONTROL!$C$9, $C$13, 100%, $E$13) + CHOOSE(CONTROL!$C$28, 0, 0)</f>
        <v>24.420999999999999</v>
      </c>
      <c r="E210" s="4">
        <f>104.451929285431 * CHOOSE(CONTROL!$C$9, $C$13, 100%, $E$13) + CHOOSE(CONTROL!$C$28, 0, 0)</f>
        <v>104.45192928543101</v>
      </c>
    </row>
    <row r="211" spans="1:5" ht="15">
      <c r="A211" s="13">
        <v>48274</v>
      </c>
      <c r="B211" s="4">
        <f>19.0829 * CHOOSE(CONTROL!$C$9, $C$13, 100%, $E$13) + CHOOSE(CONTROL!$C$28, 0.0003, 0)</f>
        <v>19.083199999999998</v>
      </c>
      <c r="C211" s="4">
        <f>18.7704 * CHOOSE(CONTROL!$C$9, $C$13, 100%, $E$13) + CHOOSE(CONTROL!$C$28, 0.0003, 0)</f>
        <v>18.770699999999998</v>
      </c>
      <c r="D211" s="4">
        <f>25.662 * CHOOSE(CONTROL!$C$9, $C$13, 100%, $E$13) + CHOOSE(CONTROL!$C$28, 0, 0)</f>
        <v>25.661999999999999</v>
      </c>
      <c r="E211" s="4">
        <f>110.813750134766 * CHOOSE(CONTROL!$C$9, $C$13, 100%, $E$13) + CHOOSE(CONTROL!$C$28, 0, 0)</f>
        <v>110.813750134766</v>
      </c>
    </row>
    <row r="212" spans="1:5" ht="15">
      <c r="A212" s="13">
        <v>48305</v>
      </c>
      <c r="B212" s="4">
        <f>19.7848 * CHOOSE(CONTROL!$C$9, $C$13, 100%, $E$13) + CHOOSE(CONTROL!$C$28, 0.0003, 0)</f>
        <v>19.7851</v>
      </c>
      <c r="C212" s="4">
        <f>19.4723 * CHOOSE(CONTROL!$C$9, $C$13, 100%, $E$13) + CHOOSE(CONTROL!$C$28, 0.0003, 0)</f>
        <v>19.4726</v>
      </c>
      <c r="D212" s="4">
        <f>26.3769 * CHOOSE(CONTROL!$C$9, $C$13, 100%, $E$13) + CHOOSE(CONTROL!$C$28, 0, 0)</f>
        <v>26.376899999999999</v>
      </c>
      <c r="E212" s="4">
        <f>115.333908630629 * CHOOSE(CONTROL!$C$9, $C$13, 100%, $E$13) + CHOOSE(CONTROL!$C$28, 0, 0)</f>
        <v>115.333908630629</v>
      </c>
    </row>
    <row r="213" spans="1:5" ht="15">
      <c r="A213" s="13">
        <v>48335</v>
      </c>
      <c r="B213" s="4">
        <f>20.2137 * CHOOSE(CONTROL!$C$9, $C$13, 100%, $E$13) + CHOOSE(CONTROL!$C$28, 0.0197, 0)</f>
        <v>20.2334</v>
      </c>
      <c r="C213" s="4">
        <f>19.9012 * CHOOSE(CONTROL!$C$9, $C$13, 100%, $E$13) + CHOOSE(CONTROL!$C$28, 0.0197, 0)</f>
        <v>19.9209</v>
      </c>
      <c r="D213" s="4">
        <f>26.0944 * CHOOSE(CONTROL!$C$9, $C$13, 100%, $E$13) + CHOOSE(CONTROL!$C$28, 0, 0)</f>
        <v>26.0944</v>
      </c>
      <c r="E213" s="4">
        <f>118.095617138522 * CHOOSE(CONTROL!$C$9, $C$13, 100%, $E$13) + CHOOSE(CONTROL!$C$28, 0, 0)</f>
        <v>118.095617138522</v>
      </c>
    </row>
    <row r="214" spans="1:5" ht="15">
      <c r="A214" s="13">
        <v>48366</v>
      </c>
      <c r="B214" s="4">
        <f>20.2717 * CHOOSE(CONTROL!$C$9, $C$13, 100%, $E$13) + CHOOSE(CONTROL!$C$28, 0.0197, 0)</f>
        <v>20.291399999999999</v>
      </c>
      <c r="C214" s="4">
        <f>19.9592 * CHOOSE(CONTROL!$C$9, $C$13, 100%, $E$13) + CHOOSE(CONTROL!$C$28, 0.0197, 0)</f>
        <v>19.978899999999999</v>
      </c>
      <c r="D214" s="4">
        <f>26.3245 * CHOOSE(CONTROL!$C$9, $C$13, 100%, $E$13) + CHOOSE(CONTROL!$C$28, 0, 0)</f>
        <v>26.3245</v>
      </c>
      <c r="E214" s="4">
        <f>118.469287760965 * CHOOSE(CONTROL!$C$9, $C$13, 100%, $E$13) + CHOOSE(CONTROL!$C$28, 0, 0)</f>
        <v>118.469287760965</v>
      </c>
    </row>
    <row r="215" spans="1:5" ht="15">
      <c r="A215" s="13">
        <v>48396</v>
      </c>
      <c r="B215" s="4">
        <f>20.2659 * CHOOSE(CONTROL!$C$9, $C$13, 100%, $E$13) + CHOOSE(CONTROL!$C$28, 0.0197, 0)</f>
        <v>20.285599999999999</v>
      </c>
      <c r="C215" s="4">
        <f>19.9534 * CHOOSE(CONTROL!$C$9, $C$13, 100%, $E$13) + CHOOSE(CONTROL!$C$28, 0.0197, 0)</f>
        <v>19.973099999999999</v>
      </c>
      <c r="D215" s="4">
        <f>26.7396 * CHOOSE(CONTROL!$C$9, $C$13, 100%, $E$13) + CHOOSE(CONTROL!$C$28, 0, 0)</f>
        <v>26.739599999999999</v>
      </c>
      <c r="E215" s="4">
        <f>118.431606689795 * CHOOSE(CONTROL!$C$9, $C$13, 100%, $E$13) + CHOOSE(CONTROL!$C$28, 0, 0)</f>
        <v>118.431606689795</v>
      </c>
    </row>
    <row r="216" spans="1:5" ht="15">
      <c r="A216" s="13">
        <v>48427</v>
      </c>
      <c r="B216" s="4">
        <f>20.7062 * CHOOSE(CONTROL!$C$9, $C$13, 100%, $E$13) + CHOOSE(CONTROL!$C$28, 0.0197, 0)</f>
        <v>20.725899999999999</v>
      </c>
      <c r="C216" s="4">
        <f>20.3937 * CHOOSE(CONTROL!$C$9, $C$13, 100%, $E$13) + CHOOSE(CONTROL!$C$28, 0.0197, 0)</f>
        <v>20.413399999999999</v>
      </c>
      <c r="D216" s="4">
        <f>26.4655 * CHOOSE(CONTROL!$C$9, $C$13, 100%, $E$13) + CHOOSE(CONTROL!$C$28, 0, 0)</f>
        <v>26.465499999999999</v>
      </c>
      <c r="E216" s="4">
        <f>121.267107295396 * CHOOSE(CONTROL!$C$9, $C$13, 100%, $E$13) + CHOOSE(CONTROL!$C$28, 0, 0)</f>
        <v>121.267107295396</v>
      </c>
    </row>
    <row r="217" spans="1:5" ht="15">
      <c r="A217" s="13">
        <v>48458</v>
      </c>
      <c r="B217" s="4">
        <f>19.9557 * CHOOSE(CONTROL!$C$9, $C$13, 100%, $E$13) + CHOOSE(CONTROL!$C$28, 0.0197, 0)</f>
        <v>19.9754</v>
      </c>
      <c r="C217" s="4">
        <f>19.6432 * CHOOSE(CONTROL!$C$9, $C$13, 100%, $E$13) + CHOOSE(CONTROL!$C$28, 0.0197, 0)</f>
        <v>19.6629</v>
      </c>
      <c r="D217" s="4">
        <f>26.336 * CHOOSE(CONTROL!$C$9, $C$13, 100%, $E$13) + CHOOSE(CONTROL!$C$28, 0, 0)</f>
        <v>26.335999999999999</v>
      </c>
      <c r="E217" s="4">
        <f>116.434509917743 * CHOOSE(CONTROL!$C$9, $C$13, 100%, $E$13) + CHOOSE(CONTROL!$C$28, 0, 0)</f>
        <v>116.434509917743</v>
      </c>
    </row>
    <row r="218" spans="1:5" ht="15">
      <c r="A218" s="13">
        <v>48488</v>
      </c>
      <c r="B218" s="4">
        <f>19.355 * CHOOSE(CONTROL!$C$9, $C$13, 100%, $E$13) + CHOOSE(CONTROL!$C$28, 0.0003, 0)</f>
        <v>19.3553</v>
      </c>
      <c r="C218" s="4">
        <f>19.0425 * CHOOSE(CONTROL!$C$9, $C$13, 100%, $E$13) + CHOOSE(CONTROL!$C$28, 0.0003, 0)</f>
        <v>19.0428</v>
      </c>
      <c r="D218" s="4">
        <f>25.9891 * CHOOSE(CONTROL!$C$9, $C$13, 100%, $E$13) + CHOOSE(CONTROL!$C$28, 0, 0)</f>
        <v>25.989100000000001</v>
      </c>
      <c r="E218" s="4">
        <f>112.565919944208 * CHOOSE(CONTROL!$C$9, $C$13, 100%, $E$13) + CHOOSE(CONTROL!$C$28, 0, 0)</f>
        <v>112.56591994420801</v>
      </c>
    </row>
    <row r="219" spans="1:5" ht="15">
      <c r="A219" s="13">
        <v>48519</v>
      </c>
      <c r="B219" s="4">
        <f>18.9681 * CHOOSE(CONTROL!$C$9, $C$13, 100%, $E$13) + CHOOSE(CONTROL!$C$28, 0.0003, 0)</f>
        <v>18.968399999999999</v>
      </c>
      <c r="C219" s="4">
        <f>18.6556 * CHOOSE(CONTROL!$C$9, $C$13, 100%, $E$13) + CHOOSE(CONTROL!$C$28, 0.0003, 0)</f>
        <v>18.655899999999999</v>
      </c>
      <c r="D219" s="4">
        <f>25.8699 * CHOOSE(CONTROL!$C$9, $C$13, 100%, $E$13) + CHOOSE(CONTROL!$C$28, 0, 0)</f>
        <v>25.869900000000001</v>
      </c>
      <c r="E219" s="4">
        <f>110.07425911304 * CHOOSE(CONTROL!$C$9, $C$13, 100%, $E$13) + CHOOSE(CONTROL!$C$28, 0, 0)</f>
        <v>110.07425911304</v>
      </c>
    </row>
    <row r="220" spans="1:5" ht="15">
      <c r="A220" s="13">
        <v>48549</v>
      </c>
      <c r="B220" s="4">
        <f>18.7004 * CHOOSE(CONTROL!$C$9, $C$13, 100%, $E$13) + CHOOSE(CONTROL!$C$28, 0.0003, 0)</f>
        <v>18.700699999999998</v>
      </c>
      <c r="C220" s="4">
        <f>18.3879 * CHOOSE(CONTROL!$C$9, $C$13, 100%, $E$13) + CHOOSE(CONTROL!$C$28, 0.0003, 0)</f>
        <v>18.388199999999998</v>
      </c>
      <c r="D220" s="4">
        <f>24.9921 * CHOOSE(CONTROL!$C$9, $C$13, 100%, $E$13) + CHOOSE(CONTROL!$C$28, 0, 0)</f>
        <v>24.992100000000001</v>
      </c>
      <c r="E220" s="4">
        <f>108.350350106976 * CHOOSE(CONTROL!$C$9, $C$13, 100%, $E$13) + CHOOSE(CONTROL!$C$28, 0, 0)</f>
        <v>108.35035010697599</v>
      </c>
    </row>
    <row r="221" spans="1:5" ht="15">
      <c r="A221" s="13">
        <v>48580</v>
      </c>
      <c r="B221" s="4">
        <f>18.0346 * CHOOSE(CONTROL!$C$9, $C$13, 100%, $E$13) + CHOOSE(CONTROL!$C$28, 0.0003, 0)</f>
        <v>18.0349</v>
      </c>
      <c r="C221" s="4">
        <f>17.7221 * CHOOSE(CONTROL!$C$9, $C$13, 100%, $E$13) + CHOOSE(CONTROL!$C$28, 0.0003, 0)</f>
        <v>17.7224</v>
      </c>
      <c r="D221" s="4">
        <f>23.963 * CHOOSE(CONTROL!$C$9, $C$13, 100%, $E$13) + CHOOSE(CONTROL!$C$28, 0, 0)</f>
        <v>23.963000000000001</v>
      </c>
      <c r="E221" s="4">
        <f>104.029991681319 * CHOOSE(CONTROL!$C$9, $C$13, 100%, $E$13) + CHOOSE(CONTROL!$C$28, 0, 0)</f>
        <v>104.029991681319</v>
      </c>
    </row>
    <row r="222" spans="1:5" ht="15">
      <c r="A222" s="13">
        <v>48611</v>
      </c>
      <c r="B222" s="4">
        <f>18.4183 * CHOOSE(CONTROL!$C$9, $C$13, 100%, $E$13) + CHOOSE(CONTROL!$C$28, 0.0003, 0)</f>
        <v>18.418599999999998</v>
      </c>
      <c r="C222" s="4">
        <f>18.1058 * CHOOSE(CONTROL!$C$9, $C$13, 100%, $E$13) + CHOOSE(CONTROL!$C$28, 0.0003, 0)</f>
        <v>18.106099999999998</v>
      </c>
      <c r="D222" s="4">
        <f>24.7677 * CHOOSE(CONTROL!$C$9, $C$13, 100%, $E$13) + CHOOSE(CONTROL!$C$28, 0, 0)</f>
        <v>24.767700000000001</v>
      </c>
      <c r="E222" s="4">
        <f>106.50007365661 * CHOOSE(CONTROL!$C$9, $C$13, 100%, $E$13) + CHOOSE(CONTROL!$C$28, 0, 0)</f>
        <v>106.50007365661</v>
      </c>
    </row>
    <row r="223" spans="1:5" ht="15">
      <c r="A223" s="13">
        <v>48639</v>
      </c>
      <c r="B223" s="4">
        <f>19.4259 * CHOOSE(CONTROL!$C$9, $C$13, 100%, $E$13) + CHOOSE(CONTROL!$C$28, 0.0003, 0)</f>
        <v>19.426199999999998</v>
      </c>
      <c r="C223" s="4">
        <f>19.1134 * CHOOSE(CONTROL!$C$9, $C$13, 100%, $E$13) + CHOOSE(CONTROL!$C$28, 0.0003, 0)</f>
        <v>19.113699999999998</v>
      </c>
      <c r="D223" s="4">
        <f>26.0272 * CHOOSE(CONTROL!$C$9, $C$13, 100%, $E$13) + CHOOSE(CONTROL!$C$28, 0, 0)</f>
        <v>26.027200000000001</v>
      </c>
      <c r="E223" s="4">
        <f>112.986640191852 * CHOOSE(CONTROL!$C$9, $C$13, 100%, $E$13) + CHOOSE(CONTROL!$C$28, 0, 0)</f>
        <v>112.986640191852</v>
      </c>
    </row>
    <row r="224" spans="1:5" ht="15">
      <c r="A224" s="13">
        <v>48670</v>
      </c>
      <c r="B224" s="4">
        <f>20.1419 * CHOOSE(CONTROL!$C$9, $C$13, 100%, $E$13) + CHOOSE(CONTROL!$C$28, 0.0003, 0)</f>
        <v>20.142199999999999</v>
      </c>
      <c r="C224" s="4">
        <f>19.8294 * CHOOSE(CONTROL!$C$9, $C$13, 100%, $E$13) + CHOOSE(CONTROL!$C$28, 0.0003, 0)</f>
        <v>19.829699999999999</v>
      </c>
      <c r="D224" s="4">
        <f>26.7528 * CHOOSE(CONTROL!$C$9, $C$13, 100%, $E$13) + CHOOSE(CONTROL!$C$28, 0, 0)</f>
        <v>26.752800000000001</v>
      </c>
      <c r="E224" s="4">
        <f>117.595432160006 * CHOOSE(CONTROL!$C$9, $C$13, 100%, $E$13) + CHOOSE(CONTROL!$C$28, 0, 0)</f>
        <v>117.595432160006</v>
      </c>
    </row>
    <row r="225" spans="1:5" ht="15">
      <c r="A225" s="13">
        <v>48700</v>
      </c>
      <c r="B225" s="4">
        <f>20.5793 * CHOOSE(CONTROL!$C$9, $C$13, 100%, $E$13) + CHOOSE(CONTROL!$C$28, 0.0197, 0)</f>
        <v>20.599</v>
      </c>
      <c r="C225" s="4">
        <f>20.2668 * CHOOSE(CONTROL!$C$9, $C$13, 100%, $E$13) + CHOOSE(CONTROL!$C$28, 0.0197, 0)</f>
        <v>20.2865</v>
      </c>
      <c r="D225" s="4">
        <f>26.4661 * CHOOSE(CONTROL!$C$9, $C$13, 100%, $E$13) + CHOOSE(CONTROL!$C$28, 0, 0)</f>
        <v>26.466100000000001</v>
      </c>
      <c r="E225" s="4">
        <f>120.411293595221 * CHOOSE(CONTROL!$C$9, $C$13, 100%, $E$13) + CHOOSE(CONTROL!$C$28, 0, 0)</f>
        <v>120.411293595221</v>
      </c>
    </row>
    <row r="226" spans="1:5" ht="15">
      <c r="A226" s="13">
        <v>48731</v>
      </c>
      <c r="B226" s="4">
        <f>20.6384 * CHOOSE(CONTROL!$C$9, $C$13, 100%, $E$13) + CHOOSE(CONTROL!$C$28, 0.0197, 0)</f>
        <v>20.658100000000001</v>
      </c>
      <c r="C226" s="4">
        <f>20.3259 * CHOOSE(CONTROL!$C$9, $C$13, 100%, $E$13) + CHOOSE(CONTROL!$C$28, 0.0197, 0)</f>
        <v>20.345600000000001</v>
      </c>
      <c r="D226" s="4">
        <f>26.6996 * CHOOSE(CONTROL!$C$9, $C$13, 100%, $E$13) + CHOOSE(CONTROL!$C$28, 0, 0)</f>
        <v>26.6996</v>
      </c>
      <c r="E226" s="4">
        <f>120.792291333471 * CHOOSE(CONTROL!$C$9, $C$13, 100%, $E$13) + CHOOSE(CONTROL!$C$28, 0, 0)</f>
        <v>120.792291333471</v>
      </c>
    </row>
    <row r="227" spans="1:5" ht="15">
      <c r="A227" s="13">
        <v>48761</v>
      </c>
      <c r="B227" s="4">
        <f>20.6325 * CHOOSE(CONTROL!$C$9, $C$13, 100%, $E$13) + CHOOSE(CONTROL!$C$28, 0.0197, 0)</f>
        <v>20.652200000000001</v>
      </c>
      <c r="C227" s="4">
        <f>20.32 * CHOOSE(CONTROL!$C$9, $C$13, 100%, $E$13) + CHOOSE(CONTROL!$C$28, 0.0197, 0)</f>
        <v>20.339700000000001</v>
      </c>
      <c r="D227" s="4">
        <f>27.1209 * CHOOSE(CONTROL!$C$9, $C$13, 100%, $E$13) + CHOOSE(CONTROL!$C$28, 0, 0)</f>
        <v>27.120899999999999</v>
      </c>
      <c r="E227" s="4">
        <f>120.753871393479 * CHOOSE(CONTROL!$C$9, $C$13, 100%, $E$13) + CHOOSE(CONTROL!$C$28, 0, 0)</f>
        <v>120.753871393479</v>
      </c>
    </row>
    <row r="228" spans="1:5" ht="15">
      <c r="A228" s="13">
        <v>48792</v>
      </c>
      <c r="B228" s="4">
        <f>21.0816 * CHOOSE(CONTROL!$C$9, $C$13, 100%, $E$13) + CHOOSE(CONTROL!$C$28, 0.0197, 0)</f>
        <v>21.101300000000002</v>
      </c>
      <c r="C228" s="4">
        <f>20.7691 * CHOOSE(CONTROL!$C$9, $C$13, 100%, $E$13) + CHOOSE(CONTROL!$C$28, 0.0197, 0)</f>
        <v>20.788800000000002</v>
      </c>
      <c r="D228" s="4">
        <f>26.8426 * CHOOSE(CONTROL!$C$9, $C$13, 100%, $E$13) + CHOOSE(CONTROL!$C$28, 0, 0)</f>
        <v>26.842600000000001</v>
      </c>
      <c r="E228" s="4">
        <f>123.644971877844 * CHOOSE(CONTROL!$C$9, $C$13, 100%, $E$13) + CHOOSE(CONTROL!$C$28, 0, 0)</f>
        <v>123.644971877844</v>
      </c>
    </row>
    <row r="229" spans="1:5" ht="15">
      <c r="A229" s="13">
        <v>48823</v>
      </c>
      <c r="B229" s="4">
        <f>20.3162 * CHOOSE(CONTROL!$C$9, $C$13, 100%, $E$13) + CHOOSE(CONTROL!$C$28, 0.0197, 0)</f>
        <v>20.335899999999999</v>
      </c>
      <c r="C229" s="4">
        <f>20.0037 * CHOOSE(CONTROL!$C$9, $C$13, 100%, $E$13) + CHOOSE(CONTROL!$C$28, 0.0197, 0)</f>
        <v>20.023399999999999</v>
      </c>
      <c r="D229" s="4">
        <f>26.7112 * CHOOSE(CONTROL!$C$9, $C$13, 100%, $E$13) + CHOOSE(CONTROL!$C$28, 0, 0)</f>
        <v>26.711200000000002</v>
      </c>
      <c r="E229" s="4">
        <f>118.717614573927 * CHOOSE(CONTROL!$C$9, $C$13, 100%, $E$13) + CHOOSE(CONTROL!$C$28, 0, 0)</f>
        <v>118.71761457392699</v>
      </c>
    </row>
    <row r="230" spans="1:5" ht="15">
      <c r="A230" s="13">
        <v>48853</v>
      </c>
      <c r="B230" s="4">
        <f>19.7035 * CHOOSE(CONTROL!$C$9, $C$13, 100%, $E$13) + CHOOSE(CONTROL!$C$28, 0.0003, 0)</f>
        <v>19.703799999999998</v>
      </c>
      <c r="C230" s="4">
        <f>19.391 * CHOOSE(CONTROL!$C$9, $C$13, 100%, $E$13) + CHOOSE(CONTROL!$C$28, 0.0003, 0)</f>
        <v>19.391299999999998</v>
      </c>
      <c r="D230" s="4">
        <f>26.3592 * CHOOSE(CONTROL!$C$9, $C$13, 100%, $E$13) + CHOOSE(CONTROL!$C$28, 0, 0)</f>
        <v>26.359200000000001</v>
      </c>
      <c r="E230" s="4">
        <f>114.773167401459 * CHOOSE(CONTROL!$C$9, $C$13, 100%, $E$13) + CHOOSE(CONTROL!$C$28, 0, 0)</f>
        <v>114.77316740145901</v>
      </c>
    </row>
    <row r="231" spans="1:5" ht="15">
      <c r="A231" s="13">
        <v>48884</v>
      </c>
      <c r="B231" s="4">
        <f>19.3088 * CHOOSE(CONTROL!$C$9, $C$13, 100%, $E$13) + CHOOSE(CONTROL!$C$28, 0.0003, 0)</f>
        <v>19.309100000000001</v>
      </c>
      <c r="C231" s="4">
        <f>18.9963 * CHOOSE(CONTROL!$C$9, $C$13, 100%, $E$13) + CHOOSE(CONTROL!$C$28, 0.0003, 0)</f>
        <v>18.996600000000001</v>
      </c>
      <c r="D231" s="4">
        <f>26.2382 * CHOOSE(CONTROL!$C$9, $C$13, 100%, $E$13) + CHOOSE(CONTROL!$C$28, 0, 0)</f>
        <v>26.238199999999999</v>
      </c>
      <c r="E231" s="4">
        <f>112.232648869517 * CHOOSE(CONTROL!$C$9, $C$13, 100%, $E$13) + CHOOSE(CONTROL!$C$28, 0, 0)</f>
        <v>112.23264886951701</v>
      </c>
    </row>
    <row r="232" spans="1:5" ht="15">
      <c r="A232" s="13">
        <v>48914</v>
      </c>
      <c r="B232" s="4">
        <f>19.0358 * CHOOSE(CONTROL!$C$9, $C$13, 100%, $E$13) + CHOOSE(CONTROL!$C$28, 0.0003, 0)</f>
        <v>19.036099999999998</v>
      </c>
      <c r="C232" s="4">
        <f>18.7233 * CHOOSE(CONTROL!$C$9, $C$13, 100%, $E$13) + CHOOSE(CONTROL!$C$28, 0.0003, 0)</f>
        <v>18.723599999999998</v>
      </c>
      <c r="D232" s="4">
        <f>25.3473 * CHOOSE(CONTROL!$C$9, $C$13, 100%, $E$13) + CHOOSE(CONTROL!$C$28, 0, 0)</f>
        <v>25.347300000000001</v>
      </c>
      <c r="E232" s="4">
        <f>110.474936614903 * CHOOSE(CONTROL!$C$9, $C$13, 100%, $E$13) + CHOOSE(CONTROL!$C$28, 0, 0)</f>
        <v>110.474936614903</v>
      </c>
    </row>
    <row r="233" spans="1:5" ht="15">
      <c r="A233" s="13">
        <v>48945</v>
      </c>
      <c r="B233" s="4">
        <f>18.3558 * CHOOSE(CONTROL!$C$9, $C$13, 100%, $E$13) + CHOOSE(CONTROL!$C$28, 0.0003, 0)</f>
        <v>18.356099999999998</v>
      </c>
      <c r="C233" s="4">
        <f>18.0433 * CHOOSE(CONTROL!$C$9, $C$13, 100%, $E$13) + CHOOSE(CONTROL!$C$28, 0.0003, 0)</f>
        <v>18.043599999999998</v>
      </c>
      <c r="D233" s="4">
        <f>24.3038 * CHOOSE(CONTROL!$C$9, $C$13, 100%, $E$13) + CHOOSE(CONTROL!$C$28, 0, 0)</f>
        <v>24.303799999999999</v>
      </c>
      <c r="E233" s="4">
        <f>106.069441632989 * CHOOSE(CONTROL!$C$9, $C$13, 100%, $E$13) + CHOOSE(CONTROL!$C$28, 0, 0)</f>
        <v>106.069441632989</v>
      </c>
    </row>
    <row r="234" spans="1:5" ht="15">
      <c r="A234" s="13">
        <v>48976</v>
      </c>
      <c r="B234" s="4">
        <f>18.7471 * CHOOSE(CONTROL!$C$9, $C$13, 100%, $E$13) + CHOOSE(CONTROL!$C$28, 0.0003, 0)</f>
        <v>18.747399999999999</v>
      </c>
      <c r="C234" s="4">
        <f>18.4346 * CHOOSE(CONTROL!$C$9, $C$13, 100%, $E$13) + CHOOSE(CONTROL!$C$28, 0.0003, 0)</f>
        <v>18.434899999999999</v>
      </c>
      <c r="D234" s="4">
        <f>25.1205 * CHOOSE(CONTROL!$C$9, $C$13, 100%, $E$13) + CHOOSE(CONTROL!$C$28, 0, 0)</f>
        <v>25.1205</v>
      </c>
      <c r="E234" s="4">
        <f>108.58794818742 * CHOOSE(CONTROL!$C$9, $C$13, 100%, $E$13) + CHOOSE(CONTROL!$C$28, 0, 0)</f>
        <v>108.58794818742</v>
      </c>
    </row>
    <row r="235" spans="1:5" ht="15">
      <c r="A235" s="13">
        <v>49004</v>
      </c>
      <c r="B235" s="4">
        <f>19.7748 * CHOOSE(CONTROL!$C$9, $C$13, 100%, $E$13) + CHOOSE(CONTROL!$C$28, 0.0003, 0)</f>
        <v>19.775099999999998</v>
      </c>
      <c r="C235" s="4">
        <f>19.4623 * CHOOSE(CONTROL!$C$9, $C$13, 100%, $E$13) + CHOOSE(CONTROL!$C$28, 0.0003, 0)</f>
        <v>19.462599999999998</v>
      </c>
      <c r="D235" s="4">
        <f>26.3989 * CHOOSE(CONTROL!$C$9, $C$13, 100%, $E$13) + CHOOSE(CONTROL!$C$28, 0, 0)</f>
        <v>26.398900000000001</v>
      </c>
      <c r="E235" s="4">
        <f>115.201680240922 * CHOOSE(CONTROL!$C$9, $C$13, 100%, $E$13) + CHOOSE(CONTROL!$C$28, 0, 0)</f>
        <v>115.201680240922</v>
      </c>
    </row>
    <row r="236" spans="1:5" ht="15">
      <c r="A236" s="13">
        <v>49035</v>
      </c>
      <c r="B236" s="4">
        <f>20.5049 * CHOOSE(CONTROL!$C$9, $C$13, 100%, $E$13) + CHOOSE(CONTROL!$C$28, 0.0003, 0)</f>
        <v>20.505199999999999</v>
      </c>
      <c r="C236" s="4">
        <f>20.1924 * CHOOSE(CONTROL!$C$9, $C$13, 100%, $E$13) + CHOOSE(CONTROL!$C$28, 0.0003, 0)</f>
        <v>20.192699999999999</v>
      </c>
      <c r="D236" s="4">
        <f>27.1353 * CHOOSE(CONTROL!$C$9, $C$13, 100%, $E$13) + CHOOSE(CONTROL!$C$28, 0, 0)</f>
        <v>27.135300000000001</v>
      </c>
      <c r="E236" s="4">
        <f>119.900825004504 * CHOOSE(CONTROL!$C$9, $C$13, 100%, $E$13) + CHOOSE(CONTROL!$C$28, 0, 0)</f>
        <v>119.900825004504</v>
      </c>
    </row>
    <row r="237" spans="1:5" ht="15">
      <c r="A237" s="13">
        <v>49065</v>
      </c>
      <c r="B237" s="4">
        <f>20.951 * CHOOSE(CONTROL!$C$9, $C$13, 100%, $E$13) + CHOOSE(CONTROL!$C$28, 0.0197, 0)</f>
        <v>20.970700000000001</v>
      </c>
      <c r="C237" s="4">
        <f>20.6385 * CHOOSE(CONTROL!$C$9, $C$13, 100%, $E$13) + CHOOSE(CONTROL!$C$28, 0.0197, 0)</f>
        <v>20.658200000000001</v>
      </c>
      <c r="D237" s="4">
        <f>26.8443 * CHOOSE(CONTROL!$C$9, $C$13, 100%, $E$13) + CHOOSE(CONTROL!$C$28, 0, 0)</f>
        <v>26.8443</v>
      </c>
      <c r="E237" s="4">
        <f>122.771889832271 * CHOOSE(CONTROL!$C$9, $C$13, 100%, $E$13) + CHOOSE(CONTROL!$C$28, 0, 0)</f>
        <v>122.771889832271</v>
      </c>
    </row>
    <row r="238" spans="1:5" ht="15">
      <c r="A238" s="13">
        <v>49096</v>
      </c>
      <c r="B238" s="4">
        <f>21.0114 * CHOOSE(CONTROL!$C$9, $C$13, 100%, $E$13) + CHOOSE(CONTROL!$C$28, 0.0197, 0)</f>
        <v>21.031099999999999</v>
      </c>
      <c r="C238" s="4">
        <f>20.6989 * CHOOSE(CONTROL!$C$9, $C$13, 100%, $E$13) + CHOOSE(CONTROL!$C$28, 0.0197, 0)</f>
        <v>20.718599999999999</v>
      </c>
      <c r="D238" s="4">
        <f>27.0813 * CHOOSE(CONTROL!$C$9, $C$13, 100%, $E$13) + CHOOSE(CONTROL!$C$28, 0, 0)</f>
        <v>27.081299999999999</v>
      </c>
      <c r="E238" s="4">
        <f>123.160356818632 * CHOOSE(CONTROL!$C$9, $C$13, 100%, $E$13) + CHOOSE(CONTROL!$C$28, 0, 0)</f>
        <v>123.160356818632</v>
      </c>
    </row>
    <row r="239" spans="1:5" ht="15">
      <c r="A239" s="13">
        <v>49126</v>
      </c>
      <c r="B239" s="4">
        <f>21.0053 * CHOOSE(CONTROL!$C$9, $C$13, 100%, $E$13) + CHOOSE(CONTROL!$C$28, 0.0197, 0)</f>
        <v>21.024999999999999</v>
      </c>
      <c r="C239" s="4">
        <f>20.6928 * CHOOSE(CONTROL!$C$9, $C$13, 100%, $E$13) + CHOOSE(CONTROL!$C$28, 0.0197, 0)</f>
        <v>20.712499999999999</v>
      </c>
      <c r="D239" s="4">
        <f>27.5089 * CHOOSE(CONTROL!$C$9, $C$13, 100%, $E$13) + CHOOSE(CONTROL!$C$28, 0, 0)</f>
        <v>27.508900000000001</v>
      </c>
      <c r="E239" s="4">
        <f>123.12118367715 * CHOOSE(CONTROL!$C$9, $C$13, 100%, $E$13) + CHOOSE(CONTROL!$C$28, 0, 0)</f>
        <v>123.12118367715</v>
      </c>
    </row>
    <row r="240" spans="1:5" ht="15">
      <c r="A240" s="13">
        <v>49157</v>
      </c>
      <c r="B240" s="4">
        <f>21.4633 * CHOOSE(CONTROL!$C$9, $C$13, 100%, $E$13) + CHOOSE(CONTROL!$C$28, 0.0197, 0)</f>
        <v>21.483000000000001</v>
      </c>
      <c r="C240" s="4">
        <f>21.1508 * CHOOSE(CONTROL!$C$9, $C$13, 100%, $E$13) + CHOOSE(CONTROL!$C$28, 0.0197, 0)</f>
        <v>21.170500000000001</v>
      </c>
      <c r="D240" s="4">
        <f>27.2265 * CHOOSE(CONTROL!$C$9, $C$13, 100%, $E$13) + CHOOSE(CONTROL!$C$28, 0, 0)</f>
        <v>27.226500000000001</v>
      </c>
      <c r="E240" s="4">
        <f>126.068962573652 * CHOOSE(CONTROL!$C$9, $C$13, 100%, $E$13) + CHOOSE(CONTROL!$C$28, 0, 0)</f>
        <v>126.068962573652</v>
      </c>
    </row>
    <row r="241" spans="1:5" ht="15">
      <c r="A241" s="13">
        <v>49188</v>
      </c>
      <c r="B241" s="4">
        <f>20.6827 * CHOOSE(CONTROL!$C$9, $C$13, 100%, $E$13) + CHOOSE(CONTROL!$C$28, 0.0197, 0)</f>
        <v>20.702400000000001</v>
      </c>
      <c r="C241" s="4">
        <f>20.3702 * CHOOSE(CONTROL!$C$9, $C$13, 100%, $E$13) + CHOOSE(CONTROL!$C$28, 0.0197, 0)</f>
        <v>20.389900000000001</v>
      </c>
      <c r="D241" s="4">
        <f>27.093 * CHOOSE(CONTROL!$C$9, $C$13, 100%, $E$13) + CHOOSE(CONTROL!$C$28, 0, 0)</f>
        <v>27.093</v>
      </c>
      <c r="E241" s="4">
        <f>121.045007178617 * CHOOSE(CONTROL!$C$9, $C$13, 100%, $E$13) + CHOOSE(CONTROL!$C$28, 0, 0)</f>
        <v>121.045007178617</v>
      </c>
    </row>
    <row r="242" spans="1:5" ht="15">
      <c r="A242" s="13">
        <v>49218</v>
      </c>
      <c r="B242" s="4">
        <f>20.0578 * CHOOSE(CONTROL!$C$9, $C$13, 100%, $E$13) + CHOOSE(CONTROL!$C$28, 0.0003, 0)</f>
        <v>20.0581</v>
      </c>
      <c r="C242" s="4">
        <f>19.7453 * CHOOSE(CONTROL!$C$9, $C$13, 100%, $E$13) + CHOOSE(CONTROL!$C$28, 0.0003, 0)</f>
        <v>19.7456</v>
      </c>
      <c r="D242" s="4">
        <f>26.7358 * CHOOSE(CONTROL!$C$9, $C$13, 100%, $E$13) + CHOOSE(CONTROL!$C$28, 0, 0)</f>
        <v>26.735800000000001</v>
      </c>
      <c r="E242" s="4">
        <f>117.023231319824 * CHOOSE(CONTROL!$C$9, $C$13, 100%, $E$13) + CHOOSE(CONTROL!$C$28, 0, 0)</f>
        <v>117.02323131982401</v>
      </c>
    </row>
    <row r="243" spans="1:5" ht="15">
      <c r="A243" s="13">
        <v>49249</v>
      </c>
      <c r="B243" s="4">
        <f>19.6553 * CHOOSE(CONTROL!$C$9, $C$13, 100%, $E$13) + CHOOSE(CONTROL!$C$28, 0.0003, 0)</f>
        <v>19.6556</v>
      </c>
      <c r="C243" s="4">
        <f>19.3428 * CHOOSE(CONTROL!$C$9, $C$13, 100%, $E$13) + CHOOSE(CONTROL!$C$28, 0.0003, 0)</f>
        <v>19.3431</v>
      </c>
      <c r="D243" s="4">
        <f>26.613 * CHOOSE(CONTROL!$C$9, $C$13, 100%, $E$13) + CHOOSE(CONTROL!$C$28, 0, 0)</f>
        <v>26.613</v>
      </c>
      <c r="E243" s="4">
        <f>114.432907339343 * CHOOSE(CONTROL!$C$9, $C$13, 100%, $E$13) + CHOOSE(CONTROL!$C$28, 0, 0)</f>
        <v>114.432907339343</v>
      </c>
    </row>
    <row r="244" spans="1:5" ht="15">
      <c r="A244" s="13">
        <v>49279</v>
      </c>
      <c r="B244" s="4">
        <f>19.3769 * CHOOSE(CONTROL!$C$9, $C$13, 100%, $E$13) + CHOOSE(CONTROL!$C$28, 0.0003, 0)</f>
        <v>19.377199999999998</v>
      </c>
      <c r="C244" s="4">
        <f>19.0644 * CHOOSE(CONTROL!$C$9, $C$13, 100%, $E$13) + CHOOSE(CONTROL!$C$28, 0.0003, 0)</f>
        <v>19.064699999999998</v>
      </c>
      <c r="D244" s="4">
        <f>25.7087 * CHOOSE(CONTROL!$C$9, $C$13, 100%, $E$13) + CHOOSE(CONTROL!$C$28, 0, 0)</f>
        <v>25.7087</v>
      </c>
      <c r="E244" s="4">
        <f>112.640736116553 * CHOOSE(CONTROL!$C$9, $C$13, 100%, $E$13) + CHOOSE(CONTROL!$C$28, 0, 0)</f>
        <v>112.640736116553</v>
      </c>
    </row>
    <row r="245" spans="1:5" ht="15">
      <c r="A245" s="13">
        <v>49310</v>
      </c>
      <c r="B245" s="4">
        <f>18.6841 * CHOOSE(CONTROL!$C$9, $C$13, 100%, $E$13) + CHOOSE(CONTROL!$C$28, 0.0003, 0)</f>
        <v>18.6844</v>
      </c>
      <c r="C245" s="4">
        <f>18.3716 * CHOOSE(CONTROL!$C$9, $C$13, 100%, $E$13) + CHOOSE(CONTROL!$C$28, 0.0003, 0)</f>
        <v>18.3719</v>
      </c>
      <c r="D245" s="4">
        <f>24.6776 * CHOOSE(CONTROL!$C$9, $C$13, 100%, $E$13) + CHOOSE(CONTROL!$C$28, 0, 0)</f>
        <v>24.677600000000002</v>
      </c>
      <c r="E245" s="4">
        <f>108.150937200069 * CHOOSE(CONTROL!$C$9, $C$13, 100%, $E$13) + CHOOSE(CONTROL!$C$28, 0, 0)</f>
        <v>108.150937200069</v>
      </c>
    </row>
    <row r="246" spans="1:5" ht="15">
      <c r="A246" s="13">
        <v>49341</v>
      </c>
      <c r="B246" s="4">
        <f>19.0832 * CHOOSE(CONTROL!$C$9, $C$13, 100%, $E$13) + CHOOSE(CONTROL!$C$28, 0.0003, 0)</f>
        <v>19.083500000000001</v>
      </c>
      <c r="C246" s="4">
        <f>18.7707 * CHOOSE(CONTROL!$C$9, $C$13, 100%, $E$13) + CHOOSE(CONTROL!$C$28, 0.0003, 0)</f>
        <v>18.771000000000001</v>
      </c>
      <c r="D246" s="4">
        <f>25.5074 * CHOOSE(CONTROL!$C$9, $C$13, 100%, $E$13) + CHOOSE(CONTROL!$C$28, 0, 0)</f>
        <v>25.507400000000001</v>
      </c>
      <c r="E246" s="4">
        <f>110.718866662249 * CHOOSE(CONTROL!$C$9, $C$13, 100%, $E$13) + CHOOSE(CONTROL!$C$28, 0, 0)</f>
        <v>110.718866662249</v>
      </c>
    </row>
    <row r="247" spans="1:5" ht="15">
      <c r="A247" s="13">
        <v>49369</v>
      </c>
      <c r="B247" s="4">
        <f>20.1313 * CHOOSE(CONTROL!$C$9, $C$13, 100%, $E$13) + CHOOSE(CONTROL!$C$28, 0.0003, 0)</f>
        <v>20.131599999999999</v>
      </c>
      <c r="C247" s="4">
        <f>19.8188 * CHOOSE(CONTROL!$C$9, $C$13, 100%, $E$13) + CHOOSE(CONTROL!$C$28, 0.0003, 0)</f>
        <v>19.819099999999999</v>
      </c>
      <c r="D247" s="4">
        <f>26.8064 * CHOOSE(CONTROL!$C$9, $C$13, 100%, $E$13) + CHOOSE(CONTROL!$C$28, 0, 0)</f>
        <v>26.8064</v>
      </c>
      <c r="E247" s="4">
        <f>117.46238589799 * CHOOSE(CONTROL!$C$9, $C$13, 100%, $E$13) + CHOOSE(CONTROL!$C$28, 0, 0)</f>
        <v>117.46238589799</v>
      </c>
    </row>
    <row r="248" spans="1:5" ht="15">
      <c r="A248" s="13">
        <v>49400</v>
      </c>
      <c r="B248" s="4">
        <f>20.876 * CHOOSE(CONTROL!$C$9, $C$13, 100%, $E$13) + CHOOSE(CONTROL!$C$28, 0.0003, 0)</f>
        <v>20.876300000000001</v>
      </c>
      <c r="C248" s="4">
        <f>20.5635 * CHOOSE(CONTROL!$C$9, $C$13, 100%, $E$13) + CHOOSE(CONTROL!$C$28, 0.0003, 0)</f>
        <v>20.563800000000001</v>
      </c>
      <c r="D248" s="4">
        <f>27.5547 * CHOOSE(CONTROL!$C$9, $C$13, 100%, $E$13) + CHOOSE(CONTROL!$C$28, 0, 0)</f>
        <v>27.5547</v>
      </c>
      <c r="E248" s="4">
        <f>122.253746184195 * CHOOSE(CONTROL!$C$9, $C$13, 100%, $E$13) + CHOOSE(CONTROL!$C$28, 0, 0)</f>
        <v>122.25374618419499</v>
      </c>
    </row>
    <row r="249" spans="1:5" ht="15">
      <c r="A249" s="13">
        <v>49430</v>
      </c>
      <c r="B249" s="4">
        <f>21.3309 * CHOOSE(CONTROL!$C$9, $C$13, 100%, $E$13) + CHOOSE(CONTROL!$C$28, 0.0197, 0)</f>
        <v>21.3506</v>
      </c>
      <c r="C249" s="4">
        <f>21.0184 * CHOOSE(CONTROL!$C$9, $C$13, 100%, $E$13) + CHOOSE(CONTROL!$C$28, 0.0197, 0)</f>
        <v>21.0381</v>
      </c>
      <c r="D249" s="4">
        <f>27.259 * CHOOSE(CONTROL!$C$9, $C$13, 100%, $E$13) + CHOOSE(CONTROL!$C$28, 0, 0)</f>
        <v>27.259</v>
      </c>
      <c r="E249" s="4">
        <f>125.181152486186 * CHOOSE(CONTROL!$C$9, $C$13, 100%, $E$13) + CHOOSE(CONTROL!$C$28, 0, 0)</f>
        <v>125.18115248618599</v>
      </c>
    </row>
    <row r="250" spans="1:5" ht="15">
      <c r="A250" s="14">
        <v>49461</v>
      </c>
      <c r="B250" s="4">
        <f>21.3925 * CHOOSE(CONTROL!$C$9, $C$13, 100%, $E$13) + CHOOSE(CONTROL!$C$28, 0.0197, 0)</f>
        <v>21.412199999999999</v>
      </c>
      <c r="C250" s="4">
        <f>21.08 * CHOOSE(CONTROL!$C$9, $C$13, 100%, $E$13) + CHOOSE(CONTROL!$C$28, 0.0197, 0)</f>
        <v>21.099699999999999</v>
      </c>
      <c r="D250" s="4">
        <f>27.4999 * CHOOSE(CONTROL!$C$9, $C$13, 100%, $E$13) + CHOOSE(CONTROL!$C$28, 0, 0)</f>
        <v>27.4999</v>
      </c>
      <c r="E250" s="4">
        <f>125.577242707832 * CHOOSE(CONTROL!$C$9, $C$13, 100%, $E$13) + CHOOSE(CONTROL!$C$28, 0, 0)</f>
        <v>125.577242707832</v>
      </c>
    </row>
    <row r="251" spans="1:5" ht="15">
      <c r="A251" s="14">
        <v>49491</v>
      </c>
      <c r="B251" s="4">
        <f>21.3863 * CHOOSE(CONTROL!$C$9, $C$13, 100%, $E$13) + CHOOSE(CONTROL!$C$28, 0.0197, 0)</f>
        <v>21.405999999999999</v>
      </c>
      <c r="C251" s="4">
        <f>21.0738 * CHOOSE(CONTROL!$C$9, $C$13, 100%, $E$13) + CHOOSE(CONTROL!$C$28, 0.0197, 0)</f>
        <v>21.093499999999999</v>
      </c>
      <c r="D251" s="4">
        <f>27.9344 * CHOOSE(CONTROL!$C$9, $C$13, 100%, $E$13) + CHOOSE(CONTROL!$C$28, 0, 0)</f>
        <v>27.9344</v>
      </c>
      <c r="E251" s="4">
        <f>125.537300836741 * CHOOSE(CONTROL!$C$9, $C$13, 100%, $E$13) + CHOOSE(CONTROL!$C$28, 0, 0)</f>
        <v>125.537300836741</v>
      </c>
    </row>
    <row r="252" spans="1:5" ht="15">
      <c r="A252" s="14">
        <v>49522</v>
      </c>
      <c r="B252" s="4">
        <f>21.8534 * CHOOSE(CONTROL!$C$9, $C$13, 100%, $E$13) + CHOOSE(CONTROL!$C$28, 0.0197, 0)</f>
        <v>21.873100000000001</v>
      </c>
      <c r="C252" s="4">
        <f>21.5409 * CHOOSE(CONTROL!$C$9, $C$13, 100%, $E$13) + CHOOSE(CONTROL!$C$28, 0.0197, 0)</f>
        <v>21.560600000000001</v>
      </c>
      <c r="D252" s="4">
        <f>27.6474 * CHOOSE(CONTROL!$C$9, $C$13, 100%, $E$13) + CHOOSE(CONTROL!$C$28, 0, 0)</f>
        <v>27.647400000000001</v>
      </c>
      <c r="E252" s="4">
        <f>128.542926636285 * CHOOSE(CONTROL!$C$9, $C$13, 100%, $E$13) + CHOOSE(CONTROL!$C$28, 0, 0)</f>
        <v>128.54292663628499</v>
      </c>
    </row>
    <row r="253" spans="1:5" ht="15">
      <c r="A253" s="14">
        <v>49553</v>
      </c>
      <c r="B253" s="4">
        <f>21.0573 * CHOOSE(CONTROL!$C$9, $C$13, 100%, $E$13) + CHOOSE(CONTROL!$C$28, 0.0197, 0)</f>
        <v>21.077000000000002</v>
      </c>
      <c r="C253" s="4">
        <f>20.7448 * CHOOSE(CONTROL!$C$9, $C$13, 100%, $E$13) + CHOOSE(CONTROL!$C$28, 0.0197, 0)</f>
        <v>20.764500000000002</v>
      </c>
      <c r="D253" s="4">
        <f>27.5118 * CHOOSE(CONTROL!$C$9, $C$13, 100%, $E$13) + CHOOSE(CONTROL!$C$28, 0, 0)</f>
        <v>27.511800000000001</v>
      </c>
      <c r="E253" s="4">
        <f>123.420381668957 * CHOOSE(CONTROL!$C$9, $C$13, 100%, $E$13) + CHOOSE(CONTROL!$C$28, 0, 0)</f>
        <v>123.42038166895701</v>
      </c>
    </row>
    <row r="254" spans="1:5" ht="15">
      <c r="A254" s="14">
        <v>49583</v>
      </c>
      <c r="B254" s="4">
        <f>20.4199 * CHOOSE(CONTROL!$C$9, $C$13, 100%, $E$13) + CHOOSE(CONTROL!$C$28, 0.0003, 0)</f>
        <v>20.420199999999998</v>
      </c>
      <c r="C254" s="4">
        <f>20.1074 * CHOOSE(CONTROL!$C$9, $C$13, 100%, $E$13) + CHOOSE(CONTROL!$C$28, 0.0003, 0)</f>
        <v>20.107699999999998</v>
      </c>
      <c r="D254" s="4">
        <f>27.1488 * CHOOSE(CONTROL!$C$9, $C$13, 100%, $E$13) + CHOOSE(CONTROL!$C$28, 0, 0)</f>
        <v>27.148800000000001</v>
      </c>
      <c r="E254" s="4">
        <f>119.319682903688 * CHOOSE(CONTROL!$C$9, $C$13, 100%, $E$13) + CHOOSE(CONTROL!$C$28, 0, 0)</f>
        <v>119.319682903688</v>
      </c>
    </row>
    <row r="255" spans="1:5" ht="15">
      <c r="A255" s="14">
        <v>49614</v>
      </c>
      <c r="B255" s="4">
        <f>20.0094 * CHOOSE(CONTROL!$C$9, $C$13, 100%, $E$13) + CHOOSE(CONTROL!$C$28, 0.0003, 0)</f>
        <v>20.009699999999999</v>
      </c>
      <c r="C255" s="4">
        <f>19.6969 * CHOOSE(CONTROL!$C$9, $C$13, 100%, $E$13) + CHOOSE(CONTROL!$C$28, 0.0003, 0)</f>
        <v>19.697199999999999</v>
      </c>
      <c r="D255" s="4">
        <f>27.024 * CHOOSE(CONTROL!$C$9, $C$13, 100%, $E$13) + CHOOSE(CONTROL!$C$28, 0, 0)</f>
        <v>27.024000000000001</v>
      </c>
      <c r="E255" s="4">
        <f>116.678526677844 * CHOOSE(CONTROL!$C$9, $C$13, 100%, $E$13) + CHOOSE(CONTROL!$C$28, 0, 0)</f>
        <v>116.678526677844</v>
      </c>
    </row>
    <row r="256" spans="1:5" ht="15">
      <c r="A256" s="14">
        <v>49644</v>
      </c>
      <c r="B256" s="4">
        <f>19.7254 * CHOOSE(CONTROL!$C$9, $C$13, 100%, $E$13) + CHOOSE(CONTROL!$C$28, 0.0003, 0)</f>
        <v>19.7257</v>
      </c>
      <c r="C256" s="4">
        <f>19.4129 * CHOOSE(CONTROL!$C$9, $C$13, 100%, $E$13) + CHOOSE(CONTROL!$C$28, 0.0003, 0)</f>
        <v>19.4132</v>
      </c>
      <c r="D256" s="4">
        <f>26.1052 * CHOOSE(CONTROL!$C$9, $C$13, 100%, $E$13) + CHOOSE(CONTROL!$C$28, 0, 0)</f>
        <v>26.1052</v>
      </c>
      <c r="E256" s="4">
        <f>114.851186075464 * CHOOSE(CONTROL!$C$9, $C$13, 100%, $E$13) + CHOOSE(CONTROL!$C$28, 0, 0)</f>
        <v>114.851186075464</v>
      </c>
    </row>
    <row r="257" spans="1:5" ht="15">
      <c r="A257" s="14">
        <v>49675</v>
      </c>
      <c r="B257" s="4">
        <f>19.264 * CHOOSE(CONTROL!$C$9, $C$13, 100%, $E$13) + CHOOSE(CONTROL!$C$28, 0.0003, 0)</f>
        <v>19.264299999999999</v>
      </c>
      <c r="C257" s="4">
        <f>18.9515 * CHOOSE(CONTROL!$C$9, $C$13, 100%, $E$13) + CHOOSE(CONTROL!$C$28, 0.0003, 0)</f>
        <v>18.951799999999999</v>
      </c>
      <c r="D257" s="4">
        <f>25.2607 * CHOOSE(CONTROL!$C$9, $C$13, 100%, $E$13) + CHOOSE(CONTROL!$C$28, 0, 0)</f>
        <v>25.2607</v>
      </c>
      <c r="E257" s="4">
        <f>111.557691721872 * CHOOSE(CONTROL!$C$9, $C$13, 100%, $E$13) + CHOOSE(CONTROL!$C$28, 0, 0)</f>
        <v>111.557691721872</v>
      </c>
    </row>
    <row r="258" spans="1:5" ht="15">
      <c r="A258" s="14">
        <v>49706</v>
      </c>
      <c r="B258" s="4">
        <f>19.6769 * CHOOSE(CONTROL!$C$9, $C$13, 100%, $E$13) + CHOOSE(CONTROL!$C$28, 0.0003, 0)</f>
        <v>19.677199999999999</v>
      </c>
      <c r="C258" s="4">
        <f>19.3644 * CHOOSE(CONTROL!$C$9, $C$13, 100%, $E$13) + CHOOSE(CONTROL!$C$28, 0.0003, 0)</f>
        <v>19.364699999999999</v>
      </c>
      <c r="D258" s="4">
        <f>26.1111 * CHOOSE(CONTROL!$C$9, $C$13, 100%, $E$13) + CHOOSE(CONTROL!$C$28, 0, 0)</f>
        <v>26.1111</v>
      </c>
      <c r="E258" s="4">
        <f>114.206510962109 * CHOOSE(CONTROL!$C$9, $C$13, 100%, $E$13) + CHOOSE(CONTROL!$C$28, 0, 0)</f>
        <v>114.20651096210899</v>
      </c>
    </row>
    <row r="259" spans="1:5" ht="15">
      <c r="A259" s="14">
        <v>49735</v>
      </c>
      <c r="B259" s="4">
        <f>20.7611 * CHOOSE(CONTROL!$C$9, $C$13, 100%, $E$13) + CHOOSE(CONTROL!$C$28, 0.0003, 0)</f>
        <v>20.761399999999998</v>
      </c>
      <c r="C259" s="4">
        <f>20.4486 * CHOOSE(CONTROL!$C$9, $C$13, 100%, $E$13) + CHOOSE(CONTROL!$C$28, 0.0003, 0)</f>
        <v>20.448899999999998</v>
      </c>
      <c r="D259" s="4">
        <f>27.4423 * CHOOSE(CONTROL!$C$9, $C$13, 100%, $E$13) + CHOOSE(CONTROL!$C$28, 0, 0)</f>
        <v>27.442299999999999</v>
      </c>
      <c r="E259" s="4">
        <f>121.162451053777 * CHOOSE(CONTROL!$C$9, $C$13, 100%, $E$13) + CHOOSE(CONTROL!$C$28, 0, 0)</f>
        <v>121.162451053777</v>
      </c>
    </row>
    <row r="260" spans="1:5" ht="15">
      <c r="A260" s="14">
        <v>49766</v>
      </c>
      <c r="B260" s="4">
        <f>21.5315 * CHOOSE(CONTROL!$C$9, $C$13, 100%, $E$13) + CHOOSE(CONTROL!$C$28, 0.0003, 0)</f>
        <v>21.5318</v>
      </c>
      <c r="C260" s="4">
        <f>21.219 * CHOOSE(CONTROL!$C$9, $C$13, 100%, $E$13) + CHOOSE(CONTROL!$C$28, 0.0003, 0)</f>
        <v>21.2193</v>
      </c>
      <c r="D260" s="4">
        <f>28.2092 * CHOOSE(CONTROL!$C$9, $C$13, 100%, $E$13) + CHOOSE(CONTROL!$C$28, 0, 0)</f>
        <v>28.209199999999999</v>
      </c>
      <c r="E260" s="4">
        <f>126.104739188997 * CHOOSE(CONTROL!$C$9, $C$13, 100%, $E$13) + CHOOSE(CONTROL!$C$28, 0, 0)</f>
        <v>126.104739188997</v>
      </c>
    </row>
    <row r="261" spans="1:5" ht="15">
      <c r="A261" s="14">
        <v>49796</v>
      </c>
      <c r="B261" s="4">
        <f>22.0022 * CHOOSE(CONTROL!$C$9, $C$13, 100%, $E$13) + CHOOSE(CONTROL!$C$28, 0.0197, 0)</f>
        <v>22.021899999999999</v>
      </c>
      <c r="C261" s="4">
        <f>21.6897 * CHOOSE(CONTROL!$C$9, $C$13, 100%, $E$13) + CHOOSE(CONTROL!$C$28, 0.0197, 0)</f>
        <v>21.709399999999999</v>
      </c>
      <c r="D261" s="4">
        <f>27.9062 * CHOOSE(CONTROL!$C$9, $C$13, 100%, $E$13) + CHOOSE(CONTROL!$C$28, 0, 0)</f>
        <v>27.906199999999998</v>
      </c>
      <c r="E261" s="4">
        <f>129.124358789501 * CHOOSE(CONTROL!$C$9, $C$13, 100%, $E$13) + CHOOSE(CONTROL!$C$28, 0, 0)</f>
        <v>129.124358789501</v>
      </c>
    </row>
    <row r="262" spans="1:5" ht="15">
      <c r="A262" s="14">
        <v>49827</v>
      </c>
      <c r="B262" s="4">
        <f>22.0659 * CHOOSE(CONTROL!$C$9, $C$13, 100%, $E$13) + CHOOSE(CONTROL!$C$28, 0.0197, 0)</f>
        <v>22.085599999999999</v>
      </c>
      <c r="C262" s="4">
        <f>21.7534 * CHOOSE(CONTROL!$C$9, $C$13, 100%, $E$13) + CHOOSE(CONTROL!$C$28, 0.0197, 0)</f>
        <v>21.773099999999999</v>
      </c>
      <c r="D262" s="4">
        <f>28.153 * CHOOSE(CONTROL!$C$9, $C$13, 100%, $E$13) + CHOOSE(CONTROL!$C$28, 0, 0)</f>
        <v>28.152999999999999</v>
      </c>
      <c r="E262" s="4">
        <f>129.532925853128 * CHOOSE(CONTROL!$C$9, $C$13, 100%, $E$13) + CHOOSE(CONTROL!$C$28, 0, 0)</f>
        <v>129.53292585312801</v>
      </c>
    </row>
    <row r="263" spans="1:5" ht="15">
      <c r="A263" s="14">
        <v>49857</v>
      </c>
      <c r="B263" s="4">
        <f>22.0594 * CHOOSE(CONTROL!$C$9, $C$13, 100%, $E$13) + CHOOSE(CONTROL!$C$28, 0.0197, 0)</f>
        <v>22.0791</v>
      </c>
      <c r="C263" s="4">
        <f>21.7469 * CHOOSE(CONTROL!$C$9, $C$13, 100%, $E$13) + CHOOSE(CONTROL!$C$28, 0.0197, 0)</f>
        <v>21.7666</v>
      </c>
      <c r="D263" s="4">
        <f>28.5982 * CHOOSE(CONTROL!$C$9, $C$13, 100%, $E$13) + CHOOSE(CONTROL!$C$28, 0, 0)</f>
        <v>28.598199999999999</v>
      </c>
      <c r="E263" s="4">
        <f>129.491725813099 * CHOOSE(CONTROL!$C$9, $C$13, 100%, $E$13) + CHOOSE(CONTROL!$C$28, 0, 0)</f>
        <v>129.49172581309901</v>
      </c>
    </row>
    <row r="264" spans="1:5" ht="15">
      <c r="A264" s="14">
        <v>49888</v>
      </c>
      <c r="B264" s="4">
        <f>22.5427 * CHOOSE(CONTROL!$C$9, $C$13, 100%, $E$13) + CHOOSE(CONTROL!$C$28, 0.0197, 0)</f>
        <v>22.5624</v>
      </c>
      <c r="C264" s="4">
        <f>22.2302 * CHOOSE(CONTROL!$C$9, $C$13, 100%, $E$13) + CHOOSE(CONTROL!$C$28, 0.0197, 0)</f>
        <v>22.2499</v>
      </c>
      <c r="D264" s="4">
        <f>28.3042 * CHOOSE(CONTROL!$C$9, $C$13, 100%, $E$13) + CHOOSE(CONTROL!$C$28, 0, 0)</f>
        <v>28.304200000000002</v>
      </c>
      <c r="E264" s="4">
        <f>132.592028825328 * CHOOSE(CONTROL!$C$9, $C$13, 100%, $E$13) + CHOOSE(CONTROL!$C$28, 0, 0)</f>
        <v>132.59202882532799</v>
      </c>
    </row>
    <row r="265" spans="1:5" ht="15">
      <c r="A265" s="14">
        <v>49919</v>
      </c>
      <c r="B265" s="4">
        <f>21.7191 * CHOOSE(CONTROL!$C$9, $C$13, 100%, $E$13) + CHOOSE(CONTROL!$C$28, 0.0197, 0)</f>
        <v>21.738800000000001</v>
      </c>
      <c r="C265" s="4">
        <f>21.4066 * CHOOSE(CONTROL!$C$9, $C$13, 100%, $E$13) + CHOOSE(CONTROL!$C$28, 0.0197, 0)</f>
        <v>21.426300000000001</v>
      </c>
      <c r="D265" s="4">
        <f>28.1652 * CHOOSE(CONTROL!$C$9, $C$13, 100%, $E$13) + CHOOSE(CONTROL!$C$28, 0, 0)</f>
        <v>28.165199999999999</v>
      </c>
      <c r="E265" s="4">
        <f>127.308123691529 * CHOOSE(CONTROL!$C$9, $C$13, 100%, $E$13) + CHOOSE(CONTROL!$C$28, 0, 0)</f>
        <v>127.308123691529</v>
      </c>
    </row>
    <row r="266" spans="1:5" ht="15">
      <c r="A266" s="14">
        <v>49949</v>
      </c>
      <c r="B266" s="4">
        <f>21.0597 * CHOOSE(CONTROL!$C$9, $C$13, 100%, $E$13) + CHOOSE(CONTROL!$C$28, 0.0003, 0)</f>
        <v>21.06</v>
      </c>
      <c r="C266" s="4">
        <f>20.7472 * CHOOSE(CONTROL!$C$9, $C$13, 100%, $E$13) + CHOOSE(CONTROL!$C$28, 0.0003, 0)</f>
        <v>20.747499999999999</v>
      </c>
      <c r="D266" s="4">
        <f>27.7932 * CHOOSE(CONTROL!$C$9, $C$13, 100%, $E$13) + CHOOSE(CONTROL!$C$28, 0, 0)</f>
        <v>27.793199999999999</v>
      </c>
      <c r="E266" s="4">
        <f>123.078252915154 * CHOOSE(CONTROL!$C$9, $C$13, 100%, $E$13) + CHOOSE(CONTROL!$C$28, 0, 0)</f>
        <v>123.078252915154</v>
      </c>
    </row>
    <row r="267" spans="1:5" ht="15">
      <c r="A267" s="14">
        <v>49980</v>
      </c>
      <c r="B267" s="4">
        <f>20.6351 * CHOOSE(CONTROL!$C$9, $C$13, 100%, $E$13) + CHOOSE(CONTROL!$C$28, 0.0003, 0)</f>
        <v>20.635400000000001</v>
      </c>
      <c r="C267" s="4">
        <f>20.3226 * CHOOSE(CONTROL!$C$9, $C$13, 100%, $E$13) + CHOOSE(CONTROL!$C$28, 0.0003, 0)</f>
        <v>20.322900000000001</v>
      </c>
      <c r="D267" s="4">
        <f>27.6653 * CHOOSE(CONTROL!$C$9, $C$13, 100%, $E$13) + CHOOSE(CONTROL!$C$28, 0, 0)</f>
        <v>27.665299999999998</v>
      </c>
      <c r="E267" s="4">
        <f>120.353900268196 * CHOOSE(CONTROL!$C$9, $C$13, 100%, $E$13) + CHOOSE(CONTROL!$C$28, 0, 0)</f>
        <v>120.353900268196</v>
      </c>
    </row>
    <row r="268" spans="1:5" ht="15">
      <c r="A268" s="14">
        <v>50010</v>
      </c>
      <c r="B268" s="4">
        <f>20.3413 * CHOOSE(CONTROL!$C$9, $C$13, 100%, $E$13) + CHOOSE(CONTROL!$C$28, 0.0003, 0)</f>
        <v>20.3416</v>
      </c>
      <c r="C268" s="4">
        <f>20.0288 * CHOOSE(CONTROL!$C$9, $C$13, 100%, $E$13) + CHOOSE(CONTROL!$C$28, 0.0003, 0)</f>
        <v>20.0291</v>
      </c>
      <c r="D268" s="4">
        <f>26.7237 * CHOOSE(CONTROL!$C$9, $C$13, 100%, $E$13) + CHOOSE(CONTROL!$C$28, 0, 0)</f>
        <v>26.723700000000001</v>
      </c>
      <c r="E268" s="4">
        <f>118.468998436841 * CHOOSE(CONTROL!$C$9, $C$13, 100%, $E$13) + CHOOSE(CONTROL!$C$28, 0, 0)</f>
        <v>118.46899843684101</v>
      </c>
    </row>
    <row r="269" spans="1:5" ht="15">
      <c r="A269" s="14">
        <v>50041</v>
      </c>
      <c r="B269" s="4">
        <f>19.8639 * CHOOSE(CONTROL!$C$9, $C$13, 100%, $E$13) + CHOOSE(CONTROL!$C$28, 0.0003, 0)</f>
        <v>19.8642</v>
      </c>
      <c r="C269" s="4">
        <f>19.5514 * CHOOSE(CONTROL!$C$9, $C$13, 100%, $E$13) + CHOOSE(CONTROL!$C$28, 0.0003, 0)</f>
        <v>19.5517</v>
      </c>
      <c r="D269" s="4">
        <f>25.8582 * CHOOSE(CONTROL!$C$9, $C$13, 100%, $E$13) + CHOOSE(CONTROL!$C$28, 0, 0)</f>
        <v>25.8582</v>
      </c>
      <c r="E269" s="4">
        <f>115.071759011111 * CHOOSE(CONTROL!$C$9, $C$13, 100%, $E$13) + CHOOSE(CONTROL!$C$28, 0, 0)</f>
        <v>115.071759011111</v>
      </c>
    </row>
    <row r="270" spans="1:5" ht="15">
      <c r="A270" s="14">
        <v>50072</v>
      </c>
      <c r="B270" s="4">
        <f>20.291 * CHOOSE(CONTROL!$C$9, $C$13, 100%, $E$13) + CHOOSE(CONTROL!$C$28, 0.0003, 0)</f>
        <v>20.2913</v>
      </c>
      <c r="C270" s="4">
        <f>19.9785 * CHOOSE(CONTROL!$C$9, $C$13, 100%, $E$13) + CHOOSE(CONTROL!$C$28, 0.0003, 0)</f>
        <v>19.9788</v>
      </c>
      <c r="D270" s="4">
        <f>26.7297 * CHOOSE(CONTROL!$C$9, $C$13, 100%, $E$13) + CHOOSE(CONTROL!$C$28, 0, 0)</f>
        <v>26.729700000000001</v>
      </c>
      <c r="E270" s="4">
        <f>117.804016057416 * CHOOSE(CONTROL!$C$9, $C$13, 100%, $E$13) + CHOOSE(CONTROL!$C$28, 0, 0)</f>
        <v>117.80401605741601</v>
      </c>
    </row>
    <row r="271" spans="1:5" ht="15">
      <c r="A271" s="14">
        <v>50100</v>
      </c>
      <c r="B271" s="4">
        <f>21.4127 * CHOOSE(CONTROL!$C$9, $C$13, 100%, $E$13) + CHOOSE(CONTROL!$C$28, 0.0003, 0)</f>
        <v>21.413</v>
      </c>
      <c r="C271" s="4">
        <f>21.1002 * CHOOSE(CONTROL!$C$9, $C$13, 100%, $E$13) + CHOOSE(CONTROL!$C$28, 0.0003, 0)</f>
        <v>21.1005</v>
      </c>
      <c r="D271" s="4">
        <f>28.094 * CHOOSE(CONTROL!$C$9, $C$13, 100%, $E$13) + CHOOSE(CONTROL!$C$28, 0, 0)</f>
        <v>28.094000000000001</v>
      </c>
      <c r="E271" s="4">
        <f>124.979068261971 * CHOOSE(CONTROL!$C$9, $C$13, 100%, $E$13) + CHOOSE(CONTROL!$C$28, 0, 0)</f>
        <v>124.97906826197099</v>
      </c>
    </row>
    <row r="272" spans="1:5" ht="15">
      <c r="A272" s="14">
        <v>50131</v>
      </c>
      <c r="B272" s="4">
        <f>22.2096 * CHOOSE(CONTROL!$C$9, $C$13, 100%, $E$13) + CHOOSE(CONTROL!$C$28, 0.0003, 0)</f>
        <v>22.209899999999998</v>
      </c>
      <c r="C272" s="4">
        <f>21.8971 * CHOOSE(CONTROL!$C$9, $C$13, 100%, $E$13) + CHOOSE(CONTROL!$C$28, 0.0003, 0)</f>
        <v>21.897399999999998</v>
      </c>
      <c r="D272" s="4">
        <f>28.8799 * CHOOSE(CONTROL!$C$9, $C$13, 100%, $E$13) + CHOOSE(CONTROL!$C$28, 0, 0)</f>
        <v>28.879899999999999</v>
      </c>
      <c r="E272" s="4">
        <f>130.07703847345 * CHOOSE(CONTROL!$C$9, $C$13, 100%, $E$13) + CHOOSE(CONTROL!$C$28, 0, 0)</f>
        <v>130.07703847344999</v>
      </c>
    </row>
    <row r="273" spans="1:5" ht="15">
      <c r="A273" s="14">
        <v>50161</v>
      </c>
      <c r="B273" s="4">
        <f>22.6966 * CHOOSE(CONTROL!$C$9, $C$13, 100%, $E$13) + CHOOSE(CONTROL!$C$28, 0.0197, 0)</f>
        <v>22.7163</v>
      </c>
      <c r="C273" s="4">
        <f>22.3841 * CHOOSE(CONTROL!$C$9, $C$13, 100%, $E$13) + CHOOSE(CONTROL!$C$28, 0.0197, 0)</f>
        <v>22.4038</v>
      </c>
      <c r="D273" s="4">
        <f>28.5693 * CHOOSE(CONTROL!$C$9, $C$13, 100%, $E$13) + CHOOSE(CONTROL!$C$28, 0, 0)</f>
        <v>28.569299999999998</v>
      </c>
      <c r="E273" s="4">
        <f>133.191776091371 * CHOOSE(CONTROL!$C$9, $C$13, 100%, $E$13) + CHOOSE(CONTROL!$C$28, 0, 0)</f>
        <v>133.191776091371</v>
      </c>
    </row>
    <row r="274" spans="1:5" ht="15">
      <c r="A274" s="14">
        <v>50192</v>
      </c>
      <c r="B274" s="4">
        <f>22.7624 * CHOOSE(CONTROL!$C$9, $C$13, 100%, $E$13) + CHOOSE(CONTROL!$C$28, 0.0197, 0)</f>
        <v>22.7821</v>
      </c>
      <c r="C274" s="4">
        <f>22.4499 * CHOOSE(CONTROL!$C$9, $C$13, 100%, $E$13) + CHOOSE(CONTROL!$C$28, 0.0197, 0)</f>
        <v>22.4696</v>
      </c>
      <c r="D274" s="4">
        <f>28.8222 * CHOOSE(CONTROL!$C$9, $C$13, 100%, $E$13) + CHOOSE(CONTROL!$C$28, 0, 0)</f>
        <v>28.822199999999999</v>
      </c>
      <c r="E274" s="4">
        <f>133.613213017502 * CHOOSE(CONTROL!$C$9, $C$13, 100%, $E$13) + CHOOSE(CONTROL!$C$28, 0, 0)</f>
        <v>133.61321301750201</v>
      </c>
    </row>
    <row r="275" spans="1:5" ht="15">
      <c r="A275" s="14">
        <v>50222</v>
      </c>
      <c r="B275" s="4">
        <f>22.7558 * CHOOSE(CONTROL!$C$9, $C$13, 100%, $E$13) + CHOOSE(CONTROL!$C$28, 0.0197, 0)</f>
        <v>22.775500000000001</v>
      </c>
      <c r="C275" s="4">
        <f>22.4433 * CHOOSE(CONTROL!$C$9, $C$13, 100%, $E$13) + CHOOSE(CONTROL!$C$28, 0.0197, 0)</f>
        <v>22.463000000000001</v>
      </c>
      <c r="D275" s="4">
        <f>29.2786 * CHOOSE(CONTROL!$C$9, $C$13, 100%, $E$13) + CHOOSE(CONTROL!$C$28, 0, 0)</f>
        <v>29.278600000000001</v>
      </c>
      <c r="E275" s="4">
        <f>133.570715176211 * CHOOSE(CONTROL!$C$9, $C$13, 100%, $E$13) + CHOOSE(CONTROL!$C$28, 0, 0)</f>
        <v>133.570715176211</v>
      </c>
    </row>
    <row r="276" spans="1:5" ht="15">
      <c r="A276" s="14">
        <v>50253</v>
      </c>
      <c r="B276" s="4">
        <f>23.2557 * CHOOSE(CONTROL!$C$9, $C$13, 100%, $E$13) + CHOOSE(CONTROL!$C$28, 0.0197, 0)</f>
        <v>23.275400000000001</v>
      </c>
      <c r="C276" s="4">
        <f>22.9432 * CHOOSE(CONTROL!$C$9, $C$13, 100%, $E$13) + CHOOSE(CONTROL!$C$28, 0.0197, 0)</f>
        <v>22.962900000000001</v>
      </c>
      <c r="D276" s="4">
        <f>28.9772 * CHOOSE(CONTROL!$C$9, $C$13, 100%, $E$13) + CHOOSE(CONTROL!$C$28, 0, 0)</f>
        <v>28.9772</v>
      </c>
      <c r="E276" s="4">
        <f>136.768677733326 * CHOOSE(CONTROL!$C$9, $C$13, 100%, $E$13) + CHOOSE(CONTROL!$C$28, 0, 0)</f>
        <v>136.768677733326</v>
      </c>
    </row>
    <row r="277" spans="1:5" ht="15">
      <c r="A277" s="14">
        <v>50284</v>
      </c>
      <c r="B277" s="4">
        <f>22.4037 * CHOOSE(CONTROL!$C$9, $C$13, 100%, $E$13) + CHOOSE(CONTROL!$C$28, 0.0197, 0)</f>
        <v>22.423400000000001</v>
      </c>
      <c r="C277" s="4">
        <f>22.0912 * CHOOSE(CONTROL!$C$9, $C$13, 100%, $E$13) + CHOOSE(CONTROL!$C$28, 0.0197, 0)</f>
        <v>22.110900000000001</v>
      </c>
      <c r="D277" s="4">
        <f>28.8348 * CHOOSE(CONTROL!$C$9, $C$13, 100%, $E$13) + CHOOSE(CONTROL!$C$28, 0, 0)</f>
        <v>28.834800000000001</v>
      </c>
      <c r="E277" s="4">
        <f>131.318329587812 * CHOOSE(CONTROL!$C$9, $C$13, 100%, $E$13) + CHOOSE(CONTROL!$C$28, 0, 0)</f>
        <v>131.318329587812</v>
      </c>
    </row>
    <row r="278" spans="1:5" ht="15">
      <c r="A278" s="14">
        <v>50314</v>
      </c>
      <c r="B278" s="4">
        <f>21.7216 * CHOOSE(CONTROL!$C$9, $C$13, 100%, $E$13) + CHOOSE(CONTROL!$C$28, 0.0003, 0)</f>
        <v>21.721899999999998</v>
      </c>
      <c r="C278" s="4">
        <f>21.4091 * CHOOSE(CONTROL!$C$9, $C$13, 100%, $E$13) + CHOOSE(CONTROL!$C$28, 0.0003, 0)</f>
        <v>21.409399999999998</v>
      </c>
      <c r="D278" s="4">
        <f>28.4536 * CHOOSE(CONTROL!$C$9, $C$13, 100%, $E$13) + CHOOSE(CONTROL!$C$28, 0, 0)</f>
        <v>28.453600000000002</v>
      </c>
      <c r="E278" s="4">
        <f>126.955217881982 * CHOOSE(CONTROL!$C$9, $C$13, 100%, $E$13) + CHOOSE(CONTROL!$C$28, 0, 0)</f>
        <v>126.95521788198199</v>
      </c>
    </row>
    <row r="279" spans="1:5" ht="15">
      <c r="A279" s="14">
        <v>50345</v>
      </c>
      <c r="B279" s="4">
        <f>21.2823 * CHOOSE(CONTROL!$C$9, $C$13, 100%, $E$13) + CHOOSE(CONTROL!$C$28, 0.0003, 0)</f>
        <v>21.282599999999999</v>
      </c>
      <c r="C279" s="4">
        <f>20.9698 * CHOOSE(CONTROL!$C$9, $C$13, 100%, $E$13) + CHOOSE(CONTROL!$C$28, 0.0003, 0)</f>
        <v>20.970099999999999</v>
      </c>
      <c r="D279" s="4">
        <f>28.3225 * CHOOSE(CONTROL!$C$9, $C$13, 100%, $E$13) + CHOOSE(CONTROL!$C$28, 0, 0)</f>
        <v>28.322500000000002</v>
      </c>
      <c r="E279" s="4">
        <f>124.145048126644 * CHOOSE(CONTROL!$C$9, $C$13, 100%, $E$13) + CHOOSE(CONTROL!$C$28, 0, 0)</f>
        <v>124.145048126644</v>
      </c>
    </row>
    <row r="280" spans="1:5" ht="15">
      <c r="A280" s="14">
        <v>50375</v>
      </c>
      <c r="B280" s="4">
        <f>20.9784 * CHOOSE(CONTROL!$C$9, $C$13, 100%, $E$13) + CHOOSE(CONTROL!$C$28, 0.0003, 0)</f>
        <v>20.9787</v>
      </c>
      <c r="C280" s="4">
        <f>20.6659 * CHOOSE(CONTROL!$C$9, $C$13, 100%, $E$13) + CHOOSE(CONTROL!$C$28, 0.0003, 0)</f>
        <v>20.6662</v>
      </c>
      <c r="D280" s="4">
        <f>27.3575 * CHOOSE(CONTROL!$C$9, $C$13, 100%, $E$13) + CHOOSE(CONTROL!$C$28, 0, 0)</f>
        <v>27.357500000000002</v>
      </c>
      <c r="E280" s="4">
        <f>122.200771887601 * CHOOSE(CONTROL!$C$9, $C$13, 100%, $E$13) + CHOOSE(CONTROL!$C$28, 0, 0)</f>
        <v>122.20077188760099</v>
      </c>
    </row>
    <row r="281" spans="1:5" ht="15">
      <c r="A281" s="13">
        <v>50436</v>
      </c>
      <c r="B281" s="4">
        <f>20.4845 * CHOOSE(CONTROL!$C$9, $C$13, 100%, $E$13) + CHOOSE(CONTROL!$C$28, 0.0003, 0)</f>
        <v>20.4848</v>
      </c>
      <c r="C281" s="4">
        <f>20.172 * CHOOSE(CONTROL!$C$9, $C$13, 100%, $E$13) + CHOOSE(CONTROL!$C$28, 0.0003, 0)</f>
        <v>20.1723</v>
      </c>
      <c r="D281" s="4">
        <f>26.4706 * CHOOSE(CONTROL!$C$9, $C$13, 100%, $E$13) + CHOOSE(CONTROL!$C$28, 0, 0)</f>
        <v>26.470600000000001</v>
      </c>
      <c r="E281" s="4">
        <f>118.696519419961 * CHOOSE(CONTROL!$C$9, $C$13, 100%, $E$13) + CHOOSE(CONTROL!$C$28, 0, 0)</f>
        <v>118.69651941996101</v>
      </c>
    </row>
    <row r="282" spans="1:5" ht="15">
      <c r="A282" s="13">
        <v>50464</v>
      </c>
      <c r="B282" s="4">
        <f>20.9264 * CHOOSE(CONTROL!$C$9, $C$13, 100%, $E$13) + CHOOSE(CONTROL!$C$28, 0.0003, 0)</f>
        <v>20.9267</v>
      </c>
      <c r="C282" s="4">
        <f>20.6139 * CHOOSE(CONTROL!$C$9, $C$13, 100%, $E$13) + CHOOSE(CONTROL!$C$28, 0.0003, 0)</f>
        <v>20.6142</v>
      </c>
      <c r="D282" s="4">
        <f>27.3637 * CHOOSE(CONTROL!$C$9, $C$13, 100%, $E$13) + CHOOSE(CONTROL!$C$28, 0, 0)</f>
        <v>27.363700000000001</v>
      </c>
      <c r="E282" s="4">
        <f>121.514842563225 * CHOOSE(CONTROL!$C$9, $C$13, 100%, $E$13) + CHOOSE(CONTROL!$C$28, 0, 0)</f>
        <v>121.514842563225</v>
      </c>
    </row>
    <row r="283" spans="1:5" ht="15">
      <c r="A283" s="13">
        <v>50495</v>
      </c>
      <c r="B283" s="4">
        <f>22.0867 * CHOOSE(CONTROL!$C$9, $C$13, 100%, $E$13) + CHOOSE(CONTROL!$C$28, 0.0003, 0)</f>
        <v>22.087</v>
      </c>
      <c r="C283" s="4">
        <f>21.7742 * CHOOSE(CONTROL!$C$9, $C$13, 100%, $E$13) + CHOOSE(CONTROL!$C$28, 0.0003, 0)</f>
        <v>21.7745</v>
      </c>
      <c r="D283" s="4">
        <f>28.7618 * CHOOSE(CONTROL!$C$9, $C$13, 100%, $E$13) + CHOOSE(CONTROL!$C$28, 0, 0)</f>
        <v>28.761800000000001</v>
      </c>
      <c r="E283" s="4">
        <f>128.915908912223 * CHOOSE(CONTROL!$C$9, $C$13, 100%, $E$13) + CHOOSE(CONTROL!$C$28, 0, 0)</f>
        <v>128.91590891222299</v>
      </c>
    </row>
    <row r="284" spans="1:5" ht="15">
      <c r="A284" s="13">
        <v>50525</v>
      </c>
      <c r="B284" s="4">
        <f>22.9112 * CHOOSE(CONTROL!$C$9, $C$13, 100%, $E$13) + CHOOSE(CONTROL!$C$28, 0.0003, 0)</f>
        <v>22.9115</v>
      </c>
      <c r="C284" s="4">
        <f>22.5987 * CHOOSE(CONTROL!$C$9, $C$13, 100%, $E$13) + CHOOSE(CONTROL!$C$28, 0.0003, 0)</f>
        <v>22.599</v>
      </c>
      <c r="D284" s="4">
        <f>29.5672 * CHOOSE(CONTROL!$C$9, $C$13, 100%, $E$13) + CHOOSE(CONTROL!$C$28, 0, 0)</f>
        <v>29.5672</v>
      </c>
      <c r="E284" s="4">
        <f>134.174465185364 * CHOOSE(CONTROL!$C$9, $C$13, 100%, $E$13) + CHOOSE(CONTROL!$C$28, 0, 0)</f>
        <v>134.174465185364</v>
      </c>
    </row>
    <row r="285" spans="1:5" ht="15">
      <c r="A285" s="13">
        <v>50556</v>
      </c>
      <c r="B285" s="4">
        <f>23.4149 * CHOOSE(CONTROL!$C$9, $C$13, 100%, $E$13) + CHOOSE(CONTROL!$C$28, 0.0197, 0)</f>
        <v>23.4346</v>
      </c>
      <c r="C285" s="4">
        <f>23.1024 * CHOOSE(CONTROL!$C$9, $C$13, 100%, $E$13) + CHOOSE(CONTROL!$C$28, 0.0197, 0)</f>
        <v>23.1221</v>
      </c>
      <c r="D285" s="4">
        <f>29.249 * CHOOSE(CONTROL!$C$9, $C$13, 100%, $E$13) + CHOOSE(CONTROL!$C$28, 0, 0)</f>
        <v>29.248999999999999</v>
      </c>
      <c r="E285" s="4">
        <f>137.387317038249 * CHOOSE(CONTROL!$C$9, $C$13, 100%, $E$13) + CHOOSE(CONTROL!$C$28, 0, 0)</f>
        <v>137.38731703824899</v>
      </c>
    </row>
    <row r="286" spans="1:5" ht="15">
      <c r="A286" s="13">
        <v>50586</v>
      </c>
      <c r="B286" s="4">
        <f>23.4831 * CHOOSE(CONTROL!$C$9, $C$13, 100%, $E$13) + CHOOSE(CONTROL!$C$28, 0.0197, 0)</f>
        <v>23.502800000000001</v>
      </c>
      <c r="C286" s="4">
        <f>23.1706 * CHOOSE(CONTROL!$C$9, $C$13, 100%, $E$13) + CHOOSE(CONTROL!$C$28, 0.0197, 0)</f>
        <v>23.190300000000001</v>
      </c>
      <c r="D286" s="4">
        <f>29.5081 * CHOOSE(CONTROL!$C$9, $C$13, 100%, $E$13) + CHOOSE(CONTROL!$C$28, 0, 0)</f>
        <v>29.508099999999999</v>
      </c>
      <c r="E286" s="4">
        <f>137.822029227553 * CHOOSE(CONTROL!$C$9, $C$13, 100%, $E$13) + CHOOSE(CONTROL!$C$28, 0, 0)</f>
        <v>137.822029227553</v>
      </c>
    </row>
    <row r="287" spans="1:5" ht="15">
      <c r="A287" s="13">
        <v>50617</v>
      </c>
      <c r="B287" s="4">
        <f>23.4762 * CHOOSE(CONTROL!$C$9, $C$13, 100%, $E$13) + CHOOSE(CONTROL!$C$28, 0.0197, 0)</f>
        <v>23.495899999999999</v>
      </c>
      <c r="C287" s="4">
        <f>23.1637 * CHOOSE(CONTROL!$C$9, $C$13, 100%, $E$13) + CHOOSE(CONTROL!$C$28, 0.0197, 0)</f>
        <v>23.183399999999999</v>
      </c>
      <c r="D287" s="4">
        <f>29.9758 * CHOOSE(CONTROL!$C$9, $C$13, 100%, $E$13) + CHOOSE(CONTROL!$C$28, 0, 0)</f>
        <v>29.9758</v>
      </c>
      <c r="E287" s="4">
        <f>137.778192704262 * CHOOSE(CONTROL!$C$9, $C$13, 100%, $E$13) + CHOOSE(CONTROL!$C$28, 0, 0)</f>
        <v>137.77819270426201</v>
      </c>
    </row>
    <row r="288" spans="1:5" ht="15">
      <c r="A288" s="13">
        <v>50648</v>
      </c>
      <c r="B288" s="4">
        <f>23.9934 * CHOOSE(CONTROL!$C$9, $C$13, 100%, $E$13) + CHOOSE(CONTROL!$C$28, 0.0197, 0)</f>
        <v>24.013100000000001</v>
      </c>
      <c r="C288" s="4">
        <f>23.6809 * CHOOSE(CONTROL!$C$9, $C$13, 100%, $E$13) + CHOOSE(CONTROL!$C$28, 0.0197, 0)</f>
        <v>23.700600000000001</v>
      </c>
      <c r="D288" s="4">
        <f>29.6669 * CHOOSE(CONTROL!$C$9, $C$13, 100%, $E$13) + CHOOSE(CONTROL!$C$28, 0, 0)</f>
        <v>29.666899999999998</v>
      </c>
      <c r="E288" s="4">
        <f>141.076891081925 * CHOOSE(CONTROL!$C$9, $C$13, 100%, $E$13) + CHOOSE(CONTROL!$C$28, 0, 0)</f>
        <v>141.076891081925</v>
      </c>
    </row>
    <row r="289" spans="1:5" ht="15">
      <c r="A289" s="13">
        <v>50678</v>
      </c>
      <c r="B289" s="4">
        <f>23.1119 * CHOOSE(CONTROL!$C$9, $C$13, 100%, $E$13) + CHOOSE(CONTROL!$C$28, 0.0197, 0)</f>
        <v>23.131599999999999</v>
      </c>
      <c r="C289" s="4">
        <f>22.7994 * CHOOSE(CONTROL!$C$9, $C$13, 100%, $E$13) + CHOOSE(CONTROL!$C$28, 0.0197, 0)</f>
        <v>22.819099999999999</v>
      </c>
      <c r="D289" s="4">
        <f>29.521 * CHOOSE(CONTROL!$C$9, $C$13, 100%, $E$13) + CHOOSE(CONTROL!$C$28, 0, 0)</f>
        <v>29.521000000000001</v>
      </c>
      <c r="E289" s="4">
        <f>135.454856969828 * CHOOSE(CONTROL!$C$9, $C$13, 100%, $E$13) + CHOOSE(CONTROL!$C$28, 0, 0)</f>
        <v>135.454856969828</v>
      </c>
    </row>
    <row r="290" spans="1:5" ht="15">
      <c r="A290" s="13">
        <v>50709</v>
      </c>
      <c r="B290" s="4">
        <f>22.4063 * CHOOSE(CONTROL!$C$9, $C$13, 100%, $E$13) + CHOOSE(CONTROL!$C$28, 0.0003, 0)</f>
        <v>22.406600000000001</v>
      </c>
      <c r="C290" s="4">
        <f>22.0938 * CHOOSE(CONTROL!$C$9, $C$13, 100%, $E$13) + CHOOSE(CONTROL!$C$28, 0.0003, 0)</f>
        <v>22.094100000000001</v>
      </c>
      <c r="D290" s="4">
        <f>29.1303 * CHOOSE(CONTROL!$C$9, $C$13, 100%, $E$13) + CHOOSE(CONTROL!$C$28, 0, 0)</f>
        <v>29.130299999999998</v>
      </c>
      <c r="E290" s="4">
        <f>130.954307245264 * CHOOSE(CONTROL!$C$9, $C$13, 100%, $E$13) + CHOOSE(CONTROL!$C$28, 0, 0)</f>
        <v>130.954307245264</v>
      </c>
    </row>
    <row r="291" spans="1:5" ht="15">
      <c r="A291" s="13">
        <v>50739</v>
      </c>
      <c r="B291" s="4">
        <f>21.9519 * CHOOSE(CONTROL!$C$9, $C$13, 100%, $E$13) + CHOOSE(CONTROL!$C$28, 0.0003, 0)</f>
        <v>21.952199999999998</v>
      </c>
      <c r="C291" s="4">
        <f>21.6394 * CHOOSE(CONTROL!$C$9, $C$13, 100%, $E$13) + CHOOSE(CONTROL!$C$28, 0.0003, 0)</f>
        <v>21.639699999999998</v>
      </c>
      <c r="D291" s="4">
        <f>28.996 * CHOOSE(CONTROL!$C$9, $C$13, 100%, $E$13) + CHOOSE(CONTROL!$C$28, 0, 0)</f>
        <v>28.995999999999999</v>
      </c>
      <c r="E291" s="4">
        <f>128.055617142633 * CHOOSE(CONTROL!$C$9, $C$13, 100%, $E$13) + CHOOSE(CONTROL!$C$28, 0, 0)</f>
        <v>128.055617142633</v>
      </c>
    </row>
    <row r="292" spans="1:5" ht="15">
      <c r="A292" s="13">
        <v>50770</v>
      </c>
      <c r="B292" s="4">
        <f>21.6374 * CHOOSE(CONTROL!$C$9, $C$13, 100%, $E$13) + CHOOSE(CONTROL!$C$28, 0.0003, 0)</f>
        <v>21.637699999999999</v>
      </c>
      <c r="C292" s="4">
        <f>21.3249 * CHOOSE(CONTROL!$C$9, $C$13, 100%, $E$13) + CHOOSE(CONTROL!$C$28, 0.0003, 0)</f>
        <v>21.325199999999999</v>
      </c>
      <c r="D292" s="4">
        <f>28.0071 * CHOOSE(CONTROL!$C$9, $C$13, 100%, $E$13) + CHOOSE(CONTROL!$C$28, 0, 0)</f>
        <v>28.007100000000001</v>
      </c>
      <c r="E292" s="4">
        <f>126.050096202061 * CHOOSE(CONTROL!$C$9, $C$13, 100%, $E$13) + CHOOSE(CONTROL!$C$28, 0, 0)</f>
        <v>126.050096202061</v>
      </c>
    </row>
    <row r="293" spans="1:5" ht="15">
      <c r="A293" s="13">
        <v>50801</v>
      </c>
      <c r="B293" s="4">
        <f>21.1265 * CHOOSE(CONTROL!$C$9, $C$13, 100%, $E$13) + CHOOSE(CONTROL!$C$28, 0.0003, 0)</f>
        <v>21.126799999999999</v>
      </c>
      <c r="C293" s="4">
        <f>20.814 * CHOOSE(CONTROL!$C$9, $C$13, 100%, $E$13) + CHOOSE(CONTROL!$C$28, 0.0003, 0)</f>
        <v>20.814299999999999</v>
      </c>
      <c r="D293" s="4">
        <f>27.0982 * CHOOSE(CONTROL!$C$9, $C$13, 100%, $E$13) + CHOOSE(CONTROL!$C$28, 0, 0)</f>
        <v>27.098199999999999</v>
      </c>
      <c r="E293" s="4">
        <f>122.435459781689 * CHOOSE(CONTROL!$C$9, $C$13, 100%, $E$13) + CHOOSE(CONTROL!$C$28, 0, 0)</f>
        <v>122.435459781689</v>
      </c>
    </row>
    <row r="294" spans="1:5" ht="15">
      <c r="A294" s="13">
        <v>50829</v>
      </c>
      <c r="B294" s="4">
        <f>21.5837 * CHOOSE(CONTROL!$C$9, $C$13, 100%, $E$13) + CHOOSE(CONTROL!$C$28, 0.0003, 0)</f>
        <v>21.584</v>
      </c>
      <c r="C294" s="4">
        <f>21.2712 * CHOOSE(CONTROL!$C$9, $C$13, 100%, $E$13) + CHOOSE(CONTROL!$C$28, 0.0003, 0)</f>
        <v>21.2715</v>
      </c>
      <c r="D294" s="4">
        <f>28.0134 * CHOOSE(CONTROL!$C$9, $C$13, 100%, $E$13) + CHOOSE(CONTROL!$C$28, 0, 0)</f>
        <v>28.013400000000001</v>
      </c>
      <c r="E294" s="4">
        <f>125.342560103966 * CHOOSE(CONTROL!$C$9, $C$13, 100%, $E$13) + CHOOSE(CONTROL!$C$28, 0, 0)</f>
        <v>125.34256010396599</v>
      </c>
    </row>
    <row r="295" spans="1:5" ht="15">
      <c r="A295" s="13">
        <v>50860</v>
      </c>
      <c r="B295" s="4">
        <f>22.784 * CHOOSE(CONTROL!$C$9, $C$13, 100%, $E$13) + CHOOSE(CONTROL!$C$28, 0.0003, 0)</f>
        <v>22.784299999999998</v>
      </c>
      <c r="C295" s="4">
        <f>22.4715 * CHOOSE(CONTROL!$C$9, $C$13, 100%, $E$13) + CHOOSE(CONTROL!$C$28, 0.0003, 0)</f>
        <v>22.471799999999998</v>
      </c>
      <c r="D295" s="4">
        <f>29.4462 * CHOOSE(CONTROL!$C$9, $C$13, 100%, $E$13) + CHOOSE(CONTROL!$C$28, 0, 0)</f>
        <v>29.446200000000001</v>
      </c>
      <c r="E295" s="4">
        <f>132.976760042958 * CHOOSE(CONTROL!$C$9, $C$13, 100%, $E$13) + CHOOSE(CONTROL!$C$28, 0, 0)</f>
        <v>132.97676004295801</v>
      </c>
    </row>
    <row r="296" spans="1:5" ht="15">
      <c r="A296" s="13">
        <v>50890</v>
      </c>
      <c r="B296" s="4">
        <f>23.6369 * CHOOSE(CONTROL!$C$9, $C$13, 100%, $E$13) + CHOOSE(CONTROL!$C$28, 0.0003, 0)</f>
        <v>23.6372</v>
      </c>
      <c r="C296" s="4">
        <f>23.3244 * CHOOSE(CONTROL!$C$9, $C$13, 100%, $E$13) + CHOOSE(CONTROL!$C$28, 0.0003, 0)</f>
        <v>23.3247</v>
      </c>
      <c r="D296" s="4">
        <f>30.2716 * CHOOSE(CONTROL!$C$9, $C$13, 100%, $E$13) + CHOOSE(CONTROL!$C$28, 0, 0)</f>
        <v>30.271599999999999</v>
      </c>
      <c r="E296" s="4">
        <f>138.400960838703 * CHOOSE(CONTROL!$C$9, $C$13, 100%, $E$13) + CHOOSE(CONTROL!$C$28, 0, 0)</f>
        <v>138.40096083870301</v>
      </c>
    </row>
    <row r="297" spans="1:5" ht="15">
      <c r="A297" s="13">
        <v>50921</v>
      </c>
      <c r="B297" s="4">
        <f>24.158 * CHOOSE(CONTROL!$C$9, $C$13, 100%, $E$13) + CHOOSE(CONTROL!$C$28, 0.0197, 0)</f>
        <v>24.177700000000002</v>
      </c>
      <c r="C297" s="4">
        <f>23.8455 * CHOOSE(CONTROL!$C$9, $C$13, 100%, $E$13) + CHOOSE(CONTROL!$C$28, 0.0197, 0)</f>
        <v>23.865200000000002</v>
      </c>
      <c r="D297" s="4">
        <f>29.9454 * CHOOSE(CONTROL!$C$9, $C$13, 100%, $E$13) + CHOOSE(CONTROL!$C$28, 0, 0)</f>
        <v>29.945399999999999</v>
      </c>
      <c r="E297" s="4">
        <f>141.715017524954 * CHOOSE(CONTROL!$C$9, $C$13, 100%, $E$13) + CHOOSE(CONTROL!$C$28, 0, 0)</f>
        <v>141.71501752495399</v>
      </c>
    </row>
    <row r="298" spans="1:5" ht="15">
      <c r="A298" s="13">
        <v>50951</v>
      </c>
      <c r="B298" s="4">
        <f>24.2285 * CHOOSE(CONTROL!$C$9, $C$13, 100%, $E$13) + CHOOSE(CONTROL!$C$28, 0.0197, 0)</f>
        <v>24.248200000000001</v>
      </c>
      <c r="C298" s="4">
        <f>23.916 * CHOOSE(CONTROL!$C$9, $C$13, 100%, $E$13) + CHOOSE(CONTROL!$C$28, 0.0197, 0)</f>
        <v>23.935700000000001</v>
      </c>
      <c r="D298" s="4">
        <f>30.211 * CHOOSE(CONTROL!$C$9, $C$13, 100%, $E$13) + CHOOSE(CONTROL!$C$28, 0, 0)</f>
        <v>30.210999999999999</v>
      </c>
      <c r="E298" s="4">
        <f>142.163423148221 * CHOOSE(CONTROL!$C$9, $C$13, 100%, $E$13) + CHOOSE(CONTROL!$C$28, 0, 0)</f>
        <v>142.163423148221</v>
      </c>
    </row>
    <row r="299" spans="1:5" ht="15">
      <c r="A299" s="13">
        <v>50982</v>
      </c>
      <c r="B299" s="4">
        <f>24.2214 * CHOOSE(CONTROL!$C$9, $C$13, 100%, $E$13) + CHOOSE(CONTROL!$C$28, 0.0197, 0)</f>
        <v>24.241099999999999</v>
      </c>
      <c r="C299" s="4">
        <f>23.9089 * CHOOSE(CONTROL!$C$9, $C$13, 100%, $E$13) + CHOOSE(CONTROL!$C$28, 0.0197, 0)</f>
        <v>23.928599999999999</v>
      </c>
      <c r="D299" s="4">
        <f>30.6903 * CHOOSE(CONTROL!$C$9, $C$13, 100%, $E$13) + CHOOSE(CONTROL!$C$28, 0, 0)</f>
        <v>30.690300000000001</v>
      </c>
      <c r="E299" s="4">
        <f>142.118205774446 * CHOOSE(CONTROL!$C$9, $C$13, 100%, $E$13) + CHOOSE(CONTROL!$C$28, 0, 0)</f>
        <v>142.11820577444601</v>
      </c>
    </row>
    <row r="300" spans="1:5" ht="15">
      <c r="A300" s="13">
        <v>51013</v>
      </c>
      <c r="B300" s="4">
        <f>24.7564 * CHOOSE(CONTROL!$C$9, $C$13, 100%, $E$13) + CHOOSE(CONTROL!$C$28, 0.0197, 0)</f>
        <v>24.7761</v>
      </c>
      <c r="C300" s="4">
        <f>24.4439 * CHOOSE(CONTROL!$C$9, $C$13, 100%, $E$13) + CHOOSE(CONTROL!$C$28, 0.0197, 0)</f>
        <v>24.4636</v>
      </c>
      <c r="D300" s="4">
        <f>30.3738 * CHOOSE(CONTROL!$C$9, $C$13, 100%, $E$13) + CHOOSE(CONTROL!$C$28, 0, 0)</f>
        <v>30.373799999999999</v>
      </c>
      <c r="E300" s="4">
        <f>145.520813151006 * CHOOSE(CONTROL!$C$9, $C$13, 100%, $E$13) + CHOOSE(CONTROL!$C$28, 0, 0)</f>
        <v>145.520813151006</v>
      </c>
    </row>
    <row r="301" spans="1:5" ht="15">
      <c r="A301" s="13">
        <v>51043</v>
      </c>
      <c r="B301" s="4">
        <f>23.8446 * CHOOSE(CONTROL!$C$9, $C$13, 100%, $E$13) + CHOOSE(CONTROL!$C$28, 0.0197, 0)</f>
        <v>23.8643</v>
      </c>
      <c r="C301" s="4">
        <f>23.5321 * CHOOSE(CONTROL!$C$9, $C$13, 100%, $E$13) + CHOOSE(CONTROL!$C$28, 0.0197, 0)</f>
        <v>23.5518</v>
      </c>
      <c r="D301" s="4">
        <f>30.2242 * CHOOSE(CONTROL!$C$9, $C$13, 100%, $E$13) + CHOOSE(CONTROL!$C$28, 0, 0)</f>
        <v>30.2242</v>
      </c>
      <c r="E301" s="4">
        <f>139.721684964378 * CHOOSE(CONTROL!$C$9, $C$13, 100%, $E$13) + CHOOSE(CONTROL!$C$28, 0, 0)</f>
        <v>139.721684964378</v>
      </c>
    </row>
    <row r="302" spans="1:5" ht="15">
      <c r="A302" s="13">
        <v>51074</v>
      </c>
      <c r="B302" s="4">
        <f>23.1147 * CHOOSE(CONTROL!$C$9, $C$13, 100%, $E$13) + CHOOSE(CONTROL!$C$28, 0.0003, 0)</f>
        <v>23.114999999999998</v>
      </c>
      <c r="C302" s="4">
        <f>22.8022 * CHOOSE(CONTROL!$C$9, $C$13, 100%, $E$13) + CHOOSE(CONTROL!$C$28, 0.0003, 0)</f>
        <v>22.802499999999998</v>
      </c>
      <c r="D302" s="4">
        <f>29.8238 * CHOOSE(CONTROL!$C$9, $C$13, 100%, $E$13) + CHOOSE(CONTROL!$C$28, 0, 0)</f>
        <v>29.823799999999999</v>
      </c>
      <c r="E302" s="4">
        <f>135.07936792349 * CHOOSE(CONTROL!$C$9, $C$13, 100%, $E$13) + CHOOSE(CONTROL!$C$28, 0, 0)</f>
        <v>135.07936792349</v>
      </c>
    </row>
    <row r="303" spans="1:5" ht="15">
      <c r="A303" s="13">
        <v>51104</v>
      </c>
      <c r="B303" s="4">
        <f>22.6445 * CHOOSE(CONTROL!$C$9, $C$13, 100%, $E$13) + CHOOSE(CONTROL!$C$28, 0.0003, 0)</f>
        <v>22.6448</v>
      </c>
      <c r="C303" s="4">
        <f>22.332 * CHOOSE(CONTROL!$C$9, $C$13, 100%, $E$13) + CHOOSE(CONTROL!$C$28, 0.0003, 0)</f>
        <v>22.3323</v>
      </c>
      <c r="D303" s="4">
        <f>29.6862 * CHOOSE(CONTROL!$C$9, $C$13, 100%, $E$13) + CHOOSE(CONTROL!$C$28, 0, 0)</f>
        <v>29.686199999999999</v>
      </c>
      <c r="E303" s="4">
        <f>132.089369082626 * CHOOSE(CONTROL!$C$9, $C$13, 100%, $E$13) + CHOOSE(CONTROL!$C$28, 0, 0)</f>
        <v>132.08936908262601</v>
      </c>
    </row>
    <row r="304" spans="1:5" ht="15">
      <c r="A304" s="13">
        <v>51135</v>
      </c>
      <c r="B304" s="4">
        <f>22.3192 * CHOOSE(CONTROL!$C$9, $C$13, 100%, $E$13) + CHOOSE(CONTROL!$C$28, 0.0003, 0)</f>
        <v>22.319499999999998</v>
      </c>
      <c r="C304" s="4">
        <f>22.0067 * CHOOSE(CONTROL!$C$9, $C$13, 100%, $E$13) + CHOOSE(CONTROL!$C$28, 0.0003, 0)</f>
        <v>22.006999999999998</v>
      </c>
      <c r="D304" s="4">
        <f>28.6727 * CHOOSE(CONTROL!$C$9, $C$13, 100%, $E$13) + CHOOSE(CONTROL!$C$28, 0, 0)</f>
        <v>28.672699999999999</v>
      </c>
      <c r="E304" s="4">
        <f>130.020674232426 * CHOOSE(CONTROL!$C$9, $C$13, 100%, $E$13) + CHOOSE(CONTROL!$C$28, 0, 0)</f>
        <v>130.02067423242599</v>
      </c>
    </row>
    <row r="305" spans="1:5" ht="15">
      <c r="A305" s="13">
        <v>51166</v>
      </c>
      <c r="B305" s="4">
        <f>21.7907 * CHOOSE(CONTROL!$C$9, $C$13, 100%, $E$13) + CHOOSE(CONTROL!$C$28, 0.0003, 0)</f>
        <v>21.791</v>
      </c>
      <c r="C305" s="4">
        <f>21.4782 * CHOOSE(CONTROL!$C$9, $C$13, 100%, $E$13) + CHOOSE(CONTROL!$C$28, 0.0003, 0)</f>
        <v>21.4785</v>
      </c>
      <c r="D305" s="4">
        <f>27.7413 * CHOOSE(CONTROL!$C$9, $C$13, 100%, $E$13) + CHOOSE(CONTROL!$C$28, 0, 0)</f>
        <v>27.741299999999999</v>
      </c>
      <c r="E305" s="4">
        <f>126.292176764813 * CHOOSE(CONTROL!$C$9, $C$13, 100%, $E$13) + CHOOSE(CONTROL!$C$28, 0, 0)</f>
        <v>126.29217676481299</v>
      </c>
    </row>
    <row r="306" spans="1:5" ht="15">
      <c r="A306" s="13">
        <v>51194</v>
      </c>
      <c r="B306" s="4">
        <f>22.2636 * CHOOSE(CONTROL!$C$9, $C$13, 100%, $E$13) + CHOOSE(CONTROL!$C$28, 0.0003, 0)</f>
        <v>22.2639</v>
      </c>
      <c r="C306" s="4">
        <f>21.9511 * CHOOSE(CONTROL!$C$9, $C$13, 100%, $E$13) + CHOOSE(CONTROL!$C$28, 0.0003, 0)</f>
        <v>21.9514</v>
      </c>
      <c r="D306" s="4">
        <f>28.6793 * CHOOSE(CONTROL!$C$9, $C$13, 100%, $E$13) + CHOOSE(CONTROL!$C$28, 0, 0)</f>
        <v>28.679300000000001</v>
      </c>
      <c r="E306" s="4">
        <f>129.290850747241 * CHOOSE(CONTROL!$C$9, $C$13, 100%, $E$13) + CHOOSE(CONTROL!$C$28, 0, 0)</f>
        <v>129.290850747241</v>
      </c>
    </row>
    <row r="307" spans="1:5" ht="15">
      <c r="A307" s="13">
        <v>51226</v>
      </c>
      <c r="B307" s="4">
        <f>23.5054 * CHOOSE(CONTROL!$C$9, $C$13, 100%, $E$13) + CHOOSE(CONTROL!$C$28, 0.0003, 0)</f>
        <v>23.505700000000001</v>
      </c>
      <c r="C307" s="4">
        <f>23.1929 * CHOOSE(CONTROL!$C$9, $C$13, 100%, $E$13) + CHOOSE(CONTROL!$C$28, 0.0003, 0)</f>
        <v>23.193200000000001</v>
      </c>
      <c r="D307" s="4">
        <f>30.1476 * CHOOSE(CONTROL!$C$9, $C$13, 100%, $E$13) + CHOOSE(CONTROL!$C$28, 0, 0)</f>
        <v>30.147600000000001</v>
      </c>
      <c r="E307" s="4">
        <f>137.165527984311 * CHOOSE(CONTROL!$C$9, $C$13, 100%, $E$13) + CHOOSE(CONTROL!$C$28, 0, 0)</f>
        <v>137.16552798431101</v>
      </c>
    </row>
    <row r="308" spans="1:5" ht="15">
      <c r="A308" s="13">
        <v>51256</v>
      </c>
      <c r="B308" s="4">
        <f>24.3877 * CHOOSE(CONTROL!$C$9, $C$13, 100%, $E$13) + CHOOSE(CONTROL!$C$28, 0.0003, 0)</f>
        <v>24.387999999999998</v>
      </c>
      <c r="C308" s="4">
        <f>24.0752 * CHOOSE(CONTROL!$C$9, $C$13, 100%, $E$13) + CHOOSE(CONTROL!$C$28, 0.0003, 0)</f>
        <v>24.075499999999998</v>
      </c>
      <c r="D308" s="4">
        <f>30.9934 * CHOOSE(CONTROL!$C$9, $C$13, 100%, $E$13) + CHOOSE(CONTROL!$C$28, 0, 0)</f>
        <v>30.993400000000001</v>
      </c>
      <c r="E308" s="4">
        <f>142.760591105122 * CHOOSE(CONTROL!$C$9, $C$13, 100%, $E$13) + CHOOSE(CONTROL!$C$28, 0, 0)</f>
        <v>142.76059110512199</v>
      </c>
    </row>
    <row r="309" spans="1:5" ht="15">
      <c r="A309" s="13">
        <v>51287</v>
      </c>
      <c r="B309" s="4">
        <f>24.9268 * CHOOSE(CONTROL!$C$9, $C$13, 100%, $E$13) + CHOOSE(CONTROL!$C$28, 0.0197, 0)</f>
        <v>24.9465</v>
      </c>
      <c r="C309" s="4">
        <f>24.6143 * CHOOSE(CONTROL!$C$9, $C$13, 100%, $E$13) + CHOOSE(CONTROL!$C$28, 0.0197, 0)</f>
        <v>24.634</v>
      </c>
      <c r="D309" s="4">
        <f>30.6592 * CHOOSE(CONTROL!$C$9, $C$13, 100%, $E$13) + CHOOSE(CONTROL!$C$28, 0, 0)</f>
        <v>30.659199999999998</v>
      </c>
      <c r="E309" s="4">
        <f>146.17904057699 * CHOOSE(CONTROL!$C$9, $C$13, 100%, $E$13) + CHOOSE(CONTROL!$C$28, 0, 0)</f>
        <v>146.17904057698999</v>
      </c>
    </row>
    <row r="310" spans="1:5" ht="15">
      <c r="A310" s="13">
        <v>51317</v>
      </c>
      <c r="B310" s="4">
        <f>24.9997 * CHOOSE(CONTROL!$C$9, $C$13, 100%, $E$13) + CHOOSE(CONTROL!$C$28, 0.0197, 0)</f>
        <v>25.019400000000001</v>
      </c>
      <c r="C310" s="4">
        <f>24.6872 * CHOOSE(CONTROL!$C$9, $C$13, 100%, $E$13) + CHOOSE(CONTROL!$C$28, 0.0197, 0)</f>
        <v>24.706900000000001</v>
      </c>
      <c r="D310" s="4">
        <f>30.9314 * CHOOSE(CONTROL!$C$9, $C$13, 100%, $E$13) + CHOOSE(CONTROL!$C$28, 0, 0)</f>
        <v>30.9314</v>
      </c>
      <c r="E310" s="4">
        <f>146.64157097739 * CHOOSE(CONTROL!$C$9, $C$13, 100%, $E$13) + CHOOSE(CONTROL!$C$28, 0, 0)</f>
        <v>146.64157097738999</v>
      </c>
    </row>
    <row r="311" spans="1:5" ht="15">
      <c r="A311" s="13">
        <v>51348</v>
      </c>
      <c r="B311" s="4">
        <f>24.9924 * CHOOSE(CONTROL!$C$9, $C$13, 100%, $E$13) + CHOOSE(CONTROL!$C$28, 0.0197, 0)</f>
        <v>25.0121</v>
      </c>
      <c r="C311" s="4">
        <f>24.6799 * CHOOSE(CONTROL!$C$9, $C$13, 100%, $E$13) + CHOOSE(CONTROL!$C$28, 0.0197, 0)</f>
        <v>24.6996</v>
      </c>
      <c r="D311" s="4">
        <f>31.4225 * CHOOSE(CONTROL!$C$9, $C$13, 100%, $E$13) + CHOOSE(CONTROL!$C$28, 0, 0)</f>
        <v>31.422499999999999</v>
      </c>
      <c r="E311" s="4">
        <f>146.594929256341 * CHOOSE(CONTROL!$C$9, $C$13, 100%, $E$13) + CHOOSE(CONTROL!$C$28, 0, 0)</f>
        <v>146.594929256341</v>
      </c>
    </row>
    <row r="312" spans="1:5" ht="15">
      <c r="A312" s="13">
        <v>51379</v>
      </c>
      <c r="B312" s="4">
        <f>25.5459 * CHOOSE(CONTROL!$C$9, $C$13, 100%, $E$13) + CHOOSE(CONTROL!$C$28, 0.0197, 0)</f>
        <v>25.5656</v>
      </c>
      <c r="C312" s="4">
        <f>25.2334 * CHOOSE(CONTROL!$C$9, $C$13, 100%, $E$13) + CHOOSE(CONTROL!$C$28, 0.0197, 0)</f>
        <v>25.2531</v>
      </c>
      <c r="D312" s="4">
        <f>31.0981 * CHOOSE(CONTROL!$C$9, $C$13, 100%, $E$13) + CHOOSE(CONTROL!$C$28, 0, 0)</f>
        <v>31.098099999999999</v>
      </c>
      <c r="E312" s="4">
        <f>150.104718765263 * CHOOSE(CONTROL!$C$9, $C$13, 100%, $E$13) + CHOOSE(CONTROL!$C$28, 0, 0)</f>
        <v>150.10471876526299</v>
      </c>
    </row>
    <row r="313" spans="1:5" ht="15">
      <c r="A313" s="13">
        <v>51409</v>
      </c>
      <c r="B313" s="4">
        <f>24.6026 * CHOOSE(CONTROL!$C$9, $C$13, 100%, $E$13) + CHOOSE(CONTROL!$C$28, 0.0197, 0)</f>
        <v>24.622299999999999</v>
      </c>
      <c r="C313" s="4">
        <f>24.2901 * CHOOSE(CONTROL!$C$9, $C$13, 100%, $E$13) + CHOOSE(CONTROL!$C$28, 0.0197, 0)</f>
        <v>24.309799999999999</v>
      </c>
      <c r="D313" s="4">
        <f>30.9449 * CHOOSE(CONTROL!$C$9, $C$13, 100%, $E$13) + CHOOSE(CONTROL!$C$28, 0, 0)</f>
        <v>30.944900000000001</v>
      </c>
      <c r="E313" s="4">
        <f>144.122918040756 * CHOOSE(CONTROL!$C$9, $C$13, 100%, $E$13) + CHOOSE(CONTROL!$C$28, 0, 0)</f>
        <v>144.12291804075599</v>
      </c>
    </row>
    <row r="314" spans="1:5" ht="15">
      <c r="A314" s="13">
        <v>51440</v>
      </c>
      <c r="B314" s="4">
        <f>23.8474 * CHOOSE(CONTROL!$C$9, $C$13, 100%, $E$13) + CHOOSE(CONTROL!$C$28, 0.0003, 0)</f>
        <v>23.8477</v>
      </c>
      <c r="C314" s="4">
        <f>23.5349 * CHOOSE(CONTROL!$C$9, $C$13, 100%, $E$13) + CHOOSE(CONTROL!$C$28, 0.0003, 0)</f>
        <v>23.5352</v>
      </c>
      <c r="D314" s="4">
        <f>30.5346 * CHOOSE(CONTROL!$C$9, $C$13, 100%, $E$13) + CHOOSE(CONTROL!$C$28, 0, 0)</f>
        <v>30.534600000000001</v>
      </c>
      <c r="E314" s="4">
        <f>139.33436801308 * CHOOSE(CONTROL!$C$9, $C$13, 100%, $E$13) + CHOOSE(CONTROL!$C$28, 0, 0)</f>
        <v>139.33436801308</v>
      </c>
    </row>
    <row r="315" spans="1:5" ht="15">
      <c r="A315" s="13">
        <v>51470</v>
      </c>
      <c r="B315" s="4">
        <f>23.3611 * CHOOSE(CONTROL!$C$9, $C$13, 100%, $E$13) + CHOOSE(CONTROL!$C$28, 0.0003, 0)</f>
        <v>23.3614</v>
      </c>
      <c r="C315" s="4">
        <f>23.0486 * CHOOSE(CONTROL!$C$9, $C$13, 100%, $E$13) + CHOOSE(CONTROL!$C$28, 0.0003, 0)</f>
        <v>23.0489</v>
      </c>
      <c r="D315" s="4">
        <f>30.3935 * CHOOSE(CONTROL!$C$9, $C$13, 100%, $E$13) + CHOOSE(CONTROL!$C$28, 0, 0)</f>
        <v>30.3935</v>
      </c>
      <c r="E315" s="4">
        <f>136.250184208729 * CHOOSE(CONTROL!$C$9, $C$13, 100%, $E$13) + CHOOSE(CONTROL!$C$28, 0, 0)</f>
        <v>136.250184208729</v>
      </c>
    </row>
    <row r="316" spans="1:5" ht="15">
      <c r="A316" s="13">
        <v>51501</v>
      </c>
      <c r="B316" s="4">
        <f>23.0246 * CHOOSE(CONTROL!$C$9, $C$13, 100%, $E$13) + CHOOSE(CONTROL!$C$28, 0.0003, 0)</f>
        <v>23.024899999999999</v>
      </c>
      <c r="C316" s="4">
        <f>22.7121 * CHOOSE(CONTROL!$C$9, $C$13, 100%, $E$13) + CHOOSE(CONTROL!$C$28, 0.0003, 0)</f>
        <v>22.712399999999999</v>
      </c>
      <c r="D316" s="4">
        <f>29.3549 * CHOOSE(CONTROL!$C$9, $C$13, 100%, $E$13) + CHOOSE(CONTROL!$C$28, 0, 0)</f>
        <v>29.354900000000001</v>
      </c>
      <c r="E316" s="4">
        <f>134.116325470747 * CHOOSE(CONTROL!$C$9, $C$13, 100%, $E$13) + CHOOSE(CONTROL!$C$28, 0, 0)</f>
        <v>134.116325470747</v>
      </c>
    </row>
    <row r="317" spans="1:5" ht="15">
      <c r="A317" s="13">
        <v>51532</v>
      </c>
      <c r="B317" s="4">
        <f>22.4778 * CHOOSE(CONTROL!$C$9, $C$13, 100%, $E$13) + CHOOSE(CONTROL!$C$28, 0.0003, 0)</f>
        <v>22.478099999999998</v>
      </c>
      <c r="C317" s="4">
        <f>22.1653 * CHOOSE(CONTROL!$C$9, $C$13, 100%, $E$13) + CHOOSE(CONTROL!$C$28, 0.0003, 0)</f>
        <v>22.165599999999998</v>
      </c>
      <c r="D317" s="4">
        <f>28.4004 * CHOOSE(CONTROL!$C$9, $C$13, 100%, $E$13) + CHOOSE(CONTROL!$C$28, 0, 0)</f>
        <v>28.400400000000001</v>
      </c>
      <c r="E317" s="4">
        <f>130.270380332904 * CHOOSE(CONTROL!$C$9, $C$13, 100%, $E$13) + CHOOSE(CONTROL!$C$28, 0, 0)</f>
        <v>130.27038033290401</v>
      </c>
    </row>
    <row r="318" spans="1:5" ht="15">
      <c r="A318" s="13">
        <v>51560</v>
      </c>
      <c r="B318" s="4">
        <f>22.967 * CHOOSE(CONTROL!$C$9, $C$13, 100%, $E$13) + CHOOSE(CONTROL!$C$28, 0.0003, 0)</f>
        <v>22.967299999999998</v>
      </c>
      <c r="C318" s="4">
        <f>22.6545 * CHOOSE(CONTROL!$C$9, $C$13, 100%, $E$13) + CHOOSE(CONTROL!$C$28, 0.0003, 0)</f>
        <v>22.654799999999998</v>
      </c>
      <c r="D318" s="4">
        <f>29.3616 * CHOOSE(CONTROL!$C$9, $C$13, 100%, $E$13) + CHOOSE(CONTROL!$C$28, 0, 0)</f>
        <v>29.361599999999999</v>
      </c>
      <c r="E318" s="4">
        <f>133.363512545779 * CHOOSE(CONTROL!$C$9, $C$13, 100%, $E$13) + CHOOSE(CONTROL!$C$28, 0, 0)</f>
        <v>133.363512545779</v>
      </c>
    </row>
    <row r="319" spans="1:5" ht="15">
      <c r="A319" s="13">
        <v>51591</v>
      </c>
      <c r="B319" s="4">
        <f>24.2517 * CHOOSE(CONTROL!$C$9, $C$13, 100%, $E$13) + CHOOSE(CONTROL!$C$28, 0.0003, 0)</f>
        <v>24.251999999999999</v>
      </c>
      <c r="C319" s="4">
        <f>23.9392 * CHOOSE(CONTROL!$C$9, $C$13, 100%, $E$13) + CHOOSE(CONTROL!$C$28, 0.0003, 0)</f>
        <v>23.939499999999999</v>
      </c>
      <c r="D319" s="4">
        <f>30.8663 * CHOOSE(CONTROL!$C$9, $C$13, 100%, $E$13) + CHOOSE(CONTROL!$C$28, 0, 0)</f>
        <v>30.866299999999999</v>
      </c>
      <c r="E319" s="4">
        <f>141.486242115817 * CHOOSE(CONTROL!$C$9, $C$13, 100%, $E$13) + CHOOSE(CONTROL!$C$28, 0, 0)</f>
        <v>141.48624211581699</v>
      </c>
    </row>
    <row r="320" spans="1:5" ht="15">
      <c r="A320" s="13">
        <v>51621</v>
      </c>
      <c r="B320" s="4">
        <f>25.1644 * CHOOSE(CONTROL!$C$9, $C$13, 100%, $E$13) + CHOOSE(CONTROL!$C$28, 0.0003, 0)</f>
        <v>25.1647</v>
      </c>
      <c r="C320" s="4">
        <f>24.8519 * CHOOSE(CONTROL!$C$9, $C$13, 100%, $E$13) + CHOOSE(CONTROL!$C$28, 0.0003, 0)</f>
        <v>24.8522</v>
      </c>
      <c r="D320" s="4">
        <f>31.7331 * CHOOSE(CONTROL!$C$9, $C$13, 100%, $E$13) + CHOOSE(CONTROL!$C$28, 0, 0)</f>
        <v>31.7331</v>
      </c>
      <c r="E320" s="4">
        <f>147.257549724934 * CHOOSE(CONTROL!$C$9, $C$13, 100%, $E$13) + CHOOSE(CONTROL!$C$28, 0, 0)</f>
        <v>147.25754972493399</v>
      </c>
    </row>
    <row r="321" spans="1:5" ht="15">
      <c r="A321" s="13">
        <v>51652</v>
      </c>
      <c r="B321" s="4">
        <f>25.7221 * CHOOSE(CONTROL!$C$9, $C$13, 100%, $E$13) + CHOOSE(CONTROL!$C$28, 0.0197, 0)</f>
        <v>25.741800000000001</v>
      </c>
      <c r="C321" s="4">
        <f>25.4096 * CHOOSE(CONTROL!$C$9, $C$13, 100%, $E$13) + CHOOSE(CONTROL!$C$28, 0.0197, 0)</f>
        <v>25.429300000000001</v>
      </c>
      <c r="D321" s="4">
        <f>31.3906 * CHOOSE(CONTROL!$C$9, $C$13, 100%, $E$13) + CHOOSE(CONTROL!$C$28, 0, 0)</f>
        <v>31.390599999999999</v>
      </c>
      <c r="E321" s="4">
        <f>150.783680355165 * CHOOSE(CONTROL!$C$9, $C$13, 100%, $E$13) + CHOOSE(CONTROL!$C$28, 0, 0)</f>
        <v>150.78368035516499</v>
      </c>
    </row>
    <row r="322" spans="1:5" ht="15">
      <c r="A322" s="13">
        <v>51682</v>
      </c>
      <c r="B322" s="4">
        <f>25.7975 * CHOOSE(CONTROL!$C$9, $C$13, 100%, $E$13) + CHOOSE(CONTROL!$C$28, 0.0197, 0)</f>
        <v>25.8172</v>
      </c>
      <c r="C322" s="4">
        <f>25.485 * CHOOSE(CONTROL!$C$9, $C$13, 100%, $E$13) + CHOOSE(CONTROL!$C$28, 0.0197, 0)</f>
        <v>25.5047</v>
      </c>
      <c r="D322" s="4">
        <f>31.6696 * CHOOSE(CONTROL!$C$9, $C$13, 100%, $E$13) + CHOOSE(CONTROL!$C$28, 0, 0)</f>
        <v>31.669599999999999</v>
      </c>
      <c r="E322" s="4">
        <f>151.260780463178 * CHOOSE(CONTROL!$C$9, $C$13, 100%, $E$13) + CHOOSE(CONTROL!$C$28, 0, 0)</f>
        <v>151.26078046317801</v>
      </c>
    </row>
    <row r="323" spans="1:5" ht="15">
      <c r="A323" s="13">
        <v>51713</v>
      </c>
      <c r="B323" s="4">
        <f>25.7899 * CHOOSE(CONTROL!$C$9, $C$13, 100%, $E$13) + CHOOSE(CONTROL!$C$28, 0.0197, 0)</f>
        <v>25.8096</v>
      </c>
      <c r="C323" s="4">
        <f>25.4774 * CHOOSE(CONTROL!$C$9, $C$13, 100%, $E$13) + CHOOSE(CONTROL!$C$28, 0.0197, 0)</f>
        <v>25.4971</v>
      </c>
      <c r="D323" s="4">
        <f>32.1729 * CHOOSE(CONTROL!$C$9, $C$13, 100%, $E$13) + CHOOSE(CONTROL!$C$28, 0, 0)</f>
        <v>32.172899999999998</v>
      </c>
      <c r="E323" s="4">
        <f>151.212669527916 * CHOOSE(CONTROL!$C$9, $C$13, 100%, $E$13) + CHOOSE(CONTROL!$C$28, 0, 0)</f>
        <v>151.21266952791601</v>
      </c>
    </row>
    <row r="324" spans="1:5" ht="15">
      <c r="A324" s="13">
        <v>51744</v>
      </c>
      <c r="B324" s="4">
        <f>26.3625 * CHOOSE(CONTROL!$C$9, $C$13, 100%, $E$13) + CHOOSE(CONTROL!$C$28, 0.0197, 0)</f>
        <v>26.382200000000001</v>
      </c>
      <c r="C324" s="4">
        <f>26.05 * CHOOSE(CONTROL!$C$9, $C$13, 100%, $E$13) + CHOOSE(CONTROL!$C$28, 0.0197, 0)</f>
        <v>26.069700000000001</v>
      </c>
      <c r="D324" s="4">
        <f>31.8405 * CHOOSE(CONTROL!$C$9, $C$13, 100%, $E$13) + CHOOSE(CONTROL!$C$28, 0, 0)</f>
        <v>31.840499999999999</v>
      </c>
      <c r="E324" s="4">
        <f>154.833017406369 * CHOOSE(CONTROL!$C$9, $C$13, 100%, $E$13) + CHOOSE(CONTROL!$C$28, 0, 0)</f>
        <v>154.83301740636901</v>
      </c>
    </row>
    <row r="325" spans="1:5" ht="15">
      <c r="A325" s="13">
        <v>51774</v>
      </c>
      <c r="B325" s="4">
        <f>25.3867 * CHOOSE(CONTROL!$C$9, $C$13, 100%, $E$13) + CHOOSE(CONTROL!$C$28, 0.0197, 0)</f>
        <v>25.406400000000001</v>
      </c>
      <c r="C325" s="4">
        <f>25.0742 * CHOOSE(CONTROL!$C$9, $C$13, 100%, $E$13) + CHOOSE(CONTROL!$C$28, 0.0197, 0)</f>
        <v>25.093900000000001</v>
      </c>
      <c r="D325" s="4">
        <f>31.6834 * CHOOSE(CONTROL!$C$9, $C$13, 100%, $E$13) + CHOOSE(CONTROL!$C$28, 0, 0)</f>
        <v>31.683399999999999</v>
      </c>
      <c r="E325" s="4">
        <f>148.66278995904 * CHOOSE(CONTROL!$C$9, $C$13, 100%, $E$13) + CHOOSE(CONTROL!$C$28, 0, 0)</f>
        <v>148.66278995904</v>
      </c>
    </row>
    <row r="326" spans="1:5" ht="15">
      <c r="A326" s="13">
        <v>51805</v>
      </c>
      <c r="B326" s="4">
        <f>24.6055 * CHOOSE(CONTROL!$C$9, $C$13, 100%, $E$13) + CHOOSE(CONTROL!$C$28, 0.0003, 0)</f>
        <v>24.605799999999999</v>
      </c>
      <c r="C326" s="4">
        <f>24.293 * CHOOSE(CONTROL!$C$9, $C$13, 100%, $E$13) + CHOOSE(CONTROL!$C$28, 0.0003, 0)</f>
        <v>24.293299999999999</v>
      </c>
      <c r="D326" s="4">
        <f>31.2629 * CHOOSE(CONTROL!$C$9, $C$13, 100%, $E$13) + CHOOSE(CONTROL!$C$28, 0, 0)</f>
        <v>31.262899999999998</v>
      </c>
      <c r="E326" s="4">
        <f>143.723400605492 * CHOOSE(CONTROL!$C$9, $C$13, 100%, $E$13) + CHOOSE(CONTROL!$C$28, 0, 0)</f>
        <v>143.723400605492</v>
      </c>
    </row>
    <row r="327" spans="1:5" ht="15">
      <c r="A327" s="13">
        <v>51835</v>
      </c>
      <c r="B327" s="4">
        <f>24.1023 * CHOOSE(CONTROL!$C$9, $C$13, 100%, $E$13) + CHOOSE(CONTROL!$C$28, 0.0003, 0)</f>
        <v>24.102599999999999</v>
      </c>
      <c r="C327" s="4">
        <f>23.7898 * CHOOSE(CONTROL!$C$9, $C$13, 100%, $E$13) + CHOOSE(CONTROL!$C$28, 0.0003, 0)</f>
        <v>23.790099999999999</v>
      </c>
      <c r="D327" s="4">
        <f>31.1184 * CHOOSE(CONTROL!$C$9, $C$13, 100%, $E$13) + CHOOSE(CONTROL!$C$28, 0, 0)</f>
        <v>31.118400000000001</v>
      </c>
      <c r="E327" s="4">
        <f>140.542065011304 * CHOOSE(CONTROL!$C$9, $C$13, 100%, $E$13) + CHOOSE(CONTROL!$C$28, 0, 0)</f>
        <v>140.542065011304</v>
      </c>
    </row>
    <row r="328" spans="1:5" ht="15">
      <c r="A328" s="13">
        <v>51866</v>
      </c>
      <c r="B328" s="4">
        <f>23.7542 * CHOOSE(CONTROL!$C$9, $C$13, 100%, $E$13) + CHOOSE(CONTROL!$C$28, 0.0003, 0)</f>
        <v>23.7545</v>
      </c>
      <c r="C328" s="4">
        <f>23.4417 * CHOOSE(CONTROL!$C$9, $C$13, 100%, $E$13) + CHOOSE(CONTROL!$C$28, 0.0003, 0)</f>
        <v>23.442</v>
      </c>
      <c r="D328" s="4">
        <f>30.054 * CHOOSE(CONTROL!$C$9, $C$13, 100%, $E$13) + CHOOSE(CONTROL!$C$28, 0, 0)</f>
        <v>30.053999999999998</v>
      </c>
      <c r="E328" s="4">
        <f>138.340989723075 * CHOOSE(CONTROL!$C$9, $C$13, 100%, $E$13) + CHOOSE(CONTROL!$C$28, 0, 0)</f>
        <v>138.34098972307501</v>
      </c>
    </row>
    <row r="329" spans="1:5" ht="15">
      <c r="A329" s="13">
        <v>51897</v>
      </c>
      <c r="B329" s="4">
        <f>23.1886 * CHOOSE(CONTROL!$C$9, $C$13, 100%, $E$13) + CHOOSE(CONTROL!$C$28, 0.0003, 0)</f>
        <v>23.1889</v>
      </c>
      <c r="C329" s="4">
        <f>22.8761 * CHOOSE(CONTROL!$C$9, $C$13, 100%, $E$13) + CHOOSE(CONTROL!$C$28, 0.0003, 0)</f>
        <v>22.8764</v>
      </c>
      <c r="D329" s="4">
        <f>29.0758 * CHOOSE(CONTROL!$C$9, $C$13, 100%, $E$13) + CHOOSE(CONTROL!$C$28, 0, 0)</f>
        <v>29.075800000000001</v>
      </c>
      <c r="E329" s="4">
        <f>134.373897313391 * CHOOSE(CONTROL!$C$9, $C$13, 100%, $E$13) + CHOOSE(CONTROL!$C$28, 0, 0)</f>
        <v>134.37389731339101</v>
      </c>
    </row>
    <row r="330" spans="1:5" ht="15">
      <c r="A330" s="13">
        <v>51925</v>
      </c>
      <c r="B330" s="4">
        <f>23.6947 * CHOOSE(CONTROL!$C$9, $C$13, 100%, $E$13) + CHOOSE(CONTROL!$C$28, 0.0003, 0)</f>
        <v>23.695</v>
      </c>
      <c r="C330" s="4">
        <f>23.3822 * CHOOSE(CONTROL!$C$9, $C$13, 100%, $E$13) + CHOOSE(CONTROL!$C$28, 0.0003, 0)</f>
        <v>23.3825</v>
      </c>
      <c r="D330" s="4">
        <f>30.0609 * CHOOSE(CONTROL!$C$9, $C$13, 100%, $E$13) + CHOOSE(CONTROL!$C$28, 0, 0)</f>
        <v>30.0609</v>
      </c>
      <c r="E330" s="4">
        <f>137.564463190971 * CHOOSE(CONTROL!$C$9, $C$13, 100%, $E$13) + CHOOSE(CONTROL!$C$28, 0, 0)</f>
        <v>137.564463190971</v>
      </c>
    </row>
    <row r="331" spans="1:5" ht="15">
      <c r="A331" s="13">
        <v>51956</v>
      </c>
      <c r="B331" s="4">
        <f>25.0236 * CHOOSE(CONTROL!$C$9, $C$13, 100%, $E$13) + CHOOSE(CONTROL!$C$28, 0.0003, 0)</f>
        <v>25.023899999999998</v>
      </c>
      <c r="C331" s="4">
        <f>24.7111 * CHOOSE(CONTROL!$C$9, $C$13, 100%, $E$13) + CHOOSE(CONTROL!$C$28, 0.0003, 0)</f>
        <v>24.711399999999998</v>
      </c>
      <c r="D331" s="4">
        <f>31.6029 * CHOOSE(CONTROL!$C$9, $C$13, 100%, $E$13) + CHOOSE(CONTROL!$C$28, 0, 0)</f>
        <v>31.602900000000002</v>
      </c>
      <c r="E331" s="4">
        <f>145.943058742466 * CHOOSE(CONTROL!$C$9, $C$13, 100%, $E$13) + CHOOSE(CONTROL!$C$28, 0, 0)</f>
        <v>145.94305874246601</v>
      </c>
    </row>
    <row r="332" spans="1:5" ht="15">
      <c r="A332" s="13">
        <v>51986</v>
      </c>
      <c r="B332" s="4">
        <f>25.9679 * CHOOSE(CONTROL!$C$9, $C$13, 100%, $E$13) + CHOOSE(CONTROL!$C$28, 0.0003, 0)</f>
        <v>25.9682</v>
      </c>
      <c r="C332" s="4">
        <f>25.6554 * CHOOSE(CONTROL!$C$9, $C$13, 100%, $E$13) + CHOOSE(CONTROL!$C$28, 0.0003, 0)</f>
        <v>25.6557</v>
      </c>
      <c r="D332" s="4">
        <f>32.4912 * CHOOSE(CONTROL!$C$9, $C$13, 100%, $E$13) + CHOOSE(CONTROL!$C$28, 0, 0)</f>
        <v>32.491199999999999</v>
      </c>
      <c r="E332" s="4">
        <f>151.896162541269 * CHOOSE(CONTROL!$C$9, $C$13, 100%, $E$13) + CHOOSE(CONTROL!$C$28, 0, 0)</f>
        <v>151.89616254126901</v>
      </c>
    </row>
    <row r="333" spans="1:5" ht="15">
      <c r="A333" s="13">
        <v>52017</v>
      </c>
      <c r="B333" s="4">
        <f>26.5448 * CHOOSE(CONTROL!$C$9, $C$13, 100%, $E$13) + CHOOSE(CONTROL!$C$28, 0.0197, 0)</f>
        <v>26.564499999999999</v>
      </c>
      <c r="C333" s="4">
        <f>26.2323 * CHOOSE(CONTROL!$C$9, $C$13, 100%, $E$13) + CHOOSE(CONTROL!$C$28, 0.0197, 0)</f>
        <v>26.251999999999999</v>
      </c>
      <c r="D333" s="4">
        <f>32.1402 * CHOOSE(CONTROL!$C$9, $C$13, 100%, $E$13) + CHOOSE(CONTROL!$C$28, 0, 0)</f>
        <v>32.1402</v>
      </c>
      <c r="E333" s="4">
        <f>155.533366286353 * CHOOSE(CONTROL!$C$9, $C$13, 100%, $E$13) + CHOOSE(CONTROL!$C$28, 0, 0)</f>
        <v>155.53336628635299</v>
      </c>
    </row>
    <row r="334" spans="1:5" ht="15">
      <c r="A334" s="13">
        <v>52047</v>
      </c>
      <c r="B334" s="4">
        <f>26.6229 * CHOOSE(CONTROL!$C$9, $C$13, 100%, $E$13) + CHOOSE(CONTROL!$C$28, 0.0197, 0)</f>
        <v>26.642600000000002</v>
      </c>
      <c r="C334" s="4">
        <f>26.3104 * CHOOSE(CONTROL!$C$9, $C$13, 100%, $E$13) + CHOOSE(CONTROL!$C$28, 0.0197, 0)</f>
        <v>26.330100000000002</v>
      </c>
      <c r="D334" s="4">
        <f>32.4261 * CHOOSE(CONTROL!$C$9, $C$13, 100%, $E$13) + CHOOSE(CONTROL!$C$28, 0, 0)</f>
        <v>32.426099999999998</v>
      </c>
      <c r="E334" s="4">
        <f>156.025495047768 * CHOOSE(CONTROL!$C$9, $C$13, 100%, $E$13) + CHOOSE(CONTROL!$C$28, 0, 0)</f>
        <v>156.025495047768</v>
      </c>
    </row>
    <row r="335" spans="1:5" ht="15">
      <c r="A335" s="13">
        <v>52078</v>
      </c>
      <c r="B335" s="4">
        <f>26.615 * CHOOSE(CONTROL!$C$9, $C$13, 100%, $E$13) + CHOOSE(CONTROL!$C$28, 0.0197, 0)</f>
        <v>26.634699999999999</v>
      </c>
      <c r="C335" s="4">
        <f>26.3025 * CHOOSE(CONTROL!$C$9, $C$13, 100%, $E$13) + CHOOSE(CONTROL!$C$28, 0.0197, 0)</f>
        <v>26.322199999999999</v>
      </c>
      <c r="D335" s="4">
        <f>32.9419 * CHOOSE(CONTROL!$C$9, $C$13, 100%, $E$13) + CHOOSE(CONTROL!$C$28, 0, 0)</f>
        <v>32.941899999999997</v>
      </c>
      <c r="E335" s="4">
        <f>155.975868618046 * CHOOSE(CONTROL!$C$9, $C$13, 100%, $E$13) + CHOOSE(CONTROL!$C$28, 0, 0)</f>
        <v>155.97586861804601</v>
      </c>
    </row>
    <row r="336" spans="1:5" ht="15">
      <c r="A336" s="13">
        <v>52109</v>
      </c>
      <c r="B336" s="4">
        <f>27.2073 * CHOOSE(CONTROL!$C$9, $C$13, 100%, $E$13) + CHOOSE(CONTROL!$C$28, 0.0197, 0)</f>
        <v>27.227</v>
      </c>
      <c r="C336" s="4">
        <f>26.8948 * CHOOSE(CONTROL!$C$9, $C$13, 100%, $E$13) + CHOOSE(CONTROL!$C$28, 0.0197, 0)</f>
        <v>26.9145</v>
      </c>
      <c r="D336" s="4">
        <f>32.6012 * CHOOSE(CONTROL!$C$9, $C$13, 100%, $E$13) + CHOOSE(CONTROL!$C$28, 0, 0)</f>
        <v>32.601199999999999</v>
      </c>
      <c r="E336" s="4">
        <f>159.710257454669 * CHOOSE(CONTROL!$C$9, $C$13, 100%, $E$13) + CHOOSE(CONTROL!$C$28, 0, 0)</f>
        <v>159.71025745466901</v>
      </c>
    </row>
    <row r="337" spans="1:5" ht="15">
      <c r="A337" s="13">
        <v>52139</v>
      </c>
      <c r="B337" s="4">
        <f>26.1978 * CHOOSE(CONTROL!$C$9, $C$13, 100%, $E$13) + CHOOSE(CONTROL!$C$28, 0.0197, 0)</f>
        <v>26.217500000000001</v>
      </c>
      <c r="C337" s="4">
        <f>25.8853 * CHOOSE(CONTROL!$C$9, $C$13, 100%, $E$13) + CHOOSE(CONTROL!$C$28, 0.0197, 0)</f>
        <v>25.905000000000001</v>
      </c>
      <c r="D337" s="4">
        <f>32.4403 * CHOOSE(CONTROL!$C$9, $C$13, 100%, $E$13) + CHOOSE(CONTROL!$C$28, 0, 0)</f>
        <v>32.440300000000001</v>
      </c>
      <c r="E337" s="4">
        <f>153.345667842749 * CHOOSE(CONTROL!$C$9, $C$13, 100%, $E$13) + CHOOSE(CONTROL!$C$28, 0, 0)</f>
        <v>153.34566784274901</v>
      </c>
    </row>
    <row r="338" spans="1:5" ht="15">
      <c r="A338" s="13">
        <v>52170</v>
      </c>
      <c r="B338" s="4">
        <f>25.3897 * CHOOSE(CONTROL!$C$9, $C$13, 100%, $E$13) + CHOOSE(CONTROL!$C$28, 0.0003, 0)</f>
        <v>25.39</v>
      </c>
      <c r="C338" s="4">
        <f>25.0772 * CHOOSE(CONTROL!$C$9, $C$13, 100%, $E$13) + CHOOSE(CONTROL!$C$28, 0.0003, 0)</f>
        <v>25.077500000000001</v>
      </c>
      <c r="D338" s="4">
        <f>32.0093 * CHOOSE(CONTROL!$C$9, $C$13, 100%, $E$13) + CHOOSE(CONTROL!$C$28, 0, 0)</f>
        <v>32.009300000000003</v>
      </c>
      <c r="E338" s="4">
        <f>148.250687724565 * CHOOSE(CONTROL!$C$9, $C$13, 100%, $E$13) + CHOOSE(CONTROL!$C$28, 0, 0)</f>
        <v>148.25068772456501</v>
      </c>
    </row>
    <row r="339" spans="1:5" ht="15">
      <c r="A339" s="13">
        <v>52200</v>
      </c>
      <c r="B339" s="4">
        <f>24.8692 * CHOOSE(CONTROL!$C$9, $C$13, 100%, $E$13) + CHOOSE(CONTROL!$C$28, 0.0003, 0)</f>
        <v>24.869499999999999</v>
      </c>
      <c r="C339" s="4">
        <f>24.5567 * CHOOSE(CONTROL!$C$9, $C$13, 100%, $E$13) + CHOOSE(CONTROL!$C$28, 0.0003, 0)</f>
        <v>24.556999999999999</v>
      </c>
      <c r="D339" s="4">
        <f>31.8612 * CHOOSE(CONTROL!$C$9, $C$13, 100%, $E$13) + CHOOSE(CONTROL!$C$28, 0, 0)</f>
        <v>31.8612</v>
      </c>
      <c r="E339" s="4">
        <f>144.96914005916 * CHOOSE(CONTROL!$C$9, $C$13, 100%, $E$13) + CHOOSE(CONTROL!$C$28, 0, 0)</f>
        <v>144.96914005916</v>
      </c>
    </row>
    <row r="340" spans="1:5" ht="15">
      <c r="A340" s="13">
        <v>52231</v>
      </c>
      <c r="B340" s="4">
        <f>24.5091 * CHOOSE(CONTROL!$C$9, $C$13, 100%, $E$13) + CHOOSE(CONTROL!$C$28, 0.0003, 0)</f>
        <v>24.509399999999999</v>
      </c>
      <c r="C340" s="4">
        <f>24.1966 * CHOOSE(CONTROL!$C$9, $C$13, 100%, $E$13) + CHOOSE(CONTROL!$C$28, 0.0003, 0)</f>
        <v>24.196899999999999</v>
      </c>
      <c r="D340" s="4">
        <f>30.7705 * CHOOSE(CONTROL!$C$9, $C$13, 100%, $E$13) + CHOOSE(CONTROL!$C$28, 0, 0)</f>
        <v>30.770499999999998</v>
      </c>
      <c r="E340" s="4">
        <f>142.698730899352 * CHOOSE(CONTROL!$C$9, $C$13, 100%, $E$13) + CHOOSE(CONTROL!$C$28, 0, 0)</f>
        <v>142.698730899352</v>
      </c>
    </row>
    <row r="341" spans="1:5" ht="15">
      <c r="A341" s="13">
        <v>52262</v>
      </c>
      <c r="B341" s="4">
        <f>23.9239 * CHOOSE(CONTROL!$C$9, $C$13, 100%, $E$13) + CHOOSE(CONTROL!$C$28, 0.0003, 0)</f>
        <v>23.924199999999999</v>
      </c>
      <c r="C341" s="4">
        <f>23.6114 * CHOOSE(CONTROL!$C$9, $C$13, 100%, $E$13) + CHOOSE(CONTROL!$C$28, 0.0003, 0)</f>
        <v>23.611699999999999</v>
      </c>
      <c r="D341" s="4">
        <f>29.768 * CHOOSE(CONTROL!$C$9, $C$13, 100%, $E$13) + CHOOSE(CONTROL!$C$28, 0, 0)</f>
        <v>29.768000000000001</v>
      </c>
      <c r="E341" s="4">
        <f>138.606675078763 * CHOOSE(CONTROL!$C$9, $C$13, 100%, $E$13) + CHOOSE(CONTROL!$C$28, 0, 0)</f>
        <v>138.606675078763</v>
      </c>
    </row>
    <row r="342" spans="1:5" ht="15">
      <c r="A342" s="13">
        <v>52290</v>
      </c>
      <c r="B342" s="4">
        <f>24.4475 * CHOOSE(CONTROL!$C$9, $C$13, 100%, $E$13) + CHOOSE(CONTROL!$C$28, 0.0003, 0)</f>
        <v>24.447800000000001</v>
      </c>
      <c r="C342" s="4">
        <f>24.135 * CHOOSE(CONTROL!$C$9, $C$13, 100%, $E$13) + CHOOSE(CONTROL!$C$28, 0.0003, 0)</f>
        <v>24.135300000000001</v>
      </c>
      <c r="D342" s="4">
        <f>30.7775 * CHOOSE(CONTROL!$C$9, $C$13, 100%, $E$13) + CHOOSE(CONTROL!$C$28, 0, 0)</f>
        <v>30.7775</v>
      </c>
      <c r="E342" s="4">
        <f>141.897743781487 * CHOOSE(CONTROL!$C$9, $C$13, 100%, $E$13) + CHOOSE(CONTROL!$C$28, 0, 0)</f>
        <v>141.89774378148701</v>
      </c>
    </row>
    <row r="343" spans="1:5" ht="15">
      <c r="A343" s="13">
        <v>52321</v>
      </c>
      <c r="B343" s="4">
        <f>25.8223 * CHOOSE(CONTROL!$C$9, $C$13, 100%, $E$13) + CHOOSE(CONTROL!$C$28, 0.0003, 0)</f>
        <v>25.822599999999998</v>
      </c>
      <c r="C343" s="4">
        <f>25.5098 * CHOOSE(CONTROL!$C$9, $C$13, 100%, $E$13) + CHOOSE(CONTROL!$C$28, 0.0003, 0)</f>
        <v>25.510099999999998</v>
      </c>
      <c r="D343" s="4">
        <f>32.3578 * CHOOSE(CONTROL!$C$9, $C$13, 100%, $E$13) + CHOOSE(CONTROL!$C$28, 0, 0)</f>
        <v>32.357799999999997</v>
      </c>
      <c r="E343" s="4">
        <f>150.540265092853 * CHOOSE(CONTROL!$C$9, $C$13, 100%, $E$13) + CHOOSE(CONTROL!$C$28, 0, 0)</f>
        <v>150.54026509285299</v>
      </c>
    </row>
    <row r="344" spans="1:5" ht="15">
      <c r="A344" s="13">
        <v>52351</v>
      </c>
      <c r="B344" s="4">
        <f>26.7991 * CHOOSE(CONTROL!$C$9, $C$13, 100%, $E$13) + CHOOSE(CONTROL!$C$28, 0.0003, 0)</f>
        <v>26.799399999999999</v>
      </c>
      <c r="C344" s="4">
        <f>26.4866 * CHOOSE(CONTROL!$C$9, $C$13, 100%, $E$13) + CHOOSE(CONTROL!$C$28, 0.0003, 0)</f>
        <v>26.486899999999999</v>
      </c>
      <c r="D344" s="4">
        <f>33.2681 * CHOOSE(CONTROL!$C$9, $C$13, 100%, $E$13) + CHOOSE(CONTROL!$C$28, 0, 0)</f>
        <v>33.268099999999997</v>
      </c>
      <c r="E344" s="4">
        <f>156.680891661319 * CHOOSE(CONTROL!$C$9, $C$13, 100%, $E$13) + CHOOSE(CONTROL!$C$28, 0, 0)</f>
        <v>156.68089166131901</v>
      </c>
    </row>
    <row r="345" spans="1:5" ht="15">
      <c r="A345" s="13">
        <v>52382</v>
      </c>
      <c r="B345" s="4">
        <f>27.3959 * CHOOSE(CONTROL!$C$9, $C$13, 100%, $E$13) + CHOOSE(CONTROL!$C$28, 0.0197, 0)</f>
        <v>27.415600000000001</v>
      </c>
      <c r="C345" s="4">
        <f>27.0834 * CHOOSE(CONTROL!$C$9, $C$13, 100%, $E$13) + CHOOSE(CONTROL!$C$28, 0.0197, 0)</f>
        <v>27.103100000000001</v>
      </c>
      <c r="D345" s="4">
        <f>32.9084 * CHOOSE(CONTROL!$C$9, $C$13, 100%, $E$13) + CHOOSE(CONTROL!$C$28, 0, 0)</f>
        <v>32.9084</v>
      </c>
      <c r="E345" s="4">
        <f>160.432667324373 * CHOOSE(CONTROL!$C$9, $C$13, 100%, $E$13) + CHOOSE(CONTROL!$C$28, 0, 0)</f>
        <v>160.432667324373</v>
      </c>
    </row>
    <row r="346" spans="1:5" ht="15">
      <c r="A346" s="13">
        <v>52412</v>
      </c>
      <c r="B346" s="4">
        <f>27.4767 * CHOOSE(CONTROL!$C$9, $C$13, 100%, $E$13) + CHOOSE(CONTROL!$C$28, 0.0197, 0)</f>
        <v>27.496400000000001</v>
      </c>
      <c r="C346" s="4">
        <f>27.1642 * CHOOSE(CONTROL!$C$9, $C$13, 100%, $E$13) + CHOOSE(CONTROL!$C$28, 0.0197, 0)</f>
        <v>27.183900000000001</v>
      </c>
      <c r="D346" s="4">
        <f>33.2013 * CHOOSE(CONTROL!$C$9, $C$13, 100%, $E$13) + CHOOSE(CONTROL!$C$28, 0, 0)</f>
        <v>33.201300000000003</v>
      </c>
      <c r="E346" s="4">
        <f>160.940298141773 * CHOOSE(CONTROL!$C$9, $C$13, 100%, $E$13) + CHOOSE(CONTROL!$C$28, 0, 0)</f>
        <v>160.94029814177301</v>
      </c>
    </row>
    <row r="347" spans="1:5" ht="15">
      <c r="A347" s="13">
        <v>52443</v>
      </c>
      <c r="B347" s="4">
        <f>27.4685 * CHOOSE(CONTROL!$C$9, $C$13, 100%, $E$13) + CHOOSE(CONTROL!$C$28, 0.0197, 0)</f>
        <v>27.488199999999999</v>
      </c>
      <c r="C347" s="4">
        <f>27.156 * CHOOSE(CONTROL!$C$9, $C$13, 100%, $E$13) + CHOOSE(CONTROL!$C$28, 0.0197, 0)</f>
        <v>27.175699999999999</v>
      </c>
      <c r="D347" s="4">
        <f>33.7299 * CHOOSE(CONTROL!$C$9, $C$13, 100%, $E$13) + CHOOSE(CONTROL!$C$28, 0, 0)</f>
        <v>33.729900000000001</v>
      </c>
      <c r="E347" s="4">
        <f>160.889108479514 * CHOOSE(CONTROL!$C$9, $C$13, 100%, $E$13) + CHOOSE(CONTROL!$C$28, 0, 0)</f>
        <v>160.88910847951399</v>
      </c>
    </row>
    <row r="348" spans="1:5" ht="15">
      <c r="A348" s="13">
        <v>52474</v>
      </c>
      <c r="B348" s="4">
        <f>28.0813 * CHOOSE(CONTROL!$C$9, $C$13, 100%, $E$13) + CHOOSE(CONTROL!$C$28, 0.0197, 0)</f>
        <v>28.100999999999999</v>
      </c>
      <c r="C348" s="4">
        <f>27.7688 * CHOOSE(CONTROL!$C$9, $C$13, 100%, $E$13) + CHOOSE(CONTROL!$C$28, 0.0197, 0)</f>
        <v>27.788499999999999</v>
      </c>
      <c r="D348" s="4">
        <f>33.3808 * CHOOSE(CONTROL!$C$9, $C$13, 100%, $E$13) + CHOOSE(CONTROL!$C$28, 0, 0)</f>
        <v>33.380800000000001</v>
      </c>
      <c r="E348" s="4">
        <f>164.741130564491 * CHOOSE(CONTROL!$C$9, $C$13, 100%, $E$13) + CHOOSE(CONTROL!$C$28, 0, 0)</f>
        <v>164.74113056449099</v>
      </c>
    </row>
    <row r="349" spans="1:5" ht="15">
      <c r="A349" s="13">
        <v>52504</v>
      </c>
      <c r="B349" s="4">
        <f>27.0369 * CHOOSE(CONTROL!$C$9, $C$13, 100%, $E$13) + CHOOSE(CONTROL!$C$28, 0.0197, 0)</f>
        <v>27.0566</v>
      </c>
      <c r="C349" s="4">
        <f>26.7244 * CHOOSE(CONTROL!$C$9, $C$13, 100%, $E$13) + CHOOSE(CONTROL!$C$28, 0.0197, 0)</f>
        <v>26.7441</v>
      </c>
      <c r="D349" s="4">
        <f>33.2159 * CHOOSE(CONTROL!$C$9, $C$13, 100%, $E$13) + CHOOSE(CONTROL!$C$28, 0, 0)</f>
        <v>33.215899999999998</v>
      </c>
      <c r="E349" s="4">
        <f>158.176056379796 * CHOOSE(CONTROL!$C$9, $C$13, 100%, $E$13) + CHOOSE(CONTROL!$C$28, 0, 0)</f>
        <v>158.17605637979599</v>
      </c>
    </row>
    <row r="350" spans="1:5" ht="15">
      <c r="A350" s="13">
        <v>52535</v>
      </c>
      <c r="B350" s="4">
        <f>26.2009 * CHOOSE(CONTROL!$C$9, $C$13, 100%, $E$13) + CHOOSE(CONTROL!$C$28, 0.0003, 0)</f>
        <v>26.2012</v>
      </c>
      <c r="C350" s="4">
        <f>25.8884 * CHOOSE(CONTROL!$C$9, $C$13, 100%, $E$13) + CHOOSE(CONTROL!$C$28, 0.0003, 0)</f>
        <v>25.8887</v>
      </c>
      <c r="D350" s="4">
        <f>32.7743 * CHOOSE(CONTROL!$C$9, $C$13, 100%, $E$13) + CHOOSE(CONTROL!$C$28, 0, 0)</f>
        <v>32.774299999999997</v>
      </c>
      <c r="E350" s="4">
        <f>152.920584387889 * CHOOSE(CONTROL!$C$9, $C$13, 100%, $E$13) + CHOOSE(CONTROL!$C$28, 0, 0)</f>
        <v>152.92058438788899</v>
      </c>
    </row>
    <row r="351" spans="1:5" ht="15">
      <c r="A351" s="13">
        <v>52565</v>
      </c>
      <c r="B351" s="4">
        <f>25.6625 * CHOOSE(CONTROL!$C$9, $C$13, 100%, $E$13) + CHOOSE(CONTROL!$C$28, 0.0003, 0)</f>
        <v>25.662800000000001</v>
      </c>
      <c r="C351" s="4">
        <f>25.35 * CHOOSE(CONTROL!$C$9, $C$13, 100%, $E$13) + CHOOSE(CONTROL!$C$28, 0.0003, 0)</f>
        <v>25.350300000000001</v>
      </c>
      <c r="D351" s="4">
        <f>32.6224 * CHOOSE(CONTROL!$C$9, $C$13, 100%, $E$13) + CHOOSE(CONTROL!$C$28, 0, 0)</f>
        <v>32.622399999999999</v>
      </c>
      <c r="E351" s="4">
        <f>149.535667971024 * CHOOSE(CONTROL!$C$9, $C$13, 100%, $E$13) + CHOOSE(CONTROL!$C$28, 0, 0)</f>
        <v>149.535667971024</v>
      </c>
    </row>
    <row r="352" spans="1:5" ht="15">
      <c r="A352" s="13">
        <v>52596</v>
      </c>
      <c r="B352" s="4">
        <f>25.2899 * CHOOSE(CONTROL!$C$9, $C$13, 100%, $E$13) + CHOOSE(CONTROL!$C$28, 0.0003, 0)</f>
        <v>25.290199999999999</v>
      </c>
      <c r="C352" s="4">
        <f>24.9774 * CHOOSE(CONTROL!$C$9, $C$13, 100%, $E$13) + CHOOSE(CONTROL!$C$28, 0.0003, 0)</f>
        <v>24.977699999999999</v>
      </c>
      <c r="D352" s="4">
        <f>31.5047 * CHOOSE(CONTROL!$C$9, $C$13, 100%, $E$13) + CHOOSE(CONTROL!$C$28, 0, 0)</f>
        <v>31.5047</v>
      </c>
      <c r="E352" s="4">
        <f>147.193740922682 * CHOOSE(CONTROL!$C$9, $C$13, 100%, $E$13) + CHOOSE(CONTROL!$C$28, 0, 0)</f>
        <v>147.193740922682</v>
      </c>
    </row>
    <row r="353" spans="1:5" ht="15">
      <c r="A353" s="13">
        <v>52627</v>
      </c>
      <c r="B353" s="4">
        <f>24.6846 * CHOOSE(CONTROL!$C$9, $C$13, 100%, $E$13) + CHOOSE(CONTROL!$C$28, 0.0003, 0)</f>
        <v>24.684899999999999</v>
      </c>
      <c r="C353" s="4">
        <f>24.3721 * CHOOSE(CONTROL!$C$9, $C$13, 100%, $E$13) + CHOOSE(CONTROL!$C$28, 0.0003, 0)</f>
        <v>24.372399999999999</v>
      </c>
      <c r="D353" s="4">
        <f>30.4773 * CHOOSE(CONTROL!$C$9, $C$13, 100%, $E$13) + CHOOSE(CONTROL!$C$28, 0, 0)</f>
        <v>30.4773</v>
      </c>
      <c r="E353" s="4">
        <f>142.972785343744 * CHOOSE(CONTROL!$C$9, $C$13, 100%, $E$13) + CHOOSE(CONTROL!$C$28, 0, 0)</f>
        <v>142.97278534374399</v>
      </c>
    </row>
    <row r="354" spans="1:5" ht="15">
      <c r="A354" s="13">
        <v>52655</v>
      </c>
      <c r="B354" s="4">
        <f>25.2262 * CHOOSE(CONTROL!$C$9, $C$13, 100%, $E$13) + CHOOSE(CONTROL!$C$28, 0.0003, 0)</f>
        <v>25.226499999999998</v>
      </c>
      <c r="C354" s="4">
        <f>24.9137 * CHOOSE(CONTROL!$C$9, $C$13, 100%, $E$13) + CHOOSE(CONTROL!$C$28, 0.0003, 0)</f>
        <v>24.913999999999998</v>
      </c>
      <c r="D354" s="4">
        <f>31.5119 * CHOOSE(CONTROL!$C$9, $C$13, 100%, $E$13) + CHOOSE(CONTROL!$C$28, 0, 0)</f>
        <v>31.511900000000001</v>
      </c>
      <c r="E354" s="4">
        <f>146.367522710604 * CHOOSE(CONTROL!$C$9, $C$13, 100%, $E$13) + CHOOSE(CONTROL!$C$28, 0, 0)</f>
        <v>146.36752271060399</v>
      </c>
    </row>
    <row r="355" spans="1:5" ht="15">
      <c r="A355" s="13">
        <v>52687</v>
      </c>
      <c r="B355" s="4">
        <f>26.6485 * CHOOSE(CONTROL!$C$9, $C$13, 100%, $E$13) + CHOOSE(CONTROL!$C$28, 0.0003, 0)</f>
        <v>26.648799999999998</v>
      </c>
      <c r="C355" s="4">
        <f>26.336 * CHOOSE(CONTROL!$C$9, $C$13, 100%, $E$13) + CHOOSE(CONTROL!$C$28, 0.0003, 0)</f>
        <v>26.336299999999998</v>
      </c>
      <c r="D355" s="4">
        <f>33.1313 * CHOOSE(CONTROL!$C$9, $C$13, 100%, $E$13) + CHOOSE(CONTROL!$C$28, 0, 0)</f>
        <v>33.131300000000003</v>
      </c>
      <c r="E355" s="4">
        <f>155.282283443278 * CHOOSE(CONTROL!$C$9, $C$13, 100%, $E$13) + CHOOSE(CONTROL!$C$28, 0, 0)</f>
        <v>155.282283443278</v>
      </c>
    </row>
    <row r="356" spans="1:5" ht="15">
      <c r="A356" s="13">
        <v>52717</v>
      </c>
      <c r="B356" s="4">
        <f>27.659 * CHOOSE(CONTROL!$C$9, $C$13, 100%, $E$13) + CHOOSE(CONTROL!$C$28, 0.0003, 0)</f>
        <v>27.659299999999998</v>
      </c>
      <c r="C356" s="4">
        <f>27.3465 * CHOOSE(CONTROL!$C$9, $C$13, 100%, $E$13) + CHOOSE(CONTROL!$C$28, 0.0003, 0)</f>
        <v>27.346799999999998</v>
      </c>
      <c r="D356" s="4">
        <f>34.0642 * CHOOSE(CONTROL!$C$9, $C$13, 100%, $E$13) + CHOOSE(CONTROL!$C$28, 0, 0)</f>
        <v>34.0642</v>
      </c>
      <c r="E356" s="4">
        <f>161.616339748651 * CHOOSE(CONTROL!$C$9, $C$13, 100%, $E$13) + CHOOSE(CONTROL!$C$28, 0, 0)</f>
        <v>161.616339748651</v>
      </c>
    </row>
    <row r="357" spans="1:5" ht="15">
      <c r="A357" s="13">
        <v>52748</v>
      </c>
      <c r="B357" s="4">
        <f>28.2764 * CHOOSE(CONTROL!$C$9, $C$13, 100%, $E$13) + CHOOSE(CONTROL!$C$28, 0.0197, 0)</f>
        <v>28.296099999999999</v>
      </c>
      <c r="C357" s="4">
        <f>27.9639 * CHOOSE(CONTROL!$C$9, $C$13, 100%, $E$13) + CHOOSE(CONTROL!$C$28, 0.0197, 0)</f>
        <v>27.983599999999999</v>
      </c>
      <c r="D357" s="4">
        <f>33.6956 * CHOOSE(CONTROL!$C$9, $C$13, 100%, $E$13) + CHOOSE(CONTROL!$C$28, 0, 0)</f>
        <v>33.695599999999999</v>
      </c>
      <c r="E357" s="4">
        <f>165.486296345091 * CHOOSE(CONTROL!$C$9, $C$13, 100%, $E$13) + CHOOSE(CONTROL!$C$28, 0, 0)</f>
        <v>165.48629634509101</v>
      </c>
    </row>
    <row r="358" spans="1:5" ht="15">
      <c r="A358" s="13">
        <v>52778</v>
      </c>
      <c r="B358" s="4">
        <f>28.3599 * CHOOSE(CONTROL!$C$9, $C$13, 100%, $E$13) + CHOOSE(CONTROL!$C$28, 0.0197, 0)</f>
        <v>28.3796</v>
      </c>
      <c r="C358" s="4">
        <f>28.0474 * CHOOSE(CONTROL!$C$9, $C$13, 100%, $E$13) + CHOOSE(CONTROL!$C$28, 0.0197, 0)</f>
        <v>28.0671</v>
      </c>
      <c r="D358" s="4">
        <f>33.9958 * CHOOSE(CONTROL!$C$9, $C$13, 100%, $E$13) + CHOOSE(CONTROL!$C$28, 0, 0)</f>
        <v>33.995800000000003</v>
      </c>
      <c r="E358" s="4">
        <f>166.009917533239 * CHOOSE(CONTROL!$C$9, $C$13, 100%, $E$13) + CHOOSE(CONTROL!$C$28, 0, 0)</f>
        <v>166.00991753323899</v>
      </c>
    </row>
    <row r="359" spans="1:5" ht="15">
      <c r="A359" s="13">
        <v>52809</v>
      </c>
      <c r="B359" s="4">
        <f>28.3515 * CHOOSE(CONTROL!$C$9, $C$13, 100%, $E$13) + CHOOSE(CONTROL!$C$28, 0.0197, 0)</f>
        <v>28.371200000000002</v>
      </c>
      <c r="C359" s="4">
        <f>28.039 * CHOOSE(CONTROL!$C$9, $C$13, 100%, $E$13) + CHOOSE(CONTROL!$C$28, 0.0197, 0)</f>
        <v>28.058700000000002</v>
      </c>
      <c r="D359" s="4">
        <f>34.5375 * CHOOSE(CONTROL!$C$9, $C$13, 100%, $E$13) + CHOOSE(CONTROL!$C$28, 0, 0)</f>
        <v>34.537500000000001</v>
      </c>
      <c r="E359" s="4">
        <f>165.957115396619 * CHOOSE(CONTROL!$C$9, $C$13, 100%, $E$13) + CHOOSE(CONTROL!$C$28, 0, 0)</f>
        <v>165.957115396619</v>
      </c>
    </row>
    <row r="360" spans="1:5" ht="15">
      <c r="A360" s="13">
        <v>52840</v>
      </c>
      <c r="B360" s="4">
        <f>28.9854 * CHOOSE(CONTROL!$C$9, $C$13, 100%, $E$13) + CHOOSE(CONTROL!$C$28, 0.0197, 0)</f>
        <v>29.005099999999999</v>
      </c>
      <c r="C360" s="4">
        <f>28.6729 * CHOOSE(CONTROL!$C$9, $C$13, 100%, $E$13) + CHOOSE(CONTROL!$C$28, 0.0197, 0)</f>
        <v>28.692599999999999</v>
      </c>
      <c r="D360" s="4">
        <f>34.1798 * CHOOSE(CONTROL!$C$9, $C$13, 100%, $E$13) + CHOOSE(CONTROL!$C$28, 0, 0)</f>
        <v>34.1798</v>
      </c>
      <c r="E360" s="4">
        <f>169.930476177273 * CHOOSE(CONTROL!$C$9, $C$13, 100%, $E$13) + CHOOSE(CONTROL!$C$28, 0, 0)</f>
        <v>169.93047617727299</v>
      </c>
    </row>
    <row r="361" spans="1:5" ht="15">
      <c r="A361" s="13">
        <v>52870</v>
      </c>
      <c r="B361" s="4">
        <f>27.905 * CHOOSE(CONTROL!$C$9, $C$13, 100%, $E$13) + CHOOSE(CONTROL!$C$28, 0.0197, 0)</f>
        <v>27.924700000000001</v>
      </c>
      <c r="C361" s="4">
        <f>27.5925 * CHOOSE(CONTROL!$C$9, $C$13, 100%, $E$13) + CHOOSE(CONTROL!$C$28, 0.0197, 0)</f>
        <v>27.612200000000001</v>
      </c>
      <c r="D361" s="4">
        <f>34.0107 * CHOOSE(CONTROL!$C$9, $C$13, 100%, $E$13) + CHOOSE(CONTROL!$C$28, 0, 0)</f>
        <v>34.0107</v>
      </c>
      <c r="E361" s="4">
        <f>163.15860215576 * CHOOSE(CONTROL!$C$9, $C$13, 100%, $E$13) + CHOOSE(CONTROL!$C$28, 0, 0)</f>
        <v>163.15860215576001</v>
      </c>
    </row>
    <row r="362" spans="1:5" ht="15">
      <c r="A362" s="13">
        <v>52901</v>
      </c>
      <c r="B362" s="4">
        <f>27.0402 * CHOOSE(CONTROL!$C$9, $C$13, 100%, $E$13) + CHOOSE(CONTROL!$C$28, 0.0003, 0)</f>
        <v>27.040499999999998</v>
      </c>
      <c r="C362" s="4">
        <f>26.7277 * CHOOSE(CONTROL!$C$9, $C$13, 100%, $E$13) + CHOOSE(CONTROL!$C$28, 0.0003, 0)</f>
        <v>26.727999999999998</v>
      </c>
      <c r="D362" s="4">
        <f>33.5582 * CHOOSE(CONTROL!$C$9, $C$13, 100%, $E$13) + CHOOSE(CONTROL!$C$28, 0, 0)</f>
        <v>33.558199999999999</v>
      </c>
      <c r="E362" s="4">
        <f>157.737582796107 * CHOOSE(CONTROL!$C$9, $C$13, 100%, $E$13) + CHOOSE(CONTROL!$C$28, 0, 0)</f>
        <v>157.73758279610701</v>
      </c>
    </row>
    <row r="363" spans="1:5" ht="15">
      <c r="A363" s="13">
        <v>52931</v>
      </c>
      <c r="B363" s="4">
        <f>26.4831 * CHOOSE(CONTROL!$C$9, $C$13, 100%, $E$13) + CHOOSE(CONTROL!$C$28, 0.0003, 0)</f>
        <v>26.4834</v>
      </c>
      <c r="C363" s="4">
        <f>26.1706 * CHOOSE(CONTROL!$C$9, $C$13, 100%, $E$13) + CHOOSE(CONTROL!$C$28, 0.0003, 0)</f>
        <v>26.1709</v>
      </c>
      <c r="D363" s="4">
        <f>33.4026 * CHOOSE(CONTROL!$C$9, $C$13, 100%, $E$13) + CHOOSE(CONTROL!$C$28, 0, 0)</f>
        <v>33.4026</v>
      </c>
      <c r="E363" s="4">
        <f>154.246041512111 * CHOOSE(CONTROL!$C$9, $C$13, 100%, $E$13) + CHOOSE(CONTROL!$C$28, 0, 0)</f>
        <v>154.24604151211099</v>
      </c>
    </row>
    <row r="364" spans="1:5" ht="15">
      <c r="A364" s="13">
        <v>52962</v>
      </c>
      <c r="B364" s="4">
        <f>26.0977 * CHOOSE(CONTROL!$C$9, $C$13, 100%, $E$13) + CHOOSE(CONTROL!$C$28, 0.0003, 0)</f>
        <v>26.097999999999999</v>
      </c>
      <c r="C364" s="4">
        <f>25.7852 * CHOOSE(CONTROL!$C$9, $C$13, 100%, $E$13) + CHOOSE(CONTROL!$C$28, 0.0003, 0)</f>
        <v>25.785499999999999</v>
      </c>
      <c r="D364" s="4">
        <f>32.2571 * CHOOSE(CONTROL!$C$9, $C$13, 100%, $E$13) + CHOOSE(CONTROL!$C$28, 0, 0)</f>
        <v>32.257100000000001</v>
      </c>
      <c r="E364" s="4">
        <f>151.830343761746 * CHOOSE(CONTROL!$C$9, $C$13, 100%, $E$13) + CHOOSE(CONTROL!$C$28, 0, 0)</f>
        <v>151.83034376174601</v>
      </c>
    </row>
    <row r="365" spans="1:5" ht="15">
      <c r="A365" s="13">
        <v>52993</v>
      </c>
      <c r="B365" s="4">
        <f>25.4716 * CHOOSE(CONTROL!$C$9, $C$13, 100%, $E$13) + CHOOSE(CONTROL!$C$28, 0.0003, 0)</f>
        <v>25.471899999999998</v>
      </c>
      <c r="C365" s="4">
        <f>25.1591 * CHOOSE(CONTROL!$C$9, $C$13, 100%, $E$13) + CHOOSE(CONTROL!$C$28, 0.0003, 0)</f>
        <v>25.159399999999998</v>
      </c>
      <c r="D365" s="4">
        <f>31.2043 * CHOOSE(CONTROL!$C$9, $C$13, 100%, $E$13) + CHOOSE(CONTROL!$C$28, 0, 0)</f>
        <v>31.2043</v>
      </c>
      <c r="E365" s="4">
        <f>147.476428082072 * CHOOSE(CONTROL!$C$9, $C$13, 100%, $E$13) + CHOOSE(CONTROL!$C$28, 0, 0)</f>
        <v>147.476428082072</v>
      </c>
    </row>
    <row r="366" spans="1:5" ht="15">
      <c r="A366" s="13">
        <v>53021</v>
      </c>
      <c r="B366" s="4">
        <f>26.0318 * CHOOSE(CONTROL!$C$9, $C$13, 100%, $E$13) + CHOOSE(CONTROL!$C$28, 0.0003, 0)</f>
        <v>26.0321</v>
      </c>
      <c r="C366" s="4">
        <f>25.7193 * CHOOSE(CONTROL!$C$9, $C$13, 100%, $E$13) + CHOOSE(CONTROL!$C$28, 0.0003, 0)</f>
        <v>25.7196</v>
      </c>
      <c r="D366" s="4">
        <f>32.2645 * CHOOSE(CONTROL!$C$9, $C$13, 100%, $E$13) + CHOOSE(CONTROL!$C$28, 0, 0)</f>
        <v>32.264499999999998</v>
      </c>
      <c r="E366" s="4">
        <f>150.978099675988 * CHOOSE(CONTROL!$C$9, $C$13, 100%, $E$13) + CHOOSE(CONTROL!$C$28, 0, 0)</f>
        <v>150.97809967598801</v>
      </c>
    </row>
    <row r="367" spans="1:5" ht="15">
      <c r="A367" s="13">
        <v>53052</v>
      </c>
      <c r="B367" s="4">
        <f>27.5031 * CHOOSE(CONTROL!$C$9, $C$13, 100%, $E$13) + CHOOSE(CONTROL!$C$28, 0.0003, 0)</f>
        <v>27.503399999999999</v>
      </c>
      <c r="C367" s="4">
        <f>27.1906 * CHOOSE(CONTROL!$C$9, $C$13, 100%, $E$13) + CHOOSE(CONTROL!$C$28, 0.0003, 0)</f>
        <v>27.190899999999999</v>
      </c>
      <c r="D367" s="4">
        <f>33.9241 * CHOOSE(CONTROL!$C$9, $C$13, 100%, $E$13) + CHOOSE(CONTROL!$C$28, 0, 0)</f>
        <v>33.924100000000003</v>
      </c>
      <c r="E367" s="4">
        <f>160.173675371741 * CHOOSE(CONTROL!$C$9, $C$13, 100%, $E$13) + CHOOSE(CONTROL!$C$28, 0, 0)</f>
        <v>160.17367537174101</v>
      </c>
    </row>
    <row r="368" spans="1:5" ht="15">
      <c r="A368" s="13">
        <v>53082</v>
      </c>
      <c r="B368" s="4">
        <f>28.5485 * CHOOSE(CONTROL!$C$9, $C$13, 100%, $E$13) + CHOOSE(CONTROL!$C$28, 0.0003, 0)</f>
        <v>28.5488</v>
      </c>
      <c r="C368" s="4">
        <f>28.236 * CHOOSE(CONTROL!$C$9, $C$13, 100%, $E$13) + CHOOSE(CONTROL!$C$28, 0.0003, 0)</f>
        <v>28.2363</v>
      </c>
      <c r="D368" s="4">
        <f>34.8801 * CHOOSE(CONTROL!$C$9, $C$13, 100%, $E$13) + CHOOSE(CONTROL!$C$28, 0, 0)</f>
        <v>34.880099999999999</v>
      </c>
      <c r="E368" s="4">
        <f>166.707254450733 * CHOOSE(CONTROL!$C$9, $C$13, 100%, $E$13) + CHOOSE(CONTROL!$C$28, 0, 0)</f>
        <v>166.70725445073299</v>
      </c>
    </row>
    <row r="369" spans="1:5" ht="15">
      <c r="A369" s="13">
        <v>53113</v>
      </c>
      <c r="B369" s="4">
        <f>29.1872 * CHOOSE(CONTROL!$C$9, $C$13, 100%, $E$13) + CHOOSE(CONTROL!$C$28, 0.0197, 0)</f>
        <v>29.206900000000001</v>
      </c>
      <c r="C369" s="4">
        <f>28.8747 * CHOOSE(CONTROL!$C$9, $C$13, 100%, $E$13) + CHOOSE(CONTROL!$C$28, 0.0197, 0)</f>
        <v>28.894400000000001</v>
      </c>
      <c r="D369" s="4">
        <f>34.5023 * CHOOSE(CONTROL!$C$9, $C$13, 100%, $E$13) + CHOOSE(CONTROL!$C$28, 0, 0)</f>
        <v>34.502299999999998</v>
      </c>
      <c r="E369" s="4">
        <f>170.699114679961 * CHOOSE(CONTROL!$C$9, $C$13, 100%, $E$13) + CHOOSE(CONTROL!$C$28, 0, 0)</f>
        <v>170.69911467996101</v>
      </c>
    </row>
    <row r="370" spans="1:5" ht="15">
      <c r="A370" s="13">
        <v>53143</v>
      </c>
      <c r="B370" s="4">
        <f>29.2737 * CHOOSE(CONTROL!$C$9, $C$13, 100%, $E$13) + CHOOSE(CONTROL!$C$28, 0.0197, 0)</f>
        <v>29.293400000000002</v>
      </c>
      <c r="C370" s="4">
        <f>28.9612 * CHOOSE(CONTROL!$C$9, $C$13, 100%, $E$13) + CHOOSE(CONTROL!$C$28, 0.0197, 0)</f>
        <v>28.980900000000002</v>
      </c>
      <c r="D370" s="4">
        <f>34.81 * CHOOSE(CONTROL!$C$9, $C$13, 100%, $E$13) + CHOOSE(CONTROL!$C$28, 0, 0)</f>
        <v>34.81</v>
      </c>
      <c r="E370" s="4">
        <f>171.239229935536 * CHOOSE(CONTROL!$C$9, $C$13, 100%, $E$13) + CHOOSE(CONTROL!$C$28, 0, 0)</f>
        <v>171.239229935536</v>
      </c>
    </row>
    <row r="371" spans="1:5" ht="15">
      <c r="A371" s="13">
        <v>53174</v>
      </c>
      <c r="B371" s="4">
        <f>29.2649 * CHOOSE(CONTROL!$C$9, $C$13, 100%, $E$13) + CHOOSE(CONTROL!$C$28, 0.0197, 0)</f>
        <v>29.284600000000001</v>
      </c>
      <c r="C371" s="4">
        <f>28.9524 * CHOOSE(CONTROL!$C$9, $C$13, 100%, $E$13) + CHOOSE(CONTROL!$C$28, 0.0197, 0)</f>
        <v>28.972100000000001</v>
      </c>
      <c r="D371" s="4">
        <f>35.3651 * CHOOSE(CONTROL!$C$9, $C$13, 100%, $E$13) + CHOOSE(CONTROL!$C$28, 0, 0)</f>
        <v>35.365099999999998</v>
      </c>
      <c r="E371" s="4">
        <f>171.184764531612 * CHOOSE(CONTROL!$C$9, $C$13, 100%, $E$13) + CHOOSE(CONTROL!$C$28, 0, 0)</f>
        <v>171.18476453161199</v>
      </c>
    </row>
    <row r="372" spans="1:5" ht="15">
      <c r="A372" s="13">
        <v>53205</v>
      </c>
      <c r="B372" s="4">
        <f>29.9207 * CHOOSE(CONTROL!$C$9, $C$13, 100%, $E$13) + CHOOSE(CONTROL!$C$28, 0.0197, 0)</f>
        <v>29.9404</v>
      </c>
      <c r="C372" s="4">
        <f>29.6082 * CHOOSE(CONTROL!$C$9, $C$13, 100%, $E$13) + CHOOSE(CONTROL!$C$28, 0.0197, 0)</f>
        <v>29.6279</v>
      </c>
      <c r="D372" s="4">
        <f>34.9985 * CHOOSE(CONTROL!$C$9, $C$13, 100%, $E$13) + CHOOSE(CONTROL!$C$28, 0, 0)</f>
        <v>34.9985</v>
      </c>
      <c r="E372" s="4">
        <f>175.283286176857 * CHOOSE(CONTROL!$C$9, $C$13, 100%, $E$13) + CHOOSE(CONTROL!$C$28, 0, 0)</f>
        <v>175.28328617685699</v>
      </c>
    </row>
    <row r="373" spans="1:5" ht="15">
      <c r="A373" s="13">
        <v>53235</v>
      </c>
      <c r="B373" s="4">
        <f>28.8031 * CHOOSE(CONTROL!$C$9, $C$13, 100%, $E$13) + CHOOSE(CONTROL!$C$28, 0.0197, 0)</f>
        <v>28.822800000000001</v>
      </c>
      <c r="C373" s="4">
        <f>28.4906 * CHOOSE(CONTROL!$C$9, $C$13, 100%, $E$13) + CHOOSE(CONTROL!$C$28, 0.0197, 0)</f>
        <v>28.510300000000001</v>
      </c>
      <c r="D373" s="4">
        <f>34.8253 * CHOOSE(CONTROL!$C$9, $C$13, 100%, $E$13) + CHOOSE(CONTROL!$C$28, 0, 0)</f>
        <v>34.825299999999999</v>
      </c>
      <c r="E373" s="4">
        <f>168.298098123666 * CHOOSE(CONTROL!$C$9, $C$13, 100%, $E$13) + CHOOSE(CONTROL!$C$28, 0, 0)</f>
        <v>168.29809812366599</v>
      </c>
    </row>
    <row r="374" spans="1:5" ht="15">
      <c r="A374" s="13">
        <v>53266</v>
      </c>
      <c r="B374" s="4">
        <f>27.9084 * CHOOSE(CONTROL!$C$9, $C$13, 100%, $E$13) + CHOOSE(CONTROL!$C$28, 0.0003, 0)</f>
        <v>27.9087</v>
      </c>
      <c r="C374" s="4">
        <f>27.5959 * CHOOSE(CONTROL!$C$9, $C$13, 100%, $E$13) + CHOOSE(CONTROL!$C$28, 0.0003, 0)</f>
        <v>27.5962</v>
      </c>
      <c r="D374" s="4">
        <f>34.3615 * CHOOSE(CONTROL!$C$9, $C$13, 100%, $E$13) + CHOOSE(CONTROL!$C$28, 0, 0)</f>
        <v>34.361499999999999</v>
      </c>
      <c r="E374" s="4">
        <f>162.706316654185 * CHOOSE(CONTROL!$C$9, $C$13, 100%, $E$13) + CHOOSE(CONTROL!$C$28, 0, 0)</f>
        <v>162.706316654185</v>
      </c>
    </row>
    <row r="375" spans="1:5" ht="15">
      <c r="A375" s="13">
        <v>53296</v>
      </c>
      <c r="B375" s="4">
        <f>27.3321 * CHOOSE(CONTROL!$C$9, $C$13, 100%, $E$13) + CHOOSE(CONTROL!$C$28, 0.0003, 0)</f>
        <v>27.3324</v>
      </c>
      <c r="C375" s="4">
        <f>27.0196 * CHOOSE(CONTROL!$C$9, $C$13, 100%, $E$13) + CHOOSE(CONTROL!$C$28, 0.0003, 0)</f>
        <v>27.0199</v>
      </c>
      <c r="D375" s="4">
        <f>34.2021 * CHOOSE(CONTROL!$C$9, $C$13, 100%, $E$13) + CHOOSE(CONTROL!$C$28, 0, 0)</f>
        <v>34.202100000000002</v>
      </c>
      <c r="E375" s="4">
        <f>159.104791819742 * CHOOSE(CONTROL!$C$9, $C$13, 100%, $E$13) + CHOOSE(CONTROL!$C$28, 0, 0)</f>
        <v>159.10479181974199</v>
      </c>
    </row>
    <row r="376" spans="1:5" ht="15">
      <c r="A376" s="13">
        <v>53327</v>
      </c>
      <c r="B376" s="4">
        <f>26.9334 * CHOOSE(CONTROL!$C$9, $C$13, 100%, $E$13) + CHOOSE(CONTROL!$C$28, 0.0003, 0)</f>
        <v>26.933699999999998</v>
      </c>
      <c r="C376" s="4">
        <f>26.6209 * CHOOSE(CONTROL!$C$9, $C$13, 100%, $E$13) + CHOOSE(CONTROL!$C$28, 0.0003, 0)</f>
        <v>26.621199999999998</v>
      </c>
      <c r="D376" s="4">
        <f>33.0282 * CHOOSE(CONTROL!$C$9, $C$13, 100%, $E$13) + CHOOSE(CONTROL!$C$28, 0, 0)</f>
        <v>33.028199999999998</v>
      </c>
      <c r="E376" s="4">
        <f>156.612999590241 * CHOOSE(CONTROL!$C$9, $C$13, 100%, $E$13) + CHOOSE(CONTROL!$C$28, 0, 0)</f>
        <v>156.612999590241</v>
      </c>
    </row>
    <row r="377" spans="1:5" ht="15">
      <c r="A377" s="13">
        <v>53358</v>
      </c>
      <c r="B377" s="4">
        <f>26.2856 * CHOOSE(CONTROL!$C$9, $C$13, 100%, $E$13) + CHOOSE(CONTROL!$C$28, 0.0003, 0)</f>
        <v>26.285899999999998</v>
      </c>
      <c r="C377" s="4">
        <f>25.9731 * CHOOSE(CONTROL!$C$9, $C$13, 100%, $E$13) + CHOOSE(CONTROL!$C$28, 0.0003, 0)</f>
        <v>25.973399999999998</v>
      </c>
      <c r="D377" s="4">
        <f>31.9492 * CHOOSE(CONTROL!$C$9, $C$13, 100%, $E$13) + CHOOSE(CONTROL!$C$28, 0, 0)</f>
        <v>31.949200000000001</v>
      </c>
      <c r="E377" s="4">
        <f>152.121935566657 * CHOOSE(CONTROL!$C$9, $C$13, 100%, $E$13) + CHOOSE(CONTROL!$C$28, 0, 0)</f>
        <v>152.12193556665699</v>
      </c>
    </row>
    <row r="378" spans="1:5" ht="15">
      <c r="A378" s="13">
        <v>53386</v>
      </c>
      <c r="B378" s="4">
        <f>26.8652 * CHOOSE(CONTROL!$C$9, $C$13, 100%, $E$13) + CHOOSE(CONTROL!$C$28, 0.0003, 0)</f>
        <v>26.865500000000001</v>
      </c>
      <c r="C378" s="4">
        <f>26.5527 * CHOOSE(CONTROL!$C$9, $C$13, 100%, $E$13) + CHOOSE(CONTROL!$C$28, 0.0003, 0)</f>
        <v>26.553000000000001</v>
      </c>
      <c r="D378" s="4">
        <f>33.0357 * CHOOSE(CONTROL!$C$9, $C$13, 100%, $E$13) + CHOOSE(CONTROL!$C$28, 0, 0)</f>
        <v>33.035699999999999</v>
      </c>
      <c r="E378" s="4">
        <f>155.733909815781 * CHOOSE(CONTROL!$C$9, $C$13, 100%, $E$13) + CHOOSE(CONTROL!$C$28, 0, 0)</f>
        <v>155.733909815781</v>
      </c>
    </row>
    <row r="379" spans="1:5" ht="15">
      <c r="A379" s="13">
        <v>53417</v>
      </c>
      <c r="B379" s="4">
        <f>28.3873 * CHOOSE(CONTROL!$C$9, $C$13, 100%, $E$13) + CHOOSE(CONTROL!$C$28, 0.0003, 0)</f>
        <v>28.387599999999999</v>
      </c>
      <c r="C379" s="4">
        <f>28.0748 * CHOOSE(CONTROL!$C$9, $C$13, 100%, $E$13) + CHOOSE(CONTROL!$C$28, 0.0003, 0)</f>
        <v>28.075099999999999</v>
      </c>
      <c r="D379" s="4">
        <f>34.7365 * CHOOSE(CONTROL!$C$9, $C$13, 100%, $E$13) + CHOOSE(CONTROL!$C$28, 0, 0)</f>
        <v>34.736499999999999</v>
      </c>
      <c r="E379" s="4">
        <f>165.219146145951 * CHOOSE(CONTROL!$C$9, $C$13, 100%, $E$13) + CHOOSE(CONTROL!$C$28, 0, 0)</f>
        <v>165.21914614595099</v>
      </c>
    </row>
    <row r="380" spans="1:5" ht="15">
      <c r="A380" s="13">
        <v>53447</v>
      </c>
      <c r="B380" s="4">
        <f>29.4688 * CHOOSE(CONTROL!$C$9, $C$13, 100%, $E$13) + CHOOSE(CONTROL!$C$28, 0.0003, 0)</f>
        <v>29.469100000000001</v>
      </c>
      <c r="C380" s="4">
        <f>29.1563 * CHOOSE(CONTROL!$C$9, $C$13, 100%, $E$13) + CHOOSE(CONTROL!$C$28, 0.0003, 0)</f>
        <v>29.156600000000001</v>
      </c>
      <c r="D380" s="4">
        <f>35.7162 * CHOOSE(CONTROL!$C$9, $C$13, 100%, $E$13) + CHOOSE(CONTROL!$C$28, 0, 0)</f>
        <v>35.716200000000001</v>
      </c>
      <c r="E380" s="4">
        <f>171.958532965931 * CHOOSE(CONTROL!$C$9, $C$13, 100%, $E$13) + CHOOSE(CONTROL!$C$28, 0, 0)</f>
        <v>171.958532965931</v>
      </c>
    </row>
    <row r="381" spans="1:5" ht="15">
      <c r="A381" s="13">
        <v>53478</v>
      </c>
      <c r="B381" s="4">
        <f>30.1295 * CHOOSE(CONTROL!$C$9, $C$13, 100%, $E$13) + CHOOSE(CONTROL!$C$28, 0.0197, 0)</f>
        <v>30.1492</v>
      </c>
      <c r="C381" s="4">
        <f>29.817 * CHOOSE(CONTROL!$C$9, $C$13, 100%, $E$13) + CHOOSE(CONTROL!$C$28, 0.0197, 0)</f>
        <v>29.8367</v>
      </c>
      <c r="D381" s="4">
        <f>35.3291 * CHOOSE(CONTROL!$C$9, $C$13, 100%, $E$13) + CHOOSE(CONTROL!$C$28, 0, 0)</f>
        <v>35.329099999999997</v>
      </c>
      <c r="E381" s="4">
        <f>176.07613679238 * CHOOSE(CONTROL!$C$9, $C$13, 100%, $E$13) + CHOOSE(CONTROL!$C$28, 0, 0)</f>
        <v>176.07613679238</v>
      </c>
    </row>
    <row r="382" spans="1:5" ht="15">
      <c r="A382" s="13">
        <v>53508</v>
      </c>
      <c r="B382" s="4">
        <f>30.2189 * CHOOSE(CONTROL!$C$9, $C$13, 100%, $E$13) + CHOOSE(CONTROL!$C$28, 0.0197, 0)</f>
        <v>30.238600000000002</v>
      </c>
      <c r="C382" s="4">
        <f>29.9064 * CHOOSE(CONTROL!$C$9, $C$13, 100%, $E$13) + CHOOSE(CONTROL!$C$28, 0.0197, 0)</f>
        <v>29.926100000000002</v>
      </c>
      <c r="D382" s="4">
        <f>35.6444 * CHOOSE(CONTROL!$C$9, $C$13, 100%, $E$13) + CHOOSE(CONTROL!$C$28, 0, 0)</f>
        <v>35.644399999999997</v>
      </c>
      <c r="E382" s="4">
        <f>176.633265678505 * CHOOSE(CONTROL!$C$9, $C$13, 100%, $E$13) + CHOOSE(CONTROL!$C$28, 0, 0)</f>
        <v>176.63326567850501</v>
      </c>
    </row>
    <row r="383" spans="1:5" ht="15">
      <c r="A383" s="13">
        <v>53539</v>
      </c>
      <c r="B383" s="4">
        <f>30.2099 * CHOOSE(CONTROL!$C$9, $C$13, 100%, $E$13) + CHOOSE(CONTROL!$C$28, 0.0197, 0)</f>
        <v>30.229600000000001</v>
      </c>
      <c r="C383" s="4">
        <f>29.8974 * CHOOSE(CONTROL!$C$9, $C$13, 100%, $E$13) + CHOOSE(CONTROL!$C$28, 0.0197, 0)</f>
        <v>29.917100000000001</v>
      </c>
      <c r="D383" s="4">
        <f>36.2133 * CHOOSE(CONTROL!$C$9, $C$13, 100%, $E$13) + CHOOSE(CONTROL!$C$28, 0, 0)</f>
        <v>36.213299999999997</v>
      </c>
      <c r="E383" s="4">
        <f>176.577084614358 * CHOOSE(CONTROL!$C$9, $C$13, 100%, $E$13) + CHOOSE(CONTROL!$C$28, 0, 0)</f>
        <v>176.577084614358</v>
      </c>
    </row>
    <row r="384" spans="1:5" ht="15">
      <c r="A384" s="13">
        <v>53570</v>
      </c>
      <c r="B384" s="4">
        <f>30.8883 * CHOOSE(CONTROL!$C$9, $C$13, 100%, $E$13) + CHOOSE(CONTROL!$C$28, 0.0197, 0)</f>
        <v>30.908000000000001</v>
      </c>
      <c r="C384" s="4">
        <f>30.5758 * CHOOSE(CONTROL!$C$9, $C$13, 100%, $E$13) + CHOOSE(CONTROL!$C$28, 0.0197, 0)</f>
        <v>30.595500000000001</v>
      </c>
      <c r="D384" s="4">
        <f>35.8376 * CHOOSE(CONTROL!$C$9, $C$13, 100%, $E$13) + CHOOSE(CONTROL!$C$28, 0, 0)</f>
        <v>35.837600000000002</v>
      </c>
      <c r="E384" s="4">
        <f>180.804709691428 * CHOOSE(CONTROL!$C$9, $C$13, 100%, $E$13) + CHOOSE(CONTROL!$C$28, 0, 0)</f>
        <v>180.804709691428</v>
      </c>
    </row>
    <row r="385" spans="1:5" ht="15">
      <c r="A385" s="13">
        <v>53600</v>
      </c>
      <c r="B385" s="4">
        <f>29.7321 * CHOOSE(CONTROL!$C$9, $C$13, 100%, $E$13) + CHOOSE(CONTROL!$C$28, 0.0197, 0)</f>
        <v>29.751799999999999</v>
      </c>
      <c r="C385" s="4">
        <f>29.4196 * CHOOSE(CONTROL!$C$9, $C$13, 100%, $E$13) + CHOOSE(CONTROL!$C$28, 0.0197, 0)</f>
        <v>29.439299999999999</v>
      </c>
      <c r="D385" s="4">
        <f>35.6601 * CHOOSE(CONTROL!$C$9, $C$13, 100%, $E$13) + CHOOSE(CONTROL!$C$28, 0, 0)</f>
        <v>35.6601</v>
      </c>
      <c r="E385" s="4">
        <f>173.599488214561 * CHOOSE(CONTROL!$C$9, $C$13, 100%, $E$13) + CHOOSE(CONTROL!$C$28, 0, 0)</f>
        <v>173.59948821456101</v>
      </c>
    </row>
    <row r="386" spans="1:5" ht="15">
      <c r="A386" s="13">
        <v>53631</v>
      </c>
      <c r="B386" s="4">
        <f>28.8065 * CHOOSE(CONTROL!$C$9, $C$13, 100%, $E$13) + CHOOSE(CONTROL!$C$28, 0.0003, 0)</f>
        <v>28.806799999999999</v>
      </c>
      <c r="C386" s="4">
        <f>28.494 * CHOOSE(CONTROL!$C$9, $C$13, 100%, $E$13) + CHOOSE(CONTROL!$C$28, 0.0003, 0)</f>
        <v>28.494299999999999</v>
      </c>
      <c r="D386" s="4">
        <f>35.1848 * CHOOSE(CONTROL!$C$9, $C$13, 100%, $E$13) + CHOOSE(CONTROL!$C$28, 0, 0)</f>
        <v>35.184800000000003</v>
      </c>
      <c r="E386" s="4">
        <f>167.831565628792 * CHOOSE(CONTROL!$C$9, $C$13, 100%, $E$13) + CHOOSE(CONTROL!$C$28, 0, 0)</f>
        <v>167.83156562879199</v>
      </c>
    </row>
    <row r="387" spans="1:5" ht="15">
      <c r="A387" s="13">
        <v>53661</v>
      </c>
      <c r="B387" s="4">
        <f>28.2104 * CHOOSE(CONTROL!$C$9, $C$13, 100%, $E$13) + CHOOSE(CONTROL!$C$28, 0.0003, 0)</f>
        <v>28.210699999999999</v>
      </c>
      <c r="C387" s="4">
        <f>27.8979 * CHOOSE(CONTROL!$C$9, $C$13, 100%, $E$13) + CHOOSE(CONTROL!$C$28, 0.0003, 0)</f>
        <v>27.898199999999999</v>
      </c>
      <c r="D387" s="4">
        <f>35.0214 * CHOOSE(CONTROL!$C$9, $C$13, 100%, $E$13) + CHOOSE(CONTROL!$C$28, 0, 0)</f>
        <v>35.0214</v>
      </c>
      <c r="E387" s="4">
        <f>164.116592762064 * CHOOSE(CONTROL!$C$9, $C$13, 100%, $E$13) + CHOOSE(CONTROL!$C$28, 0, 0)</f>
        <v>164.11659276206399</v>
      </c>
    </row>
    <row r="388" spans="1:5" ht="15">
      <c r="A388" s="13">
        <v>53692</v>
      </c>
      <c r="B388" s="4">
        <f>27.7979 * CHOOSE(CONTROL!$C$9, $C$13, 100%, $E$13) + CHOOSE(CONTROL!$C$28, 0.0003, 0)</f>
        <v>27.798199999999998</v>
      </c>
      <c r="C388" s="4">
        <f>27.4854 * CHOOSE(CONTROL!$C$9, $C$13, 100%, $E$13) + CHOOSE(CONTROL!$C$28, 0.0003, 0)</f>
        <v>27.485699999999998</v>
      </c>
      <c r="D388" s="4">
        <f>33.8183 * CHOOSE(CONTROL!$C$9, $C$13, 100%, $E$13) + CHOOSE(CONTROL!$C$28, 0, 0)</f>
        <v>33.818300000000001</v>
      </c>
      <c r="E388" s="4">
        <f>161.546309077334 * CHOOSE(CONTROL!$C$9, $C$13, 100%, $E$13) + CHOOSE(CONTROL!$C$28, 0, 0)</f>
        <v>161.546309077334</v>
      </c>
    </row>
    <row r="389" spans="1:5" ht="15">
      <c r="A389" s="13">
        <v>53723</v>
      </c>
      <c r="B389" s="4">
        <f>27.1278 * CHOOSE(CONTROL!$C$9, $C$13, 100%, $E$13) + CHOOSE(CONTROL!$C$28, 0.0003, 0)</f>
        <v>27.1281</v>
      </c>
      <c r="C389" s="4">
        <f>26.8153 * CHOOSE(CONTROL!$C$9, $C$13, 100%, $E$13) + CHOOSE(CONTROL!$C$28, 0.0003, 0)</f>
        <v>26.8156</v>
      </c>
      <c r="D389" s="4">
        <f>32.7127 * CHOOSE(CONTROL!$C$9, $C$13, 100%, $E$13) + CHOOSE(CONTROL!$C$28, 0, 0)</f>
        <v>32.712699999999998</v>
      </c>
      <c r="E389" s="4">
        <f>156.913776537007 * CHOOSE(CONTROL!$C$9, $C$13, 100%, $E$13) + CHOOSE(CONTROL!$C$28, 0, 0)</f>
        <v>156.91377653700701</v>
      </c>
    </row>
    <row r="390" spans="1:5" ht="15">
      <c r="A390" s="13">
        <v>53751</v>
      </c>
      <c r="B390" s="4">
        <f>27.7274 * CHOOSE(CONTROL!$C$9, $C$13, 100%, $E$13) + CHOOSE(CONTROL!$C$28, 0.0003, 0)</f>
        <v>27.727699999999999</v>
      </c>
      <c r="C390" s="4">
        <f>27.4149 * CHOOSE(CONTROL!$C$9, $C$13, 100%, $E$13) + CHOOSE(CONTROL!$C$28, 0.0003, 0)</f>
        <v>27.415199999999999</v>
      </c>
      <c r="D390" s="4">
        <f>33.8261 * CHOOSE(CONTROL!$C$9, $C$13, 100%, $E$13) + CHOOSE(CONTROL!$C$28, 0, 0)</f>
        <v>33.826099999999997</v>
      </c>
      <c r="E390" s="4">
        <f>160.639527974978 * CHOOSE(CONTROL!$C$9, $C$13, 100%, $E$13) + CHOOSE(CONTROL!$C$28, 0, 0)</f>
        <v>160.63952797497799</v>
      </c>
    </row>
    <row r="391" spans="1:5" ht="15">
      <c r="A391" s="13">
        <v>53782</v>
      </c>
      <c r="B391" s="4">
        <f>29.302 * CHOOSE(CONTROL!$C$9, $C$13, 100%, $E$13) + CHOOSE(CONTROL!$C$28, 0.0003, 0)</f>
        <v>29.302299999999999</v>
      </c>
      <c r="C391" s="4">
        <f>28.9895 * CHOOSE(CONTROL!$C$9, $C$13, 100%, $E$13) + CHOOSE(CONTROL!$C$28, 0.0003, 0)</f>
        <v>28.989799999999999</v>
      </c>
      <c r="D391" s="4">
        <f>35.5691 * CHOOSE(CONTROL!$C$9, $C$13, 100%, $E$13) + CHOOSE(CONTROL!$C$28, 0, 0)</f>
        <v>35.569099999999999</v>
      </c>
      <c r="E391" s="4">
        <f>170.423549249549 * CHOOSE(CONTROL!$C$9, $C$13, 100%, $E$13) + CHOOSE(CONTROL!$C$28, 0, 0)</f>
        <v>170.42354924954901</v>
      </c>
    </row>
    <row r="392" spans="1:5" ht="15">
      <c r="A392" s="13">
        <v>53812</v>
      </c>
      <c r="B392" s="4">
        <f>30.4208 * CHOOSE(CONTROL!$C$9, $C$13, 100%, $E$13) + CHOOSE(CONTROL!$C$28, 0.0003, 0)</f>
        <v>30.421099999999999</v>
      </c>
      <c r="C392" s="4">
        <f>30.1083 * CHOOSE(CONTROL!$C$9, $C$13, 100%, $E$13) + CHOOSE(CONTROL!$C$28, 0.0003, 0)</f>
        <v>30.108599999999999</v>
      </c>
      <c r="D392" s="4">
        <f>36.5731 * CHOOSE(CONTROL!$C$9, $C$13, 100%, $E$13) + CHOOSE(CONTROL!$C$28, 0, 0)</f>
        <v>36.573099999999997</v>
      </c>
      <c r="E392" s="4">
        <f>177.375226754358 * CHOOSE(CONTROL!$C$9, $C$13, 100%, $E$13) + CHOOSE(CONTROL!$C$28, 0, 0)</f>
        <v>177.37522675435801</v>
      </c>
    </row>
    <row r="393" spans="1:5" ht="15">
      <c r="A393" s="13">
        <v>53843</v>
      </c>
      <c r="B393" s="4">
        <f>31.1043 * CHOOSE(CONTROL!$C$9, $C$13, 100%, $E$13) + CHOOSE(CONTROL!$C$28, 0.0197, 0)</f>
        <v>31.123999999999999</v>
      </c>
      <c r="C393" s="4">
        <f>30.7918 * CHOOSE(CONTROL!$C$9, $C$13, 100%, $E$13) + CHOOSE(CONTROL!$C$28, 0.0197, 0)</f>
        <v>30.811499999999999</v>
      </c>
      <c r="D393" s="4">
        <f>36.1764 * CHOOSE(CONTROL!$C$9, $C$13, 100%, $E$13) + CHOOSE(CONTROL!$C$28, 0, 0)</f>
        <v>36.176400000000001</v>
      </c>
      <c r="E393" s="4">
        <f>181.62253510134 * CHOOSE(CONTROL!$C$9, $C$13, 100%, $E$13) + CHOOSE(CONTROL!$C$28, 0, 0)</f>
        <v>181.62253510133999</v>
      </c>
    </row>
    <row r="394" spans="1:5" ht="15">
      <c r="A394" s="13">
        <v>53873</v>
      </c>
      <c r="B394" s="4">
        <f>31.1968 * CHOOSE(CONTROL!$C$9, $C$13, 100%, $E$13) + CHOOSE(CONTROL!$C$28, 0.0197, 0)</f>
        <v>31.2165</v>
      </c>
      <c r="C394" s="4">
        <f>30.8843 * CHOOSE(CONTROL!$C$9, $C$13, 100%, $E$13) + CHOOSE(CONTROL!$C$28, 0.0197, 0)</f>
        <v>30.904</v>
      </c>
      <c r="D394" s="4">
        <f>36.4995 * CHOOSE(CONTROL!$C$9, $C$13, 100%, $E$13) + CHOOSE(CONTROL!$C$28, 0, 0)</f>
        <v>36.499499999999998</v>
      </c>
      <c r="E394" s="4">
        <f>182.197213547378 * CHOOSE(CONTROL!$C$9, $C$13, 100%, $E$13) + CHOOSE(CONTROL!$C$28, 0, 0)</f>
        <v>182.197213547378</v>
      </c>
    </row>
    <row r="395" spans="1:5" ht="15">
      <c r="A395" s="13">
        <v>53904</v>
      </c>
      <c r="B395" s="4">
        <f>31.1874 * CHOOSE(CONTROL!$C$9, $C$13, 100%, $E$13) + CHOOSE(CONTROL!$C$28, 0.0197, 0)</f>
        <v>31.207100000000001</v>
      </c>
      <c r="C395" s="4">
        <f>30.8749 * CHOOSE(CONTROL!$C$9, $C$13, 100%, $E$13) + CHOOSE(CONTROL!$C$28, 0.0197, 0)</f>
        <v>30.894600000000001</v>
      </c>
      <c r="D395" s="4">
        <f>37.0825 * CHOOSE(CONTROL!$C$9, $C$13, 100%, $E$13) + CHOOSE(CONTROL!$C$28, 0, 0)</f>
        <v>37.082500000000003</v>
      </c>
      <c r="E395" s="4">
        <f>182.13926277971 * CHOOSE(CONTROL!$C$9, $C$13, 100%, $E$13) + CHOOSE(CONTROL!$C$28, 0, 0)</f>
        <v>182.13926277971001</v>
      </c>
    </row>
    <row r="396" spans="1:5" ht="15">
      <c r="A396" s="13">
        <v>53935</v>
      </c>
      <c r="B396" s="4">
        <f>31.8893 * CHOOSE(CONTROL!$C$9, $C$13, 100%, $E$13) + CHOOSE(CONTROL!$C$28, 0.0197, 0)</f>
        <v>31.908999999999999</v>
      </c>
      <c r="C396" s="4">
        <f>31.5768 * CHOOSE(CONTROL!$C$9, $C$13, 100%, $E$13) + CHOOSE(CONTROL!$C$28, 0.0197, 0)</f>
        <v>31.596499999999999</v>
      </c>
      <c r="D396" s="4">
        <f>36.6975 * CHOOSE(CONTROL!$C$9, $C$13, 100%, $E$13) + CHOOSE(CONTROL!$C$28, 0, 0)</f>
        <v>36.697499999999998</v>
      </c>
      <c r="E396" s="4">
        <f>186.500058046708 * CHOOSE(CONTROL!$C$9, $C$13, 100%, $E$13) + CHOOSE(CONTROL!$C$28, 0, 0)</f>
        <v>186.50005804670801</v>
      </c>
    </row>
    <row r="397" spans="1:5" ht="15">
      <c r="A397" s="13">
        <v>53965</v>
      </c>
      <c r="B397" s="4">
        <f>30.6932 * CHOOSE(CONTROL!$C$9, $C$13, 100%, $E$13) + CHOOSE(CONTROL!$C$28, 0.0197, 0)</f>
        <v>30.712900000000001</v>
      </c>
      <c r="C397" s="4">
        <f>30.3807 * CHOOSE(CONTROL!$C$9, $C$13, 100%, $E$13) + CHOOSE(CONTROL!$C$28, 0.0197, 0)</f>
        <v>30.400400000000001</v>
      </c>
      <c r="D397" s="4">
        <f>36.5155 * CHOOSE(CONTROL!$C$9, $C$13, 100%, $E$13) + CHOOSE(CONTROL!$C$28, 0, 0)</f>
        <v>36.515500000000003</v>
      </c>
      <c r="E397" s="4">
        <f>179.06787209332 * CHOOSE(CONTROL!$C$9, $C$13, 100%, $E$13) + CHOOSE(CONTROL!$C$28, 0, 0)</f>
        <v>179.06787209332001</v>
      </c>
    </row>
    <row r="398" spans="1:5" ht="15">
      <c r="A398" s="13">
        <v>53996</v>
      </c>
      <c r="B398" s="4">
        <f>29.7357 * CHOOSE(CONTROL!$C$9, $C$13, 100%, $E$13) + CHOOSE(CONTROL!$C$28, 0.0003, 0)</f>
        <v>29.736000000000001</v>
      </c>
      <c r="C398" s="4">
        <f>29.4232 * CHOOSE(CONTROL!$C$9, $C$13, 100%, $E$13) + CHOOSE(CONTROL!$C$28, 0.0003, 0)</f>
        <v>29.423500000000001</v>
      </c>
      <c r="D398" s="4">
        <f>36.0285 * CHOOSE(CONTROL!$C$9, $C$13, 100%, $E$13) + CHOOSE(CONTROL!$C$28, 0, 0)</f>
        <v>36.028500000000001</v>
      </c>
      <c r="E398" s="4">
        <f>173.118259946099 * CHOOSE(CONTROL!$C$9, $C$13, 100%, $E$13) + CHOOSE(CONTROL!$C$28, 0, 0)</f>
        <v>173.11825994609899</v>
      </c>
    </row>
    <row r="399" spans="1:5" ht="15">
      <c r="A399" s="13">
        <v>54026</v>
      </c>
      <c r="B399" s="4">
        <f>29.119 * CHOOSE(CONTROL!$C$9, $C$13, 100%, $E$13) + CHOOSE(CONTROL!$C$28, 0.0003, 0)</f>
        <v>29.119299999999999</v>
      </c>
      <c r="C399" s="4">
        <f>28.8065 * CHOOSE(CONTROL!$C$9, $C$13, 100%, $E$13) + CHOOSE(CONTROL!$C$28, 0.0003, 0)</f>
        <v>28.806799999999999</v>
      </c>
      <c r="D399" s="4">
        <f>35.861 * CHOOSE(CONTROL!$C$9, $C$13, 100%, $E$13) + CHOOSE(CONTROL!$C$28, 0, 0)</f>
        <v>35.860999999999997</v>
      </c>
      <c r="E399" s="4">
        <f>169.286265434069 * CHOOSE(CONTROL!$C$9, $C$13, 100%, $E$13) + CHOOSE(CONTROL!$C$28, 0, 0)</f>
        <v>169.28626543406901</v>
      </c>
    </row>
    <row r="400" spans="1:5" ht="15">
      <c r="A400" s="13">
        <v>54057</v>
      </c>
      <c r="B400" s="4">
        <f>28.6923 * CHOOSE(CONTROL!$C$9, $C$13, 100%, $E$13) + CHOOSE(CONTROL!$C$28, 0.0003, 0)</f>
        <v>28.692599999999999</v>
      </c>
      <c r="C400" s="4">
        <f>28.3798 * CHOOSE(CONTROL!$C$9, $C$13, 100%, $E$13) + CHOOSE(CONTROL!$C$28, 0.0003, 0)</f>
        <v>28.380099999999999</v>
      </c>
      <c r="D400" s="4">
        <f>34.6281 * CHOOSE(CONTROL!$C$9, $C$13, 100%, $E$13) + CHOOSE(CONTROL!$C$28, 0, 0)</f>
        <v>34.628100000000003</v>
      </c>
      <c r="E400" s="4">
        <f>166.63501781327 * CHOOSE(CONTROL!$C$9, $C$13, 100%, $E$13) + CHOOSE(CONTROL!$C$28, 0, 0)</f>
        <v>166.63501781327</v>
      </c>
    </row>
    <row r="401" spans="1:5" ht="15">
      <c r="A401" s="13">
        <v>54088</v>
      </c>
      <c r="B401" s="4">
        <f>27.999 * CHOOSE(CONTROL!$C$9, $C$13, 100%, $E$13) + CHOOSE(CONTROL!$C$28, 0.0003, 0)</f>
        <v>27.999299999999998</v>
      </c>
      <c r="C401" s="4">
        <f>27.6865 * CHOOSE(CONTROL!$C$9, $C$13, 100%, $E$13) + CHOOSE(CONTROL!$C$28, 0.0003, 0)</f>
        <v>27.686799999999998</v>
      </c>
      <c r="D401" s="4">
        <f>33.495 * CHOOSE(CONTROL!$C$9, $C$13, 100%, $E$13) + CHOOSE(CONTROL!$C$28, 0, 0)</f>
        <v>33.494999999999997</v>
      </c>
      <c r="E401" s="4">
        <f>161.856560497922 * CHOOSE(CONTROL!$C$9, $C$13, 100%, $E$13) + CHOOSE(CONTROL!$C$28, 0, 0)</f>
        <v>161.856560497922</v>
      </c>
    </row>
    <row r="402" spans="1:5" ht="15">
      <c r="A402" s="13">
        <v>54116</v>
      </c>
      <c r="B402" s="4">
        <f>28.6193 * CHOOSE(CONTROL!$C$9, $C$13, 100%, $E$13) + CHOOSE(CONTROL!$C$28, 0.0003, 0)</f>
        <v>28.619599999999998</v>
      </c>
      <c r="C402" s="4">
        <f>28.3068 * CHOOSE(CONTROL!$C$9, $C$13, 100%, $E$13) + CHOOSE(CONTROL!$C$28, 0.0003, 0)</f>
        <v>28.307099999999998</v>
      </c>
      <c r="D402" s="4">
        <f>34.6361 * CHOOSE(CONTROL!$C$9, $C$13, 100%, $E$13) + CHOOSE(CONTROL!$C$28, 0, 0)</f>
        <v>34.636099999999999</v>
      </c>
      <c r="E402" s="4">
        <f>165.69967310619 * CHOOSE(CONTROL!$C$9, $C$13, 100%, $E$13) + CHOOSE(CONTROL!$C$28, 0, 0)</f>
        <v>165.69967310619001</v>
      </c>
    </row>
    <row r="403" spans="1:5" ht="15">
      <c r="A403" s="13">
        <v>54148</v>
      </c>
      <c r="B403" s="4">
        <f>30.2482 * CHOOSE(CONTROL!$C$9, $C$13, 100%, $E$13) + CHOOSE(CONTROL!$C$28, 0.0003, 0)</f>
        <v>30.2485</v>
      </c>
      <c r="C403" s="4">
        <f>29.9357 * CHOOSE(CONTROL!$C$9, $C$13, 100%, $E$13) + CHOOSE(CONTROL!$C$28, 0.0003, 0)</f>
        <v>29.936</v>
      </c>
      <c r="D403" s="4">
        <f>36.4223 * CHOOSE(CONTROL!$C$9, $C$13, 100%, $E$13) + CHOOSE(CONTROL!$C$28, 0, 0)</f>
        <v>36.4223</v>
      </c>
      <c r="E403" s="4">
        <f>175.791891050909 * CHOOSE(CONTROL!$C$9, $C$13, 100%, $E$13) + CHOOSE(CONTROL!$C$28, 0, 0)</f>
        <v>175.79189105090899</v>
      </c>
    </row>
    <row r="404" spans="1:5" ht="15">
      <c r="A404" s="13">
        <v>54178</v>
      </c>
      <c r="B404" s="4">
        <f>31.4056 * CHOOSE(CONTROL!$C$9, $C$13, 100%, $E$13) + CHOOSE(CONTROL!$C$28, 0.0003, 0)</f>
        <v>31.405899999999999</v>
      </c>
      <c r="C404" s="4">
        <f>31.0931 * CHOOSE(CONTROL!$C$9, $C$13, 100%, $E$13) + CHOOSE(CONTROL!$C$28, 0.0003, 0)</f>
        <v>31.093399999999999</v>
      </c>
      <c r="D404" s="4">
        <f>37.4512 * CHOOSE(CONTROL!$C$9, $C$13, 100%, $E$13) + CHOOSE(CONTROL!$C$28, 0, 0)</f>
        <v>37.4512</v>
      </c>
      <c r="E404" s="4">
        <f>182.96254639712 * CHOOSE(CONTROL!$C$9, $C$13, 100%, $E$13) + CHOOSE(CONTROL!$C$28, 0, 0)</f>
        <v>182.96254639712001</v>
      </c>
    </row>
    <row r="405" spans="1:5" ht="15">
      <c r="A405" s="13">
        <v>54209</v>
      </c>
      <c r="B405" s="4">
        <f>32.1127 * CHOOSE(CONTROL!$C$9, $C$13, 100%, $E$13) + CHOOSE(CONTROL!$C$28, 0.0197, 0)</f>
        <v>32.132399999999997</v>
      </c>
      <c r="C405" s="4">
        <f>31.8002 * CHOOSE(CONTROL!$C$9, $C$13, 100%, $E$13) + CHOOSE(CONTROL!$C$28, 0.0197, 0)</f>
        <v>31.819900000000001</v>
      </c>
      <c r="D405" s="4">
        <f>37.0446 * CHOOSE(CONTROL!$C$9, $C$13, 100%, $E$13) + CHOOSE(CONTROL!$C$28, 0, 0)</f>
        <v>37.044600000000003</v>
      </c>
      <c r="E405" s="4">
        <f>187.343644957032 * CHOOSE(CONTROL!$C$9, $C$13, 100%, $E$13) + CHOOSE(CONTROL!$C$28, 0, 0)</f>
        <v>187.34364495703201</v>
      </c>
    </row>
    <row r="406" spans="1:5" ht="15">
      <c r="A406" s="13">
        <v>54239</v>
      </c>
      <c r="B406" s="4">
        <f>32.2084 * CHOOSE(CONTROL!$C$9, $C$13, 100%, $E$13) + CHOOSE(CONTROL!$C$28, 0.0197, 0)</f>
        <v>32.228099999999998</v>
      </c>
      <c r="C406" s="4">
        <f>31.8959 * CHOOSE(CONTROL!$C$9, $C$13, 100%, $E$13) + CHOOSE(CONTROL!$C$28, 0.0197, 0)</f>
        <v>31.915600000000001</v>
      </c>
      <c r="D406" s="4">
        <f>37.3757 * CHOOSE(CONTROL!$C$9, $C$13, 100%, $E$13) + CHOOSE(CONTROL!$C$28, 0, 0)</f>
        <v>37.375700000000002</v>
      </c>
      <c r="E406" s="4">
        <f>187.93642577412 * CHOOSE(CONTROL!$C$9, $C$13, 100%, $E$13) + CHOOSE(CONTROL!$C$28, 0, 0)</f>
        <v>187.93642577412001</v>
      </c>
    </row>
    <row r="407" spans="1:5" ht="15">
      <c r="A407" s="13">
        <v>54270</v>
      </c>
      <c r="B407" s="4">
        <f>32.1987 * CHOOSE(CONTROL!$C$9, $C$13, 100%, $E$13) + CHOOSE(CONTROL!$C$28, 0.0197, 0)</f>
        <v>32.218400000000003</v>
      </c>
      <c r="C407" s="4">
        <f>31.8862 * CHOOSE(CONTROL!$C$9, $C$13, 100%, $E$13) + CHOOSE(CONTROL!$C$28, 0.0197, 0)</f>
        <v>31.905899999999999</v>
      </c>
      <c r="D407" s="4">
        <f>37.9732 * CHOOSE(CONTROL!$C$9, $C$13, 100%, $E$13) + CHOOSE(CONTROL!$C$28, 0, 0)</f>
        <v>37.973199999999999</v>
      </c>
      <c r="E407" s="4">
        <f>187.876649557271 * CHOOSE(CONTROL!$C$9, $C$13, 100%, $E$13) + CHOOSE(CONTROL!$C$28, 0, 0)</f>
        <v>187.87664955727101</v>
      </c>
    </row>
    <row r="408" spans="1:5" ht="15">
      <c r="A408" s="13">
        <v>54301</v>
      </c>
      <c r="B408" s="4">
        <f>32.9247 * CHOOSE(CONTROL!$C$9, $C$13, 100%, $E$13) + CHOOSE(CONTROL!$C$28, 0.0197, 0)</f>
        <v>32.944400000000002</v>
      </c>
      <c r="C408" s="4">
        <f>32.6122 * CHOOSE(CONTROL!$C$9, $C$13, 100%, $E$13) + CHOOSE(CONTROL!$C$28, 0.0197, 0)</f>
        <v>32.631900000000002</v>
      </c>
      <c r="D408" s="4">
        <f>37.5786 * CHOOSE(CONTROL!$C$9, $C$13, 100%, $E$13) + CHOOSE(CONTROL!$C$28, 0, 0)</f>
        <v>37.578600000000002</v>
      </c>
      <c r="E408" s="4">
        <f>192.374809875179 * CHOOSE(CONTROL!$C$9, $C$13, 100%, $E$13) + CHOOSE(CONTROL!$C$28, 0, 0)</f>
        <v>192.37480987517901</v>
      </c>
    </row>
    <row r="409" spans="1:5" ht="15">
      <c r="A409" s="13">
        <v>54331</v>
      </c>
      <c r="B409" s="4">
        <f>31.6874 * CHOOSE(CONTROL!$C$9, $C$13, 100%, $E$13) + CHOOSE(CONTROL!$C$28, 0.0197, 0)</f>
        <v>31.707100000000001</v>
      </c>
      <c r="C409" s="4">
        <f>31.3749 * CHOOSE(CONTROL!$C$9, $C$13, 100%, $E$13) + CHOOSE(CONTROL!$C$28, 0.0197, 0)</f>
        <v>31.394600000000001</v>
      </c>
      <c r="D409" s="4">
        <f>37.3922 * CHOOSE(CONTROL!$C$9, $C$13, 100%, $E$13) + CHOOSE(CONTROL!$C$28, 0, 0)</f>
        <v>37.392200000000003</v>
      </c>
      <c r="E409" s="4">
        <f>184.70851006426 * CHOOSE(CONTROL!$C$9, $C$13, 100%, $E$13) + CHOOSE(CONTROL!$C$28, 0, 0)</f>
        <v>184.70851006426</v>
      </c>
    </row>
    <row r="410" spans="1:5" ht="15">
      <c r="A410" s="13">
        <v>54362</v>
      </c>
      <c r="B410" s="4">
        <f>30.6969 * CHOOSE(CONTROL!$C$9, $C$13, 100%, $E$13) + CHOOSE(CONTROL!$C$28, 0.0003, 0)</f>
        <v>30.697199999999999</v>
      </c>
      <c r="C410" s="4">
        <f>30.3844 * CHOOSE(CONTROL!$C$9, $C$13, 100%, $E$13) + CHOOSE(CONTROL!$C$28, 0.0003, 0)</f>
        <v>30.384699999999999</v>
      </c>
      <c r="D410" s="4">
        <f>36.8931 * CHOOSE(CONTROL!$C$9, $C$13, 100%, $E$13) + CHOOSE(CONTROL!$C$28, 0, 0)</f>
        <v>36.893099999999997</v>
      </c>
      <c r="E410" s="4">
        <f>178.571485134401 * CHOOSE(CONTROL!$C$9, $C$13, 100%, $E$13) + CHOOSE(CONTROL!$C$28, 0, 0)</f>
        <v>178.571485134401</v>
      </c>
    </row>
    <row r="411" spans="1:5" ht="15">
      <c r="A411" s="13">
        <v>54392</v>
      </c>
      <c r="B411" s="4">
        <f>30.0589 * CHOOSE(CONTROL!$C$9, $C$13, 100%, $E$13) + CHOOSE(CONTROL!$C$28, 0.0003, 0)</f>
        <v>30.059200000000001</v>
      </c>
      <c r="C411" s="4">
        <f>29.7464 * CHOOSE(CONTROL!$C$9, $C$13, 100%, $E$13) + CHOOSE(CONTROL!$C$28, 0.0003, 0)</f>
        <v>29.746700000000001</v>
      </c>
      <c r="D411" s="4">
        <f>36.7214 * CHOOSE(CONTROL!$C$9, $C$13, 100%, $E$13) + CHOOSE(CONTROL!$C$28, 0, 0)</f>
        <v>36.721400000000003</v>
      </c>
      <c r="E411" s="4">
        <f>174.618782795242 * CHOOSE(CONTROL!$C$9, $C$13, 100%, $E$13) + CHOOSE(CONTROL!$C$28, 0, 0)</f>
        <v>174.618782795242</v>
      </c>
    </row>
    <row r="412" spans="1:5" ht="15">
      <c r="A412" s="13">
        <v>54423</v>
      </c>
      <c r="B412" s="4">
        <f>29.6175 * CHOOSE(CONTROL!$C$9, $C$13, 100%, $E$13) + CHOOSE(CONTROL!$C$28, 0.0003, 0)</f>
        <v>29.617799999999999</v>
      </c>
      <c r="C412" s="4">
        <f>29.305 * CHOOSE(CONTROL!$C$9, $C$13, 100%, $E$13) + CHOOSE(CONTROL!$C$28, 0.0003, 0)</f>
        <v>29.305299999999999</v>
      </c>
      <c r="D412" s="4">
        <f>35.458 * CHOOSE(CONTROL!$C$9, $C$13, 100%, $E$13) + CHOOSE(CONTROL!$C$28, 0, 0)</f>
        <v>35.457999999999998</v>
      </c>
      <c r="E412" s="4">
        <f>171.884020874388 * CHOOSE(CONTROL!$C$9, $C$13, 100%, $E$13) + CHOOSE(CONTROL!$C$28, 0, 0)</f>
        <v>171.884020874388</v>
      </c>
    </row>
    <row r="413" spans="1:5" ht="15">
      <c r="A413" s="13">
        <v>54454</v>
      </c>
      <c r="B413" s="4">
        <f>28.9003 * CHOOSE(CONTROL!$C$9, $C$13, 100%, $E$13) + CHOOSE(CONTROL!$C$28, 0.0003, 0)</f>
        <v>28.900600000000001</v>
      </c>
      <c r="C413" s="4">
        <f>28.5878 * CHOOSE(CONTROL!$C$9, $C$13, 100%, $E$13) + CHOOSE(CONTROL!$C$28, 0.0003, 0)</f>
        <v>28.588100000000001</v>
      </c>
      <c r="D413" s="4">
        <f>34.2968 * CHOOSE(CONTROL!$C$9, $C$13, 100%, $E$13) + CHOOSE(CONTROL!$C$28, 0, 0)</f>
        <v>34.296799999999998</v>
      </c>
      <c r="E413" s="4">
        <f>166.955042153607 * CHOOSE(CONTROL!$C$9, $C$13, 100%, $E$13) + CHOOSE(CONTROL!$C$28, 0, 0)</f>
        <v>166.955042153607</v>
      </c>
    </row>
    <row r="414" spans="1:5" ht="15">
      <c r="A414" s="13">
        <v>54482</v>
      </c>
      <c r="B414" s="4">
        <f>29.542 * CHOOSE(CONTROL!$C$9, $C$13, 100%, $E$13) + CHOOSE(CONTROL!$C$28, 0.0003, 0)</f>
        <v>29.542300000000001</v>
      </c>
      <c r="C414" s="4">
        <f>29.2295 * CHOOSE(CONTROL!$C$9, $C$13, 100%, $E$13) + CHOOSE(CONTROL!$C$28, 0.0003, 0)</f>
        <v>29.229800000000001</v>
      </c>
      <c r="D414" s="4">
        <f>35.4661 * CHOOSE(CONTROL!$C$9, $C$13, 100%, $E$13) + CHOOSE(CONTROL!$C$28, 0, 0)</f>
        <v>35.466099999999997</v>
      </c>
      <c r="E414" s="4">
        <f>170.919212809035 * CHOOSE(CONTROL!$C$9, $C$13, 100%, $E$13) + CHOOSE(CONTROL!$C$28, 0, 0)</f>
        <v>170.919212809035</v>
      </c>
    </row>
    <row r="415" spans="1:5" ht="15">
      <c r="A415" s="13">
        <v>54513</v>
      </c>
      <c r="B415" s="4">
        <f>31.2271 * CHOOSE(CONTROL!$C$9, $C$13, 100%, $E$13) + CHOOSE(CONTROL!$C$28, 0.0003, 0)</f>
        <v>31.227399999999999</v>
      </c>
      <c r="C415" s="4">
        <f>30.9146 * CHOOSE(CONTROL!$C$9, $C$13, 100%, $E$13) + CHOOSE(CONTROL!$C$28, 0.0003, 0)</f>
        <v>30.914899999999999</v>
      </c>
      <c r="D415" s="4">
        <f>37.2967 * CHOOSE(CONTROL!$C$9, $C$13, 100%, $E$13) + CHOOSE(CONTROL!$C$28, 0, 0)</f>
        <v>37.296700000000001</v>
      </c>
      <c r="E415" s="4">
        <f>181.329335619013 * CHOOSE(CONTROL!$C$9, $C$13, 100%, $E$13) + CHOOSE(CONTROL!$C$28, 0, 0)</f>
        <v>181.32933561901299</v>
      </c>
    </row>
    <row r="416" spans="1:5" ht="15">
      <c r="A416" s="13">
        <v>54543</v>
      </c>
      <c r="B416" s="4">
        <f>32.4244 * CHOOSE(CONTROL!$C$9, $C$13, 100%, $E$13) + CHOOSE(CONTROL!$C$28, 0.0003, 0)</f>
        <v>32.424700000000001</v>
      </c>
      <c r="C416" s="4">
        <f>32.1119 * CHOOSE(CONTROL!$C$9, $C$13, 100%, $E$13) + CHOOSE(CONTROL!$C$28, 0.0003, 0)</f>
        <v>32.112200000000001</v>
      </c>
      <c r="D416" s="4">
        <f>38.3511 * CHOOSE(CONTROL!$C$9, $C$13, 100%, $E$13) + CHOOSE(CONTROL!$C$28, 0, 0)</f>
        <v>38.351100000000002</v>
      </c>
      <c r="E416" s="4">
        <f>188.72586660863 * CHOOSE(CONTROL!$C$9, $C$13, 100%, $E$13) + CHOOSE(CONTROL!$C$28, 0, 0)</f>
        <v>188.72586660863001</v>
      </c>
    </row>
    <row r="417" spans="1:5" ht="15">
      <c r="A417" s="13">
        <v>54574</v>
      </c>
      <c r="B417" s="4">
        <f>33.1559 * CHOOSE(CONTROL!$C$9, $C$13, 100%, $E$13) + CHOOSE(CONTROL!$C$28, 0.0197, 0)</f>
        <v>33.175600000000003</v>
      </c>
      <c r="C417" s="4">
        <f>32.8434 * CHOOSE(CONTROL!$C$9, $C$13, 100%, $E$13) + CHOOSE(CONTROL!$C$28, 0.0197, 0)</f>
        <v>32.863100000000003</v>
      </c>
      <c r="D417" s="4">
        <f>37.9344 * CHOOSE(CONTROL!$C$9, $C$13, 100%, $E$13) + CHOOSE(CONTROL!$C$28, 0, 0)</f>
        <v>37.934399999999997</v>
      </c>
      <c r="E417" s="4">
        <f>193.244969773178 * CHOOSE(CONTROL!$C$9, $C$13, 100%, $E$13) + CHOOSE(CONTROL!$C$28, 0, 0)</f>
        <v>193.24496977317801</v>
      </c>
    </row>
    <row r="418" spans="1:5" ht="15">
      <c r="A418" s="13">
        <v>54604</v>
      </c>
      <c r="B418" s="4">
        <f>33.2549 * CHOOSE(CONTROL!$C$9, $C$13, 100%, $E$13) + CHOOSE(CONTROL!$C$28, 0.0197, 0)</f>
        <v>33.2746</v>
      </c>
      <c r="C418" s="4">
        <f>32.9424 * CHOOSE(CONTROL!$C$9, $C$13, 100%, $E$13) + CHOOSE(CONTROL!$C$28, 0.0197, 0)</f>
        <v>32.9621</v>
      </c>
      <c r="D418" s="4">
        <f>38.2738 * CHOOSE(CONTROL!$C$9, $C$13, 100%, $E$13) + CHOOSE(CONTROL!$C$28, 0, 0)</f>
        <v>38.273800000000001</v>
      </c>
      <c r="E418" s="4">
        <f>193.856423186005 * CHOOSE(CONTROL!$C$9, $C$13, 100%, $E$13) + CHOOSE(CONTROL!$C$28, 0, 0)</f>
        <v>193.856423186005</v>
      </c>
    </row>
    <row r="419" spans="1:5" ht="15">
      <c r="A419" s="13">
        <v>54635</v>
      </c>
      <c r="B419" s="4">
        <f>33.2449 * CHOOSE(CONTROL!$C$9, $C$13, 100%, $E$13) + CHOOSE(CONTROL!$C$28, 0.0197, 0)</f>
        <v>33.264600000000002</v>
      </c>
      <c r="C419" s="4">
        <f>32.9324 * CHOOSE(CONTROL!$C$9, $C$13, 100%, $E$13) + CHOOSE(CONTROL!$C$28, 0.0197, 0)</f>
        <v>32.952100000000002</v>
      </c>
      <c r="D419" s="4">
        <f>38.8861 * CHOOSE(CONTROL!$C$9, $C$13, 100%, $E$13) + CHOOSE(CONTROL!$C$28, 0, 0)</f>
        <v>38.886099999999999</v>
      </c>
      <c r="E419" s="4">
        <f>193.794764018325 * CHOOSE(CONTROL!$C$9, $C$13, 100%, $E$13) + CHOOSE(CONTROL!$C$28, 0, 0)</f>
        <v>193.794764018325</v>
      </c>
    </row>
    <row r="420" spans="1:5" ht="15">
      <c r="A420" s="13">
        <v>54666</v>
      </c>
      <c r="B420" s="4">
        <f>33.996 * CHOOSE(CONTROL!$C$9, $C$13, 100%, $E$13) + CHOOSE(CONTROL!$C$28, 0.0197, 0)</f>
        <v>34.015700000000002</v>
      </c>
      <c r="C420" s="4">
        <f>33.6835 * CHOOSE(CONTROL!$C$9, $C$13, 100%, $E$13) + CHOOSE(CONTROL!$C$28, 0.0197, 0)</f>
        <v>33.703200000000002</v>
      </c>
      <c r="D420" s="4">
        <f>38.4817 * CHOOSE(CONTROL!$C$9, $C$13, 100%, $E$13) + CHOOSE(CONTROL!$C$28, 0, 0)</f>
        <v>38.481699999999996</v>
      </c>
      <c r="E420" s="4">
        <f>198.434616386247 * CHOOSE(CONTROL!$C$9, $C$13, 100%, $E$13) + CHOOSE(CONTROL!$C$28, 0, 0)</f>
        <v>198.434616386247</v>
      </c>
    </row>
    <row r="421" spans="1:5" ht="15">
      <c r="A421" s="13">
        <v>54696</v>
      </c>
      <c r="B421" s="4">
        <f>32.7159 * CHOOSE(CONTROL!$C$9, $C$13, 100%, $E$13) + CHOOSE(CONTROL!$C$28, 0.0197, 0)</f>
        <v>32.735599999999998</v>
      </c>
      <c r="C421" s="4">
        <f>32.4034 * CHOOSE(CONTROL!$C$9, $C$13, 100%, $E$13) + CHOOSE(CONTROL!$C$28, 0.0197, 0)</f>
        <v>32.423099999999998</v>
      </c>
      <c r="D421" s="4">
        <f>38.2906 * CHOOSE(CONTROL!$C$9, $C$13, 100%, $E$13) + CHOOSE(CONTROL!$C$28, 0, 0)</f>
        <v>38.290599999999998</v>
      </c>
      <c r="E421" s="4">
        <f>190.526828131284 * CHOOSE(CONTROL!$C$9, $C$13, 100%, $E$13) + CHOOSE(CONTROL!$C$28, 0, 0)</f>
        <v>190.52682813128399</v>
      </c>
    </row>
    <row r="422" spans="1:5" ht="15">
      <c r="A422" s="13">
        <v>54727</v>
      </c>
      <c r="B422" s="4">
        <f>31.6912 * CHOOSE(CONTROL!$C$9, $C$13, 100%, $E$13) + CHOOSE(CONTROL!$C$28, 0.0003, 0)</f>
        <v>31.691499999999998</v>
      </c>
      <c r="C422" s="4">
        <f>31.3787 * CHOOSE(CONTROL!$C$9, $C$13, 100%, $E$13) + CHOOSE(CONTROL!$C$28, 0.0003, 0)</f>
        <v>31.378999999999998</v>
      </c>
      <c r="D422" s="4">
        <f>37.7791 * CHOOSE(CONTROL!$C$9, $C$13, 100%, $E$13) + CHOOSE(CONTROL!$C$28, 0, 0)</f>
        <v>37.7791</v>
      </c>
      <c r="E422" s="4">
        <f>184.196486916134 * CHOOSE(CONTROL!$C$9, $C$13, 100%, $E$13) + CHOOSE(CONTROL!$C$28, 0, 0)</f>
        <v>184.19648691613401</v>
      </c>
    </row>
    <row r="423" spans="1:5" ht="15">
      <c r="A423" s="13">
        <v>54757</v>
      </c>
      <c r="B423" s="4">
        <f>31.0312 * CHOOSE(CONTROL!$C$9, $C$13, 100%, $E$13) + CHOOSE(CONTROL!$C$28, 0.0003, 0)</f>
        <v>31.031499999999998</v>
      </c>
      <c r="C423" s="4">
        <f>30.7187 * CHOOSE(CONTROL!$C$9, $C$13, 100%, $E$13) + CHOOSE(CONTROL!$C$28, 0.0003, 0)</f>
        <v>30.718999999999998</v>
      </c>
      <c r="D423" s="4">
        <f>37.6032 * CHOOSE(CONTROL!$C$9, $C$13, 100%, $E$13) + CHOOSE(CONTROL!$C$28, 0, 0)</f>
        <v>37.603200000000001</v>
      </c>
      <c r="E423" s="4">
        <f>180.119274453293 * CHOOSE(CONTROL!$C$9, $C$13, 100%, $E$13) + CHOOSE(CONTROL!$C$28, 0, 0)</f>
        <v>180.119274453293</v>
      </c>
    </row>
    <row r="424" spans="1:5" ht="15">
      <c r="A424" s="13">
        <v>54788</v>
      </c>
      <c r="B424" s="4">
        <f>30.5746 * CHOOSE(CONTROL!$C$9, $C$13, 100%, $E$13) + CHOOSE(CONTROL!$C$28, 0.0003, 0)</f>
        <v>30.5749</v>
      </c>
      <c r="C424" s="4">
        <f>30.2621 * CHOOSE(CONTROL!$C$9, $C$13, 100%, $E$13) + CHOOSE(CONTROL!$C$28, 0.0003, 0)</f>
        <v>30.2624</v>
      </c>
      <c r="D424" s="4">
        <f>36.3085 * CHOOSE(CONTROL!$C$9, $C$13, 100%, $E$13) + CHOOSE(CONTROL!$C$28, 0, 0)</f>
        <v>36.308500000000002</v>
      </c>
      <c r="E424" s="4">
        <f>177.298367531931 * CHOOSE(CONTROL!$C$9, $C$13, 100%, $E$13) + CHOOSE(CONTROL!$C$28, 0, 0)</f>
        <v>177.29836753193101</v>
      </c>
    </row>
    <row r="425" spans="1:5" ht="15">
      <c r="A425" s="13">
        <v>54819</v>
      </c>
      <c r="B425" s="4">
        <f>29.8327 * CHOOSE(CONTROL!$C$9, $C$13, 100%, $E$13) + CHOOSE(CONTROL!$C$28, 0.0003, 0)</f>
        <v>29.832999999999998</v>
      </c>
      <c r="C425" s="4">
        <f>29.5202 * CHOOSE(CONTROL!$C$9, $C$13, 100%, $E$13) + CHOOSE(CONTROL!$C$28, 0.0003, 0)</f>
        <v>29.520499999999998</v>
      </c>
      <c r="D425" s="4">
        <f>35.1185 * CHOOSE(CONTROL!$C$9, $C$13, 100%, $E$13) + CHOOSE(CONTROL!$C$28, 0, 0)</f>
        <v>35.118499999999997</v>
      </c>
      <c r="E425" s="4">
        <f>172.214125981445 * CHOOSE(CONTROL!$C$9, $C$13, 100%, $E$13) + CHOOSE(CONTROL!$C$28, 0, 0)</f>
        <v>172.21412598144499</v>
      </c>
    </row>
    <row r="426" spans="1:5" ht="15">
      <c r="A426" s="13">
        <v>54847</v>
      </c>
      <c r="B426" s="4">
        <f>30.4965 * CHOOSE(CONTROL!$C$9, $C$13, 100%, $E$13) + CHOOSE(CONTROL!$C$28, 0.0003, 0)</f>
        <v>30.4968</v>
      </c>
      <c r="C426" s="4">
        <f>30.184 * CHOOSE(CONTROL!$C$9, $C$13, 100%, $E$13) + CHOOSE(CONTROL!$C$28, 0.0003, 0)</f>
        <v>30.1843</v>
      </c>
      <c r="D426" s="4">
        <f>36.3168 * CHOOSE(CONTROL!$C$9, $C$13, 100%, $E$13) + CHOOSE(CONTROL!$C$28, 0, 0)</f>
        <v>36.316800000000001</v>
      </c>
      <c r="E426" s="4">
        <f>176.30316801252 * CHOOSE(CONTROL!$C$9, $C$13, 100%, $E$13) + CHOOSE(CONTROL!$C$28, 0, 0)</f>
        <v>176.30316801251999</v>
      </c>
    </row>
    <row r="427" spans="1:5" ht="15">
      <c r="A427" s="13">
        <v>54878</v>
      </c>
      <c r="B427" s="4">
        <f>32.2397 * CHOOSE(CONTROL!$C$9, $C$13, 100%, $E$13) + CHOOSE(CONTROL!$C$28, 0.0003, 0)</f>
        <v>32.24</v>
      </c>
      <c r="C427" s="4">
        <f>31.9272 * CHOOSE(CONTROL!$C$9, $C$13, 100%, $E$13) + CHOOSE(CONTROL!$C$28, 0.0003, 0)</f>
        <v>31.927499999999998</v>
      </c>
      <c r="D427" s="4">
        <f>38.1927 * CHOOSE(CONTROL!$C$9, $C$13, 100%, $E$13) + CHOOSE(CONTROL!$C$28, 0, 0)</f>
        <v>38.192700000000002</v>
      </c>
      <c r="E427" s="4">
        <f>187.041209691012 * CHOOSE(CONTROL!$C$9, $C$13, 100%, $E$13) + CHOOSE(CONTROL!$C$28, 0, 0)</f>
        <v>187.041209691012</v>
      </c>
    </row>
    <row r="428" spans="1:5" ht="15">
      <c r="A428" s="13">
        <v>54908</v>
      </c>
      <c r="B428" s="4">
        <f>33.4783 * CHOOSE(CONTROL!$C$9, $C$13, 100%, $E$13) + CHOOSE(CONTROL!$C$28, 0.0003, 0)</f>
        <v>33.4786</v>
      </c>
      <c r="C428" s="4">
        <f>33.1658 * CHOOSE(CONTROL!$C$9, $C$13, 100%, $E$13) + CHOOSE(CONTROL!$C$28, 0.0003, 0)</f>
        <v>33.1661</v>
      </c>
      <c r="D428" s="4">
        <f>39.2733 * CHOOSE(CONTROL!$C$9, $C$13, 100%, $E$13) + CHOOSE(CONTROL!$C$28, 0, 0)</f>
        <v>39.273299999999999</v>
      </c>
      <c r="E428" s="4">
        <f>194.670731406802 * CHOOSE(CONTROL!$C$9, $C$13, 100%, $E$13) + CHOOSE(CONTROL!$C$28, 0, 0)</f>
        <v>194.67073140680199</v>
      </c>
    </row>
    <row r="429" spans="1:5" ht="15">
      <c r="A429" s="13">
        <v>54939</v>
      </c>
      <c r="B429" s="4">
        <f>34.2351 * CHOOSE(CONTROL!$C$9, $C$13, 100%, $E$13) + CHOOSE(CONTROL!$C$28, 0.0197, 0)</f>
        <v>34.254800000000003</v>
      </c>
      <c r="C429" s="4">
        <f>33.9226 * CHOOSE(CONTROL!$C$9, $C$13, 100%, $E$13) + CHOOSE(CONTROL!$C$28, 0.0197, 0)</f>
        <v>33.942300000000003</v>
      </c>
      <c r="D429" s="4">
        <f>38.8463 * CHOOSE(CONTROL!$C$9, $C$13, 100%, $E$13) + CHOOSE(CONTROL!$C$28, 0, 0)</f>
        <v>38.846299999999999</v>
      </c>
      <c r="E429" s="4">
        <f>199.332186321034 * CHOOSE(CONTROL!$C$9, $C$13, 100%, $E$13) + CHOOSE(CONTROL!$C$28, 0, 0)</f>
        <v>199.33218632103399</v>
      </c>
    </row>
    <row r="430" spans="1:5" ht="15">
      <c r="A430" s="13">
        <v>54969</v>
      </c>
      <c r="B430" s="4">
        <f>34.3375 * CHOOSE(CONTROL!$C$9, $C$13, 100%, $E$13) + CHOOSE(CONTROL!$C$28, 0.0197, 0)</f>
        <v>34.357199999999999</v>
      </c>
      <c r="C430" s="4">
        <f>34.025 * CHOOSE(CONTROL!$C$9, $C$13, 100%, $E$13) + CHOOSE(CONTROL!$C$28, 0.0197, 0)</f>
        <v>34.044699999999999</v>
      </c>
      <c r="D430" s="4">
        <f>39.194 * CHOOSE(CONTROL!$C$9, $C$13, 100%, $E$13) + CHOOSE(CONTROL!$C$28, 0, 0)</f>
        <v>39.194000000000003</v>
      </c>
      <c r="E430" s="4">
        <f>199.962900516364 * CHOOSE(CONTROL!$C$9, $C$13, 100%, $E$13) + CHOOSE(CONTROL!$C$28, 0, 0)</f>
        <v>199.96290051636399</v>
      </c>
    </row>
    <row r="431" spans="1:5" ht="15">
      <c r="A431" s="13">
        <v>55000</v>
      </c>
      <c r="B431" s="4">
        <f>34.3272 * CHOOSE(CONTROL!$C$9, $C$13, 100%, $E$13) + CHOOSE(CONTROL!$C$28, 0.0197, 0)</f>
        <v>34.346899999999998</v>
      </c>
      <c r="C431" s="4">
        <f>34.0147 * CHOOSE(CONTROL!$C$9, $C$13, 100%, $E$13) + CHOOSE(CONTROL!$C$28, 0.0197, 0)</f>
        <v>34.034399999999998</v>
      </c>
      <c r="D431" s="4">
        <f>39.8215 * CHOOSE(CONTROL!$C$9, $C$13, 100%, $E$13) + CHOOSE(CONTROL!$C$28, 0, 0)</f>
        <v>39.8215</v>
      </c>
      <c r="E431" s="4">
        <f>199.899299084903 * CHOOSE(CONTROL!$C$9, $C$13, 100%, $E$13) + CHOOSE(CONTROL!$C$28, 0, 0)</f>
        <v>199.89929908490299</v>
      </c>
    </row>
    <row r="432" spans="1:5" ht="15">
      <c r="A432" s="13">
        <v>55031</v>
      </c>
      <c r="B432" s="4">
        <f>35.1041 * CHOOSE(CONTROL!$C$9, $C$13, 100%, $E$13) + CHOOSE(CONTROL!$C$28, 0.0197, 0)</f>
        <v>35.123800000000003</v>
      </c>
      <c r="C432" s="4">
        <f>34.7916 * CHOOSE(CONTROL!$C$9, $C$13, 100%, $E$13) + CHOOSE(CONTROL!$C$28, 0.0197, 0)</f>
        <v>34.811300000000003</v>
      </c>
      <c r="D432" s="4">
        <f>39.4071 * CHOOSE(CONTROL!$C$9, $C$13, 100%, $E$13) + CHOOSE(CONTROL!$C$28, 0, 0)</f>
        <v>39.4071</v>
      </c>
      <c r="E432" s="4">
        <f>204.685306802414 * CHOOSE(CONTROL!$C$9, $C$13, 100%, $E$13) + CHOOSE(CONTROL!$C$28, 0, 0)</f>
        <v>204.685306802414</v>
      </c>
    </row>
    <row r="433" spans="1:5" ht="15">
      <c r="A433" s="13">
        <v>55061</v>
      </c>
      <c r="B433" s="4">
        <f>33.7799 * CHOOSE(CONTROL!$C$9, $C$13, 100%, $E$13) + CHOOSE(CONTROL!$C$28, 0.0197, 0)</f>
        <v>33.799599999999998</v>
      </c>
      <c r="C433" s="4">
        <f>33.4674 * CHOOSE(CONTROL!$C$9, $C$13, 100%, $E$13) + CHOOSE(CONTROL!$C$28, 0.0197, 0)</f>
        <v>33.487099999999998</v>
      </c>
      <c r="D433" s="4">
        <f>39.2113 * CHOOSE(CONTROL!$C$9, $C$13, 100%, $E$13) + CHOOSE(CONTROL!$C$28, 0, 0)</f>
        <v>39.211300000000001</v>
      </c>
      <c r="E433" s="4">
        <f>196.528423217419 * CHOOSE(CONTROL!$C$9, $C$13, 100%, $E$13) + CHOOSE(CONTROL!$C$28, 0, 0)</f>
        <v>196.528423217419</v>
      </c>
    </row>
    <row r="434" spans="1:5" ht="15">
      <c r="A434" s="13">
        <v>55092</v>
      </c>
      <c r="B434" s="4">
        <f>32.7199 * CHOOSE(CONTROL!$C$9, $C$13, 100%, $E$13) + CHOOSE(CONTROL!$C$28, 0.0003, 0)</f>
        <v>32.720200000000006</v>
      </c>
      <c r="C434" s="4">
        <f>32.4074 * CHOOSE(CONTROL!$C$9, $C$13, 100%, $E$13) + CHOOSE(CONTROL!$C$28, 0.0003, 0)</f>
        <v>32.407700000000006</v>
      </c>
      <c r="D434" s="4">
        <f>38.6871 * CHOOSE(CONTROL!$C$9, $C$13, 100%, $E$13) + CHOOSE(CONTROL!$C$28, 0, 0)</f>
        <v>38.687100000000001</v>
      </c>
      <c r="E434" s="4">
        <f>189.998676253993 * CHOOSE(CONTROL!$C$9, $C$13, 100%, $E$13) + CHOOSE(CONTROL!$C$28, 0, 0)</f>
        <v>189.99867625399301</v>
      </c>
    </row>
    <row r="435" spans="1:5" ht="15">
      <c r="A435" s="13">
        <v>55122</v>
      </c>
      <c r="B435" s="4">
        <f>32.0371 * CHOOSE(CONTROL!$C$9, $C$13, 100%, $E$13) + CHOOSE(CONTROL!$C$28, 0.0003, 0)</f>
        <v>32.037400000000005</v>
      </c>
      <c r="C435" s="4">
        <f>31.7246 * CHOOSE(CONTROL!$C$9, $C$13, 100%, $E$13) + CHOOSE(CONTROL!$C$28, 0.0003, 0)</f>
        <v>31.724899999999998</v>
      </c>
      <c r="D435" s="4">
        <f>38.5069 * CHOOSE(CONTROL!$C$9, $C$13, 100%, $E$13) + CHOOSE(CONTROL!$C$28, 0, 0)</f>
        <v>38.506900000000002</v>
      </c>
      <c r="E435" s="4">
        <f>185.793031598571 * CHOOSE(CONTROL!$C$9, $C$13, 100%, $E$13) + CHOOSE(CONTROL!$C$28, 0, 0)</f>
        <v>185.79303159857099</v>
      </c>
    </row>
    <row r="436" spans="1:5" ht="15">
      <c r="A436" s="13">
        <v>55153</v>
      </c>
      <c r="B436" s="4">
        <f>31.5647 * CHOOSE(CONTROL!$C$9, $C$13, 100%, $E$13) + CHOOSE(CONTROL!$C$28, 0.0003, 0)</f>
        <v>31.564999999999998</v>
      </c>
      <c r="C436" s="4">
        <f>31.2522 * CHOOSE(CONTROL!$C$9, $C$13, 100%, $E$13) + CHOOSE(CONTROL!$C$28, 0.0003, 0)</f>
        <v>31.252499999999998</v>
      </c>
      <c r="D436" s="4">
        <f>37.18 * CHOOSE(CONTROL!$C$9, $C$13, 100%, $E$13) + CHOOSE(CONTROL!$C$28, 0, 0)</f>
        <v>37.18</v>
      </c>
      <c r="E436" s="4">
        <f>182.883266109187 * CHOOSE(CONTROL!$C$9, $C$13, 100%, $E$13) + CHOOSE(CONTROL!$C$28, 0, 0)</f>
        <v>182.88326610918699</v>
      </c>
    </row>
    <row r="437" spans="1:5" ht="15">
      <c r="A437" s="13">
        <v>55184</v>
      </c>
      <c r="B437" s="4">
        <f>30.7972 * CHOOSE(CONTROL!$C$9, $C$13, 100%, $E$13) + CHOOSE(CONTROL!$C$28, 0.0003, 0)</f>
        <v>30.797499999999999</v>
      </c>
      <c r="C437" s="4">
        <f>30.4847 * CHOOSE(CONTROL!$C$9, $C$13, 100%, $E$13) + CHOOSE(CONTROL!$C$28, 0.0003, 0)</f>
        <v>30.484999999999999</v>
      </c>
      <c r="D437" s="4">
        <f>35.9605 * CHOOSE(CONTROL!$C$9, $C$13, 100%, $E$13) + CHOOSE(CONTROL!$C$28, 0, 0)</f>
        <v>35.960500000000003</v>
      </c>
      <c r="E437" s="4">
        <f>177.638870949861 * CHOOSE(CONTROL!$C$9, $C$13, 100%, $E$13) + CHOOSE(CONTROL!$C$28, 0, 0)</f>
        <v>177.638870949861</v>
      </c>
    </row>
    <row r="438" spans="1:5" ht="15">
      <c r="A438" s="13">
        <v>55212</v>
      </c>
      <c r="B438" s="4">
        <f>31.4839 * CHOOSE(CONTROL!$C$9, $C$13, 100%, $E$13) + CHOOSE(CONTROL!$C$28, 0.0003, 0)</f>
        <v>31.484199999999998</v>
      </c>
      <c r="C438" s="4">
        <f>31.1714 * CHOOSE(CONTROL!$C$9, $C$13, 100%, $E$13) + CHOOSE(CONTROL!$C$28, 0.0003, 0)</f>
        <v>31.171699999999998</v>
      </c>
      <c r="D438" s="4">
        <f>37.1886 * CHOOSE(CONTROL!$C$9, $C$13, 100%, $E$13) + CHOOSE(CONTROL!$C$28, 0, 0)</f>
        <v>37.188600000000001</v>
      </c>
      <c r="E438" s="4">
        <f>181.856717804914 * CHOOSE(CONTROL!$C$9, $C$13, 100%, $E$13) + CHOOSE(CONTROL!$C$28, 0, 0)</f>
        <v>181.85671780491401</v>
      </c>
    </row>
    <row r="439" spans="1:5" ht="15">
      <c r="A439" s="13">
        <v>55243</v>
      </c>
      <c r="B439" s="4">
        <f>33.2873 * CHOOSE(CONTROL!$C$9, $C$13, 100%, $E$13) + CHOOSE(CONTROL!$C$28, 0.0003, 0)</f>
        <v>33.287600000000005</v>
      </c>
      <c r="C439" s="4">
        <f>32.9748 * CHOOSE(CONTROL!$C$9, $C$13, 100%, $E$13) + CHOOSE(CONTROL!$C$28, 0.0003, 0)</f>
        <v>32.975100000000005</v>
      </c>
      <c r="D439" s="4">
        <f>39.111 * CHOOSE(CONTROL!$C$9, $C$13, 100%, $E$13) + CHOOSE(CONTROL!$C$28, 0, 0)</f>
        <v>39.110999999999997</v>
      </c>
      <c r="E439" s="4">
        <f>192.933007796279 * CHOOSE(CONTROL!$C$9, $C$13, 100%, $E$13) + CHOOSE(CONTROL!$C$28, 0, 0)</f>
        <v>192.93300779627901</v>
      </c>
    </row>
    <row r="440" spans="1:5" ht="15">
      <c r="A440" s="13">
        <v>55273</v>
      </c>
      <c r="B440" s="4">
        <f>34.5687 * CHOOSE(CONTROL!$C$9, $C$13, 100%, $E$13) + CHOOSE(CONTROL!$C$28, 0.0003, 0)</f>
        <v>34.569000000000003</v>
      </c>
      <c r="C440" s="4">
        <f>34.2562 * CHOOSE(CONTROL!$C$9, $C$13, 100%, $E$13) + CHOOSE(CONTROL!$C$28, 0.0003, 0)</f>
        <v>34.256500000000003</v>
      </c>
      <c r="D440" s="4">
        <f>40.2184 * CHOOSE(CONTROL!$C$9, $C$13, 100%, $E$13) + CHOOSE(CONTROL!$C$28, 0, 0)</f>
        <v>40.218400000000003</v>
      </c>
      <c r="E440" s="4">
        <f>200.802859446116 * CHOOSE(CONTROL!$C$9, $C$13, 100%, $E$13) + CHOOSE(CONTROL!$C$28, 0, 0)</f>
        <v>200.802859446116</v>
      </c>
    </row>
    <row r="441" spans="1:5" ht="15">
      <c r="A441" s="13">
        <v>55304</v>
      </c>
      <c r="B441" s="4">
        <f>35.3515 * CHOOSE(CONTROL!$C$9, $C$13, 100%, $E$13) + CHOOSE(CONTROL!$C$28, 0.0197, 0)</f>
        <v>35.371200000000002</v>
      </c>
      <c r="C441" s="4">
        <f>35.039 * CHOOSE(CONTROL!$C$9, $C$13, 100%, $E$13) + CHOOSE(CONTROL!$C$28, 0.0197, 0)</f>
        <v>35.058700000000002</v>
      </c>
      <c r="D441" s="4">
        <f>39.7808 * CHOOSE(CONTROL!$C$9, $C$13, 100%, $E$13) + CHOOSE(CONTROL!$C$28, 0, 0)</f>
        <v>39.780799999999999</v>
      </c>
      <c r="E441" s="4">
        <f>205.611150190146 * CHOOSE(CONTROL!$C$9, $C$13, 100%, $E$13) + CHOOSE(CONTROL!$C$28, 0, 0)</f>
        <v>205.61115019014599</v>
      </c>
    </row>
    <row r="442" spans="1:5" ht="15">
      <c r="A442" s="13">
        <v>55334</v>
      </c>
      <c r="B442" s="4">
        <f>35.4574 * CHOOSE(CONTROL!$C$9, $C$13, 100%, $E$13) + CHOOSE(CONTROL!$C$28, 0.0197, 0)</f>
        <v>35.4771</v>
      </c>
      <c r="C442" s="4">
        <f>35.1449 * CHOOSE(CONTROL!$C$9, $C$13, 100%, $E$13) + CHOOSE(CONTROL!$C$28, 0.0197, 0)</f>
        <v>35.1646</v>
      </c>
      <c r="D442" s="4">
        <f>40.1372 * CHOOSE(CONTROL!$C$9, $C$13, 100%, $E$13) + CHOOSE(CONTROL!$C$28, 0, 0)</f>
        <v>40.1372</v>
      </c>
      <c r="E442" s="4">
        <f>206.26173188263 * CHOOSE(CONTROL!$C$9, $C$13, 100%, $E$13) + CHOOSE(CONTROL!$C$28, 0, 0)</f>
        <v>206.26173188262999</v>
      </c>
    </row>
    <row r="443" spans="1:5" ht="15">
      <c r="A443" s="13">
        <v>55365</v>
      </c>
      <c r="B443" s="4">
        <f>35.4468 * CHOOSE(CONTROL!$C$9, $C$13, 100%, $E$13) + CHOOSE(CONTROL!$C$28, 0.0197, 0)</f>
        <v>35.466500000000003</v>
      </c>
      <c r="C443" s="4">
        <f>35.1343 * CHOOSE(CONTROL!$C$9, $C$13, 100%, $E$13) + CHOOSE(CONTROL!$C$28, 0.0197, 0)</f>
        <v>35.154000000000003</v>
      </c>
      <c r="D443" s="4">
        <f>40.7802 * CHOOSE(CONTROL!$C$9, $C$13, 100%, $E$13) + CHOOSE(CONTROL!$C$28, 0, 0)</f>
        <v>40.780200000000001</v>
      </c>
      <c r="E443" s="4">
        <f>206.196127006077 * CHOOSE(CONTROL!$C$9, $C$13, 100%, $E$13) + CHOOSE(CONTROL!$C$28, 0, 0)</f>
        <v>206.19612700607701</v>
      </c>
    </row>
    <row r="444" spans="1:5" ht="15">
      <c r="A444" s="13">
        <v>55396</v>
      </c>
      <c r="B444" s="4">
        <f>36.2505 * CHOOSE(CONTROL!$C$9, $C$13, 100%, $E$13) + CHOOSE(CONTROL!$C$28, 0.0197, 0)</f>
        <v>36.270200000000003</v>
      </c>
      <c r="C444" s="4">
        <f>35.938 * CHOOSE(CONTROL!$C$9, $C$13, 100%, $E$13) + CHOOSE(CONTROL!$C$28, 0.0197, 0)</f>
        <v>35.957700000000003</v>
      </c>
      <c r="D444" s="4">
        <f>40.3555 * CHOOSE(CONTROL!$C$9, $C$13, 100%, $E$13) + CHOOSE(CONTROL!$C$28, 0, 0)</f>
        <v>40.355499999999999</v>
      </c>
      <c r="E444" s="4">
        <f>211.13289396669 * CHOOSE(CONTROL!$C$9, $C$13, 100%, $E$13) + CHOOSE(CONTROL!$C$28, 0, 0)</f>
        <v>211.13289396669001</v>
      </c>
    </row>
    <row r="445" spans="1:5" ht="15">
      <c r="A445" s="13">
        <v>55426</v>
      </c>
      <c r="B445" s="4">
        <f>34.8806 * CHOOSE(CONTROL!$C$9, $C$13, 100%, $E$13) + CHOOSE(CONTROL!$C$28, 0.0197, 0)</f>
        <v>34.900300000000001</v>
      </c>
      <c r="C445" s="4">
        <f>34.5681 * CHOOSE(CONTROL!$C$9, $C$13, 100%, $E$13) + CHOOSE(CONTROL!$C$28, 0.0197, 0)</f>
        <v>34.587800000000001</v>
      </c>
      <c r="D445" s="4">
        <f>40.1549 * CHOOSE(CONTROL!$C$9, $C$13, 100%, $E$13) + CHOOSE(CONTROL!$C$28, 0, 0)</f>
        <v>40.154899999999998</v>
      </c>
      <c r="E445" s="4">
        <f>202.719068548768 * CHOOSE(CONTROL!$C$9, $C$13, 100%, $E$13) + CHOOSE(CONTROL!$C$28, 0, 0)</f>
        <v>202.71906854876801</v>
      </c>
    </row>
    <row r="446" spans="1:5" ht="15">
      <c r="A446" s="13">
        <v>55457</v>
      </c>
      <c r="B446" s="4">
        <f>33.784 * CHOOSE(CONTROL!$C$9, $C$13, 100%, $E$13) + CHOOSE(CONTROL!$C$28, 0.0003, 0)</f>
        <v>33.784300000000002</v>
      </c>
      <c r="C446" s="4">
        <f>33.4715 * CHOOSE(CONTROL!$C$9, $C$13, 100%, $E$13) + CHOOSE(CONTROL!$C$28, 0.0003, 0)</f>
        <v>33.471800000000002</v>
      </c>
      <c r="D446" s="4">
        <f>39.6177 * CHOOSE(CONTROL!$C$9, $C$13, 100%, $E$13) + CHOOSE(CONTROL!$C$28, 0, 0)</f>
        <v>39.617699999999999</v>
      </c>
      <c r="E446" s="4">
        <f>195.983634555993 * CHOOSE(CONTROL!$C$9, $C$13, 100%, $E$13) + CHOOSE(CONTROL!$C$28, 0, 0)</f>
        <v>195.98363455599301</v>
      </c>
    </row>
    <row r="447" spans="1:5" ht="15">
      <c r="A447" s="13">
        <v>55487</v>
      </c>
      <c r="B447" s="4">
        <f>33.0777 * CHOOSE(CONTROL!$C$9, $C$13, 100%, $E$13) + CHOOSE(CONTROL!$C$28, 0.0003, 0)</f>
        <v>33.078000000000003</v>
      </c>
      <c r="C447" s="4">
        <f>32.7652 * CHOOSE(CONTROL!$C$9, $C$13, 100%, $E$13) + CHOOSE(CONTROL!$C$28, 0.0003, 0)</f>
        <v>32.765500000000003</v>
      </c>
      <c r="D447" s="4">
        <f>39.433 * CHOOSE(CONTROL!$C$9, $C$13, 100%, $E$13) + CHOOSE(CONTROL!$C$28, 0, 0)</f>
        <v>39.433</v>
      </c>
      <c r="E447" s="4">
        <f>191.645512093926 * CHOOSE(CONTROL!$C$9, $C$13, 100%, $E$13) + CHOOSE(CONTROL!$C$28, 0, 0)</f>
        <v>191.64551209392599</v>
      </c>
    </row>
    <row r="448" spans="1:5" ht="15">
      <c r="A448" s="13">
        <v>55518</v>
      </c>
      <c r="B448" s="4">
        <f>32.589 * CHOOSE(CONTROL!$C$9, $C$13, 100%, $E$13) + CHOOSE(CONTROL!$C$28, 0.0003, 0)</f>
        <v>32.589300000000001</v>
      </c>
      <c r="C448" s="4">
        <f>32.2765 * CHOOSE(CONTROL!$C$9, $C$13, 100%, $E$13) + CHOOSE(CONTROL!$C$28, 0.0003, 0)</f>
        <v>32.276800000000001</v>
      </c>
      <c r="D448" s="4">
        <f>38.0732 * CHOOSE(CONTROL!$C$9, $C$13, 100%, $E$13) + CHOOSE(CONTROL!$C$28, 0, 0)</f>
        <v>38.0732</v>
      </c>
      <c r="E448" s="4">
        <f>188.644088991627 * CHOOSE(CONTROL!$C$9, $C$13, 100%, $E$13) + CHOOSE(CONTROL!$C$28, 0, 0)</f>
        <v>188.644088991627</v>
      </c>
    </row>
    <row r="449" spans="1:5" ht="15">
      <c r="A449" s="13">
        <v>55549</v>
      </c>
      <c r="B449" s="4">
        <f>31.795 * CHOOSE(CONTROL!$C$9, $C$13, 100%, $E$13) + CHOOSE(CONTROL!$C$28, 0.0003, 0)</f>
        <v>31.795300000000001</v>
      </c>
      <c r="C449" s="4">
        <f>31.4825 * CHOOSE(CONTROL!$C$9, $C$13, 100%, $E$13) + CHOOSE(CONTROL!$C$28, 0.0003, 0)</f>
        <v>31.482800000000001</v>
      </c>
      <c r="D449" s="4">
        <f>36.8234 * CHOOSE(CONTROL!$C$9, $C$13, 100%, $E$13) + CHOOSE(CONTROL!$C$28, 0, 0)</f>
        <v>36.823399999999999</v>
      </c>
      <c r="E449" s="4">
        <f>183.234495384782 * CHOOSE(CONTROL!$C$9, $C$13, 100%, $E$13) + CHOOSE(CONTROL!$C$28, 0, 0)</f>
        <v>183.23449538478201</v>
      </c>
    </row>
    <row r="450" spans="1:5" ht="15">
      <c r="A450" s="13">
        <v>55577</v>
      </c>
      <c r="B450" s="4">
        <f>32.5055 * CHOOSE(CONTROL!$C$9, $C$13, 100%, $E$13) + CHOOSE(CONTROL!$C$28, 0.0003, 0)</f>
        <v>32.505800000000001</v>
      </c>
      <c r="C450" s="4">
        <f>32.193 * CHOOSE(CONTROL!$C$9, $C$13, 100%, $E$13) + CHOOSE(CONTROL!$C$28, 0.0003, 0)</f>
        <v>32.193300000000001</v>
      </c>
      <c r="D450" s="4">
        <f>38.0819 * CHOOSE(CONTROL!$C$9, $C$13, 100%, $E$13) + CHOOSE(CONTROL!$C$28, 0, 0)</f>
        <v>38.081899999999997</v>
      </c>
      <c r="E450" s="4">
        <f>187.585204415769 * CHOOSE(CONTROL!$C$9, $C$13, 100%, $E$13) + CHOOSE(CONTROL!$C$28, 0, 0)</f>
        <v>187.585204415769</v>
      </c>
    </row>
    <row r="451" spans="1:5" ht="15">
      <c r="A451" s="13">
        <v>55609</v>
      </c>
      <c r="B451" s="4">
        <f>34.3711 * CHOOSE(CONTROL!$C$9, $C$13, 100%, $E$13) + CHOOSE(CONTROL!$C$28, 0.0003, 0)</f>
        <v>34.371400000000001</v>
      </c>
      <c r="C451" s="4">
        <f>34.0586 * CHOOSE(CONTROL!$C$9, $C$13, 100%, $E$13) + CHOOSE(CONTROL!$C$28, 0.0003, 0)</f>
        <v>34.058900000000001</v>
      </c>
      <c r="D451" s="4">
        <f>40.052 * CHOOSE(CONTROL!$C$9, $C$13, 100%, $E$13) + CHOOSE(CONTROL!$C$28, 0, 0)</f>
        <v>40.052</v>
      </c>
      <c r="E451" s="4">
        <f>199.010397541862 * CHOOSE(CONTROL!$C$9, $C$13, 100%, $E$13) + CHOOSE(CONTROL!$C$28, 0, 0)</f>
        <v>199.01039754186201</v>
      </c>
    </row>
    <row r="452" spans="1:5" ht="15">
      <c r="A452" s="13">
        <v>55639</v>
      </c>
      <c r="B452" s="4">
        <f>35.6966 * CHOOSE(CONTROL!$C$9, $C$13, 100%, $E$13) + CHOOSE(CONTROL!$C$28, 0.0003, 0)</f>
        <v>35.696899999999999</v>
      </c>
      <c r="C452" s="4">
        <f>35.3841 * CHOOSE(CONTROL!$C$9, $C$13, 100%, $E$13) + CHOOSE(CONTROL!$C$28, 0.0003, 0)</f>
        <v>35.384399999999999</v>
      </c>
      <c r="D452" s="4">
        <f>41.1869 * CHOOSE(CONTROL!$C$9, $C$13, 100%, $E$13) + CHOOSE(CONTROL!$C$28, 0, 0)</f>
        <v>41.186900000000001</v>
      </c>
      <c r="E452" s="4">
        <f>207.128149518669 * CHOOSE(CONTROL!$C$9, $C$13, 100%, $E$13) + CHOOSE(CONTROL!$C$28, 0, 0)</f>
        <v>207.12814951866901</v>
      </c>
    </row>
    <row r="453" spans="1:5" ht="15">
      <c r="A453" s="13">
        <v>55670</v>
      </c>
      <c r="B453" s="4">
        <f>36.5065 * CHOOSE(CONTROL!$C$9, $C$13, 100%, $E$13) + CHOOSE(CONTROL!$C$28, 0.0197, 0)</f>
        <v>36.526200000000003</v>
      </c>
      <c r="C453" s="4">
        <f>36.194 * CHOOSE(CONTROL!$C$9, $C$13, 100%, $E$13) + CHOOSE(CONTROL!$C$28, 0.0197, 0)</f>
        <v>36.213700000000003</v>
      </c>
      <c r="D453" s="4">
        <f>40.7384 * CHOOSE(CONTROL!$C$9, $C$13, 100%, $E$13) + CHOOSE(CONTROL!$C$28, 0, 0)</f>
        <v>40.738399999999999</v>
      </c>
      <c r="E453" s="4">
        <f>212.087901421136 * CHOOSE(CONTROL!$C$9, $C$13, 100%, $E$13) + CHOOSE(CONTROL!$C$28, 0, 0)</f>
        <v>212.087901421136</v>
      </c>
    </row>
    <row r="454" spans="1:5" ht="15">
      <c r="A454" s="13">
        <v>55700</v>
      </c>
      <c r="B454" s="4">
        <f>36.616 * CHOOSE(CONTROL!$C$9, $C$13, 100%, $E$13) + CHOOSE(CONTROL!$C$28, 0.0197, 0)</f>
        <v>36.6357</v>
      </c>
      <c r="C454" s="4">
        <f>36.3035 * CHOOSE(CONTROL!$C$9, $C$13, 100%, $E$13) + CHOOSE(CONTROL!$C$28, 0.0197, 0)</f>
        <v>36.3232</v>
      </c>
      <c r="D454" s="4">
        <f>41.1037 * CHOOSE(CONTROL!$C$9, $C$13, 100%, $E$13) + CHOOSE(CONTROL!$C$28, 0, 0)</f>
        <v>41.103700000000003</v>
      </c>
      <c r="E454" s="4">
        <f>212.758976436933 * CHOOSE(CONTROL!$C$9, $C$13, 100%, $E$13) + CHOOSE(CONTROL!$C$28, 0, 0)</f>
        <v>212.75897643693301</v>
      </c>
    </row>
    <row r="455" spans="1:5" ht="15">
      <c r="A455" s="13">
        <v>55731</v>
      </c>
      <c r="B455" s="4">
        <f>36.605 * CHOOSE(CONTROL!$C$9, $C$13, 100%, $E$13) + CHOOSE(CONTROL!$C$28, 0.0197, 0)</f>
        <v>36.624699999999997</v>
      </c>
      <c r="C455" s="4">
        <f>36.2925 * CHOOSE(CONTROL!$C$9, $C$13, 100%, $E$13) + CHOOSE(CONTROL!$C$28, 0.0197, 0)</f>
        <v>36.312199999999997</v>
      </c>
      <c r="D455" s="4">
        <f>41.7626 * CHOOSE(CONTROL!$C$9, $C$13, 100%, $E$13) + CHOOSE(CONTROL!$C$28, 0, 0)</f>
        <v>41.762599999999999</v>
      </c>
      <c r="E455" s="4">
        <f>212.691305006768 * CHOOSE(CONTROL!$C$9, $C$13, 100%, $E$13) + CHOOSE(CONTROL!$C$28, 0, 0)</f>
        <v>212.691305006768</v>
      </c>
    </row>
    <row r="456" spans="1:5" ht="15">
      <c r="A456" s="13">
        <v>55762</v>
      </c>
      <c r="B456" s="4">
        <f>37.4365 * CHOOSE(CONTROL!$C$9, $C$13, 100%, $E$13) + CHOOSE(CONTROL!$C$28, 0.0197, 0)</f>
        <v>37.456200000000003</v>
      </c>
      <c r="C456" s="4">
        <f>37.124 * CHOOSE(CONTROL!$C$9, $C$13, 100%, $E$13) + CHOOSE(CONTROL!$C$28, 0.0197, 0)</f>
        <v>37.143700000000003</v>
      </c>
      <c r="D456" s="4">
        <f>41.3274 * CHOOSE(CONTROL!$C$9, $C$13, 100%, $E$13) + CHOOSE(CONTROL!$C$28, 0, 0)</f>
        <v>41.327399999999997</v>
      </c>
      <c r="E456" s="4">
        <f>217.783580126641 * CHOOSE(CONTROL!$C$9, $C$13, 100%, $E$13) + CHOOSE(CONTROL!$C$28, 0, 0)</f>
        <v>217.783580126641</v>
      </c>
    </row>
    <row r="457" spans="1:5" ht="15">
      <c r="A457" s="13">
        <v>55792</v>
      </c>
      <c r="B457" s="4">
        <f>36.0193 * CHOOSE(CONTROL!$C$9, $C$13, 100%, $E$13) + CHOOSE(CONTROL!$C$28, 0.0197, 0)</f>
        <v>36.039000000000001</v>
      </c>
      <c r="C457" s="4">
        <f>35.7068 * CHOOSE(CONTROL!$C$9, $C$13, 100%, $E$13) + CHOOSE(CONTROL!$C$28, 0.0197, 0)</f>
        <v>35.726500000000001</v>
      </c>
      <c r="D457" s="4">
        <f>41.1218 * CHOOSE(CONTROL!$C$9, $C$13, 100%, $E$13) + CHOOSE(CONTROL!$C$28, 0, 0)</f>
        <v>41.1218</v>
      </c>
      <c r="E457" s="4">
        <f>209.104719208054 * CHOOSE(CONTROL!$C$9, $C$13, 100%, $E$13) + CHOOSE(CONTROL!$C$28, 0, 0)</f>
        <v>209.10471920805401</v>
      </c>
    </row>
    <row r="458" spans="1:5" ht="15">
      <c r="A458" s="13">
        <v>55823</v>
      </c>
      <c r="B458" s="4">
        <f>34.8849 * CHOOSE(CONTROL!$C$9, $C$13, 100%, $E$13) + CHOOSE(CONTROL!$C$28, 0.0003, 0)</f>
        <v>34.885200000000005</v>
      </c>
      <c r="C458" s="4">
        <f>34.5724 * CHOOSE(CONTROL!$C$9, $C$13, 100%, $E$13) + CHOOSE(CONTROL!$C$28, 0.0003, 0)</f>
        <v>34.572700000000005</v>
      </c>
      <c r="D458" s="4">
        <f>40.5713 * CHOOSE(CONTROL!$C$9, $C$13, 100%, $E$13) + CHOOSE(CONTROL!$C$28, 0, 0)</f>
        <v>40.571300000000001</v>
      </c>
      <c r="E458" s="4">
        <f>202.157119044507 * CHOOSE(CONTROL!$C$9, $C$13, 100%, $E$13) + CHOOSE(CONTROL!$C$28, 0, 0)</f>
        <v>202.157119044507</v>
      </c>
    </row>
    <row r="459" spans="1:5" ht="15">
      <c r="A459" s="13">
        <v>55853</v>
      </c>
      <c r="B459" s="4">
        <f>34.1542 * CHOOSE(CONTROL!$C$9, $C$13, 100%, $E$13) + CHOOSE(CONTROL!$C$28, 0.0003, 0)</f>
        <v>34.154500000000006</v>
      </c>
      <c r="C459" s="4">
        <f>33.8417 * CHOOSE(CONTROL!$C$9, $C$13, 100%, $E$13) + CHOOSE(CONTROL!$C$28, 0.0003, 0)</f>
        <v>33.842000000000006</v>
      </c>
      <c r="D459" s="4">
        <f>40.382 * CHOOSE(CONTROL!$C$9, $C$13, 100%, $E$13) + CHOOSE(CONTROL!$C$28, 0, 0)</f>
        <v>40.381999999999998</v>
      </c>
      <c r="E459" s="4">
        <f>197.682345724885 * CHOOSE(CONTROL!$C$9, $C$13, 100%, $E$13) + CHOOSE(CONTROL!$C$28, 0, 0)</f>
        <v>197.68234572488501</v>
      </c>
    </row>
    <row r="460" spans="1:5" ht="15">
      <c r="A460" s="13">
        <v>55884</v>
      </c>
      <c r="B460" s="4">
        <f>33.6487 * CHOOSE(CONTROL!$C$9, $C$13, 100%, $E$13) + CHOOSE(CONTROL!$C$28, 0.0003, 0)</f>
        <v>33.649000000000001</v>
      </c>
      <c r="C460" s="4">
        <f>33.3362 * CHOOSE(CONTROL!$C$9, $C$13, 100%, $E$13) + CHOOSE(CONTROL!$C$28, 0.0003, 0)</f>
        <v>33.336500000000001</v>
      </c>
      <c r="D460" s="4">
        <f>38.9885 * CHOOSE(CONTROL!$C$9, $C$13, 100%, $E$13) + CHOOSE(CONTROL!$C$28, 0, 0)</f>
        <v>38.988500000000002</v>
      </c>
      <c r="E460" s="4">
        <f>194.586377794863 * CHOOSE(CONTROL!$C$9, $C$13, 100%, $E$13) + CHOOSE(CONTROL!$C$28, 0, 0)</f>
        <v>194.58637779486301</v>
      </c>
    </row>
    <row r="461" spans="1:5" ht="15">
      <c r="A461" s="13">
        <v>55915</v>
      </c>
      <c r="B461" s="4">
        <f>32.8273 * CHOOSE(CONTROL!$C$9, $C$13, 100%, $E$13) + CHOOSE(CONTROL!$C$28, 0.0003, 0)</f>
        <v>32.827600000000004</v>
      </c>
      <c r="C461" s="4">
        <f>32.5148 * CHOOSE(CONTROL!$C$9, $C$13, 100%, $E$13) + CHOOSE(CONTROL!$C$28, 0.0003, 0)</f>
        <v>32.515100000000004</v>
      </c>
      <c r="D461" s="4">
        <f>37.7077 * CHOOSE(CONTROL!$C$9, $C$13, 100%, $E$13) + CHOOSE(CONTROL!$C$28, 0, 0)</f>
        <v>37.707700000000003</v>
      </c>
      <c r="E461" s="4">
        <f>189.006381989402 * CHOOSE(CONTROL!$C$9, $C$13, 100%, $E$13) + CHOOSE(CONTROL!$C$28, 0, 0)</f>
        <v>189.006381989402</v>
      </c>
    </row>
    <row r="462" spans="1:5" ht="15">
      <c r="A462" s="13">
        <v>55943</v>
      </c>
      <c r="B462" s="4">
        <f>33.5622 * CHOOSE(CONTROL!$C$9, $C$13, 100%, $E$13) + CHOOSE(CONTROL!$C$28, 0.0003, 0)</f>
        <v>33.5625</v>
      </c>
      <c r="C462" s="4">
        <f>33.2497 * CHOOSE(CONTROL!$C$9, $C$13, 100%, $E$13) + CHOOSE(CONTROL!$C$28, 0.0003, 0)</f>
        <v>33.25</v>
      </c>
      <c r="D462" s="4">
        <f>38.9975 * CHOOSE(CONTROL!$C$9, $C$13, 100%, $E$13) + CHOOSE(CONTROL!$C$28, 0, 0)</f>
        <v>38.997500000000002</v>
      </c>
      <c r="E462" s="4">
        <f>193.494138354866 * CHOOSE(CONTROL!$C$9, $C$13, 100%, $E$13) + CHOOSE(CONTROL!$C$28, 0, 0)</f>
        <v>193.49413835486601</v>
      </c>
    </row>
    <row r="463" spans="1:5" ht="15">
      <c r="A463" s="13">
        <v>55974</v>
      </c>
      <c r="B463" s="4">
        <f>35.4922 * CHOOSE(CONTROL!$C$9, $C$13, 100%, $E$13) + CHOOSE(CONTROL!$C$28, 0.0003, 0)</f>
        <v>35.4925</v>
      </c>
      <c r="C463" s="4">
        <f>35.1797 * CHOOSE(CONTROL!$C$9, $C$13, 100%, $E$13) + CHOOSE(CONTROL!$C$28, 0.0003, 0)</f>
        <v>35.18</v>
      </c>
      <c r="D463" s="4">
        <f>41.0164 * CHOOSE(CONTROL!$C$9, $C$13, 100%, $E$13) + CHOOSE(CONTROL!$C$28, 0, 0)</f>
        <v>41.016399999999997</v>
      </c>
      <c r="E463" s="4">
        <f>205.27922506443 * CHOOSE(CONTROL!$C$9, $C$13, 100%, $E$13) + CHOOSE(CONTROL!$C$28, 0, 0)</f>
        <v>205.27922506442999</v>
      </c>
    </row>
    <row r="464" spans="1:5" ht="15">
      <c r="A464" s="13">
        <v>56004</v>
      </c>
      <c r="B464" s="4">
        <f>36.8634 * CHOOSE(CONTROL!$C$9, $C$13, 100%, $E$13) + CHOOSE(CONTROL!$C$28, 0.0003, 0)</f>
        <v>36.863700000000001</v>
      </c>
      <c r="C464" s="4">
        <f>36.5509 * CHOOSE(CONTROL!$C$9, $C$13, 100%, $E$13) + CHOOSE(CONTROL!$C$28, 0.0003, 0)</f>
        <v>36.551200000000001</v>
      </c>
      <c r="D464" s="4">
        <f>42.1794 * CHOOSE(CONTROL!$C$9, $C$13, 100%, $E$13) + CHOOSE(CONTROL!$C$28, 0, 0)</f>
        <v>42.179400000000001</v>
      </c>
      <c r="E464" s="4">
        <f>213.652686228507 * CHOOSE(CONTROL!$C$9, $C$13, 100%, $E$13) + CHOOSE(CONTROL!$C$28, 0, 0)</f>
        <v>213.65268622850701</v>
      </c>
    </row>
    <row r="465" spans="1:5" ht="15">
      <c r="A465" s="13">
        <v>56035</v>
      </c>
      <c r="B465" s="4">
        <f>37.7012 * CHOOSE(CONTROL!$C$9, $C$13, 100%, $E$13) + CHOOSE(CONTROL!$C$28, 0.0197, 0)</f>
        <v>37.7209</v>
      </c>
      <c r="C465" s="4">
        <f>37.3887 * CHOOSE(CONTROL!$C$9, $C$13, 100%, $E$13) + CHOOSE(CONTROL!$C$28, 0.0197, 0)</f>
        <v>37.4084</v>
      </c>
      <c r="D465" s="4">
        <f>41.7199 * CHOOSE(CONTROL!$C$9, $C$13, 100%, $E$13) + CHOOSE(CONTROL!$C$28, 0, 0)</f>
        <v>41.719900000000003</v>
      </c>
      <c r="E465" s="4">
        <f>218.768670315901 * CHOOSE(CONTROL!$C$9, $C$13, 100%, $E$13) + CHOOSE(CONTROL!$C$28, 0, 0)</f>
        <v>218.76867031590101</v>
      </c>
    </row>
    <row r="466" spans="1:5" ht="15">
      <c r="A466" s="13">
        <v>56065</v>
      </c>
      <c r="B466" s="4">
        <f>37.8146 * CHOOSE(CONTROL!$C$9, $C$13, 100%, $E$13) + CHOOSE(CONTROL!$C$28, 0.0197, 0)</f>
        <v>37.834299999999999</v>
      </c>
      <c r="C466" s="4">
        <f>37.5021 * CHOOSE(CONTROL!$C$9, $C$13, 100%, $E$13) + CHOOSE(CONTROL!$C$28, 0.0197, 0)</f>
        <v>37.521799999999999</v>
      </c>
      <c r="D466" s="4">
        <f>42.0941 * CHOOSE(CONTROL!$C$9, $C$13, 100%, $E$13) + CHOOSE(CONTROL!$C$28, 0, 0)</f>
        <v>42.094099999999997</v>
      </c>
      <c r="E466" s="4">
        <f>219.460884194696 * CHOOSE(CONTROL!$C$9, $C$13, 100%, $E$13) + CHOOSE(CONTROL!$C$28, 0, 0)</f>
        <v>219.46088419469601</v>
      </c>
    </row>
    <row r="467" spans="1:5" ht="15">
      <c r="A467" s="13">
        <v>56096</v>
      </c>
      <c r="B467" s="4">
        <f>37.8032 * CHOOSE(CONTROL!$C$9, $C$13, 100%, $E$13) + CHOOSE(CONTROL!$C$28, 0.0197, 0)</f>
        <v>37.822899999999997</v>
      </c>
      <c r="C467" s="4">
        <f>37.4907 * CHOOSE(CONTROL!$C$9, $C$13, 100%, $E$13) + CHOOSE(CONTROL!$C$28, 0.0197, 0)</f>
        <v>37.510399999999997</v>
      </c>
      <c r="D467" s="4">
        <f>42.7694 * CHOOSE(CONTROL!$C$9, $C$13, 100%, $E$13) + CHOOSE(CONTROL!$C$28, 0, 0)</f>
        <v>42.769399999999997</v>
      </c>
      <c r="E467" s="4">
        <f>219.391081114482 * CHOOSE(CONTROL!$C$9, $C$13, 100%, $E$13) + CHOOSE(CONTROL!$C$28, 0, 0)</f>
        <v>219.39108111448201</v>
      </c>
    </row>
    <row r="468" spans="1:5" ht="15">
      <c r="A468" s="13">
        <v>56127</v>
      </c>
      <c r="B468" s="4">
        <f>38.6634 * CHOOSE(CONTROL!$C$9, $C$13, 100%, $E$13) + CHOOSE(CONTROL!$C$28, 0.0197, 0)</f>
        <v>38.683100000000003</v>
      </c>
      <c r="C468" s="4">
        <f>38.3509 * CHOOSE(CONTROL!$C$9, $C$13, 100%, $E$13) + CHOOSE(CONTROL!$C$28, 0.0197, 0)</f>
        <v>38.370600000000003</v>
      </c>
      <c r="D468" s="4">
        <f>42.3235 * CHOOSE(CONTROL!$C$9, $C$13, 100%, $E$13) + CHOOSE(CONTROL!$C$28, 0, 0)</f>
        <v>42.323500000000003</v>
      </c>
      <c r="E468" s="4">
        <f>224.64376290063 * CHOOSE(CONTROL!$C$9, $C$13, 100%, $E$13) + CHOOSE(CONTROL!$C$28, 0, 0)</f>
        <v>224.64376290063001</v>
      </c>
    </row>
    <row r="469" spans="1:5" ht="15">
      <c r="A469" s="13">
        <v>56157</v>
      </c>
      <c r="B469" s="4">
        <f>37.1973 * CHOOSE(CONTROL!$C$9, $C$13, 100%, $E$13) + CHOOSE(CONTROL!$C$28, 0.0197, 0)</f>
        <v>37.216999999999999</v>
      </c>
      <c r="C469" s="4">
        <f>36.8848 * CHOOSE(CONTROL!$C$9, $C$13, 100%, $E$13) + CHOOSE(CONTROL!$C$28, 0.0197, 0)</f>
        <v>36.904499999999999</v>
      </c>
      <c r="D469" s="4">
        <f>42.1127 * CHOOSE(CONTROL!$C$9, $C$13, 100%, $E$13) + CHOOSE(CONTROL!$C$28, 0, 0)</f>
        <v>42.112699999999997</v>
      </c>
      <c r="E469" s="4">
        <f>215.691517863108 * CHOOSE(CONTROL!$C$9, $C$13, 100%, $E$13) + CHOOSE(CONTROL!$C$28, 0, 0)</f>
        <v>215.691517863108</v>
      </c>
    </row>
    <row r="470" spans="1:5" ht="15">
      <c r="A470" s="13">
        <v>56188</v>
      </c>
      <c r="B470" s="4">
        <f>36.0237 * CHOOSE(CONTROL!$C$9, $C$13, 100%, $E$13) + CHOOSE(CONTROL!$C$28, 0.0003, 0)</f>
        <v>36.024000000000001</v>
      </c>
      <c r="C470" s="4">
        <f>35.7112 * CHOOSE(CONTROL!$C$9, $C$13, 100%, $E$13) + CHOOSE(CONTROL!$C$28, 0.0003, 0)</f>
        <v>35.711500000000001</v>
      </c>
      <c r="D470" s="4">
        <f>41.5485 * CHOOSE(CONTROL!$C$9, $C$13, 100%, $E$13) + CHOOSE(CONTROL!$C$28, 0, 0)</f>
        <v>41.548499999999997</v>
      </c>
      <c r="E470" s="4">
        <f>208.525068294409 * CHOOSE(CONTROL!$C$9, $C$13, 100%, $E$13) + CHOOSE(CONTROL!$C$28, 0, 0)</f>
        <v>208.52506829440901</v>
      </c>
    </row>
    <row r="471" spans="1:5" ht="15">
      <c r="A471" s="13">
        <v>56218</v>
      </c>
      <c r="B471" s="4">
        <f>35.2678 * CHOOSE(CONTROL!$C$9, $C$13, 100%, $E$13) + CHOOSE(CONTROL!$C$28, 0.0003, 0)</f>
        <v>35.268100000000004</v>
      </c>
      <c r="C471" s="4">
        <f>34.9553 * CHOOSE(CONTROL!$C$9, $C$13, 100%, $E$13) + CHOOSE(CONTROL!$C$28, 0.0003, 0)</f>
        <v>34.955600000000004</v>
      </c>
      <c r="D471" s="4">
        <f>41.3546 * CHOOSE(CONTROL!$C$9, $C$13, 100%, $E$13) + CHOOSE(CONTROL!$C$28, 0, 0)</f>
        <v>41.354599999999998</v>
      </c>
      <c r="E471" s="4">
        <f>203.909339615219 * CHOOSE(CONTROL!$C$9, $C$13, 100%, $E$13) + CHOOSE(CONTROL!$C$28, 0, 0)</f>
        <v>203.90933961521901</v>
      </c>
    </row>
    <row r="472" spans="1:5" ht="15">
      <c r="A472" s="13">
        <v>56249</v>
      </c>
      <c r="B472" s="4">
        <f>34.7449 * CHOOSE(CONTROL!$C$9, $C$13, 100%, $E$13) + CHOOSE(CONTROL!$C$28, 0.0003, 0)</f>
        <v>34.745200000000004</v>
      </c>
      <c r="C472" s="4">
        <f>34.4324 * CHOOSE(CONTROL!$C$9, $C$13, 100%, $E$13) + CHOOSE(CONTROL!$C$28, 0.0003, 0)</f>
        <v>34.432700000000004</v>
      </c>
      <c r="D472" s="4">
        <f>39.9265 * CHOOSE(CONTROL!$C$9, $C$13, 100%, $E$13) + CHOOSE(CONTROL!$C$28, 0, 0)</f>
        <v>39.926499999999997</v>
      </c>
      <c r="E472" s="4">
        <f>200.715848695401 * CHOOSE(CONTROL!$C$9, $C$13, 100%, $E$13) + CHOOSE(CONTROL!$C$28, 0, 0)</f>
        <v>200.71584869540101</v>
      </c>
    </row>
    <row r="473" spans="1:5" ht="15">
      <c r="A473" s="13">
        <v>56280</v>
      </c>
      <c r="B473" s="4">
        <f>33.8951 * CHOOSE(CONTROL!$C$9, $C$13, 100%, $E$13) + CHOOSE(CONTROL!$C$28, 0.0003, 0)</f>
        <v>33.895400000000002</v>
      </c>
      <c r="C473" s="4">
        <f>33.5826 * CHOOSE(CONTROL!$C$9, $C$13, 100%, $E$13) + CHOOSE(CONTROL!$C$28, 0.0003, 0)</f>
        <v>33.582900000000002</v>
      </c>
      <c r="D473" s="4">
        <f>38.614 * CHOOSE(CONTROL!$C$9, $C$13, 100%, $E$13) + CHOOSE(CONTROL!$C$28, 0, 0)</f>
        <v>38.613999999999997</v>
      </c>
      <c r="E473" s="4">
        <f>194.960083022068 * CHOOSE(CONTROL!$C$9, $C$13, 100%, $E$13) + CHOOSE(CONTROL!$C$28, 0, 0)</f>
        <v>194.96008302206801</v>
      </c>
    </row>
    <row r="474" spans="1:5" ht="15">
      <c r="A474" s="13">
        <v>56308</v>
      </c>
      <c r="B474" s="4">
        <f>34.6554 * CHOOSE(CONTROL!$C$9, $C$13, 100%, $E$13) + CHOOSE(CONTROL!$C$28, 0.0003, 0)</f>
        <v>34.655700000000003</v>
      </c>
      <c r="C474" s="4">
        <f>34.3429 * CHOOSE(CONTROL!$C$9, $C$13, 100%, $E$13) + CHOOSE(CONTROL!$C$28, 0.0003, 0)</f>
        <v>34.343200000000003</v>
      </c>
      <c r="D474" s="4">
        <f>39.9357 * CHOOSE(CONTROL!$C$9, $C$13, 100%, $E$13) + CHOOSE(CONTROL!$C$28, 0, 0)</f>
        <v>39.935699999999997</v>
      </c>
      <c r="E474" s="4">
        <f>199.589203713044 * CHOOSE(CONTROL!$C$9, $C$13, 100%, $E$13) + CHOOSE(CONTROL!$C$28, 0, 0)</f>
        <v>199.58920371304399</v>
      </c>
    </row>
    <row r="475" spans="1:5" ht="15">
      <c r="A475" s="13">
        <v>56339</v>
      </c>
      <c r="B475" s="4">
        <f>36.652 * CHOOSE(CONTROL!$C$9, $C$13, 100%, $E$13) + CHOOSE(CONTROL!$C$28, 0.0003, 0)</f>
        <v>36.652300000000004</v>
      </c>
      <c r="C475" s="4">
        <f>36.3395 * CHOOSE(CONTROL!$C$9, $C$13, 100%, $E$13) + CHOOSE(CONTROL!$C$28, 0.0003, 0)</f>
        <v>36.339800000000004</v>
      </c>
      <c r="D475" s="4">
        <f>42.0047 * CHOOSE(CONTROL!$C$9, $C$13, 100%, $E$13) + CHOOSE(CONTROL!$C$28, 0, 0)</f>
        <v>42.0047</v>
      </c>
      <c r="E475" s="4">
        <f>211.74552065396 * CHOOSE(CONTROL!$C$9, $C$13, 100%, $E$13) + CHOOSE(CONTROL!$C$28, 0, 0)</f>
        <v>211.74552065396</v>
      </c>
    </row>
    <row r="476" spans="1:5" ht="15">
      <c r="A476" s="13">
        <v>56369</v>
      </c>
      <c r="B476" s="4">
        <f>38.0705 * CHOOSE(CONTROL!$C$9, $C$13, 100%, $E$13) + CHOOSE(CONTROL!$C$28, 0.0003, 0)</f>
        <v>38.070800000000006</v>
      </c>
      <c r="C476" s="4">
        <f>37.758 * CHOOSE(CONTROL!$C$9, $C$13, 100%, $E$13) + CHOOSE(CONTROL!$C$28, 0.0003, 0)</f>
        <v>37.758300000000006</v>
      </c>
      <c r="D476" s="4">
        <f>43.1966 * CHOOSE(CONTROL!$C$9, $C$13, 100%, $E$13) + CHOOSE(CONTROL!$C$28, 0, 0)</f>
        <v>43.196599999999997</v>
      </c>
      <c r="E476" s="4">
        <f>220.382745844705 * CHOOSE(CONTROL!$C$9, $C$13, 100%, $E$13) + CHOOSE(CONTROL!$C$28, 0, 0)</f>
        <v>220.382745844705</v>
      </c>
    </row>
    <row r="477" spans="1:5" ht="15">
      <c r="A477" s="13">
        <v>56400</v>
      </c>
      <c r="B477" s="4">
        <f>38.9372 * CHOOSE(CONTROL!$C$9, $C$13, 100%, $E$13) + CHOOSE(CONTROL!$C$28, 0.0197, 0)</f>
        <v>38.956899999999997</v>
      </c>
      <c r="C477" s="4">
        <f>38.6247 * CHOOSE(CONTROL!$C$9, $C$13, 100%, $E$13) + CHOOSE(CONTROL!$C$28, 0.0197, 0)</f>
        <v>38.644399999999997</v>
      </c>
      <c r="D477" s="4">
        <f>42.7256 * CHOOSE(CONTROL!$C$9, $C$13, 100%, $E$13) + CHOOSE(CONTROL!$C$28, 0, 0)</f>
        <v>42.7256</v>
      </c>
      <c r="E477" s="4">
        <f>225.659883430852 * CHOOSE(CONTROL!$C$9, $C$13, 100%, $E$13) + CHOOSE(CONTROL!$C$28, 0, 0)</f>
        <v>225.65988343085201</v>
      </c>
    </row>
    <row r="478" spans="1:5" ht="15">
      <c r="A478" s="13">
        <v>56430</v>
      </c>
      <c r="B478" s="4">
        <f>39.0545 * CHOOSE(CONTROL!$C$9, $C$13, 100%, $E$13) + CHOOSE(CONTROL!$C$28, 0.0197, 0)</f>
        <v>39.074199999999998</v>
      </c>
      <c r="C478" s="4">
        <f>38.742 * CHOOSE(CONTROL!$C$9, $C$13, 100%, $E$13) + CHOOSE(CONTROL!$C$28, 0.0197, 0)</f>
        <v>38.761699999999998</v>
      </c>
      <c r="D478" s="4">
        <f>43.1092 * CHOOSE(CONTROL!$C$9, $C$13, 100%, $E$13) + CHOOSE(CONTROL!$C$28, 0, 0)</f>
        <v>43.109200000000001</v>
      </c>
      <c r="E478" s="4">
        <f>226.373902046829 * CHOOSE(CONTROL!$C$9, $C$13, 100%, $E$13) + CHOOSE(CONTROL!$C$28, 0, 0)</f>
        <v>226.37390204682899</v>
      </c>
    </row>
    <row r="479" spans="1:5" ht="15">
      <c r="A479" s="13">
        <v>56461</v>
      </c>
      <c r="B479" s="4">
        <f>39.0427 * CHOOSE(CONTROL!$C$9, $C$13, 100%, $E$13) + CHOOSE(CONTROL!$C$28, 0.0197, 0)</f>
        <v>39.062400000000004</v>
      </c>
      <c r="C479" s="4">
        <f>38.7302 * CHOOSE(CONTROL!$C$9, $C$13, 100%, $E$13) + CHOOSE(CONTROL!$C$28, 0.0197, 0)</f>
        <v>38.749900000000004</v>
      </c>
      <c r="D479" s="4">
        <f>43.8012 * CHOOSE(CONTROL!$C$9, $C$13, 100%, $E$13) + CHOOSE(CONTROL!$C$28, 0, 0)</f>
        <v>43.801200000000001</v>
      </c>
      <c r="E479" s="4">
        <f>226.301900169588 * CHOOSE(CONTROL!$C$9, $C$13, 100%, $E$13) + CHOOSE(CONTROL!$C$28, 0, 0)</f>
        <v>226.30190016958801</v>
      </c>
    </row>
    <row r="480" spans="1:5" ht="15">
      <c r="A480" s="13">
        <v>56492</v>
      </c>
      <c r="B480" s="4">
        <f>39.9326 * CHOOSE(CONTROL!$C$9, $C$13, 100%, $E$13) + CHOOSE(CONTROL!$C$28, 0.0197, 0)</f>
        <v>39.952300000000001</v>
      </c>
      <c r="C480" s="4">
        <f>39.6201 * CHOOSE(CONTROL!$C$9, $C$13, 100%, $E$13) + CHOOSE(CONTROL!$C$28, 0.0197, 0)</f>
        <v>39.639800000000001</v>
      </c>
      <c r="D480" s="4">
        <f>43.3442 * CHOOSE(CONTROL!$C$9, $C$13, 100%, $E$13) + CHOOSE(CONTROL!$C$28, 0, 0)</f>
        <v>43.344200000000001</v>
      </c>
      <c r="E480" s="4">
        <f>231.720041432 * CHOOSE(CONTROL!$C$9, $C$13, 100%, $E$13) + CHOOSE(CONTROL!$C$28, 0, 0)</f>
        <v>231.72004143199999</v>
      </c>
    </row>
    <row r="481" spans="1:5" ht="15">
      <c r="A481" s="13">
        <v>56522</v>
      </c>
      <c r="B481" s="4">
        <f>38.4159 * CHOOSE(CONTROL!$C$9, $C$13, 100%, $E$13) + CHOOSE(CONTROL!$C$28, 0.0197, 0)</f>
        <v>38.435600000000001</v>
      </c>
      <c r="C481" s="4">
        <f>38.1034 * CHOOSE(CONTROL!$C$9, $C$13, 100%, $E$13) + CHOOSE(CONTROL!$C$28, 0.0197, 0)</f>
        <v>38.123100000000001</v>
      </c>
      <c r="D481" s="4">
        <f>43.1282 * CHOOSE(CONTROL!$C$9, $C$13, 100%, $E$13) + CHOOSE(CONTROL!$C$28, 0, 0)</f>
        <v>43.1282</v>
      </c>
      <c r="E481" s="4">
        <f>222.485800675796 * CHOOSE(CONTROL!$C$9, $C$13, 100%, $E$13) + CHOOSE(CONTROL!$C$28, 0, 0)</f>
        <v>222.48580067579601</v>
      </c>
    </row>
    <row r="482" spans="1:5" ht="15">
      <c r="A482" s="13">
        <v>56553</v>
      </c>
      <c r="B482" s="4">
        <f>37.2018 * CHOOSE(CONTROL!$C$9, $C$13, 100%, $E$13) + CHOOSE(CONTROL!$C$28, 0.0003, 0)</f>
        <v>37.202100000000002</v>
      </c>
      <c r="C482" s="4">
        <f>36.8893 * CHOOSE(CONTROL!$C$9, $C$13, 100%, $E$13) + CHOOSE(CONTROL!$C$28, 0.0003, 0)</f>
        <v>36.889600000000002</v>
      </c>
      <c r="D482" s="4">
        <f>42.55 * CHOOSE(CONTROL!$C$9, $C$13, 100%, $E$13) + CHOOSE(CONTROL!$C$28, 0, 0)</f>
        <v>42.55</v>
      </c>
      <c r="E482" s="4">
        <f>215.093607945683 * CHOOSE(CONTROL!$C$9, $C$13, 100%, $E$13) + CHOOSE(CONTROL!$C$28, 0, 0)</f>
        <v>215.093607945683</v>
      </c>
    </row>
    <row r="483" spans="1:5" ht="15">
      <c r="A483" s="13">
        <v>56583</v>
      </c>
      <c r="B483" s="4">
        <f>36.4199 * CHOOSE(CONTROL!$C$9, $C$13, 100%, $E$13) + CHOOSE(CONTROL!$C$28, 0.0003, 0)</f>
        <v>36.420200000000001</v>
      </c>
      <c r="C483" s="4">
        <f>36.1074 * CHOOSE(CONTROL!$C$9, $C$13, 100%, $E$13) + CHOOSE(CONTROL!$C$28, 0.0003, 0)</f>
        <v>36.107700000000001</v>
      </c>
      <c r="D483" s="4">
        <f>42.3512 * CHOOSE(CONTROL!$C$9, $C$13, 100%, $E$13) + CHOOSE(CONTROL!$C$28, 0, 0)</f>
        <v>42.351199999999999</v>
      </c>
      <c r="E483" s="4">
        <f>210.332483813098 * CHOOSE(CONTROL!$C$9, $C$13, 100%, $E$13) + CHOOSE(CONTROL!$C$28, 0, 0)</f>
        <v>210.33248381309801</v>
      </c>
    </row>
    <row r="484" spans="1:5" ht="15">
      <c r="A484" s="13">
        <v>56614</v>
      </c>
      <c r="B484" s="4">
        <f>35.8789 * CHOOSE(CONTROL!$C$9, $C$13, 100%, $E$13) + CHOOSE(CONTROL!$C$28, 0.0003, 0)</f>
        <v>35.879200000000004</v>
      </c>
      <c r="C484" s="4">
        <f>35.5664 * CHOOSE(CONTROL!$C$9, $C$13, 100%, $E$13) + CHOOSE(CONTROL!$C$28, 0.0003, 0)</f>
        <v>35.566700000000004</v>
      </c>
      <c r="D484" s="4">
        <f>40.8878 * CHOOSE(CONTROL!$C$9, $C$13, 100%, $E$13) + CHOOSE(CONTROL!$C$28, 0, 0)</f>
        <v>40.887799999999999</v>
      </c>
      <c r="E484" s="4">
        <f>207.038397929306 * CHOOSE(CONTROL!$C$9, $C$13, 100%, $E$13) + CHOOSE(CONTROL!$C$28, 0, 0)</f>
        <v>207.038397929306</v>
      </c>
    </row>
    <row r="485" spans="1:5" ht="15">
      <c r="A485" s="13">
        <v>56645</v>
      </c>
      <c r="B485" s="4">
        <f>34.9998 * CHOOSE(CONTROL!$C$9, $C$13, 100%, $E$13) + CHOOSE(CONTROL!$C$28, 0.0003, 0)</f>
        <v>35.000100000000003</v>
      </c>
      <c r="C485" s="4">
        <f>34.6873 * CHOOSE(CONTROL!$C$9, $C$13, 100%, $E$13) + CHOOSE(CONTROL!$C$28, 0.0003, 0)</f>
        <v>34.687600000000003</v>
      </c>
      <c r="D485" s="4">
        <f>39.5427 * CHOOSE(CONTROL!$C$9, $C$13, 100%, $E$13) + CHOOSE(CONTROL!$C$28, 0, 0)</f>
        <v>39.542700000000004</v>
      </c>
      <c r="E485" s="4">
        <f>201.101325637264 * CHOOSE(CONTROL!$C$9, $C$13, 100%, $E$13) + CHOOSE(CONTROL!$C$28, 0, 0)</f>
        <v>201.10132563726401</v>
      </c>
    </row>
    <row r="486" spans="1:5" ht="15">
      <c r="A486" s="13">
        <v>56673</v>
      </c>
      <c r="B486" s="4">
        <f>35.7863 * CHOOSE(CONTROL!$C$9, $C$13, 100%, $E$13) + CHOOSE(CONTROL!$C$28, 0.0003, 0)</f>
        <v>35.7866</v>
      </c>
      <c r="C486" s="4">
        <f>35.4738 * CHOOSE(CONTROL!$C$9, $C$13, 100%, $E$13) + CHOOSE(CONTROL!$C$28, 0.0003, 0)</f>
        <v>35.4741</v>
      </c>
      <c r="D486" s="4">
        <f>40.8972 * CHOOSE(CONTROL!$C$9, $C$13, 100%, $E$13) + CHOOSE(CONTROL!$C$28, 0, 0)</f>
        <v>40.897199999999998</v>
      </c>
      <c r="E486" s="4">
        <f>205.876263630005 * CHOOSE(CONTROL!$C$9, $C$13, 100%, $E$13) + CHOOSE(CONTROL!$C$28, 0, 0)</f>
        <v>205.87626363000501</v>
      </c>
    </row>
    <row r="487" spans="1:5" ht="15">
      <c r="A487" s="13">
        <v>56704</v>
      </c>
      <c r="B487" s="4">
        <f>37.8518 * CHOOSE(CONTROL!$C$9, $C$13, 100%, $E$13) + CHOOSE(CONTROL!$C$28, 0.0003, 0)</f>
        <v>37.8521</v>
      </c>
      <c r="C487" s="4">
        <f>37.5393 * CHOOSE(CONTROL!$C$9, $C$13, 100%, $E$13) + CHOOSE(CONTROL!$C$28, 0.0003, 0)</f>
        <v>37.5396</v>
      </c>
      <c r="D487" s="4">
        <f>43.0175 * CHOOSE(CONTROL!$C$9, $C$13, 100%, $E$13) + CHOOSE(CONTROL!$C$28, 0, 0)</f>
        <v>43.017499999999998</v>
      </c>
      <c r="E487" s="4">
        <f>218.41550455456 * CHOOSE(CONTROL!$C$9, $C$13, 100%, $E$13) + CHOOSE(CONTROL!$C$28, 0, 0)</f>
        <v>218.41550455455999</v>
      </c>
    </row>
    <row r="488" spans="1:5" ht="15">
      <c r="A488" s="13">
        <v>56734</v>
      </c>
      <c r="B488" s="4">
        <f>39.3193 * CHOOSE(CONTROL!$C$9, $C$13, 100%, $E$13) + CHOOSE(CONTROL!$C$28, 0.0003, 0)</f>
        <v>39.319600000000001</v>
      </c>
      <c r="C488" s="4">
        <f>39.0068 * CHOOSE(CONTROL!$C$9, $C$13, 100%, $E$13) + CHOOSE(CONTROL!$C$28, 0.0003, 0)</f>
        <v>39.007100000000001</v>
      </c>
      <c r="D488" s="4">
        <f>44.2389 * CHOOSE(CONTROL!$C$9, $C$13, 100%, $E$13) + CHOOSE(CONTROL!$C$28, 0, 0)</f>
        <v>44.238900000000001</v>
      </c>
      <c r="E488" s="4">
        <f>227.324802338813 * CHOOSE(CONTROL!$C$9, $C$13, 100%, $E$13) + CHOOSE(CONTROL!$C$28, 0, 0)</f>
        <v>227.32480233881299</v>
      </c>
    </row>
    <row r="489" spans="1:5" ht="15">
      <c r="A489" s="13">
        <v>56765</v>
      </c>
      <c r="B489" s="4">
        <f>40.2159 * CHOOSE(CONTROL!$C$9, $C$13, 100%, $E$13) + CHOOSE(CONTROL!$C$28, 0.0197, 0)</f>
        <v>40.235599999999998</v>
      </c>
      <c r="C489" s="4">
        <f>39.9034 * CHOOSE(CONTROL!$C$9, $C$13, 100%, $E$13) + CHOOSE(CONTROL!$C$28, 0.0197, 0)</f>
        <v>39.923099999999998</v>
      </c>
      <c r="D489" s="4">
        <f>43.7563 * CHOOSE(CONTROL!$C$9, $C$13, 100%, $E$13) + CHOOSE(CONTROL!$C$28, 0, 0)</f>
        <v>43.756300000000003</v>
      </c>
      <c r="E489" s="4">
        <f>232.768169758924 * CHOOSE(CONTROL!$C$9, $C$13, 100%, $E$13) + CHOOSE(CONTROL!$C$28, 0, 0)</f>
        <v>232.76816975892399</v>
      </c>
    </row>
    <row r="490" spans="1:5" ht="15">
      <c r="A490" s="13">
        <v>56795</v>
      </c>
      <c r="B490" s="4">
        <f>40.3372 * CHOOSE(CONTROL!$C$9, $C$13, 100%, $E$13) + CHOOSE(CONTROL!$C$28, 0.0197, 0)</f>
        <v>40.356900000000003</v>
      </c>
      <c r="C490" s="4">
        <f>40.0247 * CHOOSE(CONTROL!$C$9, $C$13, 100%, $E$13) + CHOOSE(CONTROL!$C$28, 0.0197, 0)</f>
        <v>40.044400000000003</v>
      </c>
      <c r="D490" s="4">
        <f>44.1494 * CHOOSE(CONTROL!$C$9, $C$13, 100%, $E$13) + CHOOSE(CONTROL!$C$28, 0, 0)</f>
        <v>44.1494</v>
      </c>
      <c r="E490" s="4">
        <f>233.504679961304 * CHOOSE(CONTROL!$C$9, $C$13, 100%, $E$13) + CHOOSE(CONTROL!$C$28, 0, 0)</f>
        <v>233.50467996130399</v>
      </c>
    </row>
    <row r="491" spans="1:5" ht="15">
      <c r="A491" s="13">
        <v>56826</v>
      </c>
      <c r="B491" s="4">
        <f>40.325 * CHOOSE(CONTROL!$C$9, $C$13, 100%, $E$13) + CHOOSE(CONTROL!$C$28, 0.0197, 0)</f>
        <v>40.344700000000003</v>
      </c>
      <c r="C491" s="4">
        <f>40.0125 * CHOOSE(CONTROL!$C$9, $C$13, 100%, $E$13) + CHOOSE(CONTROL!$C$28, 0.0197, 0)</f>
        <v>40.032200000000003</v>
      </c>
      <c r="D491" s="4">
        <f>44.8586 * CHOOSE(CONTROL!$C$9, $C$13, 100%, $E$13) + CHOOSE(CONTROL!$C$28, 0, 0)</f>
        <v>44.858600000000003</v>
      </c>
      <c r="E491" s="4">
        <f>233.43041002493 * CHOOSE(CONTROL!$C$9, $C$13, 100%, $E$13) + CHOOSE(CONTROL!$C$28, 0, 0)</f>
        <v>233.43041002493001</v>
      </c>
    </row>
    <row r="492" spans="1:5" ht="15">
      <c r="A492" s="13">
        <v>56857</v>
      </c>
      <c r="B492" s="4">
        <f>41.2455 * CHOOSE(CONTROL!$C$9, $C$13, 100%, $E$13) + CHOOSE(CONTROL!$C$28, 0.0197, 0)</f>
        <v>41.2652</v>
      </c>
      <c r="C492" s="4">
        <f>40.933 * CHOOSE(CONTROL!$C$9, $C$13, 100%, $E$13) + CHOOSE(CONTROL!$C$28, 0.0197, 0)</f>
        <v>40.9527</v>
      </c>
      <c r="D492" s="4">
        <f>44.3902 * CHOOSE(CONTROL!$C$9, $C$13, 100%, $E$13) + CHOOSE(CONTROL!$C$28, 0, 0)</f>
        <v>44.3902</v>
      </c>
      <c r="E492" s="4">
        <f>239.019222737108 * CHOOSE(CONTROL!$C$9, $C$13, 100%, $E$13) + CHOOSE(CONTROL!$C$28, 0, 0)</f>
        <v>239.01922273710801</v>
      </c>
    </row>
    <row r="493" spans="1:5" ht="15">
      <c r="A493" s="13">
        <v>56887</v>
      </c>
      <c r="B493" s="4">
        <f>39.6766 * CHOOSE(CONTROL!$C$9, $C$13, 100%, $E$13) + CHOOSE(CONTROL!$C$28, 0.0197, 0)</f>
        <v>39.696300000000001</v>
      </c>
      <c r="C493" s="4">
        <f>39.3641 * CHOOSE(CONTROL!$C$9, $C$13, 100%, $E$13) + CHOOSE(CONTROL!$C$28, 0.0197, 0)</f>
        <v>39.383800000000001</v>
      </c>
      <c r="D493" s="4">
        <f>44.1689 * CHOOSE(CONTROL!$C$9, $C$13, 100%, $E$13) + CHOOSE(CONTROL!$C$28, 0, 0)</f>
        <v>44.168900000000001</v>
      </c>
      <c r="E493" s="4">
        <f>229.494103397084 * CHOOSE(CONTROL!$C$9, $C$13, 100%, $E$13) + CHOOSE(CONTROL!$C$28, 0, 0)</f>
        <v>229.49410339708399</v>
      </c>
    </row>
    <row r="494" spans="1:5" ht="15">
      <c r="A494" s="13">
        <v>56918</v>
      </c>
      <c r="B494" s="4">
        <f>38.4206 * CHOOSE(CONTROL!$C$9, $C$13, 100%, $E$13) + CHOOSE(CONTROL!$C$28, 0.0003, 0)</f>
        <v>38.420900000000003</v>
      </c>
      <c r="C494" s="4">
        <f>38.1081 * CHOOSE(CONTROL!$C$9, $C$13, 100%, $E$13) + CHOOSE(CONTROL!$C$28, 0.0003, 0)</f>
        <v>38.108400000000003</v>
      </c>
      <c r="D494" s="4">
        <f>43.5764 * CHOOSE(CONTROL!$C$9, $C$13, 100%, $E$13) + CHOOSE(CONTROL!$C$28, 0, 0)</f>
        <v>43.5764</v>
      </c>
      <c r="E494" s="4">
        <f>221.869056595972 * CHOOSE(CONTROL!$C$9, $C$13, 100%, $E$13) + CHOOSE(CONTROL!$C$28, 0, 0)</f>
        <v>221.86905659597201</v>
      </c>
    </row>
    <row r="495" spans="1:5" ht="15">
      <c r="A495" s="13">
        <v>56948</v>
      </c>
      <c r="B495" s="4">
        <f>37.6117 * CHOOSE(CONTROL!$C$9, $C$13, 100%, $E$13) + CHOOSE(CONTROL!$C$28, 0.0003, 0)</f>
        <v>37.612000000000002</v>
      </c>
      <c r="C495" s="4">
        <f>37.2992 * CHOOSE(CONTROL!$C$9, $C$13, 100%, $E$13) + CHOOSE(CONTROL!$C$28, 0.0003, 0)</f>
        <v>37.299500000000002</v>
      </c>
      <c r="D495" s="4">
        <f>43.3727 * CHOOSE(CONTROL!$C$9, $C$13, 100%, $E$13) + CHOOSE(CONTROL!$C$28, 0, 0)</f>
        <v>43.372700000000002</v>
      </c>
      <c r="E495" s="4">
        <f>216.957957053211 * CHOOSE(CONTROL!$C$9, $C$13, 100%, $E$13) + CHOOSE(CONTROL!$C$28, 0, 0)</f>
        <v>216.957957053211</v>
      </c>
    </row>
    <row r="496" spans="1:5" ht="15">
      <c r="A496" s="13">
        <v>56979</v>
      </c>
      <c r="B496" s="4">
        <f>37.052 * CHOOSE(CONTROL!$C$9, $C$13, 100%, $E$13) + CHOOSE(CONTROL!$C$28, 0.0003, 0)</f>
        <v>37.052300000000002</v>
      </c>
      <c r="C496" s="4">
        <f>36.7395 * CHOOSE(CONTROL!$C$9, $C$13, 100%, $E$13) + CHOOSE(CONTROL!$C$28, 0.0003, 0)</f>
        <v>36.739800000000002</v>
      </c>
      <c r="D496" s="4">
        <f>41.8729 * CHOOSE(CONTROL!$C$9, $C$13, 100%, $E$13) + CHOOSE(CONTROL!$C$28, 0, 0)</f>
        <v>41.872900000000001</v>
      </c>
      <c r="E496" s="4">
        <f>213.560107464079 * CHOOSE(CONTROL!$C$9, $C$13, 100%, $E$13) + CHOOSE(CONTROL!$C$28, 0, 0)</f>
        <v>213.56010746407901</v>
      </c>
    </row>
    <row r="497" spans="1:5" ht="15">
      <c r="A497" s="13">
        <v>57010</v>
      </c>
      <c r="B497" s="4">
        <f>36.1426 * CHOOSE(CONTROL!$C$9, $C$13, 100%, $E$13) + CHOOSE(CONTROL!$C$28, 0.0003, 0)</f>
        <v>36.142900000000004</v>
      </c>
      <c r="C497" s="4">
        <f>35.8301 * CHOOSE(CONTROL!$C$9, $C$13, 100%, $E$13) + CHOOSE(CONTROL!$C$28, 0.0003, 0)</f>
        <v>35.830400000000004</v>
      </c>
      <c r="D497" s="4">
        <f>40.4945 * CHOOSE(CONTROL!$C$9, $C$13, 100%, $E$13) + CHOOSE(CONTROL!$C$28, 0, 0)</f>
        <v>40.494500000000002</v>
      </c>
      <c r="E497" s="4">
        <f>207.436017394837 * CHOOSE(CONTROL!$C$9, $C$13, 100%, $E$13) + CHOOSE(CONTROL!$C$28, 0, 0)</f>
        <v>207.43601739483699</v>
      </c>
    </row>
    <row r="498" spans="1:5" ht="15">
      <c r="A498" s="13">
        <v>57038</v>
      </c>
      <c r="B498" s="4">
        <f>36.9563 * CHOOSE(CONTROL!$C$9, $C$13, 100%, $E$13) + CHOOSE(CONTROL!$C$28, 0.0003, 0)</f>
        <v>36.956600000000002</v>
      </c>
      <c r="C498" s="4">
        <f>36.6438 * CHOOSE(CONTROL!$C$9, $C$13, 100%, $E$13) + CHOOSE(CONTROL!$C$28, 0.0003, 0)</f>
        <v>36.644100000000002</v>
      </c>
      <c r="D498" s="4">
        <f>41.8825 * CHOOSE(CONTROL!$C$9, $C$13, 100%, $E$13) + CHOOSE(CONTROL!$C$28, 0, 0)</f>
        <v>41.8825</v>
      </c>
      <c r="E498" s="4">
        <f>212.36136593435 * CHOOSE(CONTROL!$C$9, $C$13, 100%, $E$13) + CHOOSE(CONTROL!$C$28, 0, 0)</f>
        <v>212.36136593435</v>
      </c>
    </row>
    <row r="499" spans="1:5" ht="15">
      <c r="A499" s="13">
        <v>57070</v>
      </c>
      <c r="B499" s="4">
        <f>39.093 * CHOOSE(CONTROL!$C$9, $C$13, 100%, $E$13) + CHOOSE(CONTROL!$C$28, 0.0003, 0)</f>
        <v>39.093300000000006</v>
      </c>
      <c r="C499" s="4">
        <f>38.7805 * CHOOSE(CONTROL!$C$9, $C$13, 100%, $E$13) + CHOOSE(CONTROL!$C$28, 0.0003, 0)</f>
        <v>38.780800000000006</v>
      </c>
      <c r="D499" s="4">
        <f>44.0555 * CHOOSE(CONTROL!$C$9, $C$13, 100%, $E$13) + CHOOSE(CONTROL!$C$28, 0, 0)</f>
        <v>44.055500000000002</v>
      </c>
      <c r="E499" s="4">
        <f>225.295592948028 * CHOOSE(CONTROL!$C$9, $C$13, 100%, $E$13) + CHOOSE(CONTROL!$C$28, 0, 0)</f>
        <v>225.295592948028</v>
      </c>
    </row>
    <row r="500" spans="1:5" ht="15">
      <c r="A500" s="13">
        <v>57100</v>
      </c>
      <c r="B500" s="4">
        <f>40.6111 * CHOOSE(CONTROL!$C$9, $C$13, 100%, $E$13) + CHOOSE(CONTROL!$C$28, 0.0003, 0)</f>
        <v>40.611400000000003</v>
      </c>
      <c r="C500" s="4">
        <f>40.2986 * CHOOSE(CONTROL!$C$9, $C$13, 100%, $E$13) + CHOOSE(CONTROL!$C$28, 0.0003, 0)</f>
        <v>40.298900000000003</v>
      </c>
      <c r="D500" s="4">
        <f>45.3071 * CHOOSE(CONTROL!$C$9, $C$13, 100%, $E$13) + CHOOSE(CONTROL!$C$28, 0, 0)</f>
        <v>45.307099999999998</v>
      </c>
      <c r="E500" s="4">
        <f>234.485533612485 * CHOOSE(CONTROL!$C$9, $C$13, 100%, $E$13) + CHOOSE(CONTROL!$C$28, 0, 0)</f>
        <v>234.485533612485</v>
      </c>
    </row>
    <row r="501" spans="1:5" ht="15">
      <c r="A501" s="13">
        <v>57131</v>
      </c>
      <c r="B501" s="4">
        <f>41.5387 * CHOOSE(CONTROL!$C$9, $C$13, 100%, $E$13) + CHOOSE(CONTROL!$C$28, 0.0197, 0)</f>
        <v>41.558399999999999</v>
      </c>
      <c r="C501" s="4">
        <f>41.2262 * CHOOSE(CONTROL!$C$9, $C$13, 100%, $E$13) + CHOOSE(CONTROL!$C$28, 0.0197, 0)</f>
        <v>41.245899999999999</v>
      </c>
      <c r="D501" s="4">
        <f>44.8125 * CHOOSE(CONTROL!$C$9, $C$13, 100%, $E$13) + CHOOSE(CONTROL!$C$28, 0, 0)</f>
        <v>44.8125</v>
      </c>
      <c r="E501" s="4">
        <f>240.10036710633 * CHOOSE(CONTROL!$C$9, $C$13, 100%, $E$13) + CHOOSE(CONTROL!$C$28, 0, 0)</f>
        <v>240.10036710633</v>
      </c>
    </row>
    <row r="502" spans="1:5" ht="15">
      <c r="A502" s="13">
        <v>57161</v>
      </c>
      <c r="B502" s="4">
        <f>41.6642 * CHOOSE(CONTROL!$C$9, $C$13, 100%, $E$13) + CHOOSE(CONTROL!$C$28, 0.0197, 0)</f>
        <v>41.683900000000001</v>
      </c>
      <c r="C502" s="4">
        <f>41.3517 * CHOOSE(CONTROL!$C$9, $C$13, 100%, $E$13) + CHOOSE(CONTROL!$C$28, 0.0197, 0)</f>
        <v>41.371400000000001</v>
      </c>
      <c r="D502" s="4">
        <f>45.2154 * CHOOSE(CONTROL!$C$9, $C$13, 100%, $E$13) + CHOOSE(CONTROL!$C$28, 0, 0)</f>
        <v>45.215400000000002</v>
      </c>
      <c r="E502" s="4">
        <f>240.860077380085 * CHOOSE(CONTROL!$C$9, $C$13, 100%, $E$13) + CHOOSE(CONTROL!$C$28, 0, 0)</f>
        <v>240.86007738008499</v>
      </c>
    </row>
    <row r="503" spans="1:5" ht="15">
      <c r="A503" s="13">
        <v>57192</v>
      </c>
      <c r="B503" s="4">
        <f>41.6515 * CHOOSE(CONTROL!$C$9, $C$13, 100%, $E$13) + CHOOSE(CONTROL!$C$28, 0.0197, 0)</f>
        <v>41.671199999999999</v>
      </c>
      <c r="C503" s="4">
        <f>41.339 * CHOOSE(CONTROL!$C$9, $C$13, 100%, $E$13) + CHOOSE(CONTROL!$C$28, 0.0197, 0)</f>
        <v>41.358699999999999</v>
      </c>
      <c r="D503" s="4">
        <f>45.9422 * CHOOSE(CONTROL!$C$9, $C$13, 100%, $E$13) + CHOOSE(CONTROL!$C$28, 0, 0)</f>
        <v>45.9422</v>
      </c>
      <c r="E503" s="4">
        <f>240.783467940715 * CHOOSE(CONTROL!$C$9, $C$13, 100%, $E$13) + CHOOSE(CONTROL!$C$28, 0, 0)</f>
        <v>240.78346794071501</v>
      </c>
    </row>
    <row r="504" spans="1:5" ht="15">
      <c r="A504" s="13">
        <v>57223</v>
      </c>
      <c r="B504" s="4">
        <f>42.6038 * CHOOSE(CONTROL!$C$9, $C$13, 100%, $E$13) + CHOOSE(CONTROL!$C$28, 0.0197, 0)</f>
        <v>42.6235</v>
      </c>
      <c r="C504" s="4">
        <f>42.2913 * CHOOSE(CONTROL!$C$9, $C$13, 100%, $E$13) + CHOOSE(CONTROL!$C$28, 0.0197, 0)</f>
        <v>42.311</v>
      </c>
      <c r="D504" s="4">
        <f>45.4622 * CHOOSE(CONTROL!$C$9, $C$13, 100%, $E$13) + CHOOSE(CONTROL!$C$28, 0, 0)</f>
        <v>45.462200000000003</v>
      </c>
      <c r="E504" s="4">
        <f>246.548328253327 * CHOOSE(CONTROL!$C$9, $C$13, 100%, $E$13) + CHOOSE(CONTROL!$C$28, 0, 0)</f>
        <v>246.54832825332701</v>
      </c>
    </row>
    <row r="505" spans="1:5" ht="15">
      <c r="A505" s="13">
        <v>57253</v>
      </c>
      <c r="B505" s="4">
        <f>40.9808 * CHOOSE(CONTROL!$C$9, $C$13, 100%, $E$13) + CHOOSE(CONTROL!$C$28, 0.0197, 0)</f>
        <v>41.000500000000002</v>
      </c>
      <c r="C505" s="4">
        <f>40.6683 * CHOOSE(CONTROL!$C$9, $C$13, 100%, $E$13) + CHOOSE(CONTROL!$C$28, 0.0197, 0)</f>
        <v>40.688000000000002</v>
      </c>
      <c r="D505" s="4">
        <f>45.2354 * CHOOSE(CONTROL!$C$9, $C$13, 100%, $E$13) + CHOOSE(CONTROL!$C$28, 0, 0)</f>
        <v>45.235399999999998</v>
      </c>
      <c r="E505" s="4">
        <f>236.723167654092 * CHOOSE(CONTROL!$C$9, $C$13, 100%, $E$13) + CHOOSE(CONTROL!$C$28, 0, 0)</f>
        <v>236.72316765409201</v>
      </c>
    </row>
    <row r="506" spans="1:5" ht="15">
      <c r="A506" s="13">
        <v>57284</v>
      </c>
      <c r="B506" s="4">
        <f>39.6814 * CHOOSE(CONTROL!$C$9, $C$13, 100%, $E$13) + CHOOSE(CONTROL!$C$28, 0.0003, 0)</f>
        <v>39.681699999999999</v>
      </c>
      <c r="C506" s="4">
        <f>39.3689 * CHOOSE(CONTROL!$C$9, $C$13, 100%, $E$13) + CHOOSE(CONTROL!$C$28, 0.0003, 0)</f>
        <v>39.369199999999999</v>
      </c>
      <c r="D506" s="4">
        <f>44.6282 * CHOOSE(CONTROL!$C$9, $C$13, 100%, $E$13) + CHOOSE(CONTROL!$C$28, 0, 0)</f>
        <v>44.6282</v>
      </c>
      <c r="E506" s="4">
        <f>228.857931878745 * CHOOSE(CONTROL!$C$9, $C$13, 100%, $E$13) + CHOOSE(CONTROL!$C$28, 0, 0)</f>
        <v>228.85793187874501</v>
      </c>
    </row>
    <row r="507" spans="1:5" ht="15">
      <c r="A507" s="13">
        <v>57314</v>
      </c>
      <c r="B507" s="4">
        <f>38.8446 * CHOOSE(CONTROL!$C$9, $C$13, 100%, $E$13) + CHOOSE(CONTROL!$C$28, 0.0003, 0)</f>
        <v>38.844900000000003</v>
      </c>
      <c r="C507" s="4">
        <f>38.5321 * CHOOSE(CONTROL!$C$9, $C$13, 100%, $E$13) + CHOOSE(CONTROL!$C$28, 0.0003, 0)</f>
        <v>38.532400000000003</v>
      </c>
      <c r="D507" s="4">
        <f>44.4194 * CHOOSE(CONTROL!$C$9, $C$13, 100%, $E$13) + CHOOSE(CONTROL!$C$28, 0, 0)</f>
        <v>44.419400000000003</v>
      </c>
      <c r="E507" s="4">
        <f>223.792132700387 * CHOOSE(CONTROL!$C$9, $C$13, 100%, $E$13) + CHOOSE(CONTROL!$C$28, 0, 0)</f>
        <v>223.79213270038699</v>
      </c>
    </row>
    <row r="508" spans="1:5" ht="15">
      <c r="A508" s="13">
        <v>57345</v>
      </c>
      <c r="B508" s="4">
        <f>38.2656 * CHOOSE(CONTROL!$C$9, $C$13, 100%, $E$13) + CHOOSE(CONTROL!$C$28, 0.0003, 0)</f>
        <v>38.265900000000002</v>
      </c>
      <c r="C508" s="4">
        <f>37.9531 * CHOOSE(CONTROL!$C$9, $C$13, 100%, $E$13) + CHOOSE(CONTROL!$C$28, 0.0003, 0)</f>
        <v>37.953400000000002</v>
      </c>
      <c r="D508" s="4">
        <f>42.8824 * CHOOSE(CONTROL!$C$9, $C$13, 100%, $E$13) + CHOOSE(CONTROL!$C$28, 0, 0)</f>
        <v>42.882399999999997</v>
      </c>
      <c r="E508" s="4">
        <f>220.287250849198 * CHOOSE(CONTROL!$C$9, $C$13, 100%, $E$13) + CHOOSE(CONTROL!$C$28, 0, 0)</f>
        <v>220.28725084919799</v>
      </c>
    </row>
    <row r="509" spans="1:5" ht="15">
      <c r="A509" s="13">
        <v>57376</v>
      </c>
      <c r="B509" s="4">
        <f>37.3249 * CHOOSE(CONTROL!$C$9, $C$13, 100%, $E$13) + CHOOSE(CONTROL!$C$28, 0.0003, 0)</f>
        <v>37.325200000000002</v>
      </c>
      <c r="C509" s="4">
        <f>37.0124 * CHOOSE(CONTROL!$C$9, $C$13, 100%, $E$13) + CHOOSE(CONTROL!$C$28, 0.0003, 0)</f>
        <v>37.012700000000002</v>
      </c>
      <c r="D509" s="4">
        <f>41.4698 * CHOOSE(CONTROL!$C$9, $C$13, 100%, $E$13) + CHOOSE(CONTROL!$C$28, 0, 0)</f>
        <v>41.469799999999999</v>
      </c>
      <c r="E509" s="4">
        <f>213.970251942775 * CHOOSE(CONTROL!$C$9, $C$13, 100%, $E$13) + CHOOSE(CONTROL!$C$28, 0, 0)</f>
        <v>213.97025194277501</v>
      </c>
    </row>
    <row r="510" spans="1:5" ht="15">
      <c r="A510" s="13">
        <v>57404</v>
      </c>
      <c r="B510" s="4">
        <f>38.1666 * CHOOSE(CONTROL!$C$9, $C$13, 100%, $E$13) + CHOOSE(CONTROL!$C$28, 0.0003, 0)</f>
        <v>38.166900000000005</v>
      </c>
      <c r="C510" s="4">
        <f>37.8541 * CHOOSE(CONTROL!$C$9, $C$13, 100%, $E$13) + CHOOSE(CONTROL!$C$28, 0.0003, 0)</f>
        <v>37.854400000000005</v>
      </c>
      <c r="D510" s="4">
        <f>42.8923 * CHOOSE(CONTROL!$C$9, $C$13, 100%, $E$13) + CHOOSE(CONTROL!$C$28, 0, 0)</f>
        <v>42.892299999999999</v>
      </c>
      <c r="E510" s="4">
        <f>219.050748961282 * CHOOSE(CONTROL!$C$9, $C$13, 100%, $E$13) + CHOOSE(CONTROL!$C$28, 0, 0)</f>
        <v>219.05074896128201</v>
      </c>
    </row>
    <row r="511" spans="1:5" ht="15">
      <c r="A511" s="13">
        <v>57435</v>
      </c>
      <c r="B511" s="4">
        <f>40.377 * CHOOSE(CONTROL!$C$9, $C$13, 100%, $E$13) + CHOOSE(CONTROL!$C$28, 0.0003, 0)</f>
        <v>40.377300000000005</v>
      </c>
      <c r="C511" s="4">
        <f>40.0645 * CHOOSE(CONTROL!$C$9, $C$13, 100%, $E$13) + CHOOSE(CONTROL!$C$28, 0.0003, 0)</f>
        <v>40.064800000000005</v>
      </c>
      <c r="D511" s="4">
        <f>45.1191 * CHOOSE(CONTROL!$C$9, $C$13, 100%, $E$13) + CHOOSE(CONTROL!$C$28, 0, 0)</f>
        <v>45.119100000000003</v>
      </c>
      <c r="E511" s="4">
        <f>232.392404125891 * CHOOSE(CONTROL!$C$9, $C$13, 100%, $E$13) + CHOOSE(CONTROL!$C$28, 0, 0)</f>
        <v>232.39240412589101</v>
      </c>
    </row>
    <row r="512" spans="1:5" ht="15">
      <c r="A512" s="13">
        <v>57465</v>
      </c>
      <c r="B512" s="4">
        <f>41.9475 * CHOOSE(CONTROL!$C$9, $C$13, 100%, $E$13) + CHOOSE(CONTROL!$C$28, 0.0003, 0)</f>
        <v>41.947800000000001</v>
      </c>
      <c r="C512" s="4">
        <f>41.635 * CHOOSE(CONTROL!$C$9, $C$13, 100%, $E$13) + CHOOSE(CONTROL!$C$28, 0.0003, 0)</f>
        <v>41.635300000000001</v>
      </c>
      <c r="D512" s="4">
        <f>46.4019 * CHOOSE(CONTROL!$C$9, $C$13, 100%, $E$13) + CHOOSE(CONTROL!$C$28, 0, 0)</f>
        <v>46.401899999999998</v>
      </c>
      <c r="E512" s="4">
        <f>241.871827921279 * CHOOSE(CONTROL!$C$9, $C$13, 100%, $E$13) + CHOOSE(CONTROL!$C$28, 0, 0)</f>
        <v>241.87182792127899</v>
      </c>
    </row>
    <row r="513" spans="1:5" ht="15">
      <c r="A513" s="13">
        <v>57496</v>
      </c>
      <c r="B513" s="4">
        <f>42.907 * CHOOSE(CONTROL!$C$9, $C$13, 100%, $E$13) + CHOOSE(CONTROL!$C$28, 0.0197, 0)</f>
        <v>42.926699999999997</v>
      </c>
      <c r="C513" s="4">
        <f>42.5945 * CHOOSE(CONTROL!$C$9, $C$13, 100%, $E$13) + CHOOSE(CONTROL!$C$28, 0.0197, 0)</f>
        <v>42.614199999999997</v>
      </c>
      <c r="D513" s="4">
        <f>45.895 * CHOOSE(CONTROL!$C$9, $C$13, 100%, $E$13) + CHOOSE(CONTROL!$C$28, 0, 0)</f>
        <v>45.895000000000003</v>
      </c>
      <c r="E513" s="4">
        <f>247.66352867018 * CHOOSE(CONTROL!$C$9, $C$13, 100%, $E$13) + CHOOSE(CONTROL!$C$28, 0, 0)</f>
        <v>247.66352867018</v>
      </c>
    </row>
    <row r="514" spans="1:5" ht="15">
      <c r="A514" s="13">
        <v>57526</v>
      </c>
      <c r="B514" s="4">
        <f>43.0369 * CHOOSE(CONTROL!$C$9, $C$13, 100%, $E$13) + CHOOSE(CONTROL!$C$28, 0.0197, 0)</f>
        <v>43.056600000000003</v>
      </c>
      <c r="C514" s="4">
        <f>42.7244 * CHOOSE(CONTROL!$C$9, $C$13, 100%, $E$13) + CHOOSE(CONTROL!$C$28, 0.0197, 0)</f>
        <v>42.744100000000003</v>
      </c>
      <c r="D514" s="4">
        <f>46.3078 * CHOOSE(CONTROL!$C$9, $C$13, 100%, $E$13) + CHOOSE(CONTROL!$C$28, 0, 0)</f>
        <v>46.3078</v>
      </c>
      <c r="E514" s="4">
        <f>248.447169817558 * CHOOSE(CONTROL!$C$9, $C$13, 100%, $E$13) + CHOOSE(CONTROL!$C$28, 0, 0)</f>
        <v>248.44716981755801</v>
      </c>
    </row>
    <row r="515" spans="1:5" ht="15">
      <c r="A515" s="13">
        <v>57557</v>
      </c>
      <c r="B515" s="4">
        <f>43.0238 * CHOOSE(CONTROL!$C$9, $C$13, 100%, $E$13) + CHOOSE(CONTROL!$C$28, 0.0197, 0)</f>
        <v>43.043500000000002</v>
      </c>
      <c r="C515" s="4">
        <f>42.7113 * CHOOSE(CONTROL!$C$9, $C$13, 100%, $E$13) + CHOOSE(CONTROL!$C$28, 0.0197, 0)</f>
        <v>42.731000000000002</v>
      </c>
      <c r="D515" s="4">
        <f>47.0526 * CHOOSE(CONTROL!$C$9, $C$13, 100%, $E$13) + CHOOSE(CONTROL!$C$28, 0, 0)</f>
        <v>47.052599999999998</v>
      </c>
      <c r="E515" s="4">
        <f>248.368147180848 * CHOOSE(CONTROL!$C$9, $C$13, 100%, $E$13) + CHOOSE(CONTROL!$C$28, 0, 0)</f>
        <v>248.36814718084801</v>
      </c>
    </row>
    <row r="516" spans="1:5" ht="15">
      <c r="A516" s="13">
        <v>57588</v>
      </c>
      <c r="B516" s="4">
        <f>44.009 * CHOOSE(CONTROL!$C$9, $C$13, 100%, $E$13) + CHOOSE(CONTROL!$C$28, 0.0197, 0)</f>
        <v>44.028700000000001</v>
      </c>
      <c r="C516" s="4">
        <f>43.6965 * CHOOSE(CONTROL!$C$9, $C$13, 100%, $E$13) + CHOOSE(CONTROL!$C$28, 0.0197, 0)</f>
        <v>43.716200000000001</v>
      </c>
      <c r="D516" s="4">
        <f>46.5607 * CHOOSE(CONTROL!$C$9, $C$13, 100%, $E$13) + CHOOSE(CONTROL!$C$28, 0, 0)</f>
        <v>46.560699999999997</v>
      </c>
      <c r="E516" s="4">
        <f>254.314600593307 * CHOOSE(CONTROL!$C$9, $C$13, 100%, $E$13) + CHOOSE(CONTROL!$C$28, 0, 0)</f>
        <v>254.31460059330701</v>
      </c>
    </row>
    <row r="517" spans="1:5" ht="15">
      <c r="A517" s="13">
        <v>57618</v>
      </c>
      <c r="B517" s="4">
        <f>42.3299 * CHOOSE(CONTROL!$C$9, $C$13, 100%, $E$13) + CHOOSE(CONTROL!$C$28, 0.0197, 0)</f>
        <v>42.349600000000002</v>
      </c>
      <c r="C517" s="4">
        <f>42.0174 * CHOOSE(CONTROL!$C$9, $C$13, 100%, $E$13) + CHOOSE(CONTROL!$C$28, 0.0197, 0)</f>
        <v>42.037100000000002</v>
      </c>
      <c r="D517" s="4">
        <f>46.3283 * CHOOSE(CONTROL!$C$9, $C$13, 100%, $E$13) + CHOOSE(CONTROL!$C$28, 0, 0)</f>
        <v>46.328299999999999</v>
      </c>
      <c r="E517" s="4">
        <f>244.179947435196 * CHOOSE(CONTROL!$C$9, $C$13, 100%, $E$13) + CHOOSE(CONTROL!$C$28, 0, 0)</f>
        <v>244.179947435196</v>
      </c>
    </row>
    <row r="518" spans="1:5" ht="15">
      <c r="A518" s="13">
        <v>57649</v>
      </c>
      <c r="B518" s="4">
        <f>40.9858 * CHOOSE(CONTROL!$C$9, $C$13, 100%, $E$13) + CHOOSE(CONTROL!$C$28, 0.0003, 0)</f>
        <v>40.9861</v>
      </c>
      <c r="C518" s="4">
        <f>40.6733 * CHOOSE(CONTROL!$C$9, $C$13, 100%, $E$13) + CHOOSE(CONTROL!$C$28, 0.0003, 0)</f>
        <v>40.6736</v>
      </c>
      <c r="D518" s="4">
        <f>45.706 * CHOOSE(CONTROL!$C$9, $C$13, 100%, $E$13) + CHOOSE(CONTROL!$C$28, 0, 0)</f>
        <v>45.706000000000003</v>
      </c>
      <c r="E518" s="4">
        <f>236.066956732926 * CHOOSE(CONTROL!$C$9, $C$13, 100%, $E$13) + CHOOSE(CONTROL!$C$28, 0, 0)</f>
        <v>236.066956732926</v>
      </c>
    </row>
    <row r="519" spans="1:5" ht="15">
      <c r="A519" s="13">
        <v>57679</v>
      </c>
      <c r="B519" s="4">
        <f>40.12 * CHOOSE(CONTROL!$C$9, $C$13, 100%, $E$13) + CHOOSE(CONTROL!$C$28, 0.0003, 0)</f>
        <v>40.1203</v>
      </c>
      <c r="C519" s="4">
        <f>39.8075 * CHOOSE(CONTROL!$C$9, $C$13, 100%, $E$13) + CHOOSE(CONTROL!$C$28, 0.0003, 0)</f>
        <v>39.8078</v>
      </c>
      <c r="D519" s="4">
        <f>45.4921 * CHOOSE(CONTROL!$C$9, $C$13, 100%, $E$13) + CHOOSE(CONTROL!$C$28, 0, 0)</f>
        <v>45.492100000000001</v>
      </c>
      <c r="E519" s="4">
        <f>230.841584880449 * CHOOSE(CONTROL!$C$9, $C$13, 100%, $E$13) + CHOOSE(CONTROL!$C$28, 0, 0)</f>
        <v>230.84158488044901</v>
      </c>
    </row>
    <row r="520" spans="1:5" ht="15">
      <c r="A520" s="13">
        <v>57710</v>
      </c>
      <c r="B520" s="4">
        <f>39.5211 * CHOOSE(CONTROL!$C$9, $C$13, 100%, $E$13) + CHOOSE(CONTROL!$C$28, 0.0003, 0)</f>
        <v>39.5214</v>
      </c>
      <c r="C520" s="4">
        <f>39.2086 * CHOOSE(CONTROL!$C$9, $C$13, 100%, $E$13) + CHOOSE(CONTROL!$C$28, 0.0003, 0)</f>
        <v>39.2089</v>
      </c>
      <c r="D520" s="4">
        <f>43.917 * CHOOSE(CONTROL!$C$9, $C$13, 100%, $E$13) + CHOOSE(CONTROL!$C$28, 0, 0)</f>
        <v>43.917000000000002</v>
      </c>
      <c r="E520" s="4">
        <f>227.226299250948 * CHOOSE(CONTROL!$C$9, $C$13, 100%, $E$13) + CHOOSE(CONTROL!$C$28, 0, 0)</f>
        <v>227.22629925094799</v>
      </c>
    </row>
    <row r="521" spans="1:5" ht="15">
      <c r="A521" s="13">
        <v>57741</v>
      </c>
      <c r="B521" s="4">
        <f>38.5479 * CHOOSE(CONTROL!$C$9, $C$13, 100%, $E$13) + CHOOSE(CONTROL!$C$28, 0.0003, 0)</f>
        <v>38.548200000000001</v>
      </c>
      <c r="C521" s="4">
        <f>38.2354 * CHOOSE(CONTROL!$C$9, $C$13, 100%, $E$13) + CHOOSE(CONTROL!$C$28, 0.0003, 0)</f>
        <v>38.235700000000001</v>
      </c>
      <c r="D521" s="4">
        <f>42.4694 * CHOOSE(CONTROL!$C$9, $C$13, 100%, $E$13) + CHOOSE(CONTROL!$C$28, 0, 0)</f>
        <v>42.4694</v>
      </c>
      <c r="E521" s="4">
        <f>220.710314878972 * CHOOSE(CONTROL!$C$9, $C$13, 100%, $E$13) + CHOOSE(CONTROL!$C$28, 0, 0)</f>
        <v>220.71031487897201</v>
      </c>
    </row>
    <row r="522" spans="1:5" ht="15">
      <c r="A522" s="13">
        <v>57769</v>
      </c>
      <c r="B522" s="4">
        <f>39.4186 * CHOOSE(CONTROL!$C$9, $C$13, 100%, $E$13) + CHOOSE(CONTROL!$C$28, 0.0003, 0)</f>
        <v>39.418900000000001</v>
      </c>
      <c r="C522" s="4">
        <f>39.1061 * CHOOSE(CONTROL!$C$9, $C$13, 100%, $E$13) + CHOOSE(CONTROL!$C$28, 0.0003, 0)</f>
        <v>39.106400000000001</v>
      </c>
      <c r="D522" s="4">
        <f>43.9272 * CHOOSE(CONTROL!$C$9, $C$13, 100%, $E$13) + CHOOSE(CONTROL!$C$28, 0, 0)</f>
        <v>43.927199999999999</v>
      </c>
      <c r="E522" s="4">
        <f>225.950847553563 * CHOOSE(CONTROL!$C$9, $C$13, 100%, $E$13) + CHOOSE(CONTROL!$C$28, 0, 0)</f>
        <v>225.95084755356299</v>
      </c>
    </row>
    <row r="523" spans="1:5" ht="15">
      <c r="A523" s="13">
        <v>57800</v>
      </c>
      <c r="B523" s="4">
        <f>41.7053 * CHOOSE(CONTROL!$C$9, $C$13, 100%, $E$13) + CHOOSE(CONTROL!$C$28, 0.0003, 0)</f>
        <v>41.705600000000004</v>
      </c>
      <c r="C523" s="4">
        <f>41.3928 * CHOOSE(CONTROL!$C$9, $C$13, 100%, $E$13) + CHOOSE(CONTROL!$C$28, 0.0003, 0)</f>
        <v>41.393100000000004</v>
      </c>
      <c r="D523" s="4">
        <f>46.2092 * CHOOSE(CONTROL!$C$9, $C$13, 100%, $E$13) + CHOOSE(CONTROL!$C$28, 0, 0)</f>
        <v>46.209200000000003</v>
      </c>
      <c r="E523" s="4">
        <f>239.712764855857 * CHOOSE(CONTROL!$C$9, $C$13, 100%, $E$13) + CHOOSE(CONTROL!$C$28, 0, 0)</f>
        <v>239.71276485585699</v>
      </c>
    </row>
    <row r="524" spans="1:5" ht="15">
      <c r="A524" s="13">
        <v>57830</v>
      </c>
      <c r="B524" s="4">
        <f>43.33 * CHOOSE(CONTROL!$C$9, $C$13, 100%, $E$13) + CHOOSE(CONTROL!$C$28, 0.0003, 0)</f>
        <v>43.330300000000001</v>
      </c>
      <c r="C524" s="4">
        <f>43.0175 * CHOOSE(CONTROL!$C$9, $C$13, 100%, $E$13) + CHOOSE(CONTROL!$C$28, 0.0003, 0)</f>
        <v>43.017800000000001</v>
      </c>
      <c r="D524" s="4">
        <f>47.5237 * CHOOSE(CONTROL!$C$9, $C$13, 100%, $E$13) + CHOOSE(CONTROL!$C$28, 0, 0)</f>
        <v>47.523699999999998</v>
      </c>
      <c r="E524" s="4">
        <f>249.490790500799 * CHOOSE(CONTROL!$C$9, $C$13, 100%, $E$13) + CHOOSE(CONTROL!$C$28, 0, 0)</f>
        <v>249.49079050079899</v>
      </c>
    </row>
    <row r="525" spans="1:5" ht="15">
      <c r="A525" s="13">
        <v>57861</v>
      </c>
      <c r="B525" s="4">
        <f>44.3227 * CHOOSE(CONTROL!$C$9, $C$13, 100%, $E$13) + CHOOSE(CONTROL!$C$28, 0.0197, 0)</f>
        <v>44.342399999999998</v>
      </c>
      <c r="C525" s="4">
        <f>44.0102 * CHOOSE(CONTROL!$C$9, $C$13, 100%, $E$13) + CHOOSE(CONTROL!$C$28, 0.0197, 0)</f>
        <v>44.029899999999998</v>
      </c>
      <c r="D525" s="4">
        <f>47.0043 * CHOOSE(CONTROL!$C$9, $C$13, 100%, $E$13) + CHOOSE(CONTROL!$C$28, 0, 0)</f>
        <v>47.004300000000001</v>
      </c>
      <c r="E525" s="4">
        <f>255.464929823291 * CHOOSE(CONTROL!$C$9, $C$13, 100%, $E$13) + CHOOSE(CONTROL!$C$28, 0, 0)</f>
        <v>255.46492982329099</v>
      </c>
    </row>
    <row r="526" spans="1:5" ht="15">
      <c r="A526" s="13">
        <v>57891</v>
      </c>
      <c r="B526" s="4">
        <f>44.457 * CHOOSE(CONTROL!$C$9, $C$13, 100%, $E$13) + CHOOSE(CONTROL!$C$28, 0.0197, 0)</f>
        <v>44.476700000000001</v>
      </c>
      <c r="C526" s="4">
        <f>44.1445 * CHOOSE(CONTROL!$C$9, $C$13, 100%, $E$13) + CHOOSE(CONTROL!$C$28, 0.0197, 0)</f>
        <v>44.164200000000001</v>
      </c>
      <c r="D526" s="4">
        <f>47.4273 * CHOOSE(CONTROL!$C$9, $C$13, 100%, $E$13) + CHOOSE(CONTROL!$C$28, 0, 0)</f>
        <v>47.427300000000002</v>
      </c>
      <c r="E526" s="4">
        <f>256.273255666811 * CHOOSE(CONTROL!$C$9, $C$13, 100%, $E$13) + CHOOSE(CONTROL!$C$28, 0, 0)</f>
        <v>256.273255666811</v>
      </c>
    </row>
    <row r="527" spans="1:5" ht="15">
      <c r="A527" s="13">
        <v>57922</v>
      </c>
      <c r="B527" s="4">
        <f>44.4434 * CHOOSE(CONTROL!$C$9, $C$13, 100%, $E$13) + CHOOSE(CONTROL!$C$28, 0.0197, 0)</f>
        <v>44.463099999999997</v>
      </c>
      <c r="C527" s="4">
        <f>44.1309 * CHOOSE(CONTROL!$C$9, $C$13, 100%, $E$13) + CHOOSE(CONTROL!$C$28, 0.0197, 0)</f>
        <v>44.150599999999997</v>
      </c>
      <c r="D527" s="4">
        <f>48.1907 * CHOOSE(CONTROL!$C$9, $C$13, 100%, $E$13) + CHOOSE(CONTROL!$C$28, 0, 0)</f>
        <v>48.1907</v>
      </c>
      <c r="E527" s="4">
        <f>256.191743817044 * CHOOSE(CONTROL!$C$9, $C$13, 100%, $E$13) + CHOOSE(CONTROL!$C$28, 0, 0)</f>
        <v>256.19174381704403</v>
      </c>
    </row>
    <row r="528" spans="1:5" ht="15">
      <c r="A528" s="13">
        <v>57953</v>
      </c>
      <c r="B528" s="4">
        <f>45.4626 * CHOOSE(CONTROL!$C$9, $C$13, 100%, $E$13) + CHOOSE(CONTROL!$C$28, 0.0197, 0)</f>
        <v>45.482300000000002</v>
      </c>
      <c r="C528" s="4">
        <f>45.1501 * CHOOSE(CONTROL!$C$9, $C$13, 100%, $E$13) + CHOOSE(CONTROL!$C$28, 0.0197, 0)</f>
        <v>45.169800000000002</v>
      </c>
      <c r="D528" s="4">
        <f>47.6865 * CHOOSE(CONTROL!$C$9, $C$13, 100%, $E$13) + CHOOSE(CONTROL!$C$28, 0, 0)</f>
        <v>47.686500000000002</v>
      </c>
      <c r="E528" s="4">
        <f>262.325510511996 * CHOOSE(CONTROL!$C$9, $C$13, 100%, $E$13) + CHOOSE(CONTROL!$C$28, 0, 0)</f>
        <v>262.32551051199601</v>
      </c>
    </row>
    <row r="529" spans="1:5" ht="15">
      <c r="A529" s="13">
        <v>57983</v>
      </c>
      <c r="B529" s="4">
        <f>43.7256 * CHOOSE(CONTROL!$C$9, $C$13, 100%, $E$13) + CHOOSE(CONTROL!$C$28, 0.0197, 0)</f>
        <v>43.7453</v>
      </c>
      <c r="C529" s="4">
        <f>43.4131 * CHOOSE(CONTROL!$C$9, $C$13, 100%, $E$13) + CHOOSE(CONTROL!$C$28, 0.0197, 0)</f>
        <v>43.4328</v>
      </c>
      <c r="D529" s="4">
        <f>47.4484 * CHOOSE(CONTROL!$C$9, $C$13, 100%, $E$13) + CHOOSE(CONTROL!$C$28, 0, 0)</f>
        <v>47.448399999999999</v>
      </c>
      <c r="E529" s="4">
        <f>251.871615779404 * CHOOSE(CONTROL!$C$9, $C$13, 100%, $E$13) + CHOOSE(CONTROL!$C$28, 0, 0)</f>
        <v>251.87161577940401</v>
      </c>
    </row>
    <row r="530" spans="1:5" ht="15">
      <c r="A530" s="13">
        <v>58014</v>
      </c>
      <c r="B530" s="4">
        <f>42.3351 * CHOOSE(CONTROL!$C$9, $C$13, 100%, $E$13) + CHOOSE(CONTROL!$C$28, 0.0003, 0)</f>
        <v>42.3354</v>
      </c>
      <c r="C530" s="4">
        <f>42.0226 * CHOOSE(CONTROL!$C$9, $C$13, 100%, $E$13) + CHOOSE(CONTROL!$C$28, 0.0003, 0)</f>
        <v>42.0229</v>
      </c>
      <c r="D530" s="4">
        <f>46.8106 * CHOOSE(CONTROL!$C$9, $C$13, 100%, $E$13) + CHOOSE(CONTROL!$C$28, 0, 0)</f>
        <v>46.810600000000001</v>
      </c>
      <c r="E530" s="4">
        <f>243.503065870013 * CHOOSE(CONTROL!$C$9, $C$13, 100%, $E$13) + CHOOSE(CONTROL!$C$28, 0, 0)</f>
        <v>243.50306587001299</v>
      </c>
    </row>
    <row r="531" spans="1:5" ht="15">
      <c r="A531" s="13">
        <v>58044</v>
      </c>
      <c r="B531" s="4">
        <f>41.4395 * CHOOSE(CONTROL!$C$9, $C$13, 100%, $E$13) + CHOOSE(CONTROL!$C$28, 0.0003, 0)</f>
        <v>41.439800000000005</v>
      </c>
      <c r="C531" s="4">
        <f>41.127 * CHOOSE(CONTROL!$C$9, $C$13, 100%, $E$13) + CHOOSE(CONTROL!$C$28, 0.0003, 0)</f>
        <v>41.127300000000005</v>
      </c>
      <c r="D531" s="4">
        <f>46.5914 * CHOOSE(CONTROL!$C$9, $C$13, 100%, $E$13) + CHOOSE(CONTROL!$C$28, 0, 0)</f>
        <v>46.5914</v>
      </c>
      <c r="E531" s="4">
        <f>238.113094804184 * CHOOSE(CONTROL!$C$9, $C$13, 100%, $E$13) + CHOOSE(CONTROL!$C$28, 0, 0)</f>
        <v>238.11309480418399</v>
      </c>
    </row>
    <row r="532" spans="1:5" ht="15">
      <c r="A532" s="13">
        <v>58075</v>
      </c>
      <c r="B532" s="4">
        <f>40.8199 * CHOOSE(CONTROL!$C$9, $C$13, 100%, $E$13) + CHOOSE(CONTROL!$C$28, 0.0003, 0)</f>
        <v>40.8202</v>
      </c>
      <c r="C532" s="4">
        <f>40.5074 * CHOOSE(CONTROL!$C$9, $C$13, 100%, $E$13) + CHOOSE(CONTROL!$C$28, 0.0003, 0)</f>
        <v>40.5077</v>
      </c>
      <c r="D532" s="4">
        <f>44.9773 * CHOOSE(CONTROL!$C$9, $C$13, 100%, $E$13) + CHOOSE(CONTROL!$C$28, 0, 0)</f>
        <v>44.9773</v>
      </c>
      <c r="E532" s="4">
        <f>234.383927677353 * CHOOSE(CONTROL!$C$9, $C$13, 100%, $E$13) + CHOOSE(CONTROL!$C$28, 0, 0)</f>
        <v>234.383927677353</v>
      </c>
    </row>
    <row r="533" spans="1:5" ht="15">
      <c r="A533" s="13">
        <v>58106</v>
      </c>
      <c r="B533" s="4">
        <f>39.8131 * CHOOSE(CONTROL!$C$9, $C$13, 100%, $E$13) + CHOOSE(CONTROL!$C$28, 0.0003, 0)</f>
        <v>39.813400000000001</v>
      </c>
      <c r="C533" s="4">
        <f>39.5006 * CHOOSE(CONTROL!$C$9, $C$13, 100%, $E$13) + CHOOSE(CONTROL!$C$28, 0.0003, 0)</f>
        <v>39.500900000000001</v>
      </c>
      <c r="D533" s="4">
        <f>43.4937 * CHOOSE(CONTROL!$C$9, $C$13, 100%, $E$13) + CHOOSE(CONTROL!$C$28, 0, 0)</f>
        <v>43.493699999999997</v>
      </c>
      <c r="E533" s="4">
        <f>227.66268979766 * CHOOSE(CONTROL!$C$9, $C$13, 100%, $E$13) + CHOOSE(CONTROL!$C$28, 0, 0)</f>
        <v>227.66268979765999</v>
      </c>
    </row>
    <row r="534" spans="1:5" ht="15">
      <c r="A534" s="13">
        <v>58134</v>
      </c>
      <c r="B534" s="4">
        <f>40.7139 * CHOOSE(CONTROL!$C$9, $C$13, 100%, $E$13) + CHOOSE(CONTROL!$C$28, 0.0003, 0)</f>
        <v>40.714200000000005</v>
      </c>
      <c r="C534" s="4">
        <f>40.4014 * CHOOSE(CONTROL!$C$9, $C$13, 100%, $E$13) + CHOOSE(CONTROL!$C$28, 0.0003, 0)</f>
        <v>40.401700000000005</v>
      </c>
      <c r="D534" s="4">
        <f>44.9876 * CHOOSE(CONTROL!$C$9, $C$13, 100%, $E$13) + CHOOSE(CONTROL!$C$28, 0, 0)</f>
        <v>44.9876</v>
      </c>
      <c r="E534" s="4">
        <f>233.0682992515 * CHOOSE(CONTROL!$C$9, $C$13, 100%, $E$13) + CHOOSE(CONTROL!$C$28, 0, 0)</f>
        <v>233.06829925150001</v>
      </c>
    </row>
    <row r="535" spans="1:5" ht="15">
      <c r="A535" s="13">
        <v>58165</v>
      </c>
      <c r="B535" s="4">
        <f>43.0794 * CHOOSE(CONTROL!$C$9, $C$13, 100%, $E$13) + CHOOSE(CONTROL!$C$28, 0.0003, 0)</f>
        <v>43.079700000000003</v>
      </c>
      <c r="C535" s="4">
        <f>42.7669 * CHOOSE(CONTROL!$C$9, $C$13, 100%, $E$13) + CHOOSE(CONTROL!$C$28, 0.0003, 0)</f>
        <v>42.767200000000003</v>
      </c>
      <c r="D535" s="4">
        <f>47.3263 * CHOOSE(CONTROL!$C$9, $C$13, 100%, $E$13) + CHOOSE(CONTROL!$C$28, 0, 0)</f>
        <v>47.326300000000003</v>
      </c>
      <c r="E535" s="4">
        <f>247.263716948816 * CHOOSE(CONTROL!$C$9, $C$13, 100%, $E$13) + CHOOSE(CONTROL!$C$28, 0, 0)</f>
        <v>247.26371694881601</v>
      </c>
    </row>
    <row r="536" spans="1:5" ht="15">
      <c r="A536" s="13">
        <v>58195</v>
      </c>
      <c r="B536" s="4">
        <f>44.7602 * CHOOSE(CONTROL!$C$9, $C$13, 100%, $E$13) + CHOOSE(CONTROL!$C$28, 0.0003, 0)</f>
        <v>44.7605</v>
      </c>
      <c r="C536" s="4">
        <f>44.4477 * CHOOSE(CONTROL!$C$9, $C$13, 100%, $E$13) + CHOOSE(CONTROL!$C$28, 0.0003, 0)</f>
        <v>44.448</v>
      </c>
      <c r="D536" s="4">
        <f>48.6734 * CHOOSE(CONTROL!$C$9, $C$13, 100%, $E$13) + CHOOSE(CONTROL!$C$28, 0, 0)</f>
        <v>48.673400000000001</v>
      </c>
      <c r="E536" s="4">
        <f>257.349750401574 * CHOOSE(CONTROL!$C$9, $C$13, 100%, $E$13) + CHOOSE(CONTROL!$C$28, 0, 0)</f>
        <v>257.349750401574</v>
      </c>
    </row>
    <row r="537" spans="1:5" ht="15">
      <c r="A537" s="13">
        <v>58226</v>
      </c>
      <c r="B537" s="4">
        <f>45.7871 * CHOOSE(CONTROL!$C$9, $C$13, 100%, $E$13) + CHOOSE(CONTROL!$C$28, 0.0197, 0)</f>
        <v>45.806800000000003</v>
      </c>
      <c r="C537" s="4">
        <f>45.4746 * CHOOSE(CONTROL!$C$9, $C$13, 100%, $E$13) + CHOOSE(CONTROL!$C$28, 0.0197, 0)</f>
        <v>45.494300000000003</v>
      </c>
      <c r="D537" s="4">
        <f>48.1411 * CHOOSE(CONTROL!$C$9, $C$13, 100%, $E$13) + CHOOSE(CONTROL!$C$28, 0, 0)</f>
        <v>48.141100000000002</v>
      </c>
      <c r="E537" s="4">
        <f>263.512075112724 * CHOOSE(CONTROL!$C$9, $C$13, 100%, $E$13) + CHOOSE(CONTROL!$C$28, 0, 0)</f>
        <v>263.51207511272401</v>
      </c>
    </row>
    <row r="538" spans="1:5" ht="15">
      <c r="A538" s="13">
        <v>58256</v>
      </c>
      <c r="B538" s="4">
        <f>45.926 * CHOOSE(CONTROL!$C$9, $C$13, 100%, $E$13) + CHOOSE(CONTROL!$C$28, 0.0197, 0)</f>
        <v>45.945700000000002</v>
      </c>
      <c r="C538" s="4">
        <f>45.6135 * CHOOSE(CONTROL!$C$9, $C$13, 100%, $E$13) + CHOOSE(CONTROL!$C$28, 0.0197, 0)</f>
        <v>45.633200000000002</v>
      </c>
      <c r="D538" s="4">
        <f>48.5746 * CHOOSE(CONTROL!$C$9, $C$13, 100%, $E$13) + CHOOSE(CONTROL!$C$28, 0, 0)</f>
        <v>48.574599999999997</v>
      </c>
      <c r="E538" s="4">
        <f>264.345863220316 * CHOOSE(CONTROL!$C$9, $C$13, 100%, $E$13) + CHOOSE(CONTROL!$C$28, 0, 0)</f>
        <v>264.34586322031601</v>
      </c>
    </row>
    <row r="539" spans="1:5" ht="15">
      <c r="A539" s="13">
        <v>58287</v>
      </c>
      <c r="B539" s="4">
        <f>45.912 * CHOOSE(CONTROL!$C$9, $C$13, 100%, $E$13) + CHOOSE(CONTROL!$C$28, 0.0197, 0)</f>
        <v>45.931699999999999</v>
      </c>
      <c r="C539" s="4">
        <f>45.5995 * CHOOSE(CONTROL!$C$9, $C$13, 100%, $E$13) + CHOOSE(CONTROL!$C$28, 0.0197, 0)</f>
        <v>45.619199999999999</v>
      </c>
      <c r="D539" s="4">
        <f>49.3569 * CHOOSE(CONTROL!$C$9, $C$13, 100%, $E$13) + CHOOSE(CONTROL!$C$28, 0, 0)</f>
        <v>49.356900000000003</v>
      </c>
      <c r="E539" s="4">
        <f>264.261783747281 * CHOOSE(CONTROL!$C$9, $C$13, 100%, $E$13) + CHOOSE(CONTROL!$C$28, 0, 0)</f>
        <v>264.26178374728102</v>
      </c>
    </row>
    <row r="540" spans="1:5" ht="15">
      <c r="A540" s="13">
        <v>58318</v>
      </c>
      <c r="B540" s="4">
        <f>46.9664 * CHOOSE(CONTROL!$C$9, $C$13, 100%, $E$13) + CHOOSE(CONTROL!$C$28, 0.0197, 0)</f>
        <v>46.9861</v>
      </c>
      <c r="C540" s="4">
        <f>46.6539 * CHOOSE(CONTROL!$C$9, $C$13, 100%, $E$13) + CHOOSE(CONTROL!$C$28, 0.0197, 0)</f>
        <v>46.6736</v>
      </c>
      <c r="D540" s="4">
        <f>48.8403 * CHOOSE(CONTROL!$C$9, $C$13, 100%, $E$13) + CHOOSE(CONTROL!$C$28, 0, 0)</f>
        <v>48.840299999999999</v>
      </c>
      <c r="E540" s="4">
        <f>270.588764093124 * CHOOSE(CONTROL!$C$9, $C$13, 100%, $E$13) + CHOOSE(CONTROL!$C$28, 0, 0)</f>
        <v>270.58876409312398</v>
      </c>
    </row>
    <row r="541" spans="1:5" ht="15">
      <c r="A541" s="13">
        <v>58348</v>
      </c>
      <c r="B541" s="4">
        <f>45.1694 * CHOOSE(CONTROL!$C$9, $C$13, 100%, $E$13) + CHOOSE(CONTROL!$C$28, 0.0197, 0)</f>
        <v>45.189100000000003</v>
      </c>
      <c r="C541" s="4">
        <f>44.8569 * CHOOSE(CONTROL!$C$9, $C$13, 100%, $E$13) + CHOOSE(CONTROL!$C$28, 0.0197, 0)</f>
        <v>44.876600000000003</v>
      </c>
      <c r="D541" s="4">
        <f>48.5962 * CHOOSE(CONTROL!$C$9, $C$13, 100%, $E$13) + CHOOSE(CONTROL!$C$28, 0, 0)</f>
        <v>48.596200000000003</v>
      </c>
      <c r="E541" s="4">
        <f>259.805571676456 * CHOOSE(CONTROL!$C$9, $C$13, 100%, $E$13) + CHOOSE(CONTROL!$C$28, 0, 0)</f>
        <v>259.805571676456</v>
      </c>
    </row>
    <row r="542" spans="1:5" ht="15">
      <c r="A542" s="13">
        <v>58379</v>
      </c>
      <c r="B542" s="4">
        <f>43.731 * CHOOSE(CONTROL!$C$9, $C$13, 100%, $E$13) + CHOOSE(CONTROL!$C$28, 0.0003, 0)</f>
        <v>43.731300000000005</v>
      </c>
      <c r="C542" s="4">
        <f>43.4185 * CHOOSE(CONTROL!$C$9, $C$13, 100%, $E$13) + CHOOSE(CONTROL!$C$28, 0.0003, 0)</f>
        <v>43.418800000000005</v>
      </c>
      <c r="D542" s="4">
        <f>47.9426 * CHOOSE(CONTROL!$C$9, $C$13, 100%, $E$13) + CHOOSE(CONTROL!$C$28, 0, 0)</f>
        <v>47.942599999999999</v>
      </c>
      <c r="E542" s="4">
        <f>251.173412444918 * CHOOSE(CONTROL!$C$9, $C$13, 100%, $E$13) + CHOOSE(CONTROL!$C$28, 0, 0)</f>
        <v>251.173412444918</v>
      </c>
    </row>
    <row r="543" spans="1:5" ht="15">
      <c r="A543" s="13">
        <v>58409</v>
      </c>
      <c r="B543" s="4">
        <f>42.8045 * CHOOSE(CONTROL!$C$9, $C$13, 100%, $E$13) + CHOOSE(CONTROL!$C$28, 0.0003, 0)</f>
        <v>42.8048</v>
      </c>
      <c r="C543" s="4">
        <f>42.492 * CHOOSE(CONTROL!$C$9, $C$13, 100%, $E$13) + CHOOSE(CONTROL!$C$28, 0.0003, 0)</f>
        <v>42.4923</v>
      </c>
      <c r="D543" s="4">
        <f>47.718 * CHOOSE(CONTROL!$C$9, $C$13, 100%, $E$13) + CHOOSE(CONTROL!$C$28, 0, 0)</f>
        <v>47.718000000000004</v>
      </c>
      <c r="E543" s="4">
        <f>245.613657290515 * CHOOSE(CONTROL!$C$9, $C$13, 100%, $E$13) + CHOOSE(CONTROL!$C$28, 0, 0)</f>
        <v>245.61365729051499</v>
      </c>
    </row>
    <row r="544" spans="1:5" ht="15">
      <c r="A544" s="13">
        <v>58440</v>
      </c>
      <c r="B544" s="4">
        <f>42.1635 * CHOOSE(CONTROL!$C$9, $C$13, 100%, $E$13) + CHOOSE(CONTROL!$C$28, 0.0003, 0)</f>
        <v>42.163800000000002</v>
      </c>
      <c r="C544" s="4">
        <f>41.851 * CHOOSE(CONTROL!$C$9, $C$13, 100%, $E$13) + CHOOSE(CONTROL!$C$28, 0.0003, 0)</f>
        <v>41.851300000000002</v>
      </c>
      <c r="D544" s="4">
        <f>46.0638 * CHOOSE(CONTROL!$C$9, $C$13, 100%, $E$13) + CHOOSE(CONTROL!$C$28, 0, 0)</f>
        <v>46.063800000000001</v>
      </c>
      <c r="E544" s="4">
        <f>241.767021399189 * CHOOSE(CONTROL!$C$9, $C$13, 100%, $E$13) + CHOOSE(CONTROL!$C$28, 0, 0)</f>
        <v>241.76702139918899</v>
      </c>
    </row>
    <row r="545" spans="1:5" ht="15">
      <c r="A545" s="13">
        <v>58471</v>
      </c>
      <c r="B545" s="4">
        <f>41.122 * CHOOSE(CONTROL!$C$9, $C$13, 100%, $E$13) + CHOOSE(CONTROL!$C$28, 0.0003, 0)</f>
        <v>41.122300000000003</v>
      </c>
      <c r="C545" s="4">
        <f>40.8095 * CHOOSE(CONTROL!$C$9, $C$13, 100%, $E$13) + CHOOSE(CONTROL!$C$28, 0.0003, 0)</f>
        <v>40.809800000000003</v>
      </c>
      <c r="D545" s="4">
        <f>44.5435 * CHOOSE(CONTROL!$C$9, $C$13, 100%, $E$13) + CHOOSE(CONTROL!$C$28, 0, 0)</f>
        <v>44.543500000000002</v>
      </c>
      <c r="E545" s="4">
        <f>234.834064526286 * CHOOSE(CONTROL!$C$9, $C$13, 100%, $E$13) + CHOOSE(CONTROL!$C$28, 0, 0)</f>
        <v>234.834064526286</v>
      </c>
    </row>
    <row r="546" spans="1:5" ht="15">
      <c r="A546" s="13">
        <v>58499</v>
      </c>
      <c r="B546" s="4">
        <f>42.0538 * CHOOSE(CONTROL!$C$9, $C$13, 100%, $E$13) + CHOOSE(CONTROL!$C$28, 0.0003, 0)</f>
        <v>42.054100000000005</v>
      </c>
      <c r="C546" s="4">
        <f>41.7413 * CHOOSE(CONTROL!$C$9, $C$13, 100%, $E$13) + CHOOSE(CONTROL!$C$28, 0.0003, 0)</f>
        <v>41.741600000000005</v>
      </c>
      <c r="D546" s="4">
        <f>46.0744 * CHOOSE(CONTROL!$C$9, $C$13, 100%, $E$13) + CHOOSE(CONTROL!$C$28, 0, 0)</f>
        <v>46.074399999999997</v>
      </c>
      <c r="E546" s="4">
        <f>240.409950677922 * CHOOSE(CONTROL!$C$9, $C$13, 100%, $E$13) + CHOOSE(CONTROL!$C$28, 0, 0)</f>
        <v>240.40995067792201</v>
      </c>
    </row>
    <row r="547" spans="1:5" ht="15">
      <c r="A547" s="13">
        <v>58531</v>
      </c>
      <c r="B547" s="4">
        <f>44.501 * CHOOSE(CONTROL!$C$9, $C$13, 100%, $E$13) + CHOOSE(CONTROL!$C$28, 0.0003, 0)</f>
        <v>44.501300000000001</v>
      </c>
      <c r="C547" s="4">
        <f>44.1885 * CHOOSE(CONTROL!$C$9, $C$13, 100%, $E$13) + CHOOSE(CONTROL!$C$28, 0.0003, 0)</f>
        <v>44.188800000000001</v>
      </c>
      <c r="D547" s="4">
        <f>48.4711 * CHOOSE(CONTROL!$C$9, $C$13, 100%, $E$13) + CHOOSE(CONTROL!$C$28, 0, 0)</f>
        <v>48.4711</v>
      </c>
      <c r="E547" s="4">
        <f>255.052524032704 * CHOOSE(CONTROL!$C$9, $C$13, 100%, $E$13) + CHOOSE(CONTROL!$C$28, 0, 0)</f>
        <v>255.05252403270401</v>
      </c>
    </row>
    <row r="548" spans="1:5" ht="15">
      <c r="A548" s="13">
        <v>58561</v>
      </c>
      <c r="B548" s="4">
        <f>46.2397 * CHOOSE(CONTROL!$C$9, $C$13, 100%, $E$13) + CHOOSE(CONTROL!$C$28, 0.0003, 0)</f>
        <v>46.24</v>
      </c>
      <c r="C548" s="4">
        <f>45.9272 * CHOOSE(CONTROL!$C$9, $C$13, 100%, $E$13) + CHOOSE(CONTROL!$C$28, 0.0003, 0)</f>
        <v>45.927500000000002</v>
      </c>
      <c r="D548" s="4">
        <f>49.8516 * CHOOSE(CONTROL!$C$9, $C$13, 100%, $E$13) + CHOOSE(CONTROL!$C$28, 0, 0)</f>
        <v>49.851599999999998</v>
      </c>
      <c r="E548" s="4">
        <f>265.456267539224 * CHOOSE(CONTROL!$C$9, $C$13, 100%, $E$13) + CHOOSE(CONTROL!$C$28, 0, 0)</f>
        <v>265.45626753922397</v>
      </c>
    </row>
    <row r="549" spans="1:5" ht="15">
      <c r="A549" s="13">
        <v>58592</v>
      </c>
      <c r="B549" s="4">
        <f>47.3021 * CHOOSE(CONTROL!$C$9, $C$13, 100%, $E$13) + CHOOSE(CONTROL!$C$28, 0.0197, 0)</f>
        <v>47.321800000000003</v>
      </c>
      <c r="C549" s="4">
        <f>46.9896 * CHOOSE(CONTROL!$C$9, $C$13, 100%, $E$13) + CHOOSE(CONTROL!$C$28, 0.0197, 0)</f>
        <v>47.009300000000003</v>
      </c>
      <c r="D549" s="4">
        <f>49.3061 * CHOOSE(CONTROL!$C$9, $C$13, 100%, $E$13) + CHOOSE(CONTROL!$C$28, 0, 0)</f>
        <v>49.306100000000001</v>
      </c>
      <c r="E549" s="4">
        <f>271.812705478775 * CHOOSE(CONTROL!$C$9, $C$13, 100%, $E$13) + CHOOSE(CONTROL!$C$28, 0, 0)</f>
        <v>271.812705478775</v>
      </c>
    </row>
    <row r="550" spans="1:5" ht="15">
      <c r="A550" s="13">
        <v>58622</v>
      </c>
      <c r="B550" s="4">
        <f>47.4458 * CHOOSE(CONTROL!$C$9, $C$13, 100%, $E$13) + CHOOSE(CONTROL!$C$28, 0.0197, 0)</f>
        <v>47.465499999999999</v>
      </c>
      <c r="C550" s="4">
        <f>47.1333 * CHOOSE(CONTROL!$C$9, $C$13, 100%, $E$13) + CHOOSE(CONTROL!$C$28, 0.0197, 0)</f>
        <v>47.152999999999999</v>
      </c>
      <c r="D550" s="4">
        <f>49.7504 * CHOOSE(CONTROL!$C$9, $C$13, 100%, $E$13) + CHOOSE(CONTROL!$C$28, 0, 0)</f>
        <v>49.750399999999999</v>
      </c>
      <c r="E550" s="4">
        <f>272.672757911756 * CHOOSE(CONTROL!$C$9, $C$13, 100%, $E$13) + CHOOSE(CONTROL!$C$28, 0, 0)</f>
        <v>272.67275791175598</v>
      </c>
    </row>
    <row r="551" spans="1:5" ht="15">
      <c r="A551" s="13">
        <v>58653</v>
      </c>
      <c r="B551" s="4">
        <f>47.4313 * CHOOSE(CONTROL!$C$9, $C$13, 100%, $E$13) + CHOOSE(CONTROL!$C$28, 0.0197, 0)</f>
        <v>47.451000000000001</v>
      </c>
      <c r="C551" s="4">
        <f>47.1188 * CHOOSE(CONTROL!$C$9, $C$13, 100%, $E$13) + CHOOSE(CONTROL!$C$28, 0.0197, 0)</f>
        <v>47.138500000000001</v>
      </c>
      <c r="D551" s="4">
        <f>50.552 * CHOOSE(CONTROL!$C$9, $C$13, 100%, $E$13) + CHOOSE(CONTROL!$C$28, 0, 0)</f>
        <v>50.552</v>
      </c>
      <c r="E551" s="4">
        <f>272.586029935321 * CHOOSE(CONTROL!$C$9, $C$13, 100%, $E$13) + CHOOSE(CONTROL!$C$28, 0, 0)</f>
        <v>272.58602993532099</v>
      </c>
    </row>
    <row r="552" spans="1:5" ht="15">
      <c r="A552" s="13">
        <v>58684</v>
      </c>
      <c r="B552" s="4">
        <f>48.522 * CHOOSE(CONTROL!$C$9, $C$13, 100%, $E$13) + CHOOSE(CONTROL!$C$28, 0.0197, 0)</f>
        <v>48.541699999999999</v>
      </c>
      <c r="C552" s="4">
        <f>48.2095 * CHOOSE(CONTROL!$C$9, $C$13, 100%, $E$13) + CHOOSE(CONTROL!$C$28, 0.0197, 0)</f>
        <v>48.229199999999999</v>
      </c>
      <c r="D552" s="4">
        <f>50.0226 * CHOOSE(CONTROL!$C$9, $C$13, 100%, $E$13) + CHOOSE(CONTROL!$C$28, 0, 0)</f>
        <v>50.022599999999997</v>
      </c>
      <c r="E552" s="4">
        <f>279.112310162057 * CHOOSE(CONTROL!$C$9, $C$13, 100%, $E$13) + CHOOSE(CONTROL!$C$28, 0, 0)</f>
        <v>279.11231016205699</v>
      </c>
    </row>
    <row r="553" spans="1:5" ht="15">
      <c r="A553" s="13">
        <v>58714</v>
      </c>
      <c r="B553" s="4">
        <f>46.6631 * CHOOSE(CONTROL!$C$9, $C$13, 100%, $E$13) + CHOOSE(CONTROL!$C$28, 0.0197, 0)</f>
        <v>46.6828</v>
      </c>
      <c r="C553" s="4">
        <f>46.3506 * CHOOSE(CONTROL!$C$9, $C$13, 100%, $E$13) + CHOOSE(CONTROL!$C$28, 0.0197, 0)</f>
        <v>46.3703</v>
      </c>
      <c r="D553" s="4">
        <f>49.7725 * CHOOSE(CONTROL!$C$9, $C$13, 100%, $E$13) + CHOOSE(CONTROL!$C$28, 0, 0)</f>
        <v>49.772500000000001</v>
      </c>
      <c r="E553" s="4">
        <f>267.989447184264 * CHOOSE(CONTROL!$C$9, $C$13, 100%, $E$13) + CHOOSE(CONTROL!$C$28, 0, 0)</f>
        <v>267.98944718426401</v>
      </c>
    </row>
    <row r="554" spans="1:5" ht="15">
      <c r="A554" s="13">
        <v>58745</v>
      </c>
      <c r="B554" s="4">
        <f>45.175 * CHOOSE(CONTROL!$C$9, $C$13, 100%, $E$13) + CHOOSE(CONTROL!$C$28, 0.0003, 0)</f>
        <v>45.1753</v>
      </c>
      <c r="C554" s="4">
        <f>44.8625 * CHOOSE(CONTROL!$C$9, $C$13, 100%, $E$13) + CHOOSE(CONTROL!$C$28, 0.0003, 0)</f>
        <v>44.8628</v>
      </c>
      <c r="D554" s="4">
        <f>49.1027 * CHOOSE(CONTROL!$C$9, $C$13, 100%, $E$13) + CHOOSE(CONTROL!$C$28, 0, 0)</f>
        <v>49.102699999999999</v>
      </c>
      <c r="E554" s="4">
        <f>259.085374936933 * CHOOSE(CONTROL!$C$9, $C$13, 100%, $E$13) + CHOOSE(CONTROL!$C$28, 0, 0)</f>
        <v>259.08537493693302</v>
      </c>
    </row>
    <row r="555" spans="1:5" ht="15">
      <c r="A555" s="13">
        <v>58775</v>
      </c>
      <c r="B555" s="4">
        <f>44.2165 * CHOOSE(CONTROL!$C$9, $C$13, 100%, $E$13) + CHOOSE(CONTROL!$C$28, 0.0003, 0)</f>
        <v>44.216800000000006</v>
      </c>
      <c r="C555" s="4">
        <f>43.904 * CHOOSE(CONTROL!$C$9, $C$13, 100%, $E$13) + CHOOSE(CONTROL!$C$28, 0.0003, 0)</f>
        <v>43.904300000000006</v>
      </c>
      <c r="D555" s="4">
        <f>48.8725 * CHOOSE(CONTROL!$C$9, $C$13, 100%, $E$13) + CHOOSE(CONTROL!$C$28, 0, 0)</f>
        <v>48.872500000000002</v>
      </c>
      <c r="E555" s="4">
        <f>253.350487495167 * CHOOSE(CONTROL!$C$9, $C$13, 100%, $E$13) + CHOOSE(CONTROL!$C$28, 0, 0)</f>
        <v>253.35048749516699</v>
      </c>
    </row>
    <row r="556" spans="1:5" ht="15">
      <c r="A556" s="13">
        <v>58806</v>
      </c>
      <c r="B556" s="4">
        <f>43.5534 * CHOOSE(CONTROL!$C$9, $C$13, 100%, $E$13) + CHOOSE(CONTROL!$C$28, 0.0003, 0)</f>
        <v>43.553700000000006</v>
      </c>
      <c r="C556" s="4">
        <f>43.2409 * CHOOSE(CONTROL!$C$9, $C$13, 100%, $E$13) + CHOOSE(CONTROL!$C$28, 0.0003, 0)</f>
        <v>43.241200000000006</v>
      </c>
      <c r="D556" s="4">
        <f>47.1773 * CHOOSE(CONTROL!$C$9, $C$13, 100%, $E$13) + CHOOSE(CONTROL!$C$28, 0, 0)</f>
        <v>47.177300000000002</v>
      </c>
      <c r="E556" s="4">
        <f>249.382682573264 * CHOOSE(CONTROL!$C$9, $C$13, 100%, $E$13) + CHOOSE(CONTROL!$C$28, 0, 0)</f>
        <v>249.38268257326399</v>
      </c>
    </row>
    <row r="557" spans="1:5" ht="15">
      <c r="A557" s="13">
        <v>58837</v>
      </c>
      <c r="B557" s="4">
        <f>42.476 * CHOOSE(CONTROL!$C$9, $C$13, 100%, $E$13) + CHOOSE(CONTROL!$C$28, 0.0003, 0)</f>
        <v>42.476300000000002</v>
      </c>
      <c r="C557" s="4">
        <f>42.1635 * CHOOSE(CONTROL!$C$9, $C$13, 100%, $E$13) + CHOOSE(CONTROL!$C$28, 0.0003, 0)</f>
        <v>42.163800000000002</v>
      </c>
      <c r="D557" s="4">
        <f>45.6192 * CHOOSE(CONTROL!$C$9, $C$13, 100%, $E$13) + CHOOSE(CONTROL!$C$28, 0, 0)</f>
        <v>45.619199999999999</v>
      </c>
      <c r="E557" s="4">
        <f>242.231337558864 * CHOOSE(CONTROL!$C$9, $C$13, 100%, $E$13) + CHOOSE(CONTROL!$C$28, 0, 0)</f>
        <v>242.231337558864</v>
      </c>
    </row>
    <row r="558" spans="1:5" ht="15">
      <c r="A558" s="13">
        <v>58865</v>
      </c>
      <c r="B558" s="4">
        <f>43.44 * CHOOSE(CONTROL!$C$9, $C$13, 100%, $E$13) + CHOOSE(CONTROL!$C$28, 0.0003, 0)</f>
        <v>43.440300000000001</v>
      </c>
      <c r="C558" s="4">
        <f>43.1275 * CHOOSE(CONTROL!$C$9, $C$13, 100%, $E$13) + CHOOSE(CONTROL!$C$28, 0.0003, 0)</f>
        <v>43.127800000000001</v>
      </c>
      <c r="D558" s="4">
        <f>47.1882 * CHOOSE(CONTROL!$C$9, $C$13, 100%, $E$13) + CHOOSE(CONTROL!$C$28, 0, 0)</f>
        <v>47.188200000000002</v>
      </c>
      <c r="E558" s="4">
        <f>247.982864124277 * CHOOSE(CONTROL!$C$9, $C$13, 100%, $E$13) + CHOOSE(CONTROL!$C$28, 0, 0)</f>
        <v>247.982864124277</v>
      </c>
    </row>
    <row r="559" spans="1:5" ht="15">
      <c r="A559" s="13">
        <v>58893</v>
      </c>
      <c r="B559" s="4">
        <f>45.9716 * CHOOSE(CONTROL!$C$9, $C$13, 100%, $E$13) + CHOOSE(CONTROL!$C$28, 0.0003, 0)</f>
        <v>45.971900000000005</v>
      </c>
      <c r="C559" s="4">
        <f>45.6591 * CHOOSE(CONTROL!$C$9, $C$13, 100%, $E$13) + CHOOSE(CONTROL!$C$28, 0.0003, 0)</f>
        <v>45.659400000000005</v>
      </c>
      <c r="D559" s="4">
        <f>49.6443 * CHOOSE(CONTROL!$C$9, $C$13, 100%, $E$13) + CHOOSE(CONTROL!$C$28, 0, 0)</f>
        <v>49.644300000000001</v>
      </c>
      <c r="E559" s="4">
        <f>263.086678539734 * CHOOSE(CONTROL!$C$9, $C$13, 100%, $E$13) + CHOOSE(CONTROL!$C$28, 0, 0)</f>
        <v>263.08667853973401</v>
      </c>
    </row>
    <row r="560" spans="1:5" ht="15">
      <c r="A560" s="13">
        <v>58926</v>
      </c>
      <c r="B560" s="4">
        <f>47.7703 * CHOOSE(CONTROL!$C$9, $C$13, 100%, $E$13) + CHOOSE(CONTROL!$C$28, 0.0003, 0)</f>
        <v>47.770600000000002</v>
      </c>
      <c r="C560" s="4">
        <f>47.4578 * CHOOSE(CONTROL!$C$9, $C$13, 100%, $E$13) + CHOOSE(CONTROL!$C$28, 0.0003, 0)</f>
        <v>47.458100000000002</v>
      </c>
      <c r="D560" s="4">
        <f>51.059 * CHOOSE(CONTROL!$C$9, $C$13, 100%, $E$13) + CHOOSE(CONTROL!$C$28, 0, 0)</f>
        <v>51.058999999999997</v>
      </c>
      <c r="E560" s="4">
        <f>273.818139966709 * CHOOSE(CONTROL!$C$9, $C$13, 100%, $E$13) + CHOOSE(CONTROL!$C$28, 0, 0)</f>
        <v>273.818139966709</v>
      </c>
    </row>
    <row r="561" spans="1:5" ht="15">
      <c r="A561" s="13">
        <v>58957</v>
      </c>
      <c r="B561" s="4">
        <f>48.8693 * CHOOSE(CONTROL!$C$9, $C$13, 100%, $E$13) + CHOOSE(CONTROL!$C$28, 0.0197, 0)</f>
        <v>48.889000000000003</v>
      </c>
      <c r="C561" s="4">
        <f>48.5568 * CHOOSE(CONTROL!$C$9, $C$13, 100%, $E$13) + CHOOSE(CONTROL!$C$28, 0.0197, 0)</f>
        <v>48.576500000000003</v>
      </c>
      <c r="D561" s="4">
        <f>50.5 * CHOOSE(CONTROL!$C$9, $C$13, 100%, $E$13) + CHOOSE(CONTROL!$C$28, 0, 0)</f>
        <v>50.5</v>
      </c>
      <c r="E561" s="4">
        <f>280.374805701357 * CHOOSE(CONTROL!$C$9, $C$13, 100%, $E$13) + CHOOSE(CONTROL!$C$28, 0, 0)</f>
        <v>280.37480570135699</v>
      </c>
    </row>
    <row r="562" spans="1:5" ht="15">
      <c r="A562" s="13">
        <v>58987</v>
      </c>
      <c r="B562" s="4">
        <f>49.018 * CHOOSE(CONTROL!$C$9, $C$13, 100%, $E$13) + CHOOSE(CONTROL!$C$28, 0.0197, 0)</f>
        <v>49.037700000000001</v>
      </c>
      <c r="C562" s="4">
        <f>48.7055 * CHOOSE(CONTROL!$C$9, $C$13, 100%, $E$13) + CHOOSE(CONTROL!$C$28, 0.0197, 0)</f>
        <v>48.725200000000001</v>
      </c>
      <c r="D562" s="4">
        <f>50.9553 * CHOOSE(CONTROL!$C$9, $C$13, 100%, $E$13) + CHOOSE(CONTROL!$C$28, 0, 0)</f>
        <v>50.955300000000001</v>
      </c>
      <c r="E562" s="4">
        <f>281.261949785976 * CHOOSE(CONTROL!$C$9, $C$13, 100%, $E$13) + CHOOSE(CONTROL!$C$28, 0, 0)</f>
        <v>281.26194978597601</v>
      </c>
    </row>
    <row r="563" spans="1:5" ht="15">
      <c r="A563" s="13">
        <v>59018</v>
      </c>
      <c r="B563" s="4">
        <f>49.003 * CHOOSE(CONTROL!$C$9, $C$13, 100%, $E$13) + CHOOSE(CONTROL!$C$28, 0.0197, 0)</f>
        <v>49.0227</v>
      </c>
      <c r="C563" s="4">
        <f>48.6905 * CHOOSE(CONTROL!$C$9, $C$13, 100%, $E$13) + CHOOSE(CONTROL!$C$28, 0.0197, 0)</f>
        <v>48.7102</v>
      </c>
      <c r="D563" s="4">
        <f>51.7768 * CHOOSE(CONTROL!$C$9, $C$13, 100%, $E$13) + CHOOSE(CONTROL!$C$28, 0, 0)</f>
        <v>51.776800000000001</v>
      </c>
      <c r="E563" s="4">
        <f>281.172489878283 * CHOOSE(CONTROL!$C$9, $C$13, 100%, $E$13) + CHOOSE(CONTROL!$C$28, 0, 0)</f>
        <v>281.17248987828299</v>
      </c>
    </row>
    <row r="564" spans="1:5" ht="15">
      <c r="A564" s="13">
        <v>59049</v>
      </c>
      <c r="B564" s="4">
        <f>50.1313 * CHOOSE(CONTROL!$C$9, $C$13, 100%, $E$13) + CHOOSE(CONTROL!$C$28, 0.0197, 0)</f>
        <v>50.151000000000003</v>
      </c>
      <c r="C564" s="4">
        <f>49.8188 * CHOOSE(CONTROL!$C$9, $C$13, 100%, $E$13) + CHOOSE(CONTROL!$C$28, 0.0197, 0)</f>
        <v>49.838500000000003</v>
      </c>
      <c r="D564" s="4">
        <f>51.2343 * CHOOSE(CONTROL!$C$9, $C$13, 100%, $E$13) + CHOOSE(CONTROL!$C$28, 0, 0)</f>
        <v>51.234299999999998</v>
      </c>
      <c r="E564" s="4">
        <f>287.904347932162 * CHOOSE(CONTROL!$C$9, $C$13, 100%, $E$13) + CHOOSE(CONTROL!$C$28, 0, 0)</f>
        <v>287.90434793216201</v>
      </c>
    </row>
    <row r="565" spans="1:5" ht="15">
      <c r="A565" s="13">
        <v>59079</v>
      </c>
      <c r="B565" s="4">
        <f>48.2083 * CHOOSE(CONTROL!$C$9, $C$13, 100%, $E$13) + CHOOSE(CONTROL!$C$28, 0.0197, 0)</f>
        <v>48.228000000000002</v>
      </c>
      <c r="C565" s="4">
        <f>47.8958 * CHOOSE(CONTROL!$C$9, $C$13, 100%, $E$13) + CHOOSE(CONTROL!$C$28, 0.0197, 0)</f>
        <v>47.915500000000002</v>
      </c>
      <c r="D565" s="4">
        <f>50.9779 * CHOOSE(CONTROL!$C$9, $C$13, 100%, $E$13) + CHOOSE(CONTROL!$C$28, 0, 0)</f>
        <v>50.977899999999998</v>
      </c>
      <c r="E565" s="4">
        <f>276.431114770568 * CHOOSE(CONTROL!$C$9, $C$13, 100%, $E$13) + CHOOSE(CONTROL!$C$28, 0, 0)</f>
        <v>276.431114770568</v>
      </c>
    </row>
    <row r="566" spans="1:5" ht="15">
      <c r="A566" s="13">
        <v>59110</v>
      </c>
      <c r="B566" s="4">
        <f>46.6688 * CHOOSE(CONTROL!$C$9, $C$13, 100%, $E$13) + CHOOSE(CONTROL!$C$28, 0.0003, 0)</f>
        <v>46.6691</v>
      </c>
      <c r="C566" s="4">
        <f>46.3563 * CHOOSE(CONTROL!$C$9, $C$13, 100%, $E$13) + CHOOSE(CONTROL!$C$28, 0.0003, 0)</f>
        <v>46.3566</v>
      </c>
      <c r="D566" s="4">
        <f>50.2916 * CHOOSE(CONTROL!$C$9, $C$13, 100%, $E$13) + CHOOSE(CONTROL!$C$28, 0, 0)</f>
        <v>50.291600000000003</v>
      </c>
      <c r="E566" s="4">
        <f>267.246564247447 * CHOOSE(CONTROL!$C$9, $C$13, 100%, $E$13) + CHOOSE(CONTROL!$C$28, 0, 0)</f>
        <v>267.246564247447</v>
      </c>
    </row>
    <row r="567" spans="1:5" ht="15">
      <c r="A567" s="13">
        <v>59140</v>
      </c>
      <c r="B567" s="4">
        <f>45.6773 * CHOOSE(CONTROL!$C$9, $C$13, 100%, $E$13) + CHOOSE(CONTROL!$C$28, 0.0003, 0)</f>
        <v>45.677600000000005</v>
      </c>
      <c r="C567" s="4">
        <f>45.3648 * CHOOSE(CONTROL!$C$9, $C$13, 100%, $E$13) + CHOOSE(CONTROL!$C$28, 0.0003, 0)</f>
        <v>45.365100000000005</v>
      </c>
      <c r="D567" s="4">
        <f>50.0556 * CHOOSE(CONTROL!$C$9, $C$13, 100%, $E$13) + CHOOSE(CONTROL!$C$28, 0, 0)</f>
        <v>50.055599999999998</v>
      </c>
      <c r="E567" s="4">
        <f>261.331027851264 * CHOOSE(CONTROL!$C$9, $C$13, 100%, $E$13) + CHOOSE(CONTROL!$C$28, 0, 0)</f>
        <v>261.33102785126403</v>
      </c>
    </row>
    <row r="568" spans="1:5" ht="15">
      <c r="A568" s="13">
        <v>59171</v>
      </c>
      <c r="B568" s="4">
        <f>44.9913 * CHOOSE(CONTROL!$C$9, $C$13, 100%, $E$13) + CHOOSE(CONTROL!$C$28, 0.0003, 0)</f>
        <v>44.991600000000005</v>
      </c>
      <c r="C568" s="4">
        <f>44.6788 * CHOOSE(CONTROL!$C$9, $C$13, 100%, $E$13) + CHOOSE(CONTROL!$C$28, 0.0003, 0)</f>
        <v>44.679100000000005</v>
      </c>
      <c r="D568" s="4">
        <f>48.3184 * CHOOSE(CONTROL!$C$9, $C$13, 100%, $E$13) + CHOOSE(CONTROL!$C$28, 0, 0)</f>
        <v>48.318399999999997</v>
      </c>
      <c r="E568" s="4">
        <f>257.238237074321 * CHOOSE(CONTROL!$C$9, $C$13, 100%, $E$13) + CHOOSE(CONTROL!$C$28, 0, 0)</f>
        <v>257.23823707432098</v>
      </c>
    </row>
    <row r="569" spans="1:5" ht="15">
      <c r="A569" s="13">
        <v>59202</v>
      </c>
      <c r="B569" s="4">
        <f>43.8767 * CHOOSE(CONTROL!$C$9, $C$13, 100%, $E$13) + CHOOSE(CONTROL!$C$28, 0.0003, 0)</f>
        <v>43.877000000000002</v>
      </c>
      <c r="C569" s="4">
        <f>43.5642 * CHOOSE(CONTROL!$C$9, $C$13, 100%, $E$13) + CHOOSE(CONTROL!$C$28, 0.0003, 0)</f>
        <v>43.564500000000002</v>
      </c>
      <c r="D569" s="4">
        <f>46.7217 * CHOOSE(CONTROL!$C$9, $C$13, 100%, $E$13) + CHOOSE(CONTROL!$C$28, 0, 0)</f>
        <v>46.721699999999998</v>
      </c>
      <c r="E569" s="4">
        <f>249.861624691968 * CHOOSE(CONTROL!$C$9, $C$13, 100%, $E$13) + CHOOSE(CONTROL!$C$28, 0, 0)</f>
        <v>249.86162469196799</v>
      </c>
    </row>
    <row r="570" spans="1:5" ht="15">
      <c r="A570" s="13">
        <v>59230</v>
      </c>
      <c r="B570" s="4">
        <f>44.874 * CHOOSE(CONTROL!$C$9, $C$13, 100%, $E$13) + CHOOSE(CONTROL!$C$28, 0.0003, 0)</f>
        <v>44.874300000000005</v>
      </c>
      <c r="C570" s="4">
        <f>44.5615 * CHOOSE(CONTROL!$C$9, $C$13, 100%, $E$13) + CHOOSE(CONTROL!$C$28, 0.0003, 0)</f>
        <v>44.561800000000005</v>
      </c>
      <c r="D570" s="4">
        <f>48.3295 * CHOOSE(CONTROL!$C$9, $C$13, 100%, $E$13) + CHOOSE(CONTROL!$C$28, 0, 0)</f>
        <v>48.329500000000003</v>
      </c>
      <c r="E570" s="4">
        <f>255.794324344191 * CHOOSE(CONTROL!$C$9, $C$13, 100%, $E$13) + CHOOSE(CONTROL!$C$28, 0, 0)</f>
        <v>255.79432434419101</v>
      </c>
    </row>
    <row r="571" spans="1:5" ht="15">
      <c r="A571" s="13">
        <v>59261</v>
      </c>
      <c r="B571" s="4">
        <f>47.4929 * CHOOSE(CONTROL!$C$9, $C$13, 100%, $E$13) + CHOOSE(CONTROL!$C$28, 0.0003, 0)</f>
        <v>47.493200000000002</v>
      </c>
      <c r="C571" s="4">
        <f>47.1804 * CHOOSE(CONTROL!$C$9, $C$13, 100%, $E$13) + CHOOSE(CONTROL!$C$28, 0.0003, 0)</f>
        <v>47.180700000000002</v>
      </c>
      <c r="D571" s="4">
        <f>50.8465 * CHOOSE(CONTROL!$C$9, $C$13, 100%, $E$13) + CHOOSE(CONTROL!$C$28, 0, 0)</f>
        <v>50.846499999999999</v>
      </c>
      <c r="E571" s="4">
        <f>271.373908913736 * CHOOSE(CONTROL!$C$9, $C$13, 100%, $E$13) + CHOOSE(CONTROL!$C$28, 0, 0)</f>
        <v>271.37390891373599</v>
      </c>
    </row>
    <row r="572" spans="1:5" ht="15">
      <c r="A572" s="13">
        <v>59291</v>
      </c>
      <c r="B572" s="4">
        <f>49.3537 * CHOOSE(CONTROL!$C$9, $C$13, 100%, $E$13) + CHOOSE(CONTROL!$C$28, 0.0003, 0)</f>
        <v>49.354000000000006</v>
      </c>
      <c r="C572" s="4">
        <f>49.0412 * CHOOSE(CONTROL!$C$9, $C$13, 100%, $E$13) + CHOOSE(CONTROL!$C$28, 0.0003, 0)</f>
        <v>49.041500000000006</v>
      </c>
      <c r="D572" s="4">
        <f>52.2964 * CHOOSE(CONTROL!$C$9, $C$13, 100%, $E$13) + CHOOSE(CONTROL!$C$28, 0, 0)</f>
        <v>52.296399999999998</v>
      </c>
      <c r="E572" s="4">
        <f>282.443411375661 * CHOOSE(CONTROL!$C$9, $C$13, 100%, $E$13) + CHOOSE(CONTROL!$C$28, 0, 0)</f>
        <v>282.44341137566101</v>
      </c>
    </row>
    <row r="573" spans="1:5" ht="15">
      <c r="A573" s="13">
        <v>59322</v>
      </c>
      <c r="B573" s="4">
        <f>50.4906 * CHOOSE(CONTROL!$C$9, $C$13, 100%, $E$13) + CHOOSE(CONTROL!$C$28, 0.0197, 0)</f>
        <v>50.510300000000001</v>
      </c>
      <c r="C573" s="4">
        <f>50.1781 * CHOOSE(CONTROL!$C$9, $C$13, 100%, $E$13) + CHOOSE(CONTROL!$C$28, 0.0197, 0)</f>
        <v>50.197800000000001</v>
      </c>
      <c r="D573" s="4">
        <f>51.7235 * CHOOSE(CONTROL!$C$9, $C$13, 100%, $E$13) + CHOOSE(CONTROL!$C$28, 0, 0)</f>
        <v>51.723500000000001</v>
      </c>
      <c r="E573" s="4">
        <f>289.206612080949 * CHOOSE(CONTROL!$C$9, $C$13, 100%, $E$13) + CHOOSE(CONTROL!$C$28, 0, 0)</f>
        <v>289.20661208094901</v>
      </c>
    </row>
    <row r="574" spans="1:5" ht="15">
      <c r="A574" s="13">
        <v>59352</v>
      </c>
      <c r="B574" s="4">
        <f>50.6444 * CHOOSE(CONTROL!$C$9, $C$13, 100%, $E$13) + CHOOSE(CONTROL!$C$28, 0.0197, 0)</f>
        <v>50.664099999999998</v>
      </c>
      <c r="C574" s="4">
        <f>50.3319 * CHOOSE(CONTROL!$C$9, $C$13, 100%, $E$13) + CHOOSE(CONTROL!$C$28, 0.0197, 0)</f>
        <v>50.351599999999998</v>
      </c>
      <c r="D574" s="4">
        <f>52.1901 * CHOOSE(CONTROL!$C$9, $C$13, 100%, $E$13) + CHOOSE(CONTROL!$C$28, 0, 0)</f>
        <v>52.190100000000001</v>
      </c>
      <c r="E574" s="4">
        <f>290.121701204234 * CHOOSE(CONTROL!$C$9, $C$13, 100%, $E$13) + CHOOSE(CONTROL!$C$28, 0, 0)</f>
        <v>290.121701204234</v>
      </c>
    </row>
    <row r="575" spans="1:5" ht="15">
      <c r="A575" s="13">
        <v>59383</v>
      </c>
      <c r="B575" s="4">
        <f>50.6289 * CHOOSE(CONTROL!$C$9, $C$13, 100%, $E$13) + CHOOSE(CONTROL!$C$28, 0.0197, 0)</f>
        <v>50.648600000000002</v>
      </c>
      <c r="C575" s="4">
        <f>50.3164 * CHOOSE(CONTROL!$C$9, $C$13, 100%, $E$13) + CHOOSE(CONTROL!$C$28, 0.0197, 0)</f>
        <v>50.336100000000002</v>
      </c>
      <c r="D575" s="4">
        <f>53.032 * CHOOSE(CONTROL!$C$9, $C$13, 100%, $E$13) + CHOOSE(CONTROL!$C$28, 0, 0)</f>
        <v>53.031999999999996</v>
      </c>
      <c r="E575" s="4">
        <f>290.029423309449 * CHOOSE(CONTROL!$C$9, $C$13, 100%, $E$13) + CHOOSE(CONTROL!$C$28, 0, 0)</f>
        <v>290.02942330944899</v>
      </c>
    </row>
    <row r="576" spans="1:5" ht="15">
      <c r="A576" s="13">
        <v>59414</v>
      </c>
      <c r="B576" s="4">
        <f>51.7962 * CHOOSE(CONTROL!$C$9, $C$13, 100%, $E$13) + CHOOSE(CONTROL!$C$28, 0.0197, 0)</f>
        <v>51.815899999999999</v>
      </c>
      <c r="C576" s="4">
        <f>51.4837 * CHOOSE(CONTROL!$C$9, $C$13, 100%, $E$13) + CHOOSE(CONTROL!$C$28, 0.0197, 0)</f>
        <v>51.503399999999999</v>
      </c>
      <c r="D576" s="4">
        <f>52.476 * CHOOSE(CONTROL!$C$9, $C$13, 100%, $E$13) + CHOOSE(CONTROL!$C$28, 0, 0)</f>
        <v>52.475999999999999</v>
      </c>
      <c r="E576" s="4">
        <f>296.973334892025 * CHOOSE(CONTROL!$C$9, $C$13, 100%, $E$13) + CHOOSE(CONTROL!$C$28, 0, 0)</f>
        <v>296.97333489202498</v>
      </c>
    </row>
    <row r="577" spans="1:5" ht="15">
      <c r="A577" s="13">
        <v>59444</v>
      </c>
      <c r="B577" s="4">
        <f>49.8068 * CHOOSE(CONTROL!$C$9, $C$13, 100%, $E$13) + CHOOSE(CONTROL!$C$28, 0.0197, 0)</f>
        <v>49.826500000000003</v>
      </c>
      <c r="C577" s="4">
        <f>49.4943 * CHOOSE(CONTROL!$C$9, $C$13, 100%, $E$13) + CHOOSE(CONTROL!$C$28, 0.0197, 0)</f>
        <v>49.514000000000003</v>
      </c>
      <c r="D577" s="4">
        <f>52.2133 * CHOOSE(CONTROL!$C$9, $C$13, 100%, $E$13) + CHOOSE(CONTROL!$C$28, 0, 0)</f>
        <v>52.213299999999997</v>
      </c>
      <c r="E577" s="4">
        <f>285.138694885841 * CHOOSE(CONTROL!$C$9, $C$13, 100%, $E$13) + CHOOSE(CONTROL!$C$28, 0, 0)</f>
        <v>285.13869488584101</v>
      </c>
    </row>
    <row r="578" spans="1:5" ht="15">
      <c r="A578" s="13">
        <v>59475</v>
      </c>
      <c r="B578" s="4">
        <f>48.2142 * CHOOSE(CONTROL!$C$9, $C$13, 100%, $E$13) + CHOOSE(CONTROL!$C$28, 0.0003, 0)</f>
        <v>48.214500000000001</v>
      </c>
      <c r="C578" s="4">
        <f>47.9017 * CHOOSE(CONTROL!$C$9, $C$13, 100%, $E$13) + CHOOSE(CONTROL!$C$28, 0.0003, 0)</f>
        <v>47.902000000000001</v>
      </c>
      <c r="D578" s="4">
        <f>51.5099 * CHOOSE(CONTROL!$C$9, $C$13, 100%, $E$13) + CHOOSE(CONTROL!$C$28, 0, 0)</f>
        <v>51.509900000000002</v>
      </c>
      <c r="E578" s="4">
        <f>275.664831021241 * CHOOSE(CONTROL!$C$9, $C$13, 100%, $E$13) + CHOOSE(CONTROL!$C$28, 0, 0)</f>
        <v>275.66483102124101</v>
      </c>
    </row>
    <row r="579" spans="1:5" ht="15">
      <c r="A579" s="13">
        <v>59505</v>
      </c>
      <c r="B579" s="4">
        <f>47.1885 * CHOOSE(CONTROL!$C$9, $C$13, 100%, $E$13) + CHOOSE(CONTROL!$C$28, 0.0003, 0)</f>
        <v>47.188800000000001</v>
      </c>
      <c r="C579" s="4">
        <f>46.876 * CHOOSE(CONTROL!$C$9, $C$13, 100%, $E$13) + CHOOSE(CONTROL!$C$28, 0.0003, 0)</f>
        <v>46.876300000000001</v>
      </c>
      <c r="D579" s="4">
        <f>51.2681 * CHOOSE(CONTROL!$C$9, $C$13, 100%, $E$13) + CHOOSE(CONTROL!$C$28, 0, 0)</f>
        <v>51.268099999999997</v>
      </c>
      <c r="E579" s="4">
        <f>269.562955228579 * CHOOSE(CONTROL!$C$9, $C$13, 100%, $E$13) + CHOOSE(CONTROL!$C$28, 0, 0)</f>
        <v>269.56295522857903</v>
      </c>
    </row>
    <row r="580" spans="1:5" ht="15">
      <c r="A580" s="13">
        <v>59536</v>
      </c>
      <c r="B580" s="4">
        <f>46.4788 * CHOOSE(CONTROL!$C$9, $C$13, 100%, $E$13) + CHOOSE(CONTROL!$C$28, 0.0003, 0)</f>
        <v>46.479100000000003</v>
      </c>
      <c r="C580" s="4">
        <f>46.1663 * CHOOSE(CONTROL!$C$9, $C$13, 100%, $E$13) + CHOOSE(CONTROL!$C$28, 0.0003, 0)</f>
        <v>46.166600000000003</v>
      </c>
      <c r="D580" s="4">
        <f>49.4878 * CHOOSE(CONTROL!$C$9, $C$13, 100%, $E$13) + CHOOSE(CONTROL!$C$28, 0, 0)</f>
        <v>49.4878</v>
      </c>
      <c r="E580" s="4">
        <f>265.341241542163 * CHOOSE(CONTROL!$C$9, $C$13, 100%, $E$13) + CHOOSE(CONTROL!$C$28, 0, 0)</f>
        <v>265.341241542163</v>
      </c>
    </row>
    <row r="581" spans="1:5" ht="15">
      <c r="A581" s="13">
        <v>59567</v>
      </c>
      <c r="B581" s="4">
        <f>45.3258 * CHOOSE(CONTROL!$C$9, $C$13, 100%, $E$13) + CHOOSE(CONTROL!$C$28, 0.0003, 0)</f>
        <v>45.326100000000004</v>
      </c>
      <c r="C581" s="4">
        <f>45.0133 * CHOOSE(CONTROL!$C$9, $C$13, 100%, $E$13) + CHOOSE(CONTROL!$C$28, 0.0003, 0)</f>
        <v>45.013600000000004</v>
      </c>
      <c r="D581" s="4">
        <f>47.8515 * CHOOSE(CONTROL!$C$9, $C$13, 100%, $E$13) + CHOOSE(CONTROL!$C$28, 0, 0)</f>
        <v>47.851500000000001</v>
      </c>
      <c r="E581" s="4">
        <f>257.732265869766 * CHOOSE(CONTROL!$C$9, $C$13, 100%, $E$13) + CHOOSE(CONTROL!$C$28, 0, 0)</f>
        <v>257.73226586976602</v>
      </c>
    </row>
    <row r="582" spans="1:5" ht="15">
      <c r="A582" s="13">
        <v>59595</v>
      </c>
      <c r="B582" s="4">
        <f>46.3575 * CHOOSE(CONTROL!$C$9, $C$13, 100%, $E$13) + CHOOSE(CONTROL!$C$28, 0.0003, 0)</f>
        <v>46.357800000000005</v>
      </c>
      <c r="C582" s="4">
        <f>46.045 * CHOOSE(CONTROL!$C$9, $C$13, 100%, $E$13) + CHOOSE(CONTROL!$C$28, 0.0003, 0)</f>
        <v>46.045300000000005</v>
      </c>
      <c r="D582" s="4">
        <f>49.4992 * CHOOSE(CONTROL!$C$9, $C$13, 100%, $E$13) + CHOOSE(CONTROL!$C$28, 0, 0)</f>
        <v>49.499200000000002</v>
      </c>
      <c r="E582" s="4">
        <f>263.851845561034 * CHOOSE(CONTROL!$C$9, $C$13, 100%, $E$13) + CHOOSE(CONTROL!$C$28, 0, 0)</f>
        <v>263.851845561034</v>
      </c>
    </row>
    <row r="583" spans="1:5" ht="15">
      <c r="A583" s="13">
        <v>59626</v>
      </c>
      <c r="B583" s="4">
        <f>49.0667 * CHOOSE(CONTROL!$C$9, $C$13, 100%, $E$13) + CHOOSE(CONTROL!$C$28, 0.0003, 0)</f>
        <v>49.067</v>
      </c>
      <c r="C583" s="4">
        <f>48.7542 * CHOOSE(CONTROL!$C$9, $C$13, 100%, $E$13) + CHOOSE(CONTROL!$C$28, 0.0003, 0)</f>
        <v>48.7545</v>
      </c>
      <c r="D583" s="4">
        <f>52.0786 * CHOOSE(CONTROL!$C$9, $C$13, 100%, $E$13) + CHOOSE(CONTROL!$C$28, 0, 0)</f>
        <v>52.078600000000002</v>
      </c>
      <c r="E583" s="4">
        <f>279.922187044519 * CHOOSE(CONTROL!$C$9, $C$13, 100%, $E$13) + CHOOSE(CONTROL!$C$28, 0, 0)</f>
        <v>279.92218704451898</v>
      </c>
    </row>
    <row r="584" spans="1:5" ht="15">
      <c r="A584" s="13">
        <v>59656</v>
      </c>
      <c r="B584" s="4">
        <f>50.9917 * CHOOSE(CONTROL!$C$9, $C$13, 100%, $E$13) + CHOOSE(CONTROL!$C$28, 0.0003, 0)</f>
        <v>50.992000000000004</v>
      </c>
      <c r="C584" s="4">
        <f>50.6792 * CHOOSE(CONTROL!$C$9, $C$13, 100%, $E$13) + CHOOSE(CONTROL!$C$28, 0.0003, 0)</f>
        <v>50.679500000000004</v>
      </c>
      <c r="D584" s="4">
        <f>53.5644 * CHOOSE(CONTROL!$C$9, $C$13, 100%, $E$13) + CHOOSE(CONTROL!$C$28, 0, 0)</f>
        <v>53.564399999999999</v>
      </c>
      <c r="E584" s="4">
        <f>291.340378833994 * CHOOSE(CONTROL!$C$9, $C$13, 100%, $E$13) + CHOOSE(CONTROL!$C$28, 0, 0)</f>
        <v>291.34037883399401</v>
      </c>
    </row>
    <row r="585" spans="1:5" ht="15">
      <c r="A585" s="13">
        <v>59687</v>
      </c>
      <c r="B585" s="4">
        <f>52.1678 * CHOOSE(CONTROL!$C$9, $C$13, 100%, $E$13) + CHOOSE(CONTROL!$C$28, 0.0197, 0)</f>
        <v>52.1875</v>
      </c>
      <c r="C585" s="4">
        <f>51.8553 * CHOOSE(CONTROL!$C$9, $C$13, 100%, $E$13) + CHOOSE(CONTROL!$C$28, 0.0197, 0)</f>
        <v>51.875</v>
      </c>
      <c r="D585" s="4">
        <f>52.9773 * CHOOSE(CONTROL!$C$9, $C$13, 100%, $E$13) + CHOOSE(CONTROL!$C$28, 0, 0)</f>
        <v>52.9773</v>
      </c>
      <c r="E585" s="4">
        <f>298.316620361499 * CHOOSE(CONTROL!$C$9, $C$13, 100%, $E$13) + CHOOSE(CONTROL!$C$28, 0, 0)</f>
        <v>298.31662036149902</v>
      </c>
    </row>
    <row r="586" spans="1:5" ht="15">
      <c r="A586" s="13">
        <v>59717</v>
      </c>
      <c r="B586" s="4">
        <f>52.327 * CHOOSE(CONTROL!$C$9, $C$13, 100%, $E$13) + CHOOSE(CONTROL!$C$28, 0.0197, 0)</f>
        <v>52.346699999999998</v>
      </c>
      <c r="C586" s="4">
        <f>52.0145 * CHOOSE(CONTROL!$C$9, $C$13, 100%, $E$13) + CHOOSE(CONTROL!$C$28, 0.0197, 0)</f>
        <v>52.034199999999998</v>
      </c>
      <c r="D586" s="4">
        <f>53.4555 * CHOOSE(CONTROL!$C$9, $C$13, 100%, $E$13) + CHOOSE(CONTROL!$C$28, 0, 0)</f>
        <v>53.455500000000001</v>
      </c>
      <c r="E586" s="4">
        <f>299.260534792168 * CHOOSE(CONTROL!$C$9, $C$13, 100%, $E$13) + CHOOSE(CONTROL!$C$28, 0, 0)</f>
        <v>299.26053479216802</v>
      </c>
    </row>
    <row r="587" spans="1:5" ht="15">
      <c r="A587" s="13">
        <v>59748</v>
      </c>
      <c r="B587" s="4">
        <f>52.3109 * CHOOSE(CONTROL!$C$9, $C$13, 100%, $E$13) + CHOOSE(CONTROL!$C$28, 0.0197, 0)</f>
        <v>52.330599999999997</v>
      </c>
      <c r="C587" s="4">
        <f>51.9984 * CHOOSE(CONTROL!$C$9, $C$13, 100%, $E$13) + CHOOSE(CONTROL!$C$28, 0.0197, 0)</f>
        <v>52.018099999999997</v>
      </c>
      <c r="D587" s="4">
        <f>54.3183 * CHOOSE(CONTROL!$C$9, $C$13, 100%, $E$13) + CHOOSE(CONTROL!$C$28, 0, 0)</f>
        <v>54.318300000000001</v>
      </c>
      <c r="E587" s="4">
        <f>299.165350143697 * CHOOSE(CONTROL!$C$9, $C$13, 100%, $E$13) + CHOOSE(CONTROL!$C$28, 0, 0)</f>
        <v>299.16535014369703</v>
      </c>
    </row>
    <row r="588" spans="1:5" ht="15">
      <c r="A588" s="13">
        <v>59779</v>
      </c>
      <c r="B588" s="4">
        <f>53.5185 * CHOOSE(CONTROL!$C$9, $C$13, 100%, $E$13) + CHOOSE(CONTROL!$C$28, 0.0197, 0)</f>
        <v>53.538200000000003</v>
      </c>
      <c r="C588" s="4">
        <f>53.206 * CHOOSE(CONTROL!$C$9, $C$13, 100%, $E$13) + CHOOSE(CONTROL!$C$28, 0.0197, 0)</f>
        <v>53.225700000000003</v>
      </c>
      <c r="D588" s="4">
        <f>53.7485 * CHOOSE(CONTROL!$C$9, $C$13, 100%, $E$13) + CHOOSE(CONTROL!$C$28, 0, 0)</f>
        <v>53.7485</v>
      </c>
      <c r="E588" s="4">
        <f>306.327994941124 * CHOOSE(CONTROL!$C$9, $C$13, 100%, $E$13) + CHOOSE(CONTROL!$C$28, 0, 0)</f>
        <v>306.32799494112402</v>
      </c>
    </row>
    <row r="589" spans="1:5" ht="15">
      <c r="A589" s="13">
        <v>59809</v>
      </c>
      <c r="B589" s="4">
        <f>51.4604 * CHOOSE(CONTROL!$C$9, $C$13, 100%, $E$13) + CHOOSE(CONTROL!$C$28, 0.0197, 0)</f>
        <v>51.4801</v>
      </c>
      <c r="C589" s="4">
        <f>51.1479 * CHOOSE(CONTROL!$C$9, $C$13, 100%, $E$13) + CHOOSE(CONTROL!$C$28, 0.0197, 0)</f>
        <v>51.1676</v>
      </c>
      <c r="D589" s="4">
        <f>53.4793 * CHOOSE(CONTROL!$C$9, $C$13, 100%, $E$13) + CHOOSE(CONTROL!$C$28, 0, 0)</f>
        <v>53.479300000000002</v>
      </c>
      <c r="E589" s="4">
        <f>294.120563774745 * CHOOSE(CONTROL!$C$9, $C$13, 100%, $E$13) + CHOOSE(CONTROL!$C$28, 0, 0)</f>
        <v>294.12056377474499</v>
      </c>
    </row>
    <row r="590" spans="1:5" ht="15">
      <c r="A590" s="13">
        <v>59840</v>
      </c>
      <c r="B590" s="4">
        <f>49.8129 * CHOOSE(CONTROL!$C$9, $C$13, 100%, $E$13) + CHOOSE(CONTROL!$C$28, 0.0003, 0)</f>
        <v>49.813200000000002</v>
      </c>
      <c r="C590" s="4">
        <f>49.5004 * CHOOSE(CONTROL!$C$9, $C$13, 100%, $E$13) + CHOOSE(CONTROL!$C$28, 0.0003, 0)</f>
        <v>49.500700000000002</v>
      </c>
      <c r="D590" s="4">
        <f>52.7584 * CHOOSE(CONTROL!$C$9, $C$13, 100%, $E$13) + CHOOSE(CONTROL!$C$28, 0, 0)</f>
        <v>52.758400000000002</v>
      </c>
      <c r="E590" s="4">
        <f>284.348273198411 * CHOOSE(CONTROL!$C$9, $C$13, 100%, $E$13) + CHOOSE(CONTROL!$C$28, 0, 0)</f>
        <v>284.34827319841099</v>
      </c>
    </row>
    <row r="591" spans="1:5" ht="15">
      <c r="A591" s="13">
        <v>59870</v>
      </c>
      <c r="B591" s="4">
        <f>48.7518 * CHOOSE(CONTROL!$C$9, $C$13, 100%, $E$13) + CHOOSE(CONTROL!$C$28, 0.0003, 0)</f>
        <v>48.752100000000006</v>
      </c>
      <c r="C591" s="4">
        <f>48.4393 * CHOOSE(CONTROL!$C$9, $C$13, 100%, $E$13) + CHOOSE(CONTROL!$C$28, 0.0003, 0)</f>
        <v>48.439600000000006</v>
      </c>
      <c r="D591" s="4">
        <f>52.5106 * CHOOSE(CONTROL!$C$9, $C$13, 100%, $E$13) + CHOOSE(CONTROL!$C$28, 0, 0)</f>
        <v>52.510599999999997</v>
      </c>
      <c r="E591" s="4">
        <f>278.054188318279 * CHOOSE(CONTROL!$C$9, $C$13, 100%, $E$13) + CHOOSE(CONTROL!$C$28, 0, 0)</f>
        <v>278.05418831827899</v>
      </c>
    </row>
    <row r="592" spans="1:5" ht="15">
      <c r="A592" s="13">
        <v>59901</v>
      </c>
      <c r="B592" s="4">
        <f>48.0177 * CHOOSE(CONTROL!$C$9, $C$13, 100%, $E$13) + CHOOSE(CONTROL!$C$28, 0.0003, 0)</f>
        <v>48.018000000000001</v>
      </c>
      <c r="C592" s="4">
        <f>47.7052 * CHOOSE(CONTROL!$C$9, $C$13, 100%, $E$13) + CHOOSE(CONTROL!$C$28, 0.0003, 0)</f>
        <v>47.705500000000001</v>
      </c>
      <c r="D592" s="4">
        <f>50.6861 * CHOOSE(CONTROL!$C$9, $C$13, 100%, $E$13) + CHOOSE(CONTROL!$C$28, 0, 0)</f>
        <v>50.686100000000003</v>
      </c>
      <c r="E592" s="4">
        <f>273.699490650741 * CHOOSE(CONTROL!$C$9, $C$13, 100%, $E$13) + CHOOSE(CONTROL!$C$28, 0, 0)</f>
        <v>273.69949065074098</v>
      </c>
    </row>
    <row r="593" spans="1:5" ht="15">
      <c r="A593" s="13">
        <v>59932</v>
      </c>
      <c r="B593" s="4">
        <f>46.8248 * CHOOSE(CONTROL!$C$9, $C$13, 100%, $E$13) + CHOOSE(CONTROL!$C$28, 0.0003, 0)</f>
        <v>46.825100000000006</v>
      </c>
      <c r="C593" s="4">
        <f>46.5123 * CHOOSE(CONTROL!$C$9, $C$13, 100%, $E$13) + CHOOSE(CONTROL!$C$28, 0.0003, 0)</f>
        <v>46.512600000000006</v>
      </c>
      <c r="D593" s="4">
        <f>49.0093 * CHOOSE(CONTROL!$C$9, $C$13, 100%, $E$13) + CHOOSE(CONTROL!$C$28, 0, 0)</f>
        <v>49.009300000000003</v>
      </c>
      <c r="E593" s="4">
        <f>265.850832244663 * CHOOSE(CONTROL!$C$9, $C$13, 100%, $E$13) + CHOOSE(CONTROL!$C$28, 0, 0)</f>
        <v>265.85083224466302</v>
      </c>
    </row>
    <row r="594" spans="1:5" ht="15">
      <c r="A594" s="13">
        <v>59961</v>
      </c>
      <c r="B594" s="4">
        <f>47.8921 * CHOOSE(CONTROL!$C$9, $C$13, 100%, $E$13) + CHOOSE(CONTROL!$C$28, 0.0003, 0)</f>
        <v>47.892400000000002</v>
      </c>
      <c r="C594" s="4">
        <f>47.5796 * CHOOSE(CONTROL!$C$9, $C$13, 100%, $E$13) + CHOOSE(CONTROL!$C$28, 0.0003, 0)</f>
        <v>47.579900000000002</v>
      </c>
      <c r="D594" s="4">
        <f>50.6979 * CHOOSE(CONTROL!$C$9, $C$13, 100%, $E$13) + CHOOSE(CONTROL!$C$28, 0, 0)</f>
        <v>50.697899999999997</v>
      </c>
      <c r="E594" s="4">
        <f>272.163178696206 * CHOOSE(CONTROL!$C$9, $C$13, 100%, $E$13) + CHOOSE(CONTROL!$C$28, 0, 0)</f>
        <v>272.16317869620599</v>
      </c>
    </row>
    <row r="595" spans="1:5" ht="15">
      <c r="A595" s="13">
        <v>59992</v>
      </c>
      <c r="B595" s="4">
        <f>50.6949 * CHOOSE(CONTROL!$C$9, $C$13, 100%, $E$13) + CHOOSE(CONTROL!$C$28, 0.0003, 0)</f>
        <v>50.6952</v>
      </c>
      <c r="C595" s="4">
        <f>50.3824 * CHOOSE(CONTROL!$C$9, $C$13, 100%, $E$13) + CHOOSE(CONTROL!$C$28, 0.0003, 0)</f>
        <v>50.3827</v>
      </c>
      <c r="D595" s="4">
        <f>53.3413 * CHOOSE(CONTROL!$C$9, $C$13, 100%, $E$13) + CHOOSE(CONTROL!$C$28, 0, 0)</f>
        <v>53.341299999999997</v>
      </c>
      <c r="E595" s="4">
        <f>288.739735936421 * CHOOSE(CONTROL!$C$9, $C$13, 100%, $E$13) + CHOOSE(CONTROL!$C$28, 0, 0)</f>
        <v>288.73973593642103</v>
      </c>
    </row>
    <row r="596" spans="1:5" ht="15">
      <c r="A596" s="13">
        <v>60022</v>
      </c>
      <c r="B596" s="4">
        <f>52.6863 * CHOOSE(CONTROL!$C$9, $C$13, 100%, $E$13) + CHOOSE(CONTROL!$C$28, 0.0003, 0)</f>
        <v>52.686600000000006</v>
      </c>
      <c r="C596" s="4">
        <f>52.3738 * CHOOSE(CONTROL!$C$9, $C$13, 100%, $E$13) + CHOOSE(CONTROL!$C$28, 0.0003, 0)</f>
        <v>52.374100000000006</v>
      </c>
      <c r="D596" s="4">
        <f>54.8639 * CHOOSE(CONTROL!$C$9, $C$13, 100%, $E$13) + CHOOSE(CONTROL!$C$28, 0, 0)</f>
        <v>54.863900000000001</v>
      </c>
      <c r="E596" s="4">
        <f>300.517600767265 * CHOOSE(CONTROL!$C$9, $C$13, 100%, $E$13) + CHOOSE(CONTROL!$C$28, 0, 0)</f>
        <v>300.51760076726498</v>
      </c>
    </row>
    <row r="597" spans="1:5" ht="15">
      <c r="A597" s="13">
        <v>60053</v>
      </c>
      <c r="B597" s="4">
        <f>53.9029 * CHOOSE(CONTROL!$C$9, $C$13, 100%, $E$13) + CHOOSE(CONTROL!$C$28, 0.0197, 0)</f>
        <v>53.922600000000003</v>
      </c>
      <c r="C597" s="4">
        <f>53.5904 * CHOOSE(CONTROL!$C$9, $C$13, 100%, $E$13) + CHOOSE(CONTROL!$C$28, 0.0197, 0)</f>
        <v>53.610100000000003</v>
      </c>
      <c r="D597" s="4">
        <f>54.2622 * CHOOSE(CONTROL!$C$9, $C$13, 100%, $E$13) + CHOOSE(CONTROL!$C$28, 0, 0)</f>
        <v>54.2622</v>
      </c>
      <c r="E597" s="4">
        <f>307.713593902886 * CHOOSE(CONTROL!$C$9, $C$13, 100%, $E$13) + CHOOSE(CONTROL!$C$28, 0, 0)</f>
        <v>307.71359390288598</v>
      </c>
    </row>
    <row r="598" spans="1:5" ht="15">
      <c r="A598" s="13">
        <v>60083</v>
      </c>
      <c r="B598" s="4">
        <f>54.0676 * CHOOSE(CONTROL!$C$9, $C$13, 100%, $E$13) + CHOOSE(CONTROL!$C$28, 0.0197, 0)</f>
        <v>54.087299999999999</v>
      </c>
      <c r="C598" s="4">
        <f>53.7551 * CHOOSE(CONTROL!$C$9, $C$13, 100%, $E$13) + CHOOSE(CONTROL!$C$28, 0.0197, 0)</f>
        <v>53.774799999999999</v>
      </c>
      <c r="D598" s="4">
        <f>54.7523 * CHOOSE(CONTROL!$C$9, $C$13, 100%, $E$13) + CHOOSE(CONTROL!$C$28, 0, 0)</f>
        <v>54.752299999999998</v>
      </c>
      <c r="E598" s="4">
        <f>308.687241638121 * CHOOSE(CONTROL!$C$9, $C$13, 100%, $E$13) + CHOOSE(CONTROL!$C$28, 0, 0)</f>
        <v>308.68724163812101</v>
      </c>
    </row>
    <row r="599" spans="1:5" ht="15">
      <c r="A599" s="13">
        <v>60114</v>
      </c>
      <c r="B599" s="4">
        <f>54.051 * CHOOSE(CONTROL!$C$9, $C$13, 100%, $E$13) + CHOOSE(CONTROL!$C$28, 0.0197, 0)</f>
        <v>54.070700000000002</v>
      </c>
      <c r="C599" s="4">
        <f>53.7385 * CHOOSE(CONTROL!$C$9, $C$13, 100%, $E$13) + CHOOSE(CONTROL!$C$28, 0.0197, 0)</f>
        <v>53.758200000000002</v>
      </c>
      <c r="D599" s="4">
        <f>55.6365 * CHOOSE(CONTROL!$C$9, $C$13, 100%, $E$13) + CHOOSE(CONTROL!$C$28, 0, 0)</f>
        <v>55.636499999999998</v>
      </c>
      <c r="E599" s="4">
        <f>308.589058673224 * CHOOSE(CONTROL!$C$9, $C$13, 100%, $E$13) + CHOOSE(CONTROL!$C$28, 0, 0)</f>
        <v>308.58905867322397</v>
      </c>
    </row>
    <row r="600" spans="1:5" ht="15">
      <c r="A600" s="13">
        <v>60145</v>
      </c>
      <c r="B600" s="4">
        <f>55.3002 * CHOOSE(CONTROL!$C$9, $C$13, 100%, $E$13) + CHOOSE(CONTROL!$C$28, 0.0197, 0)</f>
        <v>55.319899999999997</v>
      </c>
      <c r="C600" s="4">
        <f>54.9877 * CHOOSE(CONTROL!$C$9, $C$13, 100%, $E$13) + CHOOSE(CONTROL!$C$28, 0.0197, 0)</f>
        <v>55.007399999999997</v>
      </c>
      <c r="D600" s="4">
        <f>55.0525 * CHOOSE(CONTROL!$C$9, $C$13, 100%, $E$13) + CHOOSE(CONTROL!$C$28, 0, 0)</f>
        <v>55.052500000000002</v>
      </c>
      <c r="E600" s="4">
        <f>315.97732678177 * CHOOSE(CONTROL!$C$9, $C$13, 100%, $E$13) + CHOOSE(CONTROL!$C$28, 0, 0)</f>
        <v>315.97732678176999</v>
      </c>
    </row>
    <row r="601" spans="1:5" ht="15">
      <c r="A601" s="13">
        <v>60175</v>
      </c>
      <c r="B601" s="4">
        <f>53.1711 * CHOOSE(CONTROL!$C$9, $C$13, 100%, $E$13) + CHOOSE(CONTROL!$C$28, 0.0197, 0)</f>
        <v>53.190800000000003</v>
      </c>
      <c r="C601" s="4">
        <f>52.8586 * CHOOSE(CONTROL!$C$9, $C$13, 100%, $E$13) + CHOOSE(CONTROL!$C$28, 0.0197, 0)</f>
        <v>52.878300000000003</v>
      </c>
      <c r="D601" s="4">
        <f>54.7766 * CHOOSE(CONTROL!$C$9, $C$13, 100%, $E$13) + CHOOSE(CONTROL!$C$28, 0, 0)</f>
        <v>54.776600000000002</v>
      </c>
      <c r="E601" s="4">
        <f>303.38536153365 * CHOOSE(CONTROL!$C$9, $C$13, 100%, $E$13) + CHOOSE(CONTROL!$C$28, 0, 0)</f>
        <v>303.38536153364998</v>
      </c>
    </row>
    <row r="602" spans="1:5" ht="15">
      <c r="A602" s="13">
        <v>60206</v>
      </c>
      <c r="B602" s="4">
        <f>51.4668 * CHOOSE(CONTROL!$C$9, $C$13, 100%, $E$13) + CHOOSE(CONTROL!$C$28, 0.0003, 0)</f>
        <v>51.467100000000002</v>
      </c>
      <c r="C602" s="4">
        <f>51.1543 * CHOOSE(CONTROL!$C$9, $C$13, 100%, $E$13) + CHOOSE(CONTROL!$C$28, 0.0003, 0)</f>
        <v>51.154600000000002</v>
      </c>
      <c r="D602" s="4">
        <f>54.0379 * CHOOSE(CONTROL!$C$9, $C$13, 100%, $E$13) + CHOOSE(CONTROL!$C$28, 0, 0)</f>
        <v>54.0379</v>
      </c>
      <c r="E602" s="4">
        <f>293.305243804161 * CHOOSE(CONTROL!$C$9, $C$13, 100%, $E$13) + CHOOSE(CONTROL!$C$28, 0, 0)</f>
        <v>293.30524380416102</v>
      </c>
    </row>
    <row r="603" spans="1:5" ht="15">
      <c r="A603" s="13">
        <v>60236</v>
      </c>
      <c r="B603" s="4">
        <f>50.3691 * CHOOSE(CONTROL!$C$9, $C$13, 100%, $E$13) + CHOOSE(CONTROL!$C$28, 0.0003, 0)</f>
        <v>50.369400000000006</v>
      </c>
      <c r="C603" s="4">
        <f>50.0566 * CHOOSE(CONTROL!$C$9, $C$13, 100%, $E$13) + CHOOSE(CONTROL!$C$28, 0.0003, 0)</f>
        <v>50.056900000000006</v>
      </c>
      <c r="D603" s="4">
        <f>53.784 * CHOOSE(CONTROL!$C$9, $C$13, 100%, $E$13) + CHOOSE(CONTROL!$C$28, 0, 0)</f>
        <v>53.783999999999999</v>
      </c>
      <c r="E603" s="4">
        <f>286.812895250305 * CHOOSE(CONTROL!$C$9, $C$13, 100%, $E$13) + CHOOSE(CONTROL!$C$28, 0, 0)</f>
        <v>286.81289525030502</v>
      </c>
    </row>
    <row r="604" spans="1:5" ht="15">
      <c r="A604" s="13">
        <v>60267</v>
      </c>
      <c r="B604" s="4">
        <f>49.6096 * CHOOSE(CONTROL!$C$9, $C$13, 100%, $E$13) + CHOOSE(CONTROL!$C$28, 0.0003, 0)</f>
        <v>49.609900000000003</v>
      </c>
      <c r="C604" s="4">
        <f>49.2971 * CHOOSE(CONTROL!$C$9, $C$13, 100%, $E$13) + CHOOSE(CONTROL!$C$28, 0.0003, 0)</f>
        <v>49.297400000000003</v>
      </c>
      <c r="D604" s="4">
        <f>51.9143 * CHOOSE(CONTROL!$C$9, $C$13, 100%, $E$13) + CHOOSE(CONTROL!$C$28, 0, 0)</f>
        <v>51.914299999999997</v>
      </c>
      <c r="E604" s="4">
        <f>282.321024606239 * CHOOSE(CONTROL!$C$9, $C$13, 100%, $E$13) + CHOOSE(CONTROL!$C$28, 0, 0)</f>
        <v>282.32102460623901</v>
      </c>
    </row>
    <row r="605" spans="1:5" ht="15">
      <c r="A605" s="13">
        <v>60298</v>
      </c>
      <c r="B605" s="4">
        <f>48.3756 * CHOOSE(CONTROL!$C$9, $C$13, 100%, $E$13) + CHOOSE(CONTROL!$C$28, 0.0003, 0)</f>
        <v>48.375900000000001</v>
      </c>
      <c r="C605" s="4">
        <f>48.0631 * CHOOSE(CONTROL!$C$9, $C$13, 100%, $E$13) + CHOOSE(CONTROL!$C$28, 0.0003, 0)</f>
        <v>48.063400000000001</v>
      </c>
      <c r="D605" s="4">
        <f>50.1958 * CHOOSE(CONTROL!$C$9, $C$13, 100%, $E$13) + CHOOSE(CONTROL!$C$28, 0, 0)</f>
        <v>50.195799999999998</v>
      </c>
      <c r="E605" s="4">
        <f>274.22513346037 * CHOOSE(CONTROL!$C$9, $C$13, 100%, $E$13) + CHOOSE(CONTROL!$C$28, 0, 0)</f>
        <v>274.22513346036999</v>
      </c>
    </row>
    <row r="606" spans="1:5" ht="15">
      <c r="A606" s="13">
        <v>60326</v>
      </c>
      <c r="B606" s="4">
        <f>49.4797 * CHOOSE(CONTROL!$C$9, $C$13, 100%, $E$13) + CHOOSE(CONTROL!$C$28, 0.0003, 0)</f>
        <v>49.480000000000004</v>
      </c>
      <c r="C606" s="4">
        <f>49.1672 * CHOOSE(CONTROL!$C$9, $C$13, 100%, $E$13) + CHOOSE(CONTROL!$C$28, 0.0003, 0)</f>
        <v>49.167500000000004</v>
      </c>
      <c r="D606" s="4">
        <f>51.9263 * CHOOSE(CONTROL!$C$9, $C$13, 100%, $E$13) + CHOOSE(CONTROL!$C$28, 0, 0)</f>
        <v>51.926299999999998</v>
      </c>
      <c r="E606" s="4">
        <f>280.736318825137 * CHOOSE(CONTROL!$C$9, $C$13, 100%, $E$13) + CHOOSE(CONTROL!$C$28, 0, 0)</f>
        <v>280.736318825137</v>
      </c>
    </row>
    <row r="607" spans="1:5" ht="15">
      <c r="A607" s="13">
        <v>60357</v>
      </c>
      <c r="B607" s="4">
        <f>52.3791 * CHOOSE(CONTROL!$C$9, $C$13, 100%, $E$13) + CHOOSE(CONTROL!$C$28, 0.0003, 0)</f>
        <v>52.379400000000004</v>
      </c>
      <c r="C607" s="4">
        <f>52.0666 * CHOOSE(CONTROL!$C$9, $C$13, 100%, $E$13) + CHOOSE(CONTROL!$C$28, 0.0003, 0)</f>
        <v>52.066900000000004</v>
      </c>
      <c r="D607" s="4">
        <f>54.6352 * CHOOSE(CONTROL!$C$9, $C$13, 100%, $E$13) + CHOOSE(CONTROL!$C$28, 0, 0)</f>
        <v>54.635199999999998</v>
      </c>
      <c r="E607" s="4">
        <f>297.835037618418 * CHOOSE(CONTROL!$C$9, $C$13, 100%, $E$13) + CHOOSE(CONTROL!$C$28, 0, 0)</f>
        <v>297.83503761841803</v>
      </c>
    </row>
    <row r="608" spans="1:5" ht="15">
      <c r="A608" s="13">
        <v>60387</v>
      </c>
      <c r="B608" s="4">
        <f>54.4392 * CHOOSE(CONTROL!$C$9, $C$13, 100%, $E$13) + CHOOSE(CONTROL!$C$28, 0.0003, 0)</f>
        <v>54.439500000000002</v>
      </c>
      <c r="C608" s="4">
        <f>54.1267 * CHOOSE(CONTROL!$C$9, $C$13, 100%, $E$13) + CHOOSE(CONTROL!$C$28, 0.0003, 0)</f>
        <v>54.127000000000002</v>
      </c>
      <c r="D608" s="4">
        <f>56.1957 * CHOOSE(CONTROL!$C$9, $C$13, 100%, $E$13) + CHOOSE(CONTROL!$C$28, 0, 0)</f>
        <v>56.195700000000002</v>
      </c>
      <c r="E608" s="4">
        <f>309.983905191434 * CHOOSE(CONTROL!$C$9, $C$13, 100%, $E$13) + CHOOSE(CONTROL!$C$28, 0, 0)</f>
        <v>309.98390519143402</v>
      </c>
    </row>
    <row r="609" spans="1:5" ht="15">
      <c r="A609" s="13">
        <v>60418</v>
      </c>
      <c r="B609" s="4">
        <f>55.6979 * CHOOSE(CONTROL!$C$9, $C$13, 100%, $E$13) + CHOOSE(CONTROL!$C$28, 0.0197, 0)</f>
        <v>55.717599999999997</v>
      </c>
      <c r="C609" s="4">
        <f>55.3854 * CHOOSE(CONTROL!$C$9, $C$13, 100%, $E$13) + CHOOSE(CONTROL!$C$28, 0.0197, 0)</f>
        <v>55.405099999999997</v>
      </c>
      <c r="D609" s="4">
        <f>55.579 * CHOOSE(CONTROL!$C$9, $C$13, 100%, $E$13) + CHOOSE(CONTROL!$C$28, 0, 0)</f>
        <v>55.579000000000001</v>
      </c>
      <c r="E609" s="4">
        <f>317.406572110827 * CHOOSE(CONTROL!$C$9, $C$13, 100%, $E$13) + CHOOSE(CONTROL!$C$28, 0, 0)</f>
        <v>317.40657211082703</v>
      </c>
    </row>
    <row r="610" spans="1:5" ht="15">
      <c r="A610" s="13">
        <v>60448</v>
      </c>
      <c r="B610" s="4">
        <f>55.8682 * CHOOSE(CONTROL!$C$9, $C$13, 100%, $E$13) + CHOOSE(CONTROL!$C$28, 0.0197, 0)</f>
        <v>55.887900000000002</v>
      </c>
      <c r="C610" s="4">
        <f>55.5557 * CHOOSE(CONTROL!$C$9, $C$13, 100%, $E$13) + CHOOSE(CONTROL!$C$28, 0.0197, 0)</f>
        <v>55.575400000000002</v>
      </c>
      <c r="D610" s="4">
        <f>56.0812 * CHOOSE(CONTROL!$C$9, $C$13, 100%, $E$13) + CHOOSE(CONTROL!$C$28, 0, 0)</f>
        <v>56.081200000000003</v>
      </c>
      <c r="E610" s="4">
        <f>318.410889749722 * CHOOSE(CONTROL!$C$9, $C$13, 100%, $E$13) + CHOOSE(CONTROL!$C$28, 0, 0)</f>
        <v>318.410889749722</v>
      </c>
    </row>
    <row r="611" spans="1:5" ht="15">
      <c r="A611" s="13">
        <v>60479</v>
      </c>
      <c r="B611" s="4">
        <f>55.851 * CHOOSE(CONTROL!$C$9, $C$13, 100%, $E$13) + CHOOSE(CONTROL!$C$28, 0.0197, 0)</f>
        <v>55.870699999999999</v>
      </c>
      <c r="C611" s="4">
        <f>55.5385 * CHOOSE(CONTROL!$C$9, $C$13, 100%, $E$13) + CHOOSE(CONTROL!$C$28, 0.0197, 0)</f>
        <v>55.558199999999999</v>
      </c>
      <c r="D611" s="4">
        <f>56.9873 * CHOOSE(CONTROL!$C$9, $C$13, 100%, $E$13) + CHOOSE(CONTROL!$C$28, 0, 0)</f>
        <v>56.987299999999998</v>
      </c>
      <c r="E611" s="4">
        <f>318.30961402143 * CHOOSE(CONTROL!$C$9, $C$13, 100%, $E$13) + CHOOSE(CONTROL!$C$28, 0, 0)</f>
        <v>318.30961402142998</v>
      </c>
    </row>
    <row r="612" spans="1:5" ht="15">
      <c r="A612" s="13">
        <v>60510</v>
      </c>
      <c r="B612" s="4">
        <f>57.1433 * CHOOSE(CONTROL!$C$9, $C$13, 100%, $E$13) + CHOOSE(CONTROL!$C$28, 0.0197, 0)</f>
        <v>57.163000000000004</v>
      </c>
      <c r="C612" s="4">
        <f>56.8308 * CHOOSE(CONTROL!$C$9, $C$13, 100%, $E$13) + CHOOSE(CONTROL!$C$28, 0.0197, 0)</f>
        <v>56.850500000000004</v>
      </c>
      <c r="D612" s="4">
        <f>56.3889 * CHOOSE(CONTROL!$C$9, $C$13, 100%, $E$13) + CHOOSE(CONTROL!$C$28, 0, 0)</f>
        <v>56.3889</v>
      </c>
      <c r="E612" s="4">
        <f>325.930612575395 * CHOOSE(CONTROL!$C$9, $C$13, 100%, $E$13) + CHOOSE(CONTROL!$C$28, 0, 0)</f>
        <v>325.930612575395</v>
      </c>
    </row>
    <row r="613" spans="1:5" ht="15">
      <c r="A613" s="13">
        <v>60540</v>
      </c>
      <c r="B613" s="4">
        <f>54.9408 * CHOOSE(CONTROL!$C$9, $C$13, 100%, $E$13) + CHOOSE(CONTROL!$C$28, 0.0197, 0)</f>
        <v>54.960500000000003</v>
      </c>
      <c r="C613" s="4">
        <f>54.6283 * CHOOSE(CONTROL!$C$9, $C$13, 100%, $E$13) + CHOOSE(CONTROL!$C$28, 0.0197, 0)</f>
        <v>54.648000000000003</v>
      </c>
      <c r="D613" s="4">
        <f>56.1062 * CHOOSE(CONTROL!$C$9, $C$13, 100%, $E$13) + CHOOSE(CONTROL!$C$28, 0, 0)</f>
        <v>56.106200000000001</v>
      </c>
      <c r="E613" s="4">
        <f>312.94200042196 * CHOOSE(CONTROL!$C$9, $C$13, 100%, $E$13) + CHOOSE(CONTROL!$C$28, 0, 0)</f>
        <v>312.94200042196002</v>
      </c>
    </row>
    <row r="614" spans="1:5" ht="15">
      <c r="A614" s="13">
        <v>60571</v>
      </c>
      <c r="B614" s="4">
        <f>53.1777 * CHOOSE(CONTROL!$C$9, $C$13, 100%, $E$13) + CHOOSE(CONTROL!$C$28, 0.0003, 0)</f>
        <v>53.178000000000004</v>
      </c>
      <c r="C614" s="4">
        <f>52.8652 * CHOOSE(CONTROL!$C$9, $C$13, 100%, $E$13) + CHOOSE(CONTROL!$C$28, 0.0003, 0)</f>
        <v>52.865500000000004</v>
      </c>
      <c r="D614" s="4">
        <f>55.3492 * CHOOSE(CONTROL!$C$9, $C$13, 100%, $E$13) + CHOOSE(CONTROL!$C$28, 0, 0)</f>
        <v>55.349200000000003</v>
      </c>
      <c r="E614" s="4">
        <f>302.544358983992 * CHOOSE(CONTROL!$C$9, $C$13, 100%, $E$13) + CHOOSE(CONTROL!$C$28, 0, 0)</f>
        <v>302.54435898399203</v>
      </c>
    </row>
    <row r="615" spans="1:5" ht="15">
      <c r="A615" s="13">
        <v>60601</v>
      </c>
      <c r="B615" s="4">
        <f>52.0421 * CHOOSE(CONTROL!$C$9, $C$13, 100%, $E$13) + CHOOSE(CONTROL!$C$28, 0.0003, 0)</f>
        <v>52.042400000000001</v>
      </c>
      <c r="C615" s="4">
        <f>51.7296 * CHOOSE(CONTROL!$C$9, $C$13, 100%, $E$13) + CHOOSE(CONTROL!$C$28, 0.0003, 0)</f>
        <v>51.729900000000001</v>
      </c>
      <c r="D615" s="4">
        <f>55.0889 * CHOOSE(CONTROL!$C$9, $C$13, 100%, $E$13) + CHOOSE(CONTROL!$C$28, 0, 0)</f>
        <v>55.088900000000002</v>
      </c>
      <c r="E615" s="4">
        <f>295.84750145069 * CHOOSE(CONTROL!$C$9, $C$13, 100%, $E$13) + CHOOSE(CONTROL!$C$28, 0, 0)</f>
        <v>295.84750145069</v>
      </c>
    </row>
    <row r="616" spans="1:5" ht="15">
      <c r="A616" s="13">
        <v>60632</v>
      </c>
      <c r="B616" s="4">
        <f>51.2564 * CHOOSE(CONTROL!$C$9, $C$13, 100%, $E$13) + CHOOSE(CONTROL!$C$28, 0.0003, 0)</f>
        <v>51.256700000000002</v>
      </c>
      <c r="C616" s="4">
        <f>50.9439 * CHOOSE(CONTROL!$C$9, $C$13, 100%, $E$13) + CHOOSE(CONTROL!$C$28, 0.0003, 0)</f>
        <v>50.944200000000002</v>
      </c>
      <c r="D616" s="4">
        <f>53.1728 * CHOOSE(CONTROL!$C$9, $C$13, 100%, $E$13) + CHOOSE(CONTROL!$C$28, 0, 0)</f>
        <v>53.172800000000002</v>
      </c>
      <c r="E616" s="4">
        <f>291.214136881336 * CHOOSE(CONTROL!$C$9, $C$13, 100%, $E$13) + CHOOSE(CONTROL!$C$28, 0, 0)</f>
        <v>291.214136881336</v>
      </c>
    </row>
    <row r="617" spans="1:5" ht="15">
      <c r="A617" s="13">
        <v>60663</v>
      </c>
      <c r="B617" s="4">
        <f>49.9799 * CHOOSE(CONTROL!$C$9, $C$13, 100%, $E$13) + CHOOSE(CONTROL!$C$28, 0.0003, 0)</f>
        <v>49.980200000000004</v>
      </c>
      <c r="C617" s="4">
        <f>49.6674 * CHOOSE(CONTROL!$C$9, $C$13, 100%, $E$13) + CHOOSE(CONTROL!$C$28, 0.0003, 0)</f>
        <v>49.667700000000004</v>
      </c>
      <c r="D617" s="4">
        <f>51.4118 * CHOOSE(CONTROL!$C$9, $C$13, 100%, $E$13) + CHOOSE(CONTROL!$C$28, 0, 0)</f>
        <v>51.411799999999999</v>
      </c>
      <c r="E617" s="4">
        <f>282.863225164372 * CHOOSE(CONTROL!$C$9, $C$13, 100%, $E$13) + CHOOSE(CONTROL!$C$28, 0, 0)</f>
        <v>282.86322516437201</v>
      </c>
    </row>
    <row r="618" spans="1:5" ht="15">
      <c r="A618" s="13">
        <v>60691</v>
      </c>
      <c r="B618" s="4">
        <f>51.1221 * CHOOSE(CONTROL!$C$9, $C$13, 100%, $E$13) + CHOOSE(CONTROL!$C$28, 0.0003, 0)</f>
        <v>51.122400000000006</v>
      </c>
      <c r="C618" s="4">
        <f>50.8096 * CHOOSE(CONTROL!$C$9, $C$13, 100%, $E$13) + CHOOSE(CONTROL!$C$28, 0.0003, 0)</f>
        <v>50.809900000000006</v>
      </c>
      <c r="D618" s="4">
        <f>53.1852 * CHOOSE(CONTROL!$C$9, $C$13, 100%, $E$13) + CHOOSE(CONTROL!$C$28, 0, 0)</f>
        <v>53.185200000000002</v>
      </c>
      <c r="E618" s="4">
        <f>289.579512868128 * CHOOSE(CONTROL!$C$9, $C$13, 100%, $E$13) + CHOOSE(CONTROL!$C$28, 0, 0)</f>
        <v>289.57951286812801</v>
      </c>
    </row>
    <row r="619" spans="1:5" ht="15">
      <c r="A619" s="13">
        <v>60722</v>
      </c>
      <c r="B619" s="4">
        <f>54.1215 * CHOOSE(CONTROL!$C$9, $C$13, 100%, $E$13) + CHOOSE(CONTROL!$C$28, 0.0003, 0)</f>
        <v>54.1218</v>
      </c>
      <c r="C619" s="4">
        <f>53.809 * CHOOSE(CONTROL!$C$9, $C$13, 100%, $E$13) + CHOOSE(CONTROL!$C$28, 0.0003, 0)</f>
        <v>53.8093</v>
      </c>
      <c r="D619" s="4">
        <f>55.9613 * CHOOSE(CONTROL!$C$9, $C$13, 100%, $E$13) + CHOOSE(CONTROL!$C$28, 0, 0)</f>
        <v>55.961300000000001</v>
      </c>
      <c r="E619" s="4">
        <f>307.216841303399 * CHOOSE(CONTROL!$C$9, $C$13, 100%, $E$13) + CHOOSE(CONTROL!$C$28, 0, 0)</f>
        <v>307.21684130339901</v>
      </c>
    </row>
    <row r="620" spans="1:5" ht="15">
      <c r="A620" s="13">
        <v>60752</v>
      </c>
      <c r="B620" s="4">
        <f>56.2527 * CHOOSE(CONTROL!$C$9, $C$13, 100%, $E$13) + CHOOSE(CONTROL!$C$28, 0.0003, 0)</f>
        <v>56.253</v>
      </c>
      <c r="C620" s="4">
        <f>55.9402 * CHOOSE(CONTROL!$C$9, $C$13, 100%, $E$13) + CHOOSE(CONTROL!$C$28, 0.0003, 0)</f>
        <v>55.9405</v>
      </c>
      <c r="D620" s="4">
        <f>57.5604 * CHOOSE(CONTROL!$C$9, $C$13, 100%, $E$13) + CHOOSE(CONTROL!$C$28, 0, 0)</f>
        <v>57.560400000000001</v>
      </c>
      <c r="E620" s="4">
        <f>319.748398204964 * CHOOSE(CONTROL!$C$9, $C$13, 100%, $E$13) + CHOOSE(CONTROL!$C$28, 0, 0)</f>
        <v>319.74839820496402</v>
      </c>
    </row>
    <row r="621" spans="1:5" ht="15">
      <c r="A621" s="13">
        <v>60783</v>
      </c>
      <c r="B621" s="4">
        <f>57.5548 * CHOOSE(CONTROL!$C$9, $C$13, 100%, $E$13) + CHOOSE(CONTROL!$C$28, 0.0197, 0)</f>
        <v>57.5745</v>
      </c>
      <c r="C621" s="4">
        <f>57.2423 * CHOOSE(CONTROL!$C$9, $C$13, 100%, $E$13) + CHOOSE(CONTROL!$C$28, 0.0197, 0)</f>
        <v>57.262</v>
      </c>
      <c r="D621" s="4">
        <f>56.9285 * CHOOSE(CONTROL!$C$9, $C$13, 100%, $E$13) + CHOOSE(CONTROL!$C$28, 0, 0)</f>
        <v>56.9285</v>
      </c>
      <c r="E621" s="4">
        <f>327.404879132319 * CHOOSE(CONTROL!$C$9, $C$13, 100%, $E$13) + CHOOSE(CONTROL!$C$28, 0, 0)</f>
        <v>327.40487913231902</v>
      </c>
    </row>
    <row r="622" spans="1:5" ht="15">
      <c r="A622" s="13">
        <v>60813</v>
      </c>
      <c r="B622" s="4">
        <f>57.731 * CHOOSE(CONTROL!$C$9, $C$13, 100%, $E$13) + CHOOSE(CONTROL!$C$28, 0.0197, 0)</f>
        <v>57.750700000000002</v>
      </c>
      <c r="C622" s="4">
        <f>57.4185 * CHOOSE(CONTROL!$C$9, $C$13, 100%, $E$13) + CHOOSE(CONTROL!$C$28, 0.0197, 0)</f>
        <v>57.438200000000002</v>
      </c>
      <c r="D622" s="4">
        <f>57.4431 * CHOOSE(CONTROL!$C$9, $C$13, 100%, $E$13) + CHOOSE(CONTROL!$C$28, 0, 0)</f>
        <v>57.443100000000001</v>
      </c>
      <c r="E622" s="4">
        <f>328.440832776838 * CHOOSE(CONTROL!$C$9, $C$13, 100%, $E$13) + CHOOSE(CONTROL!$C$28, 0, 0)</f>
        <v>328.44083277683802</v>
      </c>
    </row>
    <row r="623" spans="1:5" ht="15">
      <c r="A623" s="13">
        <v>60844</v>
      </c>
      <c r="B623" s="4">
        <f>57.7132 * CHOOSE(CONTROL!$C$9, $C$13, 100%, $E$13) + CHOOSE(CONTROL!$C$28, 0.0197, 0)</f>
        <v>57.732900000000001</v>
      </c>
      <c r="C623" s="4">
        <f>57.4007 * CHOOSE(CONTROL!$C$9, $C$13, 100%, $E$13) + CHOOSE(CONTROL!$C$28, 0.0197, 0)</f>
        <v>57.420400000000001</v>
      </c>
      <c r="D623" s="4">
        <f>58.3717 * CHOOSE(CONTROL!$C$9, $C$13, 100%, $E$13) + CHOOSE(CONTROL!$C$28, 0, 0)</f>
        <v>58.371699999999997</v>
      </c>
      <c r="E623" s="4">
        <f>328.336366863105 * CHOOSE(CONTROL!$C$9, $C$13, 100%, $E$13) + CHOOSE(CONTROL!$C$28, 0, 0)</f>
        <v>328.33636686310501</v>
      </c>
    </row>
    <row r="624" spans="1:5" ht="15">
      <c r="A624" s="13">
        <v>60875</v>
      </c>
      <c r="B624" s="4">
        <f>59.0501 * CHOOSE(CONTROL!$C$9, $C$13, 100%, $E$13) + CHOOSE(CONTROL!$C$28, 0.0197, 0)</f>
        <v>59.069800000000001</v>
      </c>
      <c r="C624" s="4">
        <f>58.7376 * CHOOSE(CONTROL!$C$9, $C$13, 100%, $E$13) + CHOOSE(CONTROL!$C$28, 0.0197, 0)</f>
        <v>58.757300000000001</v>
      </c>
      <c r="D624" s="4">
        <f>57.7585 * CHOOSE(CONTROL!$C$9, $C$13, 100%, $E$13) + CHOOSE(CONTROL!$C$28, 0, 0)</f>
        <v>57.758499999999998</v>
      </c>
      <c r="E624" s="4">
        <f>336.19742687152 * CHOOSE(CONTROL!$C$9, $C$13, 100%, $E$13) + CHOOSE(CONTROL!$C$28, 0, 0)</f>
        <v>336.19742687152001</v>
      </c>
    </row>
    <row r="625" spans="1:5" ht="15">
      <c r="A625" s="13">
        <v>60905</v>
      </c>
      <c r="B625" s="4">
        <f>56.7716 * CHOOSE(CONTROL!$C$9, $C$13, 100%, $E$13) + CHOOSE(CONTROL!$C$28, 0.0197, 0)</f>
        <v>56.7913</v>
      </c>
      <c r="C625" s="4">
        <f>56.4591 * CHOOSE(CONTROL!$C$9, $C$13, 100%, $E$13) + CHOOSE(CONTROL!$C$28, 0.0197, 0)</f>
        <v>56.4788</v>
      </c>
      <c r="D625" s="4">
        <f>57.4687 * CHOOSE(CONTROL!$C$9, $C$13, 100%, $E$13) + CHOOSE(CONTROL!$C$28, 0, 0)</f>
        <v>57.468699999999998</v>
      </c>
      <c r="E625" s="4">
        <f>322.799673435251 * CHOOSE(CONTROL!$C$9, $C$13, 100%, $E$13) + CHOOSE(CONTROL!$C$28, 0, 0)</f>
        <v>322.79967343525101</v>
      </c>
    </row>
    <row r="626" spans="1:5" ht="15">
      <c r="A626" s="13">
        <v>60936</v>
      </c>
      <c r="B626" s="4">
        <f>54.9477 * CHOOSE(CONTROL!$C$9, $C$13, 100%, $E$13) + CHOOSE(CONTROL!$C$28, 0.0003, 0)</f>
        <v>54.948</v>
      </c>
      <c r="C626" s="4">
        <f>54.6352 * CHOOSE(CONTROL!$C$9, $C$13, 100%, $E$13) + CHOOSE(CONTROL!$C$28, 0.0003, 0)</f>
        <v>54.6355</v>
      </c>
      <c r="D626" s="4">
        <f>56.6929 * CHOOSE(CONTROL!$C$9, $C$13, 100%, $E$13) + CHOOSE(CONTROL!$C$28, 0, 0)</f>
        <v>56.692900000000002</v>
      </c>
      <c r="E626" s="4">
        <f>312.074506291987 * CHOOSE(CONTROL!$C$9, $C$13, 100%, $E$13) + CHOOSE(CONTROL!$C$28, 0, 0)</f>
        <v>312.07450629198701</v>
      </c>
    </row>
    <row r="627" spans="1:5" ht="15">
      <c r="A627" s="13">
        <v>60966</v>
      </c>
      <c r="B627" s="4">
        <f>53.7729 * CHOOSE(CONTROL!$C$9, $C$13, 100%, $E$13) + CHOOSE(CONTROL!$C$28, 0.0003, 0)</f>
        <v>53.773200000000003</v>
      </c>
      <c r="C627" s="4">
        <f>53.4604 * CHOOSE(CONTROL!$C$9, $C$13, 100%, $E$13) + CHOOSE(CONTROL!$C$28, 0.0003, 0)</f>
        <v>53.460700000000003</v>
      </c>
      <c r="D627" s="4">
        <f>56.4262 * CHOOSE(CONTROL!$C$9, $C$13, 100%, $E$13) + CHOOSE(CONTROL!$C$28, 0, 0)</f>
        <v>56.426200000000001</v>
      </c>
      <c r="E627" s="4">
        <f>305.166697746387 * CHOOSE(CONTROL!$C$9, $C$13, 100%, $E$13) + CHOOSE(CONTROL!$C$28, 0, 0)</f>
        <v>305.166697746387</v>
      </c>
    </row>
    <row r="628" spans="1:5" ht="15">
      <c r="A628" s="13">
        <v>60997</v>
      </c>
      <c r="B628" s="4">
        <f>52.9601 * CHOOSE(CONTROL!$C$9, $C$13, 100%, $E$13) + CHOOSE(CONTROL!$C$28, 0.0003, 0)</f>
        <v>52.9604</v>
      </c>
      <c r="C628" s="4">
        <f>52.6476 * CHOOSE(CONTROL!$C$9, $C$13, 100%, $E$13) + CHOOSE(CONTROL!$C$28, 0.0003, 0)</f>
        <v>52.6479</v>
      </c>
      <c r="D628" s="4">
        <f>54.4626 * CHOOSE(CONTROL!$C$9, $C$13, 100%, $E$13) + CHOOSE(CONTROL!$C$28, 0, 0)</f>
        <v>54.462600000000002</v>
      </c>
      <c r="E628" s="4">
        <f>300.387382193098 * CHOOSE(CONTROL!$C$9, $C$13, 100%, $E$13) + CHOOSE(CONTROL!$C$28, 0, 0)</f>
        <v>300.38738219309801</v>
      </c>
    </row>
    <row r="629" spans="1:5" ht="15">
      <c r="A629" s="13">
        <v>61028</v>
      </c>
      <c r="B629" s="4">
        <f>51.6395 * CHOOSE(CONTROL!$C$9, $C$13, 100%, $E$13) + CHOOSE(CONTROL!$C$28, 0.0003, 0)</f>
        <v>51.639800000000001</v>
      </c>
      <c r="C629" s="4">
        <f>51.327 * CHOOSE(CONTROL!$C$9, $C$13, 100%, $E$13) + CHOOSE(CONTROL!$C$28, 0.0003, 0)</f>
        <v>51.327300000000001</v>
      </c>
      <c r="D629" s="4">
        <f>52.6579 * CHOOSE(CONTROL!$C$9, $C$13, 100%, $E$13) + CHOOSE(CONTROL!$C$28, 0, 0)</f>
        <v>52.657899999999998</v>
      </c>
      <c r="E629" s="4">
        <f>291.773416757049 * CHOOSE(CONTROL!$C$9, $C$13, 100%, $E$13) + CHOOSE(CONTROL!$C$28, 0, 0)</f>
        <v>291.77341675704901</v>
      </c>
    </row>
    <row r="630" spans="1:5" ht="15">
      <c r="A630" s="13">
        <v>61056</v>
      </c>
      <c r="B630" s="4">
        <f>52.8211 * CHOOSE(CONTROL!$C$9, $C$13, 100%, $E$13) + CHOOSE(CONTROL!$C$28, 0.0003, 0)</f>
        <v>52.821400000000004</v>
      </c>
      <c r="C630" s="4">
        <f>52.5086 * CHOOSE(CONTROL!$C$9, $C$13, 100%, $E$13) + CHOOSE(CONTROL!$C$28, 0.0003, 0)</f>
        <v>52.508900000000004</v>
      </c>
      <c r="D630" s="4">
        <f>54.4753 * CHOOSE(CONTROL!$C$9, $C$13, 100%, $E$13) + CHOOSE(CONTROL!$C$28, 0, 0)</f>
        <v>54.475299999999997</v>
      </c>
      <c r="E630" s="4">
        <f>298.701267523475 * CHOOSE(CONTROL!$C$9, $C$13, 100%, $E$13) + CHOOSE(CONTROL!$C$28, 0, 0)</f>
        <v>298.701267523475</v>
      </c>
    </row>
    <row r="631" spans="1:5" ht="15">
      <c r="A631" s="13">
        <v>61087</v>
      </c>
      <c r="B631" s="4">
        <f>55.924 * CHOOSE(CONTROL!$C$9, $C$13, 100%, $E$13) + CHOOSE(CONTROL!$C$28, 0.0003, 0)</f>
        <v>55.924300000000002</v>
      </c>
      <c r="C631" s="4">
        <f>55.6115 * CHOOSE(CONTROL!$C$9, $C$13, 100%, $E$13) + CHOOSE(CONTROL!$C$28, 0.0003, 0)</f>
        <v>55.611800000000002</v>
      </c>
      <c r="D631" s="4">
        <f>57.3202 * CHOOSE(CONTROL!$C$9, $C$13, 100%, $E$13) + CHOOSE(CONTROL!$C$28, 0, 0)</f>
        <v>57.3202</v>
      </c>
      <c r="E631" s="4">
        <f>316.894171804456 * CHOOSE(CONTROL!$C$9, $C$13, 100%, $E$13) + CHOOSE(CONTROL!$C$28, 0, 0)</f>
        <v>316.89417180445599</v>
      </c>
    </row>
    <row r="632" spans="1:5" ht="15">
      <c r="A632" s="13">
        <v>61117</v>
      </c>
      <c r="B632" s="4">
        <f>58.1287 * CHOOSE(CONTROL!$C$9, $C$13, 100%, $E$13) + CHOOSE(CONTROL!$C$28, 0.0003, 0)</f>
        <v>58.129000000000005</v>
      </c>
      <c r="C632" s="4">
        <f>57.8162 * CHOOSE(CONTROL!$C$9, $C$13, 100%, $E$13) + CHOOSE(CONTROL!$C$28, 0.0003, 0)</f>
        <v>57.816500000000005</v>
      </c>
      <c r="D632" s="4">
        <f>58.959 * CHOOSE(CONTROL!$C$9, $C$13, 100%, $E$13) + CHOOSE(CONTROL!$C$28, 0, 0)</f>
        <v>58.959000000000003</v>
      </c>
      <c r="E632" s="4">
        <f>329.82047274842 * CHOOSE(CONTROL!$C$9, $C$13, 100%, $E$13) + CHOOSE(CONTROL!$C$28, 0, 0)</f>
        <v>329.82047274842</v>
      </c>
    </row>
    <row r="633" spans="1:5" ht="15">
      <c r="A633" s="13">
        <v>61148</v>
      </c>
      <c r="B633" s="4">
        <f>59.4758 * CHOOSE(CONTROL!$C$9, $C$13, 100%, $E$13) + CHOOSE(CONTROL!$C$28, 0.0197, 0)</f>
        <v>59.4955</v>
      </c>
      <c r="C633" s="4">
        <f>59.1633 * CHOOSE(CONTROL!$C$9, $C$13, 100%, $E$13) + CHOOSE(CONTROL!$C$28, 0.0197, 0)</f>
        <v>59.183</v>
      </c>
      <c r="D633" s="4">
        <f>58.3114 * CHOOSE(CONTROL!$C$9, $C$13, 100%, $E$13) + CHOOSE(CONTROL!$C$28, 0, 0)</f>
        <v>58.311399999999999</v>
      </c>
      <c r="E633" s="4">
        <f>337.718132824987 * CHOOSE(CONTROL!$C$9, $C$13, 100%, $E$13) + CHOOSE(CONTROL!$C$28, 0, 0)</f>
        <v>337.71813282498698</v>
      </c>
    </row>
    <row r="634" spans="1:5" ht="15">
      <c r="A634" s="13">
        <v>61178</v>
      </c>
      <c r="B634" s="4">
        <f>59.658 * CHOOSE(CONTROL!$C$9, $C$13, 100%, $E$13) + CHOOSE(CONTROL!$C$28, 0.0197, 0)</f>
        <v>59.677700000000002</v>
      </c>
      <c r="C634" s="4">
        <f>59.3455 * CHOOSE(CONTROL!$C$9, $C$13, 100%, $E$13) + CHOOSE(CONTROL!$C$28, 0.0197, 0)</f>
        <v>59.365200000000002</v>
      </c>
      <c r="D634" s="4">
        <f>58.8388 * CHOOSE(CONTROL!$C$9, $C$13, 100%, $E$13) + CHOOSE(CONTROL!$C$28, 0, 0)</f>
        <v>58.838799999999999</v>
      </c>
      <c r="E634" s="4">
        <f>338.786719009309 * CHOOSE(CONTROL!$C$9, $C$13, 100%, $E$13) + CHOOSE(CONTROL!$C$28, 0, 0)</f>
        <v>338.78671900930902</v>
      </c>
    </row>
    <row r="635" spans="1:5" ht="15">
      <c r="A635" s="13">
        <v>61209</v>
      </c>
      <c r="B635" s="4">
        <f>59.6396 * CHOOSE(CONTROL!$C$9, $C$13, 100%, $E$13) + CHOOSE(CONTROL!$C$28, 0.0197, 0)</f>
        <v>59.659300000000002</v>
      </c>
      <c r="C635" s="4">
        <f>59.3271 * CHOOSE(CONTROL!$C$9, $C$13, 100%, $E$13) + CHOOSE(CONTROL!$C$28, 0.0197, 0)</f>
        <v>59.346800000000002</v>
      </c>
      <c r="D635" s="4">
        <f>59.7904 * CHOOSE(CONTROL!$C$9, $C$13, 100%, $E$13) + CHOOSE(CONTROL!$C$28, 0, 0)</f>
        <v>59.790399999999998</v>
      </c>
      <c r="E635" s="4">
        <f>338.678962419293 * CHOOSE(CONTROL!$C$9, $C$13, 100%, $E$13) + CHOOSE(CONTROL!$C$28, 0, 0)</f>
        <v>338.67896241929299</v>
      </c>
    </row>
    <row r="636" spans="1:5" ht="15">
      <c r="A636" s="13">
        <v>61240</v>
      </c>
      <c r="B636" s="4">
        <f>61.0226 * CHOOSE(CONTROL!$C$9, $C$13, 100%, $E$13) + CHOOSE(CONTROL!$C$28, 0.0197, 0)</f>
        <v>61.042299999999997</v>
      </c>
      <c r="C636" s="4">
        <f>60.7101 * CHOOSE(CONTROL!$C$9, $C$13, 100%, $E$13) + CHOOSE(CONTROL!$C$28, 0.0197, 0)</f>
        <v>60.729799999999997</v>
      </c>
      <c r="D636" s="4">
        <f>59.162 * CHOOSE(CONTROL!$C$9, $C$13, 100%, $E$13) + CHOOSE(CONTROL!$C$28, 0, 0)</f>
        <v>59.161999999999999</v>
      </c>
      <c r="E636" s="4">
        <f>346.787645817973 * CHOOSE(CONTROL!$C$9, $C$13, 100%, $E$13) + CHOOSE(CONTROL!$C$28, 0, 0)</f>
        <v>346.78764581797299</v>
      </c>
    </row>
    <row r="637" spans="1:5" ht="15">
      <c r="A637" s="13">
        <v>61270</v>
      </c>
      <c r="B637" s="4">
        <f>58.6656 * CHOOSE(CONTROL!$C$9, $C$13, 100%, $E$13) + CHOOSE(CONTROL!$C$28, 0.0197, 0)</f>
        <v>58.685299999999998</v>
      </c>
      <c r="C637" s="4">
        <f>58.3531 * CHOOSE(CONTROL!$C$9, $C$13, 100%, $E$13) + CHOOSE(CONTROL!$C$28, 0.0197, 0)</f>
        <v>58.372799999999998</v>
      </c>
      <c r="D637" s="4">
        <f>58.8651 * CHOOSE(CONTROL!$C$9, $C$13, 100%, $E$13) + CHOOSE(CONTROL!$C$28, 0, 0)</f>
        <v>58.865099999999998</v>
      </c>
      <c r="E637" s="4">
        <f>332.967863148462 * CHOOSE(CONTROL!$C$9, $C$13, 100%, $E$13) + CHOOSE(CONTROL!$C$28, 0, 0)</f>
        <v>332.96786314846202</v>
      </c>
    </row>
    <row r="638" spans="1:5" ht="15">
      <c r="A638" s="13">
        <v>61301</v>
      </c>
      <c r="B638" s="4">
        <f>56.7787 * CHOOSE(CONTROL!$C$9, $C$13, 100%, $E$13) + CHOOSE(CONTROL!$C$28, 0.0003, 0)</f>
        <v>56.779000000000003</v>
      </c>
      <c r="C638" s="4">
        <f>56.4662 * CHOOSE(CONTROL!$C$9, $C$13, 100%, $E$13) + CHOOSE(CONTROL!$C$28, 0.0003, 0)</f>
        <v>56.466500000000003</v>
      </c>
      <c r="D638" s="4">
        <f>58.07 * CHOOSE(CONTROL!$C$9, $C$13, 100%, $E$13) + CHOOSE(CONTROL!$C$28, 0, 0)</f>
        <v>58.07</v>
      </c>
      <c r="E638" s="4">
        <f>321.904853240185 * CHOOSE(CONTROL!$C$9, $C$13, 100%, $E$13) + CHOOSE(CONTROL!$C$28, 0, 0)</f>
        <v>321.90485324018499</v>
      </c>
    </row>
    <row r="639" spans="1:5" ht="15">
      <c r="A639" s="13">
        <v>61331</v>
      </c>
      <c r="B639" s="4">
        <f>55.5634 * CHOOSE(CONTROL!$C$9, $C$13, 100%, $E$13) + CHOOSE(CONTROL!$C$28, 0.0003, 0)</f>
        <v>55.563700000000004</v>
      </c>
      <c r="C639" s="4">
        <f>55.2509 * CHOOSE(CONTROL!$C$9, $C$13, 100%, $E$13) + CHOOSE(CONTROL!$C$28, 0.0003, 0)</f>
        <v>55.251200000000004</v>
      </c>
      <c r="D639" s="4">
        <f>57.7967 * CHOOSE(CONTROL!$C$9, $C$13, 100%, $E$13) + CHOOSE(CONTROL!$C$28, 0, 0)</f>
        <v>57.796700000000001</v>
      </c>
      <c r="E639" s="4">
        <f>314.779448725398 * CHOOSE(CONTROL!$C$9, $C$13, 100%, $E$13) + CHOOSE(CONTROL!$C$28, 0, 0)</f>
        <v>314.77944872539803</v>
      </c>
    </row>
    <row r="640" spans="1:5" ht="15">
      <c r="A640" s="13">
        <v>61362</v>
      </c>
      <c r="B640" s="4">
        <f>54.7225 * CHOOSE(CONTROL!$C$9, $C$13, 100%, $E$13) + CHOOSE(CONTROL!$C$28, 0.0003, 0)</f>
        <v>54.722799999999999</v>
      </c>
      <c r="C640" s="4">
        <f>54.41 * CHOOSE(CONTROL!$C$9, $C$13, 100%, $E$13) + CHOOSE(CONTROL!$C$28, 0.0003, 0)</f>
        <v>54.410299999999999</v>
      </c>
      <c r="D640" s="4">
        <f>55.7844 * CHOOSE(CONTROL!$C$9, $C$13, 100%, $E$13) + CHOOSE(CONTROL!$C$28, 0, 0)</f>
        <v>55.784399999999998</v>
      </c>
      <c r="E640" s="4">
        <f>309.84958473218 * CHOOSE(CONTROL!$C$9, $C$13, 100%, $E$13) + CHOOSE(CONTROL!$C$28, 0, 0)</f>
        <v>309.84958473218001</v>
      </c>
    </row>
    <row r="641" spans="1:5" ht="15">
      <c r="A641" s="13">
        <v>61393</v>
      </c>
      <c r="B641" s="4">
        <f>53.3564 * CHOOSE(CONTROL!$C$9, $C$13, 100%, $E$13) + CHOOSE(CONTROL!$C$28, 0.0003, 0)</f>
        <v>53.356700000000004</v>
      </c>
      <c r="C641" s="4">
        <f>53.0439 * CHOOSE(CONTROL!$C$9, $C$13, 100%, $E$13) + CHOOSE(CONTROL!$C$28, 0.0003, 0)</f>
        <v>53.044200000000004</v>
      </c>
      <c r="D641" s="4">
        <f>53.9349 * CHOOSE(CONTROL!$C$9, $C$13, 100%, $E$13) + CHOOSE(CONTROL!$C$28, 0, 0)</f>
        <v>53.934899999999999</v>
      </c>
      <c r="E641" s="4">
        <f>300.964279384897 * CHOOSE(CONTROL!$C$9, $C$13, 100%, $E$13) + CHOOSE(CONTROL!$C$28, 0, 0)</f>
        <v>300.964279384897</v>
      </c>
    </row>
    <row r="642" spans="1:5" ht="15">
      <c r="A642" s="13">
        <v>61422</v>
      </c>
      <c r="B642" s="4">
        <f>54.5787 * CHOOSE(CONTROL!$C$9, $C$13, 100%, $E$13) + CHOOSE(CONTROL!$C$28, 0.0003, 0)</f>
        <v>54.579000000000001</v>
      </c>
      <c r="C642" s="4">
        <f>54.2662 * CHOOSE(CONTROL!$C$9, $C$13, 100%, $E$13) + CHOOSE(CONTROL!$C$28, 0.0003, 0)</f>
        <v>54.266500000000001</v>
      </c>
      <c r="D642" s="4">
        <f>55.7973 * CHOOSE(CONTROL!$C$9, $C$13, 100%, $E$13) + CHOOSE(CONTROL!$C$28, 0, 0)</f>
        <v>55.7973</v>
      </c>
      <c r="E642" s="4">
        <f>308.110357450464 * CHOOSE(CONTROL!$C$9, $C$13, 100%, $E$13) + CHOOSE(CONTROL!$C$28, 0, 0)</f>
        <v>308.11035745046399</v>
      </c>
    </row>
    <row r="643" spans="1:5" ht="15">
      <c r="A643" s="13">
        <v>61453</v>
      </c>
      <c r="B643" s="4">
        <f>57.7887 * CHOOSE(CONTROL!$C$9, $C$13, 100%, $E$13) + CHOOSE(CONTROL!$C$28, 0.0003, 0)</f>
        <v>57.789000000000001</v>
      </c>
      <c r="C643" s="4">
        <f>57.4762 * CHOOSE(CONTROL!$C$9, $C$13, 100%, $E$13) + CHOOSE(CONTROL!$C$28, 0.0003, 0)</f>
        <v>57.476500000000001</v>
      </c>
      <c r="D643" s="4">
        <f>58.7128 * CHOOSE(CONTROL!$C$9, $C$13, 100%, $E$13) + CHOOSE(CONTROL!$C$28, 0, 0)</f>
        <v>58.712800000000001</v>
      </c>
      <c r="E643" s="4">
        <f>326.876338216296 * CHOOSE(CONTROL!$C$9, $C$13, 100%, $E$13) + CHOOSE(CONTROL!$C$28, 0, 0)</f>
        <v>326.87633821629601</v>
      </c>
    </row>
    <row r="644" spans="1:5" ht="15">
      <c r="A644" s="13">
        <v>61483</v>
      </c>
      <c r="B644" s="4">
        <f>60.0695 * CHOOSE(CONTROL!$C$9, $C$13, 100%, $E$13) + CHOOSE(CONTROL!$C$28, 0.0003, 0)</f>
        <v>60.069800000000001</v>
      </c>
      <c r="C644" s="4">
        <f>59.757 * CHOOSE(CONTROL!$C$9, $C$13, 100%, $E$13) + CHOOSE(CONTROL!$C$28, 0.0003, 0)</f>
        <v>59.757300000000001</v>
      </c>
      <c r="D644" s="4">
        <f>60.3923 * CHOOSE(CONTROL!$C$9, $C$13, 100%, $E$13) + CHOOSE(CONTROL!$C$28, 0, 0)</f>
        <v>60.392299999999999</v>
      </c>
      <c r="E644" s="4">
        <f>340.209817639996 * CHOOSE(CONTROL!$C$9, $C$13, 100%, $E$13) + CHOOSE(CONTROL!$C$28, 0, 0)</f>
        <v>340.209817639996</v>
      </c>
    </row>
    <row r="645" spans="1:5" ht="15">
      <c r="A645" s="13">
        <v>61514</v>
      </c>
      <c r="B645" s="4">
        <f>61.463 * CHOOSE(CONTROL!$C$9, $C$13, 100%, $E$13) + CHOOSE(CONTROL!$C$28, 0.0197, 0)</f>
        <v>61.482700000000001</v>
      </c>
      <c r="C645" s="4">
        <f>61.1505 * CHOOSE(CONTROL!$C$9, $C$13, 100%, $E$13) + CHOOSE(CONTROL!$C$28, 0.0197, 0)</f>
        <v>61.170200000000001</v>
      </c>
      <c r="D645" s="4">
        <f>59.7286 * CHOOSE(CONTROL!$C$9, $C$13, 100%, $E$13) + CHOOSE(CONTROL!$C$28, 0, 0)</f>
        <v>59.7286</v>
      </c>
      <c r="E645" s="4">
        <f>348.356254008974 * CHOOSE(CONTROL!$C$9, $C$13, 100%, $E$13) + CHOOSE(CONTROL!$C$28, 0, 0)</f>
        <v>348.35625400897402</v>
      </c>
    </row>
    <row r="646" spans="1:5" ht="15">
      <c r="A646" s="13">
        <v>61544</v>
      </c>
      <c r="B646" s="4">
        <f>61.6515 * CHOOSE(CONTROL!$C$9, $C$13, 100%, $E$13) + CHOOSE(CONTROL!$C$28, 0.0197, 0)</f>
        <v>61.671199999999999</v>
      </c>
      <c r="C646" s="4">
        <f>61.339 * CHOOSE(CONTROL!$C$9, $C$13, 100%, $E$13) + CHOOSE(CONTROL!$C$28, 0.0197, 0)</f>
        <v>61.358699999999999</v>
      </c>
      <c r="D646" s="4">
        <f>60.2691 * CHOOSE(CONTROL!$C$9, $C$13, 100%, $E$13) + CHOOSE(CONTROL!$C$28, 0, 0)</f>
        <v>60.269100000000002</v>
      </c>
      <c r="E646" s="4">
        <f>349.458500658102 * CHOOSE(CONTROL!$C$9, $C$13, 100%, $E$13) + CHOOSE(CONTROL!$C$28, 0, 0)</f>
        <v>349.45850065810203</v>
      </c>
    </row>
    <row r="647" spans="1:5" ht="15">
      <c r="A647" s="13">
        <v>61575</v>
      </c>
      <c r="B647" s="4">
        <f>61.6325 * CHOOSE(CONTROL!$C$9, $C$13, 100%, $E$13) + CHOOSE(CONTROL!$C$28, 0.0197, 0)</f>
        <v>61.652200000000001</v>
      </c>
      <c r="C647" s="4">
        <f>61.32 * CHOOSE(CONTROL!$C$9, $C$13, 100%, $E$13) + CHOOSE(CONTROL!$C$28, 0.0197, 0)</f>
        <v>61.339700000000001</v>
      </c>
      <c r="D647" s="4">
        <f>61.2443 * CHOOSE(CONTROL!$C$9, $C$13, 100%, $E$13) + CHOOSE(CONTROL!$C$28, 0, 0)</f>
        <v>61.244300000000003</v>
      </c>
      <c r="E647" s="4">
        <f>349.347349735501 * CHOOSE(CONTROL!$C$9, $C$13, 100%, $E$13) + CHOOSE(CONTROL!$C$28, 0, 0)</f>
        <v>349.34734973550098</v>
      </c>
    </row>
    <row r="648" spans="1:5" ht="15">
      <c r="A648" s="13">
        <v>61606</v>
      </c>
      <c r="B648" s="4">
        <f>63.0632 * CHOOSE(CONTROL!$C$9, $C$13, 100%, $E$13) + CHOOSE(CONTROL!$C$28, 0.0197, 0)</f>
        <v>63.082900000000002</v>
      </c>
      <c r="C648" s="4">
        <f>62.7507 * CHOOSE(CONTROL!$C$9, $C$13, 100%, $E$13) + CHOOSE(CONTROL!$C$28, 0.0197, 0)</f>
        <v>62.770400000000002</v>
      </c>
      <c r="D648" s="4">
        <f>60.6003 * CHOOSE(CONTROL!$C$9, $C$13, 100%, $E$13) + CHOOSE(CONTROL!$C$28, 0, 0)</f>
        <v>60.600299999999997</v>
      </c>
      <c r="E648" s="4">
        <f>357.711456661239 * CHOOSE(CONTROL!$C$9, $C$13, 100%, $E$13) + CHOOSE(CONTROL!$C$28, 0, 0)</f>
        <v>357.71145666123903</v>
      </c>
    </row>
    <row r="649" spans="1:5" ht="15">
      <c r="A649" s="13">
        <v>61636</v>
      </c>
      <c r="B649" s="4">
        <f>60.6248 * CHOOSE(CONTROL!$C$9, $C$13, 100%, $E$13) + CHOOSE(CONTROL!$C$28, 0.0197, 0)</f>
        <v>60.644500000000001</v>
      </c>
      <c r="C649" s="4">
        <f>60.3123 * CHOOSE(CONTROL!$C$9, $C$13, 100%, $E$13) + CHOOSE(CONTROL!$C$28, 0.0197, 0)</f>
        <v>60.332000000000001</v>
      </c>
      <c r="D649" s="4">
        <f>60.296 * CHOOSE(CONTROL!$C$9, $C$13, 100%, $E$13) + CHOOSE(CONTROL!$C$28, 0, 0)</f>
        <v>60.295999999999999</v>
      </c>
      <c r="E649" s="4">
        <f>343.456350837638 * CHOOSE(CONTROL!$C$9, $C$13, 100%, $E$13) + CHOOSE(CONTROL!$C$28, 0, 0)</f>
        <v>343.45635083763801</v>
      </c>
    </row>
    <row r="650" spans="1:5" ht="15">
      <c r="A650" s="13">
        <v>61667</v>
      </c>
      <c r="B650" s="4">
        <f>58.6728 * CHOOSE(CONTROL!$C$9, $C$13, 100%, $E$13) + CHOOSE(CONTROL!$C$28, 0.0003, 0)</f>
        <v>58.673100000000005</v>
      </c>
      <c r="C650" s="4">
        <f>58.3603 * CHOOSE(CONTROL!$C$9, $C$13, 100%, $E$13) + CHOOSE(CONTROL!$C$28, 0.0003, 0)</f>
        <v>58.360600000000005</v>
      </c>
      <c r="D650" s="4">
        <f>59.4813 * CHOOSE(CONTROL!$C$9, $C$13, 100%, $E$13) + CHOOSE(CONTROL!$C$28, 0, 0)</f>
        <v>59.481299999999997</v>
      </c>
      <c r="E650" s="4">
        <f>332.044856117251 * CHOOSE(CONTROL!$C$9, $C$13, 100%, $E$13) + CHOOSE(CONTROL!$C$28, 0, 0)</f>
        <v>332.04485611725102</v>
      </c>
    </row>
    <row r="651" spans="1:5" ht="15">
      <c r="A651" s="13">
        <v>61697</v>
      </c>
      <c r="B651" s="4">
        <f>57.4156 * CHOOSE(CONTROL!$C$9, $C$13, 100%, $E$13) + CHOOSE(CONTROL!$C$28, 0.0003, 0)</f>
        <v>57.415900000000001</v>
      </c>
      <c r="C651" s="4">
        <f>57.1031 * CHOOSE(CONTROL!$C$9, $C$13, 100%, $E$13) + CHOOSE(CONTROL!$C$28, 0.0003, 0)</f>
        <v>57.103400000000001</v>
      </c>
      <c r="D651" s="4">
        <f>59.2011 * CHOOSE(CONTROL!$C$9, $C$13, 100%, $E$13) + CHOOSE(CONTROL!$C$28, 0, 0)</f>
        <v>59.201099999999997</v>
      </c>
      <c r="E651" s="4">
        <f>324.695001360248 * CHOOSE(CONTROL!$C$9, $C$13, 100%, $E$13) + CHOOSE(CONTROL!$C$28, 0, 0)</f>
        <v>324.695001360248</v>
      </c>
    </row>
    <row r="652" spans="1:5" ht="15">
      <c r="A652" s="13">
        <v>61728</v>
      </c>
      <c r="B652" s="4">
        <f>56.5458 * CHOOSE(CONTROL!$C$9, $C$13, 100%, $E$13) + CHOOSE(CONTROL!$C$28, 0.0003, 0)</f>
        <v>56.546100000000003</v>
      </c>
      <c r="C652" s="4">
        <f>56.2333 * CHOOSE(CONTROL!$C$9, $C$13, 100%, $E$13) + CHOOSE(CONTROL!$C$28, 0.0003, 0)</f>
        <v>56.233600000000003</v>
      </c>
      <c r="D652" s="4">
        <f>57.1389 * CHOOSE(CONTROL!$C$9, $C$13, 100%, $E$13) + CHOOSE(CONTROL!$C$28, 0, 0)</f>
        <v>57.1389</v>
      </c>
      <c r="E652" s="4">
        <f>319.609846651244 * CHOOSE(CONTROL!$C$9, $C$13, 100%, $E$13) + CHOOSE(CONTROL!$C$28, 0, 0)</f>
        <v>319.60984665124403</v>
      </c>
    </row>
    <row r="653" spans="1:5" ht="15">
      <c r="A653" s="13">
        <v>61759</v>
      </c>
      <c r="B653" s="4">
        <f>55.1325 * CHOOSE(CONTROL!$C$9, $C$13, 100%, $E$13) + CHOOSE(CONTROL!$C$28, 0.0003, 0)</f>
        <v>55.132800000000003</v>
      </c>
      <c r="C653" s="4">
        <f>54.82 * CHOOSE(CONTROL!$C$9, $C$13, 100%, $E$13) + CHOOSE(CONTROL!$C$28, 0.0003, 0)</f>
        <v>54.820300000000003</v>
      </c>
      <c r="D653" s="4">
        <f>55.2436 * CHOOSE(CONTROL!$C$9, $C$13, 100%, $E$13) + CHOOSE(CONTROL!$C$28, 0, 0)</f>
        <v>55.243600000000001</v>
      </c>
      <c r="E653" s="4">
        <f>310.444654185521 * CHOOSE(CONTROL!$C$9, $C$13, 100%, $E$13) + CHOOSE(CONTROL!$C$28, 0, 0)</f>
        <v>310.44465418552102</v>
      </c>
    </row>
    <row r="654" spans="1:5" ht="15">
      <c r="A654" s="13">
        <v>61787</v>
      </c>
      <c r="B654" s="4">
        <f>56.397 * CHOOSE(CONTROL!$C$9, $C$13, 100%, $E$13) + CHOOSE(CONTROL!$C$28, 0.0003, 0)</f>
        <v>56.397300000000001</v>
      </c>
      <c r="C654" s="4">
        <f>56.0845 * CHOOSE(CONTROL!$C$9, $C$13, 100%, $E$13) + CHOOSE(CONTROL!$C$28, 0.0003, 0)</f>
        <v>56.084800000000001</v>
      </c>
      <c r="D654" s="4">
        <f>57.1522 * CHOOSE(CONTROL!$C$9, $C$13, 100%, $E$13) + CHOOSE(CONTROL!$C$28, 0, 0)</f>
        <v>57.152200000000001</v>
      </c>
      <c r="E654" s="4">
        <f>317.815833710154 * CHOOSE(CONTROL!$C$9, $C$13, 100%, $E$13) + CHOOSE(CONTROL!$C$28, 0, 0)</f>
        <v>317.81583371015398</v>
      </c>
    </row>
    <row r="655" spans="1:5" ht="15">
      <c r="A655" s="13">
        <v>61818</v>
      </c>
      <c r="B655" s="4">
        <f>59.7178 * CHOOSE(CONTROL!$C$9, $C$13, 100%, $E$13) + CHOOSE(CONTROL!$C$28, 0.0003, 0)</f>
        <v>59.7181</v>
      </c>
      <c r="C655" s="4">
        <f>59.4053 * CHOOSE(CONTROL!$C$9, $C$13, 100%, $E$13) + CHOOSE(CONTROL!$C$28, 0.0003, 0)</f>
        <v>59.4056</v>
      </c>
      <c r="D655" s="4">
        <f>60.14 * CHOOSE(CONTROL!$C$9, $C$13, 100%, $E$13) + CHOOSE(CONTROL!$C$28, 0, 0)</f>
        <v>60.14</v>
      </c>
      <c r="E655" s="4">
        <f>337.172942870109 * CHOOSE(CONTROL!$C$9, $C$13, 100%, $E$13) + CHOOSE(CONTROL!$C$28, 0, 0)</f>
        <v>337.17294287010901</v>
      </c>
    </row>
    <row r="656" spans="1:5" ht="15">
      <c r="A656" s="13">
        <v>61848</v>
      </c>
      <c r="B656" s="4">
        <f>62.0772 * CHOOSE(CONTROL!$C$9, $C$13, 100%, $E$13) + CHOOSE(CONTROL!$C$28, 0.0003, 0)</f>
        <v>62.077500000000001</v>
      </c>
      <c r="C656" s="4">
        <f>61.7647 * CHOOSE(CONTROL!$C$9, $C$13, 100%, $E$13) + CHOOSE(CONTROL!$C$28, 0.0003, 0)</f>
        <v>61.765000000000001</v>
      </c>
      <c r="D656" s="4">
        <f>61.8611 * CHOOSE(CONTROL!$C$9, $C$13, 100%, $E$13) + CHOOSE(CONTROL!$C$28, 0, 0)</f>
        <v>61.8611</v>
      </c>
      <c r="E656" s="4">
        <f>350.926426895656 * CHOOSE(CONTROL!$C$9, $C$13, 100%, $E$13) + CHOOSE(CONTROL!$C$28, 0, 0)</f>
        <v>350.92642689565599</v>
      </c>
    </row>
    <row r="657" spans="1:5" ht="15">
      <c r="A657" s="13">
        <v>61879</v>
      </c>
      <c r="B657" s="4">
        <f>63.5188 * CHOOSE(CONTROL!$C$9, $C$13, 100%, $E$13) + CHOOSE(CONTROL!$C$28, 0.0197, 0)</f>
        <v>63.538499999999999</v>
      </c>
      <c r="C657" s="4">
        <f>63.2063 * CHOOSE(CONTROL!$C$9, $C$13, 100%, $E$13) + CHOOSE(CONTROL!$C$28, 0.0197, 0)</f>
        <v>63.225999999999999</v>
      </c>
      <c r="D657" s="4">
        <f>61.181 * CHOOSE(CONTROL!$C$9, $C$13, 100%, $E$13) + CHOOSE(CONTROL!$C$28, 0, 0)</f>
        <v>61.180999999999997</v>
      </c>
      <c r="E657" s="4">
        <f>359.329476010256 * CHOOSE(CONTROL!$C$9, $C$13, 100%, $E$13) + CHOOSE(CONTROL!$C$28, 0, 0)</f>
        <v>359.32947601025597</v>
      </c>
    </row>
    <row r="658" spans="1:5" ht="15">
      <c r="A658" s="13">
        <v>61909</v>
      </c>
      <c r="B658" s="4">
        <f>63.7138 * CHOOSE(CONTROL!$C$9, $C$13, 100%, $E$13) + CHOOSE(CONTROL!$C$28, 0.0197, 0)</f>
        <v>63.733499999999999</v>
      </c>
      <c r="C658" s="4">
        <f>63.4013 * CHOOSE(CONTROL!$C$9, $C$13, 100%, $E$13) + CHOOSE(CONTROL!$C$28, 0.0197, 0)</f>
        <v>63.420999999999999</v>
      </c>
      <c r="D658" s="4">
        <f>61.7349 * CHOOSE(CONTROL!$C$9, $C$13, 100%, $E$13) + CHOOSE(CONTROL!$C$28, 0, 0)</f>
        <v>61.734900000000003</v>
      </c>
      <c r="E658" s="4">
        <f>360.466443428832 * CHOOSE(CONTROL!$C$9, $C$13, 100%, $E$13) + CHOOSE(CONTROL!$C$28, 0, 0)</f>
        <v>360.46644342883201</v>
      </c>
    </row>
    <row r="659" spans="1:5" ht="15">
      <c r="A659" s="13">
        <v>61940</v>
      </c>
      <c r="B659" s="4">
        <f>63.6941 * CHOOSE(CONTROL!$C$9, $C$13, 100%, $E$13) + CHOOSE(CONTROL!$C$28, 0.0197, 0)</f>
        <v>63.713799999999999</v>
      </c>
      <c r="C659" s="4">
        <f>63.3816 * CHOOSE(CONTROL!$C$9, $C$13, 100%, $E$13) + CHOOSE(CONTROL!$C$28, 0.0197, 0)</f>
        <v>63.401299999999999</v>
      </c>
      <c r="D659" s="4">
        <f>62.7343 * CHOOSE(CONTROL!$C$9, $C$13, 100%, $E$13) + CHOOSE(CONTROL!$C$28, 0, 0)</f>
        <v>62.734299999999998</v>
      </c>
      <c r="E659" s="4">
        <f>360.351791252169 * CHOOSE(CONTROL!$C$9, $C$13, 100%, $E$13) + CHOOSE(CONTROL!$C$28, 0, 0)</f>
        <v>360.35179125216899</v>
      </c>
    </row>
    <row r="660" spans="1:5" ht="15">
      <c r="A660" s="13">
        <v>61971</v>
      </c>
      <c r="B660" s="4">
        <f>65.1742 * CHOOSE(CONTROL!$C$9, $C$13, 100%, $E$13) + CHOOSE(CONTROL!$C$28, 0.0197, 0)</f>
        <v>65.193899999999999</v>
      </c>
      <c r="C660" s="4">
        <f>64.8617 * CHOOSE(CONTROL!$C$9, $C$13, 100%, $E$13) + CHOOSE(CONTROL!$C$28, 0.0197, 0)</f>
        <v>64.881399999999999</v>
      </c>
      <c r="D660" s="4">
        <f>62.0743 * CHOOSE(CONTROL!$C$9, $C$13, 100%, $E$13) + CHOOSE(CONTROL!$C$28, 0, 0)</f>
        <v>62.074300000000001</v>
      </c>
      <c r="E660" s="4">
        <f>368.979367546068 * CHOOSE(CONTROL!$C$9, $C$13, 100%, $E$13) + CHOOSE(CONTROL!$C$28, 0, 0)</f>
        <v>368.97936754606798</v>
      </c>
    </row>
    <row r="661" spans="1:5" ht="15">
      <c r="A661" s="13">
        <v>62001</v>
      </c>
      <c r="B661" s="4">
        <f>62.6517 * CHOOSE(CONTROL!$C$9, $C$13, 100%, $E$13) + CHOOSE(CONTROL!$C$28, 0.0197, 0)</f>
        <v>62.671399999999998</v>
      </c>
      <c r="C661" s="4">
        <f>62.3392 * CHOOSE(CONTROL!$C$9, $C$13, 100%, $E$13) + CHOOSE(CONTROL!$C$28, 0.0197, 0)</f>
        <v>62.358899999999998</v>
      </c>
      <c r="D661" s="4">
        <f>61.7624 * CHOOSE(CONTROL!$C$9, $C$13, 100%, $E$13) + CHOOSE(CONTROL!$C$28, 0, 0)</f>
        <v>61.7624</v>
      </c>
      <c r="E661" s="4">
        <f>354.275225889024 * CHOOSE(CONTROL!$C$9, $C$13, 100%, $E$13) + CHOOSE(CONTROL!$C$28, 0, 0)</f>
        <v>354.275225889024</v>
      </c>
    </row>
    <row r="662" spans="1:5" ht="15">
      <c r="A662" s="13">
        <v>62032</v>
      </c>
      <c r="B662" s="4">
        <f>60.6324 * CHOOSE(CONTROL!$C$9, $C$13, 100%, $E$13) + CHOOSE(CONTROL!$C$28, 0.0003, 0)</f>
        <v>60.6327</v>
      </c>
      <c r="C662" s="4">
        <f>60.3199 * CHOOSE(CONTROL!$C$9, $C$13, 100%, $E$13) + CHOOSE(CONTROL!$C$28, 0.0003, 0)</f>
        <v>60.3202</v>
      </c>
      <c r="D662" s="4">
        <f>60.9275 * CHOOSE(CONTROL!$C$9, $C$13, 100%, $E$13) + CHOOSE(CONTROL!$C$28, 0, 0)</f>
        <v>60.927500000000002</v>
      </c>
      <c r="E662" s="4">
        <f>342.504269084944 * CHOOSE(CONTROL!$C$9, $C$13, 100%, $E$13) + CHOOSE(CONTROL!$C$28, 0, 0)</f>
        <v>342.50426908494399</v>
      </c>
    </row>
    <row r="663" spans="1:5" ht="15">
      <c r="A663" s="13">
        <v>62062</v>
      </c>
      <c r="B663" s="4">
        <f>59.3318 * CHOOSE(CONTROL!$C$9, $C$13, 100%, $E$13) + CHOOSE(CONTROL!$C$28, 0.0003, 0)</f>
        <v>59.332100000000004</v>
      </c>
      <c r="C663" s="4">
        <f>59.0193 * CHOOSE(CONTROL!$C$9, $C$13, 100%, $E$13) + CHOOSE(CONTROL!$C$28, 0.0003, 0)</f>
        <v>59.019600000000004</v>
      </c>
      <c r="D663" s="4">
        <f>60.6404 * CHOOSE(CONTROL!$C$9, $C$13, 100%, $E$13) + CHOOSE(CONTROL!$C$28, 0, 0)</f>
        <v>60.6404</v>
      </c>
      <c r="E663" s="4">
        <f>334.922893903096 * CHOOSE(CONTROL!$C$9, $C$13, 100%, $E$13) + CHOOSE(CONTROL!$C$28, 0, 0)</f>
        <v>334.922893903096</v>
      </c>
    </row>
    <row r="664" spans="1:5" ht="15">
      <c r="A664" s="13">
        <v>62093</v>
      </c>
      <c r="B664" s="4">
        <f>58.4319 * CHOOSE(CONTROL!$C$9, $C$13, 100%, $E$13) + CHOOSE(CONTROL!$C$28, 0.0003, 0)</f>
        <v>58.432200000000002</v>
      </c>
      <c r="C664" s="4">
        <f>58.1194 * CHOOSE(CONTROL!$C$9, $C$13, 100%, $E$13) + CHOOSE(CONTROL!$C$28, 0.0003, 0)</f>
        <v>58.119700000000002</v>
      </c>
      <c r="D664" s="4">
        <f>58.5271 * CHOOSE(CONTROL!$C$9, $C$13, 100%, $E$13) + CHOOSE(CONTROL!$C$28, 0, 0)</f>
        <v>58.527099999999997</v>
      </c>
      <c r="E664" s="4">
        <f>329.677556820758 * CHOOSE(CONTROL!$C$9, $C$13, 100%, $E$13) + CHOOSE(CONTROL!$C$28, 0, 0)</f>
        <v>329.67755682075801</v>
      </c>
    </row>
    <row r="665" spans="1:5" ht="15">
      <c r="A665" s="13">
        <v>62124</v>
      </c>
      <c r="B665" s="4">
        <f>56.9698 * CHOOSE(CONTROL!$C$9, $C$13, 100%, $E$13) + CHOOSE(CONTROL!$C$28, 0.0003, 0)</f>
        <v>56.970100000000002</v>
      </c>
      <c r="C665" s="4">
        <f>56.6573 * CHOOSE(CONTROL!$C$9, $C$13, 100%, $E$13) + CHOOSE(CONTROL!$C$28, 0.0003, 0)</f>
        <v>56.657600000000002</v>
      </c>
      <c r="D665" s="4">
        <f>56.5847 * CHOOSE(CONTROL!$C$9, $C$13, 100%, $E$13) + CHOOSE(CONTROL!$C$28, 0, 0)</f>
        <v>56.584699999999998</v>
      </c>
      <c r="E665" s="4">
        <f>320.223660792365 * CHOOSE(CONTROL!$C$9, $C$13, 100%, $E$13) + CHOOSE(CONTROL!$C$28, 0, 0)</f>
        <v>320.22366079236502</v>
      </c>
    </row>
    <row r="666" spans="1:5" ht="15">
      <c r="A666" s="13">
        <v>62152</v>
      </c>
      <c r="B666" s="4">
        <f>58.278 * CHOOSE(CONTROL!$C$9, $C$13, 100%, $E$13) + CHOOSE(CONTROL!$C$28, 0.0003, 0)</f>
        <v>58.278300000000002</v>
      </c>
      <c r="C666" s="4">
        <f>57.9655 * CHOOSE(CONTROL!$C$9, $C$13, 100%, $E$13) + CHOOSE(CONTROL!$C$28, 0.0003, 0)</f>
        <v>57.965800000000002</v>
      </c>
      <c r="D666" s="4">
        <f>58.5407 * CHOOSE(CONTROL!$C$9, $C$13, 100%, $E$13) + CHOOSE(CONTROL!$C$28, 0, 0)</f>
        <v>58.540700000000001</v>
      </c>
      <c r="E666" s="4">
        <f>327.827032472023 * CHOOSE(CONTROL!$C$9, $C$13, 100%, $E$13) + CHOOSE(CONTROL!$C$28, 0, 0)</f>
        <v>327.82703247202301</v>
      </c>
    </row>
    <row r="667" spans="1:5" ht="15">
      <c r="A667" s="13">
        <v>62183</v>
      </c>
      <c r="B667" s="4">
        <f>61.7133 * CHOOSE(CONTROL!$C$9, $C$13, 100%, $E$13) + CHOOSE(CONTROL!$C$28, 0.0003, 0)</f>
        <v>61.7136</v>
      </c>
      <c r="C667" s="4">
        <f>61.4008 * CHOOSE(CONTROL!$C$9, $C$13, 100%, $E$13) + CHOOSE(CONTROL!$C$28, 0.0003, 0)</f>
        <v>61.4011</v>
      </c>
      <c r="D667" s="4">
        <f>61.6026 * CHOOSE(CONTROL!$C$9, $C$13, 100%, $E$13) + CHOOSE(CONTROL!$C$28, 0, 0)</f>
        <v>61.602600000000002</v>
      </c>
      <c r="E667" s="4">
        <f>347.793890570518 * CHOOSE(CONTROL!$C$9, $C$13, 100%, $E$13) + CHOOSE(CONTROL!$C$28, 0, 0)</f>
        <v>347.79389057051799</v>
      </c>
    </row>
    <row r="668" spans="1:5" ht="15">
      <c r="A668" s="13">
        <v>62213</v>
      </c>
      <c r="B668" s="4">
        <f>64.1542 * CHOOSE(CONTROL!$C$9, $C$13, 100%, $E$13) + CHOOSE(CONTROL!$C$28, 0.0003, 0)</f>
        <v>64.154499999999999</v>
      </c>
      <c r="C668" s="4">
        <f>63.8417 * CHOOSE(CONTROL!$C$9, $C$13, 100%, $E$13) + CHOOSE(CONTROL!$C$28, 0.0003, 0)</f>
        <v>63.842000000000006</v>
      </c>
      <c r="D668" s="4">
        <f>63.3664 * CHOOSE(CONTROL!$C$9, $C$13, 100%, $E$13) + CHOOSE(CONTROL!$C$28, 0, 0)</f>
        <v>63.366399999999999</v>
      </c>
      <c r="E668" s="4">
        <f>361.980609342869 * CHOOSE(CONTROL!$C$9, $C$13, 100%, $E$13) + CHOOSE(CONTROL!$C$28, 0, 0)</f>
        <v>361.980609342869</v>
      </c>
    </row>
    <row r="669" spans="1:5" ht="15">
      <c r="A669" s="13">
        <v>62244</v>
      </c>
      <c r="B669" s="4">
        <f>65.6455 * CHOOSE(CONTROL!$C$9, $C$13, 100%, $E$13) + CHOOSE(CONTROL!$C$28, 0.0197, 0)</f>
        <v>65.665199999999999</v>
      </c>
      <c r="C669" s="4">
        <f>65.333 * CHOOSE(CONTROL!$C$9, $C$13, 100%, $E$13) + CHOOSE(CONTROL!$C$28, 0.0197, 0)</f>
        <v>65.352699999999999</v>
      </c>
      <c r="D669" s="4">
        <f>62.6694 * CHOOSE(CONTROL!$C$9, $C$13, 100%, $E$13) + CHOOSE(CONTROL!$C$28, 0, 0)</f>
        <v>62.669400000000003</v>
      </c>
      <c r="E669" s="4">
        <f>370.648354504579 * CHOOSE(CONTROL!$C$9, $C$13, 100%, $E$13) + CHOOSE(CONTROL!$C$28, 0, 0)</f>
        <v>370.648354504579</v>
      </c>
    </row>
    <row r="670" spans="1:5" ht="15">
      <c r="A670" s="13">
        <v>62274</v>
      </c>
      <c r="B670" s="4">
        <f>65.8473 * CHOOSE(CONTROL!$C$9, $C$13, 100%, $E$13) + CHOOSE(CONTROL!$C$28, 0.0197, 0)</f>
        <v>65.867000000000004</v>
      </c>
      <c r="C670" s="4">
        <f>65.5348 * CHOOSE(CONTROL!$C$9, $C$13, 100%, $E$13) + CHOOSE(CONTROL!$C$28, 0.0197, 0)</f>
        <v>65.554500000000004</v>
      </c>
      <c r="D670" s="4">
        <f>63.237 * CHOOSE(CONTROL!$C$9, $C$13, 100%, $E$13) + CHOOSE(CONTROL!$C$28, 0, 0)</f>
        <v>63.237000000000002</v>
      </c>
      <c r="E670" s="4">
        <f>371.82113639684 * CHOOSE(CONTROL!$C$9, $C$13, 100%, $E$13) + CHOOSE(CONTROL!$C$28, 0, 0)</f>
        <v>371.82113639684002</v>
      </c>
    </row>
    <row r="671" spans="1:5" ht="15">
      <c r="A671" s="13">
        <v>62305</v>
      </c>
      <c r="B671" s="4">
        <f>65.8269 * CHOOSE(CONTROL!$C$9, $C$13, 100%, $E$13) + CHOOSE(CONTROL!$C$28, 0.0197, 0)</f>
        <v>65.846599999999995</v>
      </c>
      <c r="C671" s="4">
        <f>65.5144 * CHOOSE(CONTROL!$C$9, $C$13, 100%, $E$13) + CHOOSE(CONTROL!$C$28, 0.0197, 0)</f>
        <v>65.534099999999995</v>
      </c>
      <c r="D671" s="4">
        <f>64.2612 * CHOOSE(CONTROL!$C$9, $C$13, 100%, $E$13) + CHOOSE(CONTROL!$C$28, 0, 0)</f>
        <v>64.261200000000002</v>
      </c>
      <c r="E671" s="4">
        <f>371.702872676612 * CHOOSE(CONTROL!$C$9, $C$13, 100%, $E$13) + CHOOSE(CONTROL!$C$28, 0, 0)</f>
        <v>371.702872676612</v>
      </c>
    </row>
    <row r="672" spans="1:5" ht="15">
      <c r="A672" s="13">
        <v>62336</v>
      </c>
      <c r="B672" s="4">
        <f>67.358 * CHOOSE(CONTROL!$C$9, $C$13, 100%, $E$13) + CHOOSE(CONTROL!$C$28, 0.0197, 0)</f>
        <v>67.377700000000004</v>
      </c>
      <c r="C672" s="4">
        <f>67.0455 * CHOOSE(CONTROL!$C$9, $C$13, 100%, $E$13) + CHOOSE(CONTROL!$C$28, 0.0197, 0)</f>
        <v>67.065200000000004</v>
      </c>
      <c r="D672" s="4">
        <f>63.5848 * CHOOSE(CONTROL!$C$9, $C$13, 100%, $E$13) + CHOOSE(CONTROL!$C$28, 0, 0)</f>
        <v>63.584800000000001</v>
      </c>
      <c r="E672" s="4">
        <f>380.60221762377 * CHOOSE(CONTROL!$C$9, $C$13, 100%, $E$13) + CHOOSE(CONTROL!$C$28, 0, 0)</f>
        <v>380.60221762377</v>
      </c>
    </row>
    <row r="673" spans="1:5" ht="15">
      <c r="A673" s="13">
        <v>62366</v>
      </c>
      <c r="B673" s="4">
        <f>64.7485 * CHOOSE(CONTROL!$C$9, $C$13, 100%, $E$13) + CHOOSE(CONTROL!$C$28, 0.0197, 0)</f>
        <v>64.768200000000007</v>
      </c>
      <c r="C673" s="4">
        <f>64.436 * CHOOSE(CONTROL!$C$9, $C$13, 100%, $E$13) + CHOOSE(CONTROL!$C$28, 0.0197, 0)</f>
        <v>64.455700000000007</v>
      </c>
      <c r="D673" s="4">
        <f>63.2652 * CHOOSE(CONTROL!$C$9, $C$13, 100%, $E$13) + CHOOSE(CONTROL!$C$28, 0, 0)</f>
        <v>63.2652</v>
      </c>
      <c r="E673" s="4">
        <f>365.434895504528 * CHOOSE(CONTROL!$C$9, $C$13, 100%, $E$13) + CHOOSE(CONTROL!$C$28, 0, 0)</f>
        <v>365.43489550452801</v>
      </c>
    </row>
    <row r="674" spans="1:5" ht="15">
      <c r="A674" s="13">
        <v>62397</v>
      </c>
      <c r="B674" s="4">
        <f>62.6595 * CHOOSE(CONTROL!$C$9, $C$13, 100%, $E$13) + CHOOSE(CONTROL!$C$28, 0.0003, 0)</f>
        <v>62.659800000000004</v>
      </c>
      <c r="C674" s="4">
        <f>62.347 * CHOOSE(CONTROL!$C$9, $C$13, 100%, $E$13) + CHOOSE(CONTROL!$C$28, 0.0003, 0)</f>
        <v>62.347300000000004</v>
      </c>
      <c r="D674" s="4">
        <f>62.4096 * CHOOSE(CONTROL!$C$9, $C$13, 100%, $E$13) + CHOOSE(CONTROL!$C$28, 0, 0)</f>
        <v>62.409599999999998</v>
      </c>
      <c r="E674" s="4">
        <f>353.29315356112 * CHOOSE(CONTROL!$C$9, $C$13, 100%, $E$13) + CHOOSE(CONTROL!$C$28, 0, 0)</f>
        <v>353.29315356111999</v>
      </c>
    </row>
    <row r="675" spans="1:5" ht="15">
      <c r="A675" s="13">
        <v>62427</v>
      </c>
      <c r="B675" s="4">
        <f>61.314 * CHOOSE(CONTROL!$C$9, $C$13, 100%, $E$13) + CHOOSE(CONTROL!$C$28, 0.0003, 0)</f>
        <v>61.314300000000003</v>
      </c>
      <c r="C675" s="4">
        <f>61.0015 * CHOOSE(CONTROL!$C$9, $C$13, 100%, $E$13) + CHOOSE(CONTROL!$C$28, 0.0003, 0)</f>
        <v>61.001800000000003</v>
      </c>
      <c r="D675" s="4">
        <f>62.1154 * CHOOSE(CONTROL!$C$9, $C$13, 100%, $E$13) + CHOOSE(CONTROL!$C$28, 0, 0)</f>
        <v>62.115400000000001</v>
      </c>
      <c r="E675" s="4">
        <f>345.472965061043 * CHOOSE(CONTROL!$C$9, $C$13, 100%, $E$13) + CHOOSE(CONTROL!$C$28, 0, 0)</f>
        <v>345.472965061043</v>
      </c>
    </row>
    <row r="676" spans="1:5" ht="15">
      <c r="A676" s="13">
        <v>62458</v>
      </c>
      <c r="B676" s="4">
        <f>60.3831 * CHOOSE(CONTROL!$C$9, $C$13, 100%, $E$13) + CHOOSE(CONTROL!$C$28, 0.0003, 0)</f>
        <v>60.383400000000002</v>
      </c>
      <c r="C676" s="4">
        <f>60.0706 * CHOOSE(CONTROL!$C$9, $C$13, 100%, $E$13) + CHOOSE(CONTROL!$C$28, 0.0003, 0)</f>
        <v>60.070900000000002</v>
      </c>
      <c r="D676" s="4">
        <f>59.9496 * CHOOSE(CONTROL!$C$9, $C$13, 100%, $E$13) + CHOOSE(CONTROL!$C$28, 0, 0)</f>
        <v>59.949599999999997</v>
      </c>
      <c r="E676" s="4">
        <f>340.062399860612 * CHOOSE(CONTROL!$C$9, $C$13, 100%, $E$13) + CHOOSE(CONTROL!$C$28, 0, 0)</f>
        <v>340.062399860612</v>
      </c>
    </row>
    <row r="677" spans="1:5" ht="15">
      <c r="A677" s="13">
        <v>62489</v>
      </c>
      <c r="B677" s="4">
        <f>58.8706 * CHOOSE(CONTROL!$C$9, $C$13, 100%, $E$13) + CHOOSE(CONTROL!$C$28, 0.0003, 0)</f>
        <v>58.870900000000006</v>
      </c>
      <c r="C677" s="4">
        <f>58.5581 * CHOOSE(CONTROL!$C$9, $C$13, 100%, $E$13) + CHOOSE(CONTROL!$C$28, 0.0003, 0)</f>
        <v>58.558400000000006</v>
      </c>
      <c r="D677" s="4">
        <f>57.9591 * CHOOSE(CONTROL!$C$9, $C$13, 100%, $E$13) + CHOOSE(CONTROL!$C$28, 0, 0)</f>
        <v>57.959099999999999</v>
      </c>
      <c r="E677" s="4">
        <f>330.310706107324 * CHOOSE(CONTROL!$C$9, $C$13, 100%, $E$13) + CHOOSE(CONTROL!$C$28, 0, 0)</f>
        <v>330.31070610732399</v>
      </c>
    </row>
    <row r="678" spans="1:5" ht="15">
      <c r="A678" s="13">
        <v>62517</v>
      </c>
      <c r="B678" s="4">
        <f>60.2239 * CHOOSE(CONTROL!$C$9, $C$13, 100%, $E$13) + CHOOSE(CONTROL!$C$28, 0.0003, 0)</f>
        <v>60.224200000000003</v>
      </c>
      <c r="C678" s="4">
        <f>59.9114 * CHOOSE(CONTROL!$C$9, $C$13, 100%, $E$13) + CHOOSE(CONTROL!$C$28, 0.0003, 0)</f>
        <v>59.911700000000003</v>
      </c>
      <c r="D678" s="4">
        <f>59.9636 * CHOOSE(CONTROL!$C$9, $C$13, 100%, $E$13) + CHOOSE(CONTROL!$C$28, 0, 0)</f>
        <v>59.9636</v>
      </c>
      <c r="E678" s="4">
        <f>338.153583994892 * CHOOSE(CONTROL!$C$9, $C$13, 100%, $E$13) + CHOOSE(CONTROL!$C$28, 0, 0)</f>
        <v>338.15358399489202</v>
      </c>
    </row>
    <row r="679" spans="1:5" ht="15">
      <c r="A679" s="13">
        <v>62548</v>
      </c>
      <c r="B679" s="4">
        <f>63.7778 * CHOOSE(CONTROL!$C$9, $C$13, 100%, $E$13) + CHOOSE(CONTROL!$C$28, 0.0003, 0)</f>
        <v>63.778100000000002</v>
      </c>
      <c r="C679" s="4">
        <f>63.4653 * CHOOSE(CONTROL!$C$9, $C$13, 100%, $E$13) + CHOOSE(CONTROL!$C$28, 0.0003, 0)</f>
        <v>63.465600000000002</v>
      </c>
      <c r="D679" s="4">
        <f>63.1014 * CHOOSE(CONTROL!$C$9, $C$13, 100%, $E$13) + CHOOSE(CONTROL!$C$28, 0, 0)</f>
        <v>63.101399999999998</v>
      </c>
      <c r="E679" s="4">
        <f>358.749398123489 * CHOOSE(CONTROL!$C$9, $C$13, 100%, $E$13) + CHOOSE(CONTROL!$C$28, 0, 0)</f>
        <v>358.74939812348902</v>
      </c>
    </row>
    <row r="680" spans="1:5" ht="15">
      <c r="A680" s="13">
        <v>62578</v>
      </c>
      <c r="B680" s="4">
        <f>66.3028 * CHOOSE(CONTROL!$C$9, $C$13, 100%, $E$13) + CHOOSE(CONTROL!$C$28, 0.0003, 0)</f>
        <v>66.303100000000001</v>
      </c>
      <c r="C680" s="4">
        <f>65.9903 * CHOOSE(CONTROL!$C$9, $C$13, 100%, $E$13) + CHOOSE(CONTROL!$C$28, 0.0003, 0)</f>
        <v>65.990600000000001</v>
      </c>
      <c r="D680" s="4">
        <f>64.9089 * CHOOSE(CONTROL!$C$9, $C$13, 100%, $E$13) + CHOOSE(CONTROL!$C$28, 0, 0)</f>
        <v>64.908900000000003</v>
      </c>
      <c r="E680" s="4">
        <f>373.382998537169 * CHOOSE(CONTROL!$C$9, $C$13, 100%, $E$13) + CHOOSE(CONTROL!$C$28, 0, 0)</f>
        <v>373.38299853716899</v>
      </c>
    </row>
    <row r="681" spans="1:5" ht="15">
      <c r="A681" s="13">
        <v>62609</v>
      </c>
      <c r="B681" s="4">
        <f>67.8456 * CHOOSE(CONTROL!$C$9, $C$13, 100%, $E$13) + CHOOSE(CONTROL!$C$28, 0.0197, 0)</f>
        <v>67.865300000000005</v>
      </c>
      <c r="C681" s="4">
        <f>67.5331 * CHOOSE(CONTROL!$C$9, $C$13, 100%, $E$13) + CHOOSE(CONTROL!$C$28, 0.0197, 0)</f>
        <v>67.552800000000005</v>
      </c>
      <c r="D681" s="4">
        <f>64.1947 * CHOOSE(CONTROL!$C$9, $C$13, 100%, $E$13) + CHOOSE(CONTROL!$C$28, 0, 0)</f>
        <v>64.194699999999997</v>
      </c>
      <c r="E681" s="4">
        <f>382.323777671474 * CHOOSE(CONTROL!$C$9, $C$13, 100%, $E$13) + CHOOSE(CONTROL!$C$28, 0, 0)</f>
        <v>382.32377767147398</v>
      </c>
    </row>
    <row r="682" spans="1:5" ht="15">
      <c r="A682" s="13">
        <v>62639</v>
      </c>
      <c r="B682" s="4">
        <f>68.0543 * CHOOSE(CONTROL!$C$9, $C$13, 100%, $E$13) + CHOOSE(CONTROL!$C$28, 0.0197, 0)</f>
        <v>68.073999999999998</v>
      </c>
      <c r="C682" s="4">
        <f>67.7418 * CHOOSE(CONTROL!$C$9, $C$13, 100%, $E$13) + CHOOSE(CONTROL!$C$28, 0.0197, 0)</f>
        <v>67.761499999999998</v>
      </c>
      <c r="D682" s="4">
        <f>64.7764 * CHOOSE(CONTROL!$C$9, $C$13, 100%, $E$13) + CHOOSE(CONTROL!$C$28, 0, 0)</f>
        <v>64.776399999999995</v>
      </c>
      <c r="E682" s="4">
        <f>383.533502193341 * CHOOSE(CONTROL!$C$9, $C$13, 100%, $E$13) + CHOOSE(CONTROL!$C$28, 0, 0)</f>
        <v>383.53350219334101</v>
      </c>
    </row>
    <row r="683" spans="1:5" ht="15">
      <c r="A683" s="13">
        <v>62670</v>
      </c>
      <c r="B683" s="4">
        <f>68.0332 * CHOOSE(CONTROL!$C$9, $C$13, 100%, $E$13) + CHOOSE(CONTROL!$C$28, 0.0197, 0)</f>
        <v>68.052899999999994</v>
      </c>
      <c r="C683" s="4">
        <f>67.7207 * CHOOSE(CONTROL!$C$9, $C$13, 100%, $E$13) + CHOOSE(CONTROL!$C$28, 0.0197, 0)</f>
        <v>67.740399999999994</v>
      </c>
      <c r="D683" s="4">
        <f>65.826 * CHOOSE(CONTROL!$C$9, $C$13, 100%, $E$13) + CHOOSE(CONTROL!$C$28, 0, 0)</f>
        <v>65.825999999999993</v>
      </c>
      <c r="E683" s="4">
        <f>383.411513165926 * CHOOSE(CONTROL!$C$9, $C$13, 100%, $E$13) + CHOOSE(CONTROL!$C$28, 0, 0)</f>
        <v>383.41151316592601</v>
      </c>
    </row>
    <row r="684" spans="1:5" ht="15">
      <c r="A684" s="13">
        <v>62701</v>
      </c>
      <c r="B684" s="4">
        <f>69.6172 * CHOOSE(CONTROL!$C$9, $C$13, 100%, $E$13) + CHOOSE(CONTROL!$C$28, 0.0197, 0)</f>
        <v>69.636899999999997</v>
      </c>
      <c r="C684" s="4">
        <f>69.3047 * CHOOSE(CONTROL!$C$9, $C$13, 100%, $E$13) + CHOOSE(CONTROL!$C$28, 0.0197, 0)</f>
        <v>69.324399999999997</v>
      </c>
      <c r="D684" s="4">
        <f>65.1328 * CHOOSE(CONTROL!$C$9, $C$13, 100%, $E$13) + CHOOSE(CONTROL!$C$28, 0, 0)</f>
        <v>65.132800000000003</v>
      </c>
      <c r="E684" s="4">
        <f>392.591187478918 * CHOOSE(CONTROL!$C$9, $C$13, 100%, $E$13) + CHOOSE(CONTROL!$C$28, 0, 0)</f>
        <v>392.59118747891802</v>
      </c>
    </row>
    <row r="685" spans="1:5" ht="15">
      <c r="A685" s="13">
        <v>62731</v>
      </c>
      <c r="B685" s="4">
        <f>66.9176 * CHOOSE(CONTROL!$C$9, $C$13, 100%, $E$13) + CHOOSE(CONTROL!$C$28, 0.0197, 0)</f>
        <v>66.937299999999993</v>
      </c>
      <c r="C685" s="4">
        <f>66.6051 * CHOOSE(CONTROL!$C$9, $C$13, 100%, $E$13) + CHOOSE(CONTROL!$C$28, 0.0197, 0)</f>
        <v>66.624799999999993</v>
      </c>
      <c r="D685" s="4">
        <f>64.8053 * CHOOSE(CONTROL!$C$9, $C$13, 100%, $E$13) + CHOOSE(CONTROL!$C$28, 0, 0)</f>
        <v>64.805300000000003</v>
      </c>
      <c r="E685" s="4">
        <f>376.946094712921 * CHOOSE(CONTROL!$C$9, $C$13, 100%, $E$13) + CHOOSE(CONTROL!$C$28, 0, 0)</f>
        <v>376.94609471292102</v>
      </c>
    </row>
    <row r="686" spans="1:5" ht="15">
      <c r="A686" s="13">
        <v>62762</v>
      </c>
      <c r="B686" s="4">
        <f>64.7566 * CHOOSE(CONTROL!$C$9, $C$13, 100%, $E$13) + CHOOSE(CONTROL!$C$28, 0.0003, 0)</f>
        <v>64.756900000000002</v>
      </c>
      <c r="C686" s="4">
        <f>64.4441 * CHOOSE(CONTROL!$C$9, $C$13, 100%, $E$13) + CHOOSE(CONTROL!$C$28, 0.0003, 0)</f>
        <v>64.444400000000002</v>
      </c>
      <c r="D686" s="4">
        <f>63.9284 * CHOOSE(CONTROL!$C$9, $C$13, 100%, $E$13) + CHOOSE(CONTROL!$C$28, 0, 0)</f>
        <v>63.928400000000003</v>
      </c>
      <c r="E686" s="4">
        <f>364.421887898295 * CHOOSE(CONTROL!$C$9, $C$13, 100%, $E$13) + CHOOSE(CONTROL!$C$28, 0, 0)</f>
        <v>364.42188789829498</v>
      </c>
    </row>
    <row r="687" spans="1:5" ht="15">
      <c r="A687" s="13">
        <v>62792</v>
      </c>
      <c r="B687" s="4">
        <f>63.3647 * CHOOSE(CONTROL!$C$9, $C$13, 100%, $E$13) + CHOOSE(CONTROL!$C$28, 0.0003, 0)</f>
        <v>63.365000000000002</v>
      </c>
      <c r="C687" s="4">
        <f>63.0522 * CHOOSE(CONTROL!$C$9, $C$13, 100%, $E$13) + CHOOSE(CONTROL!$C$28, 0.0003, 0)</f>
        <v>63.052500000000002</v>
      </c>
      <c r="D687" s="4">
        <f>63.627 * CHOOSE(CONTROL!$C$9, $C$13, 100%, $E$13) + CHOOSE(CONTROL!$C$28, 0, 0)</f>
        <v>63.627000000000002</v>
      </c>
      <c r="E687" s="4">
        <f>356.355363460466 * CHOOSE(CONTROL!$C$9, $C$13, 100%, $E$13) + CHOOSE(CONTROL!$C$28, 0, 0)</f>
        <v>356.35536346046598</v>
      </c>
    </row>
    <row r="688" spans="1:5" ht="15">
      <c r="A688" s="13">
        <v>62823</v>
      </c>
      <c r="B688" s="4">
        <f>62.4017 * CHOOSE(CONTROL!$C$9, $C$13, 100%, $E$13) + CHOOSE(CONTROL!$C$28, 0.0003, 0)</f>
        <v>62.402000000000001</v>
      </c>
      <c r="C688" s="4">
        <f>62.0892 * CHOOSE(CONTROL!$C$9, $C$13, 100%, $E$13) + CHOOSE(CONTROL!$C$28, 0.0003, 0)</f>
        <v>62.089500000000001</v>
      </c>
      <c r="D688" s="4">
        <f>61.4075 * CHOOSE(CONTROL!$C$9, $C$13, 100%, $E$13) + CHOOSE(CONTROL!$C$28, 0, 0)</f>
        <v>61.407499999999999</v>
      </c>
      <c r="E688" s="4">
        <f>350.774365456222 * CHOOSE(CONTROL!$C$9, $C$13, 100%, $E$13) + CHOOSE(CONTROL!$C$28, 0, 0)</f>
        <v>350.77436545622197</v>
      </c>
    </row>
    <row r="689" spans="1:5" ht="15">
      <c r="A689" s="13">
        <v>62854</v>
      </c>
      <c r="B689" s="4">
        <f>60.837 * CHOOSE(CONTROL!$C$9, $C$13, 100%, $E$13) + CHOOSE(CONTROL!$C$28, 0.0003, 0)</f>
        <v>60.837300000000006</v>
      </c>
      <c r="C689" s="4">
        <f>60.5245 * CHOOSE(CONTROL!$C$9, $C$13, 100%, $E$13) + CHOOSE(CONTROL!$C$28, 0.0003, 0)</f>
        <v>60.524800000000006</v>
      </c>
      <c r="D689" s="4">
        <f>59.3676 * CHOOSE(CONTROL!$C$9, $C$13, 100%, $E$13) + CHOOSE(CONTROL!$C$28, 0, 0)</f>
        <v>59.367600000000003</v>
      </c>
      <c r="E689" s="4">
        <f>340.715493349705 * CHOOSE(CONTROL!$C$9, $C$13, 100%, $E$13) + CHOOSE(CONTROL!$C$28, 0, 0)</f>
        <v>340.71549334970501</v>
      </c>
    </row>
    <row r="690" spans="1:5" ht="15">
      <c r="A690" s="13">
        <v>62883</v>
      </c>
      <c r="B690" s="4">
        <f>62.237 * CHOOSE(CONTROL!$C$9, $C$13, 100%, $E$13) + CHOOSE(CONTROL!$C$28, 0.0003, 0)</f>
        <v>62.237300000000005</v>
      </c>
      <c r="C690" s="4">
        <f>61.9245 * CHOOSE(CONTROL!$C$9, $C$13, 100%, $E$13) + CHOOSE(CONTROL!$C$28, 0.0003, 0)</f>
        <v>61.924800000000005</v>
      </c>
      <c r="D690" s="4">
        <f>61.4218 * CHOOSE(CONTROL!$C$9, $C$13, 100%, $E$13) + CHOOSE(CONTROL!$C$28, 0, 0)</f>
        <v>61.421799999999998</v>
      </c>
      <c r="E690" s="4">
        <f>348.805421890731 * CHOOSE(CONTROL!$C$9, $C$13, 100%, $E$13) + CHOOSE(CONTROL!$C$28, 0, 0)</f>
        <v>348.805421890731</v>
      </c>
    </row>
    <row r="691" spans="1:5" ht="15">
      <c r="A691" s="13">
        <v>62914</v>
      </c>
      <c r="B691" s="4">
        <f>65.9134 * CHOOSE(CONTROL!$C$9, $C$13, 100%, $E$13) + CHOOSE(CONTROL!$C$28, 0.0003, 0)</f>
        <v>65.913699999999992</v>
      </c>
      <c r="C691" s="4">
        <f>65.6009 * CHOOSE(CONTROL!$C$9, $C$13, 100%, $E$13) + CHOOSE(CONTROL!$C$28, 0.0003, 0)</f>
        <v>65.601199999999992</v>
      </c>
      <c r="D691" s="4">
        <f>64.6374 * CHOOSE(CONTROL!$C$9, $C$13, 100%, $E$13) + CHOOSE(CONTROL!$C$28, 0, 0)</f>
        <v>64.6374</v>
      </c>
      <c r="E691" s="4">
        <f>370.050004164379 * CHOOSE(CONTROL!$C$9, $C$13, 100%, $E$13) + CHOOSE(CONTROL!$C$28, 0, 0)</f>
        <v>370.050004164379</v>
      </c>
    </row>
    <row r="692" spans="1:5" ht="15">
      <c r="A692" s="13">
        <v>62944</v>
      </c>
      <c r="B692" s="4">
        <f>68.5256 * CHOOSE(CONTROL!$C$9, $C$13, 100%, $E$13) + CHOOSE(CONTROL!$C$28, 0.0003, 0)</f>
        <v>68.525899999999993</v>
      </c>
      <c r="C692" s="4">
        <f>68.2131 * CHOOSE(CONTROL!$C$9, $C$13, 100%, $E$13) + CHOOSE(CONTROL!$C$28, 0.0003, 0)</f>
        <v>68.213399999999993</v>
      </c>
      <c r="D692" s="4">
        <f>66.4898 * CHOOSE(CONTROL!$C$9, $C$13, 100%, $E$13) + CHOOSE(CONTROL!$C$28, 0, 0)</f>
        <v>66.489800000000002</v>
      </c>
      <c r="E692" s="4">
        <f>385.14456299109 * CHOOSE(CONTROL!$C$9, $C$13, 100%, $E$13) + CHOOSE(CONTROL!$C$28, 0, 0)</f>
        <v>385.14456299109003</v>
      </c>
    </row>
    <row r="693" spans="1:5" ht="15">
      <c r="A693" s="13">
        <v>62975</v>
      </c>
      <c r="B693" s="4">
        <f>70.1215 * CHOOSE(CONTROL!$C$9, $C$13, 100%, $E$13) + CHOOSE(CONTROL!$C$28, 0.0197, 0)</f>
        <v>70.141199999999998</v>
      </c>
      <c r="C693" s="4">
        <f>69.809 * CHOOSE(CONTROL!$C$9, $C$13, 100%, $E$13) + CHOOSE(CONTROL!$C$28, 0.0197, 0)</f>
        <v>69.828699999999998</v>
      </c>
      <c r="D693" s="4">
        <f>65.7578 * CHOOSE(CONTROL!$C$9, $C$13, 100%, $E$13) + CHOOSE(CONTROL!$C$28, 0, 0)</f>
        <v>65.757800000000003</v>
      </c>
      <c r="E693" s="4">
        <f>394.366976668125 * CHOOSE(CONTROL!$C$9, $C$13, 100%, $E$13) + CHOOSE(CONTROL!$C$28, 0, 0)</f>
        <v>394.36697666812501</v>
      </c>
    </row>
    <row r="694" spans="1:5" ht="15">
      <c r="A694" s="13">
        <v>63005</v>
      </c>
      <c r="B694" s="4">
        <f>70.3375 * CHOOSE(CONTROL!$C$9, $C$13, 100%, $E$13) + CHOOSE(CONTROL!$C$28, 0.0197, 0)</f>
        <v>70.357200000000006</v>
      </c>
      <c r="C694" s="4">
        <f>70.025 * CHOOSE(CONTROL!$C$9, $C$13, 100%, $E$13) + CHOOSE(CONTROL!$C$28, 0.0197, 0)</f>
        <v>70.044700000000006</v>
      </c>
      <c r="D694" s="4">
        <f>66.3539 * CHOOSE(CONTROL!$C$9, $C$13, 100%, $E$13) + CHOOSE(CONTROL!$C$28, 0, 0)</f>
        <v>66.353899999999996</v>
      </c>
      <c r="E694" s="4">
        <f>395.614807512431 * CHOOSE(CONTROL!$C$9, $C$13, 100%, $E$13) + CHOOSE(CONTROL!$C$28, 0, 0)</f>
        <v>395.61480751243101</v>
      </c>
    </row>
    <row r="695" spans="1:5" ht="15">
      <c r="A695" s="13">
        <v>63036</v>
      </c>
      <c r="B695" s="4">
        <f>70.3157 * CHOOSE(CONTROL!$C$9, $C$13, 100%, $E$13) + CHOOSE(CONTROL!$C$28, 0.0197, 0)</f>
        <v>70.335400000000007</v>
      </c>
      <c r="C695" s="4">
        <f>70.0032 * CHOOSE(CONTROL!$C$9, $C$13, 100%, $E$13) + CHOOSE(CONTROL!$C$28, 0.0197, 0)</f>
        <v>70.022900000000007</v>
      </c>
      <c r="D695" s="4">
        <f>67.4296 * CHOOSE(CONTROL!$C$9, $C$13, 100%, $E$13) + CHOOSE(CONTROL!$C$28, 0, 0)</f>
        <v>67.429599999999994</v>
      </c>
      <c r="E695" s="4">
        <f>395.488975830653 * CHOOSE(CONTROL!$C$9, $C$13, 100%, $E$13) + CHOOSE(CONTROL!$C$28, 0, 0)</f>
        <v>395.48897583065298</v>
      </c>
    </row>
    <row r="696" spans="1:5" ht="15">
      <c r="A696" s="13">
        <v>63067</v>
      </c>
      <c r="B696" s="4">
        <f>71.9543 * CHOOSE(CONTROL!$C$9, $C$13, 100%, $E$13) + CHOOSE(CONTROL!$C$28, 0.0197, 0)</f>
        <v>71.974000000000004</v>
      </c>
      <c r="C696" s="4">
        <f>71.6418 * CHOOSE(CONTROL!$C$9, $C$13, 100%, $E$13) + CHOOSE(CONTROL!$C$28, 0.0197, 0)</f>
        <v>71.661500000000004</v>
      </c>
      <c r="D696" s="4">
        <f>66.7192 * CHOOSE(CONTROL!$C$9, $C$13, 100%, $E$13) + CHOOSE(CONTROL!$C$28, 0, 0)</f>
        <v>66.719200000000001</v>
      </c>
      <c r="E696" s="4">
        <f>404.957809884504 * CHOOSE(CONTROL!$C$9, $C$13, 100%, $E$13) + CHOOSE(CONTROL!$C$28, 0, 0)</f>
        <v>404.957809884504</v>
      </c>
    </row>
    <row r="697" spans="1:5" ht="15">
      <c r="A697" s="13">
        <v>63097</v>
      </c>
      <c r="B697" s="4">
        <f>69.1616 * CHOOSE(CONTROL!$C$9, $C$13, 100%, $E$13) + CHOOSE(CONTROL!$C$28, 0.0197, 0)</f>
        <v>69.181300000000007</v>
      </c>
      <c r="C697" s="4">
        <f>68.8491 * CHOOSE(CONTROL!$C$9, $C$13, 100%, $E$13) + CHOOSE(CONTROL!$C$28, 0.0197, 0)</f>
        <v>68.868800000000007</v>
      </c>
      <c r="D697" s="4">
        <f>66.3836 * CHOOSE(CONTROL!$C$9, $C$13, 100%, $E$13) + CHOOSE(CONTROL!$C$28, 0, 0)</f>
        <v>66.383600000000001</v>
      </c>
      <c r="E697" s="4">
        <f>388.819896696378 * CHOOSE(CONTROL!$C$9, $C$13, 100%, $E$13) + CHOOSE(CONTROL!$C$28, 0, 0)</f>
        <v>388.81989669637801</v>
      </c>
    </row>
    <row r="698" spans="1:5" ht="15">
      <c r="A698" s="13">
        <v>63128</v>
      </c>
      <c r="B698" s="4">
        <f>66.926 * CHOOSE(CONTROL!$C$9, $C$13, 100%, $E$13) + CHOOSE(CONTROL!$C$28, 0.0003, 0)</f>
        <v>66.926299999999998</v>
      </c>
      <c r="C698" s="4">
        <f>66.6135 * CHOOSE(CONTROL!$C$9, $C$13, 100%, $E$13) + CHOOSE(CONTROL!$C$28, 0.0003, 0)</f>
        <v>66.613799999999998</v>
      </c>
      <c r="D698" s="4">
        <f>65.485 * CHOOSE(CONTROL!$C$9, $C$13, 100%, $E$13) + CHOOSE(CONTROL!$C$28, 0, 0)</f>
        <v>65.484999999999999</v>
      </c>
      <c r="E698" s="4">
        <f>375.901177367092 * CHOOSE(CONTROL!$C$9, $C$13, 100%, $E$13) + CHOOSE(CONTROL!$C$28, 0, 0)</f>
        <v>375.90117736709198</v>
      </c>
    </row>
    <row r="699" spans="1:5" ht="15">
      <c r="A699" s="13">
        <v>63158</v>
      </c>
      <c r="B699" s="4">
        <f>65.4861 * CHOOSE(CONTROL!$C$9, $C$13, 100%, $E$13) + CHOOSE(CONTROL!$C$28, 0.0003, 0)</f>
        <v>65.486399999999989</v>
      </c>
      <c r="C699" s="4">
        <f>65.1736 * CHOOSE(CONTROL!$C$9, $C$13, 100%, $E$13) + CHOOSE(CONTROL!$C$28, 0.0003, 0)</f>
        <v>65.173899999999989</v>
      </c>
      <c r="D699" s="4">
        <f>65.176 * CHOOSE(CONTROL!$C$9, $C$13, 100%, $E$13) + CHOOSE(CONTROL!$C$28, 0, 0)</f>
        <v>65.176000000000002</v>
      </c>
      <c r="E699" s="4">
        <f>367.580557409471 * CHOOSE(CONTROL!$C$9, $C$13, 100%, $E$13) + CHOOSE(CONTROL!$C$28, 0, 0)</f>
        <v>367.580557409471</v>
      </c>
    </row>
    <row r="700" spans="1:5" ht="15">
      <c r="A700" s="13">
        <v>63189</v>
      </c>
      <c r="B700" s="4">
        <f>64.4898 * CHOOSE(CONTROL!$C$9, $C$13, 100%, $E$13) + CHOOSE(CONTROL!$C$28, 0.0003, 0)</f>
        <v>64.490099999999998</v>
      </c>
      <c r="C700" s="4">
        <f>64.1773 * CHOOSE(CONTROL!$C$9, $C$13, 100%, $E$13) + CHOOSE(CONTROL!$C$28, 0.0003, 0)</f>
        <v>64.177599999999998</v>
      </c>
      <c r="D700" s="4">
        <f>62.9015 * CHOOSE(CONTROL!$C$9, $C$13, 100%, $E$13) + CHOOSE(CONTROL!$C$28, 0, 0)</f>
        <v>62.901499999999999</v>
      </c>
      <c r="E700" s="4">
        <f>361.823757968093 * CHOOSE(CONTROL!$C$9, $C$13, 100%, $E$13) + CHOOSE(CONTROL!$C$28, 0, 0)</f>
        <v>361.82375796809299</v>
      </c>
    </row>
    <row r="701" spans="1:5" ht="15">
      <c r="A701" s="13">
        <v>63220</v>
      </c>
      <c r="B701" s="4">
        <f>62.8712 * CHOOSE(CONTROL!$C$9, $C$13, 100%, $E$13) + CHOOSE(CONTROL!$C$28, 0.0003, 0)</f>
        <v>62.871500000000005</v>
      </c>
      <c r="C701" s="4">
        <f>62.5587 * CHOOSE(CONTROL!$C$9, $C$13, 100%, $E$13) + CHOOSE(CONTROL!$C$28, 0.0003, 0)</f>
        <v>62.559000000000005</v>
      </c>
      <c r="D701" s="4">
        <f>60.811 * CHOOSE(CONTROL!$C$9, $C$13, 100%, $E$13) + CHOOSE(CONTROL!$C$28, 0, 0)</f>
        <v>60.811</v>
      </c>
      <c r="E701" s="4">
        <f>351.448031390221 * CHOOSE(CONTROL!$C$9, $C$13, 100%, $E$13) + CHOOSE(CONTROL!$C$28, 0, 0)</f>
        <v>351.44803139022099</v>
      </c>
    </row>
    <row r="702" spans="1:5" ht="15">
      <c r="A702" s="13">
        <v>63248</v>
      </c>
      <c r="B702" s="4">
        <f>64.3194 * CHOOSE(CONTROL!$C$9, $C$13, 100%, $E$13) + CHOOSE(CONTROL!$C$28, 0.0003, 0)</f>
        <v>64.319699999999997</v>
      </c>
      <c r="C702" s="4">
        <f>64.0069 * CHOOSE(CONTROL!$C$9, $C$13, 100%, $E$13) + CHOOSE(CONTROL!$C$28, 0.0003, 0)</f>
        <v>64.007199999999997</v>
      </c>
      <c r="D702" s="4">
        <f>62.9161 * CHOOSE(CONTROL!$C$9, $C$13, 100%, $E$13) + CHOOSE(CONTROL!$C$28, 0, 0)</f>
        <v>62.9161</v>
      </c>
      <c r="E702" s="4">
        <f>359.792792680289 * CHOOSE(CONTROL!$C$9, $C$13, 100%, $E$13) + CHOOSE(CONTROL!$C$28, 0, 0)</f>
        <v>359.79279268028898</v>
      </c>
    </row>
    <row r="703" spans="1:5" ht="15">
      <c r="A703" s="13">
        <v>63279</v>
      </c>
      <c r="B703" s="4">
        <f>68.1227 * CHOOSE(CONTROL!$C$9, $C$13, 100%, $E$13) + CHOOSE(CONTROL!$C$28, 0.0003, 0)</f>
        <v>68.12299999999999</v>
      </c>
      <c r="C703" s="4">
        <f>67.8102 * CHOOSE(CONTROL!$C$9, $C$13, 100%, $E$13) + CHOOSE(CONTROL!$C$28, 0.0003, 0)</f>
        <v>67.81049999999999</v>
      </c>
      <c r="D703" s="4">
        <f>66.2116 * CHOOSE(CONTROL!$C$9, $C$13, 100%, $E$13) + CHOOSE(CONTROL!$C$28, 0, 0)</f>
        <v>66.211600000000004</v>
      </c>
      <c r="E703" s="4">
        <f>381.706579295557 * CHOOSE(CONTROL!$C$9, $C$13, 100%, $E$13) + CHOOSE(CONTROL!$C$28, 0, 0)</f>
        <v>381.70657929555699</v>
      </c>
    </row>
    <row r="704" spans="1:5" ht="15">
      <c r="A704" s="13">
        <v>63309</v>
      </c>
      <c r="B704" s="4">
        <f>70.825 * CHOOSE(CONTROL!$C$9, $C$13, 100%, $E$13) + CHOOSE(CONTROL!$C$28, 0.0003, 0)</f>
        <v>70.825299999999999</v>
      </c>
      <c r="C704" s="4">
        <f>70.5125 * CHOOSE(CONTROL!$C$9, $C$13, 100%, $E$13) + CHOOSE(CONTROL!$C$28, 0.0003, 0)</f>
        <v>70.512799999999999</v>
      </c>
      <c r="D704" s="4">
        <f>68.1098 * CHOOSE(CONTROL!$C$9, $C$13, 100%, $E$13) + CHOOSE(CONTROL!$C$28, 0, 0)</f>
        <v>68.109800000000007</v>
      </c>
      <c r="E704" s="4">
        <f>397.276616725309 * CHOOSE(CONTROL!$C$9, $C$13, 100%, $E$13) + CHOOSE(CONTROL!$C$28, 0, 0)</f>
        <v>397.276616725309</v>
      </c>
    </row>
    <row r="705" spans="1:5" ht="15">
      <c r="A705" s="13">
        <v>63340</v>
      </c>
      <c r="B705" s="4">
        <f>72.476 * CHOOSE(CONTROL!$C$9, $C$13, 100%, $E$13) + CHOOSE(CONTROL!$C$28, 0.0197, 0)</f>
        <v>72.495699999999999</v>
      </c>
      <c r="C705" s="4">
        <f>72.1635 * CHOOSE(CONTROL!$C$9, $C$13, 100%, $E$13) + CHOOSE(CONTROL!$C$28, 0.0197, 0)</f>
        <v>72.183199999999999</v>
      </c>
      <c r="D705" s="4">
        <f>67.3597 * CHOOSE(CONTROL!$C$9, $C$13, 100%, $E$13) + CHOOSE(CONTROL!$C$28, 0, 0)</f>
        <v>67.359700000000004</v>
      </c>
      <c r="E705" s="4">
        <f>406.789536433171 * CHOOSE(CONTROL!$C$9, $C$13, 100%, $E$13) + CHOOSE(CONTROL!$C$28, 0, 0)</f>
        <v>406.78953643317101</v>
      </c>
    </row>
    <row r="706" spans="1:5" ht="15">
      <c r="A706" s="13">
        <v>63370</v>
      </c>
      <c r="B706" s="4">
        <f>72.6994 * CHOOSE(CONTROL!$C$9, $C$13, 100%, $E$13) + CHOOSE(CONTROL!$C$28, 0.0197, 0)</f>
        <v>72.719099999999997</v>
      </c>
      <c r="C706" s="4">
        <f>72.3869 * CHOOSE(CONTROL!$C$9, $C$13, 100%, $E$13) + CHOOSE(CONTROL!$C$28, 0.0197, 0)</f>
        <v>72.406599999999997</v>
      </c>
      <c r="D706" s="4">
        <f>67.9706 * CHOOSE(CONTROL!$C$9, $C$13, 100%, $E$13) + CHOOSE(CONTROL!$C$28, 0, 0)</f>
        <v>67.970600000000005</v>
      </c>
      <c r="E706" s="4">
        <f>408.076673949073 * CHOOSE(CONTROL!$C$9, $C$13, 100%, $E$13) + CHOOSE(CONTROL!$C$28, 0, 0)</f>
        <v>408.07667394907298</v>
      </c>
    </row>
    <row r="707" spans="1:5" ht="15">
      <c r="A707" s="13">
        <v>63401</v>
      </c>
      <c r="B707" s="4">
        <f>72.6769 * CHOOSE(CONTROL!$C$9, $C$13, 100%, $E$13) + CHOOSE(CONTROL!$C$28, 0.0197, 0)</f>
        <v>72.696600000000004</v>
      </c>
      <c r="C707" s="4">
        <f>72.3644 * CHOOSE(CONTROL!$C$9, $C$13, 100%, $E$13) + CHOOSE(CONTROL!$C$28, 0.0197, 0)</f>
        <v>72.384100000000004</v>
      </c>
      <c r="D707" s="4">
        <f>69.0729 * CHOOSE(CONTROL!$C$9, $C$13, 100%, $E$13) + CHOOSE(CONTROL!$C$28, 0, 0)</f>
        <v>69.072900000000004</v>
      </c>
      <c r="E707" s="4">
        <f>407.946878569318 * CHOOSE(CONTROL!$C$9, $C$13, 100%, $E$13) + CHOOSE(CONTROL!$C$28, 0, 0)</f>
        <v>407.94687856931802</v>
      </c>
    </row>
    <row r="708" spans="1:5" ht="15">
      <c r="A708" s="13">
        <v>63432</v>
      </c>
      <c r="B708" s="4">
        <f>74.3721 * CHOOSE(CONTROL!$C$9, $C$13, 100%, $E$13) + CHOOSE(CONTROL!$C$28, 0.0197, 0)</f>
        <v>74.391800000000003</v>
      </c>
      <c r="C708" s="4">
        <f>74.0596 * CHOOSE(CONTROL!$C$9, $C$13, 100%, $E$13) + CHOOSE(CONTROL!$C$28, 0.0197, 0)</f>
        <v>74.079300000000003</v>
      </c>
      <c r="D708" s="4">
        <f>68.3449 * CHOOSE(CONTROL!$C$9, $C$13, 100%, $E$13) + CHOOSE(CONTROL!$C$28, 0, 0)</f>
        <v>68.344899999999996</v>
      </c>
      <c r="E708" s="4">
        <f>417.713980895866 * CHOOSE(CONTROL!$C$9, $C$13, 100%, $E$13) + CHOOSE(CONTROL!$C$28, 0, 0)</f>
        <v>417.71398089586597</v>
      </c>
    </row>
    <row r="709" spans="1:5" ht="15">
      <c r="A709" s="13">
        <v>63462</v>
      </c>
      <c r="B709" s="4">
        <f>71.483 * CHOOSE(CONTROL!$C$9, $C$13, 100%, $E$13) + CHOOSE(CONTROL!$C$28, 0.0197, 0)</f>
        <v>71.502700000000004</v>
      </c>
      <c r="C709" s="4">
        <f>71.1705 * CHOOSE(CONTROL!$C$9, $C$13, 100%, $E$13) + CHOOSE(CONTROL!$C$28, 0.0197, 0)</f>
        <v>71.190200000000004</v>
      </c>
      <c r="D709" s="4">
        <f>68.001 * CHOOSE(CONTROL!$C$9, $C$13, 100%, $E$13) + CHOOSE(CONTROL!$C$28, 0, 0)</f>
        <v>68.001000000000005</v>
      </c>
      <c r="E709" s="4">
        <f>401.067723442314 * CHOOSE(CONTROL!$C$9, $C$13, 100%, $E$13) + CHOOSE(CONTROL!$C$28, 0, 0)</f>
        <v>401.06772344231399</v>
      </c>
    </row>
    <row r="710" spans="1:5" ht="15">
      <c r="A710" s="13">
        <v>63493</v>
      </c>
      <c r="B710" s="4">
        <f>69.1702 * CHOOSE(CONTROL!$C$9, $C$13, 100%, $E$13) + CHOOSE(CONTROL!$C$28, 0.0003, 0)</f>
        <v>69.17049999999999</v>
      </c>
      <c r="C710" s="4">
        <f>68.8577 * CHOOSE(CONTROL!$C$9, $C$13, 100%, $E$13) + CHOOSE(CONTROL!$C$28, 0.0003, 0)</f>
        <v>68.85799999999999</v>
      </c>
      <c r="D710" s="4">
        <f>67.0801 * CHOOSE(CONTROL!$C$9, $C$13, 100%, $E$13) + CHOOSE(CONTROL!$C$28, 0, 0)</f>
        <v>67.080100000000002</v>
      </c>
      <c r="E710" s="4">
        <f>387.742064454155 * CHOOSE(CONTROL!$C$9, $C$13, 100%, $E$13) + CHOOSE(CONTROL!$C$28, 0, 0)</f>
        <v>387.74206445415501</v>
      </c>
    </row>
    <row r="711" spans="1:5" ht="15">
      <c r="A711" s="13">
        <v>63523</v>
      </c>
      <c r="B711" s="4">
        <f>67.6806 * CHOOSE(CONTROL!$C$9, $C$13, 100%, $E$13) + CHOOSE(CONTROL!$C$28, 0.0003, 0)</f>
        <v>67.680899999999994</v>
      </c>
      <c r="C711" s="4">
        <f>67.3681 * CHOOSE(CONTROL!$C$9, $C$13, 100%, $E$13) + CHOOSE(CONTROL!$C$28, 0.0003, 0)</f>
        <v>67.368399999999994</v>
      </c>
      <c r="D711" s="4">
        <f>66.7635 * CHOOSE(CONTROL!$C$9, $C$13, 100%, $E$13) + CHOOSE(CONTROL!$C$28, 0, 0)</f>
        <v>66.763499999999993</v>
      </c>
      <c r="E711" s="4">
        <f>379.159344967869 * CHOOSE(CONTROL!$C$9, $C$13, 100%, $E$13) + CHOOSE(CONTROL!$C$28, 0, 0)</f>
        <v>379.159344967869</v>
      </c>
    </row>
    <row r="712" spans="1:5" ht="15">
      <c r="A712" s="13">
        <v>63554</v>
      </c>
      <c r="B712" s="4">
        <f>66.65 * CHOOSE(CONTROL!$C$9, $C$13, 100%, $E$13) + CHOOSE(CONTROL!$C$28, 0.0003, 0)</f>
        <v>66.650300000000001</v>
      </c>
      <c r="C712" s="4">
        <f>66.3375 * CHOOSE(CONTROL!$C$9, $C$13, 100%, $E$13) + CHOOSE(CONTROL!$C$28, 0.0003, 0)</f>
        <v>66.337800000000001</v>
      </c>
      <c r="D712" s="4">
        <f>64.4325 * CHOOSE(CONTROL!$C$9, $C$13, 100%, $E$13) + CHOOSE(CONTROL!$C$28, 0, 0)</f>
        <v>64.432500000000005</v>
      </c>
      <c r="E712" s="4">
        <f>373.221206344088 * CHOOSE(CONTROL!$C$9, $C$13, 100%, $E$13) + CHOOSE(CONTROL!$C$28, 0, 0)</f>
        <v>373.22120634408799</v>
      </c>
    </row>
    <row r="713" spans="1:5" ht="15">
      <c r="A713" s="13">
        <v>63585</v>
      </c>
      <c r="B713" s="4">
        <f>64.9755 * CHOOSE(CONTROL!$C$9, $C$13, 100%, $E$13) + CHOOSE(CONTROL!$C$28, 0.0003, 0)</f>
        <v>64.975799999999992</v>
      </c>
      <c r="C713" s="4">
        <f>64.663 * CHOOSE(CONTROL!$C$9, $C$13, 100%, $E$13) + CHOOSE(CONTROL!$C$28, 0.0003, 0)</f>
        <v>64.663299999999992</v>
      </c>
      <c r="D713" s="4">
        <f>62.2902 * CHOOSE(CONTROL!$C$9, $C$13, 100%, $E$13) + CHOOSE(CONTROL!$C$28, 0, 0)</f>
        <v>62.290199999999999</v>
      </c>
      <c r="E713" s="4">
        <f>362.518644379013 * CHOOSE(CONTROL!$C$9, $C$13, 100%, $E$13) + CHOOSE(CONTROL!$C$28, 0, 0)</f>
        <v>362.51864437901298</v>
      </c>
    </row>
    <row r="714" spans="1:5" ht="15">
      <c r="A714" s="13">
        <v>63613</v>
      </c>
      <c r="B714" s="4">
        <f>66.4738 * CHOOSE(CONTROL!$C$9, $C$13, 100%, $E$13) + CHOOSE(CONTROL!$C$28, 0.0003, 0)</f>
        <v>66.474099999999993</v>
      </c>
      <c r="C714" s="4">
        <f>66.1613 * CHOOSE(CONTROL!$C$9, $C$13, 100%, $E$13) + CHOOSE(CONTROL!$C$28, 0.0003, 0)</f>
        <v>66.161599999999993</v>
      </c>
      <c r="D714" s="4">
        <f>64.4476 * CHOOSE(CONTROL!$C$9, $C$13, 100%, $E$13) + CHOOSE(CONTROL!$C$28, 0, 0)</f>
        <v>64.447599999999994</v>
      </c>
      <c r="E714" s="4">
        <f>371.126265649719 * CHOOSE(CONTROL!$C$9, $C$13, 100%, $E$13) + CHOOSE(CONTROL!$C$28, 0, 0)</f>
        <v>371.12626564971902</v>
      </c>
    </row>
    <row r="715" spans="1:5" ht="15">
      <c r="A715" s="13">
        <v>63644</v>
      </c>
      <c r="B715" s="4">
        <f>70.4083 * CHOOSE(CONTROL!$C$9, $C$13, 100%, $E$13) + CHOOSE(CONTROL!$C$28, 0.0003, 0)</f>
        <v>70.408599999999993</v>
      </c>
      <c r="C715" s="4">
        <f>70.0958 * CHOOSE(CONTROL!$C$9, $C$13, 100%, $E$13) + CHOOSE(CONTROL!$C$28, 0.0003, 0)</f>
        <v>70.096099999999993</v>
      </c>
      <c r="D715" s="4">
        <f>67.8247 * CHOOSE(CONTROL!$C$9, $C$13, 100%, $E$13) + CHOOSE(CONTROL!$C$28, 0, 0)</f>
        <v>67.824700000000007</v>
      </c>
      <c r="E715" s="4">
        <f>393.730336543367 * CHOOSE(CONTROL!$C$9, $C$13, 100%, $E$13) + CHOOSE(CONTROL!$C$28, 0, 0)</f>
        <v>393.730336543367</v>
      </c>
    </row>
    <row r="716" spans="1:5" ht="15">
      <c r="A716" s="13">
        <v>63674</v>
      </c>
      <c r="B716" s="4">
        <f>73.2038 * CHOOSE(CONTROL!$C$9, $C$13, 100%, $E$13) + CHOOSE(CONTROL!$C$28, 0.0003, 0)</f>
        <v>73.204099999999997</v>
      </c>
      <c r="C716" s="4">
        <f>72.8913 * CHOOSE(CONTROL!$C$9, $C$13, 100%, $E$13) + CHOOSE(CONTROL!$C$28, 0.0003, 0)</f>
        <v>72.891599999999997</v>
      </c>
      <c r="D716" s="4">
        <f>69.77 * CHOOSE(CONTROL!$C$9, $C$13, 100%, $E$13) + CHOOSE(CONTROL!$C$28, 0, 0)</f>
        <v>69.77</v>
      </c>
      <c r="E716" s="4">
        <f>409.790830152157 * CHOOSE(CONTROL!$C$9, $C$13, 100%, $E$13) + CHOOSE(CONTROL!$C$28, 0, 0)</f>
        <v>409.79083015215701</v>
      </c>
    </row>
    <row r="717" spans="1:5" ht="15">
      <c r="A717" s="13">
        <v>63705</v>
      </c>
      <c r="B717" s="4">
        <f>74.9118 * CHOOSE(CONTROL!$C$9, $C$13, 100%, $E$13) + CHOOSE(CONTROL!$C$28, 0.0197, 0)</f>
        <v>74.9315</v>
      </c>
      <c r="C717" s="4">
        <f>74.5993 * CHOOSE(CONTROL!$C$9, $C$13, 100%, $E$13) + CHOOSE(CONTROL!$C$28, 0.0197, 0)</f>
        <v>74.619</v>
      </c>
      <c r="D717" s="4">
        <f>69.0013 * CHOOSE(CONTROL!$C$9, $C$13, 100%, $E$13) + CHOOSE(CONTROL!$C$28, 0, 0)</f>
        <v>69.001300000000001</v>
      </c>
      <c r="E717" s="4">
        <f>419.603406830816 * CHOOSE(CONTROL!$C$9, $C$13, 100%, $E$13) + CHOOSE(CONTROL!$C$28, 0, 0)</f>
        <v>419.60340683081603</v>
      </c>
    </row>
    <row r="718" spans="1:5" ht="15">
      <c r="A718" s="13">
        <v>63735</v>
      </c>
      <c r="B718" s="4">
        <f>75.1429 * CHOOSE(CONTROL!$C$9, $C$13, 100%, $E$13) + CHOOSE(CONTROL!$C$28, 0.0197, 0)</f>
        <v>75.162599999999998</v>
      </c>
      <c r="C718" s="4">
        <f>74.8304 * CHOOSE(CONTROL!$C$9, $C$13, 100%, $E$13) + CHOOSE(CONTROL!$C$28, 0.0197, 0)</f>
        <v>74.850099999999998</v>
      </c>
      <c r="D718" s="4">
        <f>69.6274 * CHOOSE(CONTROL!$C$9, $C$13, 100%, $E$13) + CHOOSE(CONTROL!$C$28, 0, 0)</f>
        <v>69.627399999999994</v>
      </c>
      <c r="E718" s="4">
        <f>420.931089178469 * CHOOSE(CONTROL!$C$9, $C$13, 100%, $E$13) + CHOOSE(CONTROL!$C$28, 0, 0)</f>
        <v>420.93108917846899</v>
      </c>
    </row>
    <row r="719" spans="1:5" ht="15">
      <c r="A719" s="13">
        <v>63766</v>
      </c>
      <c r="B719" s="4">
        <f>75.1196 * CHOOSE(CONTROL!$C$9, $C$13, 100%, $E$13) + CHOOSE(CONTROL!$C$28, 0.0197, 0)</f>
        <v>75.139300000000006</v>
      </c>
      <c r="C719" s="4">
        <f>74.8071 * CHOOSE(CONTROL!$C$9, $C$13, 100%, $E$13) + CHOOSE(CONTROL!$C$28, 0.0197, 0)</f>
        <v>74.826800000000006</v>
      </c>
      <c r="D719" s="4">
        <f>70.757 * CHOOSE(CONTROL!$C$9, $C$13, 100%, $E$13) + CHOOSE(CONTROL!$C$28, 0, 0)</f>
        <v>70.757000000000005</v>
      </c>
      <c r="E719" s="4">
        <f>420.797205244252 * CHOOSE(CONTROL!$C$9, $C$13, 100%, $E$13) + CHOOSE(CONTROL!$C$28, 0, 0)</f>
        <v>420.79720524425198</v>
      </c>
    </row>
    <row r="720" spans="1:5" ht="15">
      <c r="A720" s="13">
        <v>63797</v>
      </c>
      <c r="B720" s="4">
        <f>76.8732 * CHOOSE(CONTROL!$C$9, $C$13, 100%, $E$13) + CHOOSE(CONTROL!$C$28, 0.0197, 0)</f>
        <v>76.892899999999997</v>
      </c>
      <c r="C720" s="4">
        <f>76.5607 * CHOOSE(CONTROL!$C$9, $C$13, 100%, $E$13) + CHOOSE(CONTROL!$C$28, 0.0197, 0)</f>
        <v>76.580399999999997</v>
      </c>
      <c r="D720" s="4">
        <f>70.011 * CHOOSE(CONTROL!$C$9, $C$13, 100%, $E$13) + CHOOSE(CONTROL!$C$28, 0, 0)</f>
        <v>70.010999999999996</v>
      </c>
      <c r="E720" s="4">
        <f>430.871971294086 * CHOOSE(CONTROL!$C$9, $C$13, 100%, $E$13) + CHOOSE(CONTROL!$C$28, 0, 0)</f>
        <v>430.87197129408599</v>
      </c>
    </row>
    <row r="721" spans="1:5" ht="15">
      <c r="A721" s="13">
        <v>63827</v>
      </c>
      <c r="B721" s="4">
        <f>73.8845 * CHOOSE(CONTROL!$C$9, $C$13, 100%, $E$13) + CHOOSE(CONTROL!$C$28, 0.0197, 0)</f>
        <v>73.904200000000003</v>
      </c>
      <c r="C721" s="4">
        <f>73.572 * CHOOSE(CONTROL!$C$9, $C$13, 100%, $E$13) + CHOOSE(CONTROL!$C$28, 0.0197, 0)</f>
        <v>73.591700000000003</v>
      </c>
      <c r="D721" s="4">
        <f>69.6585 * CHOOSE(CONTROL!$C$9, $C$13, 100%, $E$13) + CHOOSE(CONTROL!$C$28, 0, 0)</f>
        <v>69.658500000000004</v>
      </c>
      <c r="E721" s="4">
        <f>413.701356730747 * CHOOSE(CONTROL!$C$9, $C$13, 100%, $E$13) + CHOOSE(CONTROL!$C$28, 0, 0)</f>
        <v>413.70135673074702</v>
      </c>
    </row>
    <row r="722" spans="1:5" ht="15">
      <c r="A722" s="13">
        <v>63858</v>
      </c>
      <c r="B722" s="4">
        <f>71.4919 * CHOOSE(CONTROL!$C$9, $C$13, 100%, $E$13) + CHOOSE(CONTROL!$C$28, 0.0003, 0)</f>
        <v>71.492199999999997</v>
      </c>
      <c r="C722" s="4">
        <f>71.1794 * CHOOSE(CONTROL!$C$9, $C$13, 100%, $E$13) + CHOOSE(CONTROL!$C$28, 0.0003, 0)</f>
        <v>71.179699999999997</v>
      </c>
      <c r="D722" s="4">
        <f>68.7148 * CHOOSE(CONTROL!$C$9, $C$13, 100%, $E$13) + CHOOSE(CONTROL!$C$28, 0, 0)</f>
        <v>68.714799999999997</v>
      </c>
      <c r="E722" s="4">
        <f>399.955939484461 * CHOOSE(CONTROL!$C$9, $C$13, 100%, $E$13) + CHOOSE(CONTROL!$C$28, 0, 0)</f>
        <v>399.955939484461</v>
      </c>
    </row>
    <row r="723" spans="1:5" ht="15">
      <c r="A723" s="13">
        <v>63888</v>
      </c>
      <c r="B723" s="4">
        <f>69.9509 * CHOOSE(CONTROL!$C$9, $C$13, 100%, $E$13) + CHOOSE(CONTROL!$C$28, 0.0003, 0)</f>
        <v>69.9512</v>
      </c>
      <c r="C723" s="4">
        <f>69.6384 * CHOOSE(CONTROL!$C$9, $C$13, 100%, $E$13) + CHOOSE(CONTROL!$C$28, 0.0003, 0)</f>
        <v>69.6387</v>
      </c>
      <c r="D723" s="4">
        <f>68.3903 * CHOOSE(CONTROL!$C$9, $C$13, 100%, $E$13) + CHOOSE(CONTROL!$C$28, 0, 0)</f>
        <v>68.390299999999996</v>
      </c>
      <c r="E723" s="4">
        <f>391.102864334357 * CHOOSE(CONTROL!$C$9, $C$13, 100%, $E$13) + CHOOSE(CONTROL!$C$28, 0, 0)</f>
        <v>391.10286433435698</v>
      </c>
    </row>
    <row r="724" spans="1:5" ht="15">
      <c r="A724" s="13">
        <v>63919</v>
      </c>
      <c r="B724" s="4">
        <f>68.8848 * CHOOSE(CONTROL!$C$9, $C$13, 100%, $E$13) + CHOOSE(CONTROL!$C$28, 0.0003, 0)</f>
        <v>68.885099999999994</v>
      </c>
      <c r="C724" s="4">
        <f>68.5723 * CHOOSE(CONTROL!$C$9, $C$13, 100%, $E$13) + CHOOSE(CONTROL!$C$28, 0.0003, 0)</f>
        <v>68.572599999999994</v>
      </c>
      <c r="D724" s="4">
        <f>66.0016 * CHOOSE(CONTROL!$C$9, $C$13, 100%, $E$13) + CHOOSE(CONTROL!$C$28, 0, 0)</f>
        <v>66.001599999999996</v>
      </c>
      <c r="E724" s="4">
        <f>384.977674343926 * CHOOSE(CONTROL!$C$9, $C$13, 100%, $E$13) + CHOOSE(CONTROL!$C$28, 0, 0)</f>
        <v>384.97767434392603</v>
      </c>
    </row>
    <row r="725" spans="1:5" ht="15">
      <c r="A725" s="13">
        <v>63950</v>
      </c>
      <c r="B725" s="4">
        <f>67.1525 * CHOOSE(CONTROL!$C$9, $C$13, 100%, $E$13) + CHOOSE(CONTROL!$C$28, 0.0003, 0)</f>
        <v>67.152799999999999</v>
      </c>
      <c r="C725" s="4">
        <f>66.84 * CHOOSE(CONTROL!$C$9, $C$13, 100%, $E$13) + CHOOSE(CONTROL!$C$28, 0.0003, 0)</f>
        <v>66.840299999999999</v>
      </c>
      <c r="D725" s="4">
        <f>63.8061 * CHOOSE(CONTROL!$C$9, $C$13, 100%, $E$13) + CHOOSE(CONTROL!$C$28, 0, 0)</f>
        <v>63.806100000000001</v>
      </c>
      <c r="E725" s="4">
        <f>373.937981676952 * CHOOSE(CONTROL!$C$9, $C$13, 100%, $E$13) + CHOOSE(CONTROL!$C$28, 0, 0)</f>
        <v>373.93798167695201</v>
      </c>
    </row>
    <row r="726" spans="1:5" ht="15">
      <c r="A726" s="13">
        <v>63978</v>
      </c>
      <c r="B726" s="4">
        <f>68.7024 * CHOOSE(CONTROL!$C$9, $C$13, 100%, $E$13) + CHOOSE(CONTROL!$C$28, 0.0003, 0)</f>
        <v>68.702699999999993</v>
      </c>
      <c r="C726" s="4">
        <f>68.3899 * CHOOSE(CONTROL!$C$9, $C$13, 100%, $E$13) + CHOOSE(CONTROL!$C$28, 0.0003, 0)</f>
        <v>68.390199999999993</v>
      </c>
      <c r="D726" s="4">
        <f>66.017 * CHOOSE(CONTROL!$C$9, $C$13, 100%, $E$13) + CHOOSE(CONTROL!$C$28, 0, 0)</f>
        <v>66.016999999999996</v>
      </c>
      <c r="E726" s="4">
        <f>382.816743017685 * CHOOSE(CONTROL!$C$9, $C$13, 100%, $E$13) + CHOOSE(CONTROL!$C$28, 0, 0)</f>
        <v>382.81674301768498</v>
      </c>
    </row>
    <row r="727" spans="1:5" ht="15">
      <c r="A727" s="13">
        <v>64009</v>
      </c>
      <c r="B727" s="4">
        <f>72.7727 * CHOOSE(CONTROL!$C$9, $C$13, 100%, $E$13) + CHOOSE(CONTROL!$C$28, 0.0003, 0)</f>
        <v>72.772999999999996</v>
      </c>
      <c r="C727" s="4">
        <f>72.4602 * CHOOSE(CONTROL!$C$9, $C$13, 100%, $E$13) + CHOOSE(CONTROL!$C$28, 0.0003, 0)</f>
        <v>72.460499999999996</v>
      </c>
      <c r="D727" s="4">
        <f>69.4778 * CHOOSE(CONTROL!$C$9, $C$13, 100%, $E$13) + CHOOSE(CONTROL!$C$28, 0, 0)</f>
        <v>69.477800000000002</v>
      </c>
      <c r="E727" s="4">
        <f>406.132842144483 * CHOOSE(CONTROL!$C$9, $C$13, 100%, $E$13) + CHOOSE(CONTROL!$C$28, 0, 0)</f>
        <v>406.13284214448299</v>
      </c>
    </row>
    <row r="728" spans="1:5" ht="15">
      <c r="A728" s="13">
        <v>64039</v>
      </c>
      <c r="B728" s="4">
        <f>75.6646 * CHOOSE(CONTROL!$C$9, $C$13, 100%, $E$13) + CHOOSE(CONTROL!$C$28, 0.0003, 0)</f>
        <v>75.664899999999989</v>
      </c>
      <c r="C728" s="4">
        <f>75.3521 * CHOOSE(CONTROL!$C$9, $C$13, 100%, $E$13) + CHOOSE(CONTROL!$C$28, 0.0003, 0)</f>
        <v>75.352399999999989</v>
      </c>
      <c r="D728" s="4">
        <f>71.4714 * CHOOSE(CONTROL!$C$9, $C$13, 100%, $E$13) + CHOOSE(CONTROL!$C$28, 0, 0)</f>
        <v>71.471400000000003</v>
      </c>
      <c r="E728" s="4">
        <f>422.69924130195 * CHOOSE(CONTROL!$C$9, $C$13, 100%, $E$13) + CHOOSE(CONTROL!$C$28, 0, 0)</f>
        <v>422.69924130195</v>
      </c>
    </row>
    <row r="729" spans="1:5" ht="15">
      <c r="A729" s="13">
        <v>64070</v>
      </c>
      <c r="B729" s="4">
        <f>77.4316 * CHOOSE(CONTROL!$C$9, $C$13, 100%, $E$13) + CHOOSE(CONTROL!$C$28, 0.0197, 0)</f>
        <v>77.451300000000003</v>
      </c>
      <c r="C729" s="4">
        <f>77.1191 * CHOOSE(CONTROL!$C$9, $C$13, 100%, $E$13) + CHOOSE(CONTROL!$C$28, 0.0197, 0)</f>
        <v>77.138800000000003</v>
      </c>
      <c r="D729" s="4">
        <f>70.6837 * CHOOSE(CONTROL!$C$9, $C$13, 100%, $E$13) + CHOOSE(CONTROL!$C$28, 0, 0)</f>
        <v>70.683700000000002</v>
      </c>
      <c r="E729" s="4">
        <f>432.820914145987 * CHOOSE(CONTROL!$C$9, $C$13, 100%, $E$13) + CHOOSE(CONTROL!$C$28, 0, 0)</f>
        <v>432.82091414598699</v>
      </c>
    </row>
    <row r="730" spans="1:5" ht="15">
      <c r="A730" s="13">
        <v>64100</v>
      </c>
      <c r="B730" s="4">
        <f>77.6706 * CHOOSE(CONTROL!$C$9, $C$13, 100%, $E$13) + CHOOSE(CONTROL!$C$28, 0.0197, 0)</f>
        <v>77.690299999999993</v>
      </c>
      <c r="C730" s="4">
        <f>77.3581 * CHOOSE(CONTROL!$C$9, $C$13, 100%, $E$13) + CHOOSE(CONTROL!$C$28, 0.0197, 0)</f>
        <v>77.377799999999993</v>
      </c>
      <c r="D730" s="4">
        <f>71.3252 * CHOOSE(CONTROL!$C$9, $C$13, 100%, $E$13) + CHOOSE(CONTROL!$C$28, 0, 0)</f>
        <v>71.325199999999995</v>
      </c>
      <c r="E730" s="4">
        <f>434.19041848759 * CHOOSE(CONTROL!$C$9, $C$13, 100%, $E$13) + CHOOSE(CONTROL!$C$28, 0, 0)</f>
        <v>434.19041848759002</v>
      </c>
    </row>
    <row r="731" spans="1:5" ht="15">
      <c r="A731" s="13">
        <v>64131</v>
      </c>
      <c r="B731" s="4">
        <f>77.6465 * CHOOSE(CONTROL!$C$9, $C$13, 100%, $E$13) + CHOOSE(CONTROL!$C$28, 0.0197, 0)</f>
        <v>77.666200000000003</v>
      </c>
      <c r="C731" s="4">
        <f>77.334 * CHOOSE(CONTROL!$C$9, $C$13, 100%, $E$13) + CHOOSE(CONTROL!$C$28, 0.0197, 0)</f>
        <v>77.353700000000003</v>
      </c>
      <c r="D731" s="4">
        <f>72.4829 * CHOOSE(CONTROL!$C$9, $C$13, 100%, $E$13) + CHOOSE(CONTROL!$C$28, 0, 0)</f>
        <v>72.482900000000001</v>
      </c>
      <c r="E731" s="4">
        <f>434.052317209446 * CHOOSE(CONTROL!$C$9, $C$13, 100%, $E$13) + CHOOSE(CONTROL!$C$28, 0, 0)</f>
        <v>434.05231720944602</v>
      </c>
    </row>
    <row r="732" spans="1:5" ht="15">
      <c r="A732" s="13">
        <v>64162</v>
      </c>
      <c r="B732" s="4">
        <f>79.4606 * CHOOSE(CONTROL!$C$9, $C$13, 100%, $E$13) + CHOOSE(CONTROL!$C$28, 0.0197, 0)</f>
        <v>79.4803</v>
      </c>
      <c r="C732" s="4">
        <f>79.1481 * CHOOSE(CONTROL!$C$9, $C$13, 100%, $E$13) + CHOOSE(CONTROL!$C$28, 0.0197, 0)</f>
        <v>79.1678</v>
      </c>
      <c r="D732" s="4">
        <f>71.7184 * CHOOSE(CONTROL!$C$9, $C$13, 100%, $E$13) + CHOOSE(CONTROL!$C$28, 0, 0)</f>
        <v>71.718400000000003</v>
      </c>
      <c r="E732" s="4">
        <f>444.44443838985 * CHOOSE(CONTROL!$C$9, $C$13, 100%, $E$13) + CHOOSE(CONTROL!$C$28, 0, 0)</f>
        <v>444.44443838985001</v>
      </c>
    </row>
    <row r="733" spans="1:5" ht="15">
      <c r="A733" s="13">
        <v>64192</v>
      </c>
      <c r="B733" s="4">
        <f>76.3688 * CHOOSE(CONTROL!$C$9, $C$13, 100%, $E$13) + CHOOSE(CONTROL!$C$28, 0.0197, 0)</f>
        <v>76.388499999999993</v>
      </c>
      <c r="C733" s="4">
        <f>76.0563 * CHOOSE(CONTROL!$C$9, $C$13, 100%, $E$13) + CHOOSE(CONTROL!$C$28, 0.0197, 0)</f>
        <v>76.075999999999993</v>
      </c>
      <c r="D733" s="4">
        <f>71.3572 * CHOOSE(CONTROL!$C$9, $C$13, 100%, $E$13) + CHOOSE(CONTROL!$C$28, 0, 0)</f>
        <v>71.357200000000006</v>
      </c>
      <c r="E733" s="4">
        <f>426.732949467766 * CHOOSE(CONTROL!$C$9, $C$13, 100%, $E$13) + CHOOSE(CONTROL!$C$28, 0, 0)</f>
        <v>426.73294946776599</v>
      </c>
    </row>
    <row r="734" spans="1:5" ht="15">
      <c r="A734" s="13">
        <v>64223</v>
      </c>
      <c r="B734" s="4">
        <f>73.8937 * CHOOSE(CONTROL!$C$9, $C$13, 100%, $E$13) + CHOOSE(CONTROL!$C$28, 0.0003, 0)</f>
        <v>73.893999999999991</v>
      </c>
      <c r="C734" s="4">
        <f>73.5812 * CHOOSE(CONTROL!$C$9, $C$13, 100%, $E$13) + CHOOSE(CONTROL!$C$28, 0.0003, 0)</f>
        <v>73.581499999999991</v>
      </c>
      <c r="D734" s="4">
        <f>70.39 * CHOOSE(CONTROL!$C$9, $C$13, 100%, $E$13) + CHOOSE(CONTROL!$C$28, 0, 0)</f>
        <v>70.39</v>
      </c>
      <c r="E734" s="4">
        <f>412.554551578222 * CHOOSE(CONTROL!$C$9, $C$13, 100%, $E$13) + CHOOSE(CONTROL!$C$28, 0, 0)</f>
        <v>412.554551578222</v>
      </c>
    </row>
    <row r="735" spans="1:5" ht="15">
      <c r="A735" s="13">
        <v>64253</v>
      </c>
      <c r="B735" s="4">
        <f>72.2996 * CHOOSE(CONTROL!$C$9, $C$13, 100%, $E$13) + CHOOSE(CONTROL!$C$28, 0.0003, 0)</f>
        <v>72.299899999999994</v>
      </c>
      <c r="C735" s="4">
        <f>71.9871 * CHOOSE(CONTROL!$C$9, $C$13, 100%, $E$13) + CHOOSE(CONTROL!$C$28, 0.0003, 0)</f>
        <v>71.987399999999994</v>
      </c>
      <c r="D735" s="4">
        <f>70.0575 * CHOOSE(CONTROL!$C$9, $C$13, 100%, $E$13) + CHOOSE(CONTROL!$C$28, 0, 0)</f>
        <v>70.057500000000005</v>
      </c>
      <c r="E735" s="4">
        <f>403.42260456089 * CHOOSE(CONTROL!$C$9, $C$13, 100%, $E$13) + CHOOSE(CONTROL!$C$28, 0, 0)</f>
        <v>403.42260456089002</v>
      </c>
    </row>
    <row r="736" spans="1:5" ht="15">
      <c r="A736" s="13">
        <v>64284</v>
      </c>
      <c r="B736" s="4">
        <f>71.1966 * CHOOSE(CONTROL!$C$9, $C$13, 100%, $E$13) + CHOOSE(CONTROL!$C$28, 0.0003, 0)</f>
        <v>71.196899999999999</v>
      </c>
      <c r="C736" s="4">
        <f>70.8841 * CHOOSE(CONTROL!$C$9, $C$13, 100%, $E$13) + CHOOSE(CONTROL!$C$28, 0.0003, 0)</f>
        <v>70.884399999999999</v>
      </c>
      <c r="D736" s="4">
        <f>67.6095 * CHOOSE(CONTROL!$C$9, $C$13, 100%, $E$13) + CHOOSE(CONTROL!$C$28, 0, 0)</f>
        <v>67.609499999999997</v>
      </c>
      <c r="E736" s="4">
        <f>397.10447108576 * CHOOSE(CONTROL!$C$9, $C$13, 100%, $E$13) + CHOOSE(CONTROL!$C$28, 0, 0)</f>
        <v>397.10447108576</v>
      </c>
    </row>
    <row r="737" spans="1:5" ht="15">
      <c r="A737" s="13">
        <v>64315</v>
      </c>
      <c r="B737" s="4">
        <f>69.4046 * CHOOSE(CONTROL!$C$9, $C$13, 100%, $E$13) + CHOOSE(CONTROL!$C$28, 0.0003, 0)</f>
        <v>69.404899999999998</v>
      </c>
      <c r="C737" s="4">
        <f>69.0921 * CHOOSE(CONTROL!$C$9, $C$13, 100%, $E$13) + CHOOSE(CONTROL!$C$28, 0.0003, 0)</f>
        <v>69.092399999999998</v>
      </c>
      <c r="D737" s="4">
        <f>65.3596 * CHOOSE(CONTROL!$C$9, $C$13, 100%, $E$13) + CHOOSE(CONTROL!$C$28, 0, 0)</f>
        <v>65.3596</v>
      </c>
      <c r="E737" s="4">
        <f>385.717028099776 * CHOOSE(CONTROL!$C$9, $C$13, 100%, $E$13) + CHOOSE(CONTROL!$C$28, 0, 0)</f>
        <v>385.71702809977597</v>
      </c>
    </row>
    <row r="738" spans="1:5" ht="15">
      <c r="A738" s="13">
        <v>64344</v>
      </c>
      <c r="B738" s="4">
        <f>71.008 * CHOOSE(CONTROL!$C$9, $C$13, 100%, $E$13) + CHOOSE(CONTROL!$C$28, 0.0003, 0)</f>
        <v>71.008299999999991</v>
      </c>
      <c r="C738" s="4">
        <f>70.6955 * CHOOSE(CONTROL!$C$9, $C$13, 100%, $E$13) + CHOOSE(CONTROL!$C$28, 0.0003, 0)</f>
        <v>70.695799999999991</v>
      </c>
      <c r="D738" s="4">
        <f>67.6253 * CHOOSE(CONTROL!$C$9, $C$13, 100%, $E$13) + CHOOSE(CONTROL!$C$28, 0, 0)</f>
        <v>67.625299999999996</v>
      </c>
      <c r="E738" s="4">
        <f>394.875470422742 * CHOOSE(CONTROL!$C$9, $C$13, 100%, $E$13) + CHOOSE(CONTROL!$C$28, 0, 0)</f>
        <v>394.87547042274201</v>
      </c>
    </row>
    <row r="739" spans="1:5" ht="15">
      <c r="A739" s="13">
        <v>64375</v>
      </c>
      <c r="B739" s="4">
        <f>75.2186 * CHOOSE(CONTROL!$C$9, $C$13, 100%, $E$13) + CHOOSE(CONTROL!$C$28, 0.0003, 0)</f>
        <v>75.218899999999991</v>
      </c>
      <c r="C739" s="4">
        <f>74.9061 * CHOOSE(CONTROL!$C$9, $C$13, 100%, $E$13) + CHOOSE(CONTROL!$C$28, 0.0003, 0)</f>
        <v>74.906399999999991</v>
      </c>
      <c r="D739" s="4">
        <f>71.172 * CHOOSE(CONTROL!$C$9, $C$13, 100%, $E$13) + CHOOSE(CONTROL!$C$28, 0, 0)</f>
        <v>71.171999999999997</v>
      </c>
      <c r="E739" s="4">
        <f>418.926026672035 * CHOOSE(CONTROL!$C$9, $C$13, 100%, $E$13) + CHOOSE(CONTROL!$C$28, 0, 0)</f>
        <v>418.92602667203499</v>
      </c>
    </row>
    <row r="740" spans="1:5" ht="15">
      <c r="A740" s="13">
        <v>64405</v>
      </c>
      <c r="B740" s="4">
        <f>78.2104 * CHOOSE(CONTROL!$C$9, $C$13, 100%, $E$13) + CHOOSE(CONTROL!$C$28, 0.0003, 0)</f>
        <v>78.210700000000003</v>
      </c>
      <c r="C740" s="4">
        <f>77.8979 * CHOOSE(CONTROL!$C$9, $C$13, 100%, $E$13) + CHOOSE(CONTROL!$C$28, 0.0003, 0)</f>
        <v>77.898200000000003</v>
      </c>
      <c r="D740" s="4">
        <f>73.215 * CHOOSE(CONTROL!$C$9, $C$13, 100%, $E$13) + CHOOSE(CONTROL!$C$28, 0, 0)</f>
        <v>73.215000000000003</v>
      </c>
      <c r="E740" s="4">
        <f>436.014267402961 * CHOOSE(CONTROL!$C$9, $C$13, 100%, $E$13) + CHOOSE(CONTROL!$C$28, 0, 0)</f>
        <v>436.01426740296102</v>
      </c>
    </row>
    <row r="741" spans="1:5" ht="15">
      <c r="A741" s="13">
        <v>64436</v>
      </c>
      <c r="B741" s="4">
        <f>80.0383 * CHOOSE(CONTROL!$C$9, $C$13, 100%, $E$13) + CHOOSE(CONTROL!$C$28, 0.0197, 0)</f>
        <v>80.058000000000007</v>
      </c>
      <c r="C741" s="4">
        <f>79.7258 * CHOOSE(CONTROL!$C$9, $C$13, 100%, $E$13) + CHOOSE(CONTROL!$C$28, 0.0197, 0)</f>
        <v>79.745500000000007</v>
      </c>
      <c r="D741" s="4">
        <f>72.4077 * CHOOSE(CONTROL!$C$9, $C$13, 100%, $E$13) + CHOOSE(CONTROL!$C$28, 0, 0)</f>
        <v>72.407700000000006</v>
      </c>
      <c r="E741" s="4">
        <f>446.454772941585 * CHOOSE(CONTROL!$C$9, $C$13, 100%, $E$13) + CHOOSE(CONTROL!$C$28, 0, 0)</f>
        <v>446.45477294158502</v>
      </c>
    </row>
    <row r="742" spans="1:5" ht="15">
      <c r="A742" s="13">
        <v>64466</v>
      </c>
      <c r="B742" s="4">
        <f>80.2856 * CHOOSE(CONTROL!$C$9, $C$13, 100%, $E$13) + CHOOSE(CONTROL!$C$28, 0.0197, 0)</f>
        <v>80.305300000000003</v>
      </c>
      <c r="C742" s="4">
        <f>79.9731 * CHOOSE(CONTROL!$C$9, $C$13, 100%, $E$13) + CHOOSE(CONTROL!$C$28, 0.0197, 0)</f>
        <v>79.992800000000003</v>
      </c>
      <c r="D742" s="4">
        <f>73.0652 * CHOOSE(CONTROL!$C$9, $C$13, 100%, $E$13) + CHOOSE(CONTROL!$C$28, 0, 0)</f>
        <v>73.065200000000004</v>
      </c>
      <c r="E742" s="4">
        <f>447.86741666995 * CHOOSE(CONTROL!$C$9, $C$13, 100%, $E$13) + CHOOSE(CONTROL!$C$28, 0, 0)</f>
        <v>447.86741666994999</v>
      </c>
    </row>
    <row r="743" spans="1:5" ht="15">
      <c r="A743" s="13">
        <v>64497</v>
      </c>
      <c r="B743" s="4">
        <f>80.2606 * CHOOSE(CONTROL!$C$9, $C$13, 100%, $E$13) + CHOOSE(CONTROL!$C$28, 0.0197, 0)</f>
        <v>80.280299999999997</v>
      </c>
      <c r="C743" s="4">
        <f>79.9481 * CHOOSE(CONTROL!$C$9, $C$13, 100%, $E$13) + CHOOSE(CONTROL!$C$28, 0.0197, 0)</f>
        <v>79.967799999999997</v>
      </c>
      <c r="D743" s="4">
        <f>74.2515 * CHOOSE(CONTROL!$C$9, $C$13, 100%, $E$13) + CHOOSE(CONTROL!$C$28, 0, 0)</f>
        <v>74.251499999999993</v>
      </c>
      <c r="E743" s="4">
        <f>447.724965201543 * CHOOSE(CONTROL!$C$9, $C$13, 100%, $E$13) + CHOOSE(CONTROL!$C$28, 0, 0)</f>
        <v>447.724965201543</v>
      </c>
    </row>
    <row r="744" spans="1:5" ht="15">
      <c r="A744" s="13">
        <v>64528</v>
      </c>
      <c r="B744" s="4">
        <f>82.1373 * CHOOSE(CONTROL!$C$9, $C$13, 100%, $E$13) + CHOOSE(CONTROL!$C$28, 0.0197, 0)</f>
        <v>82.156999999999996</v>
      </c>
      <c r="C744" s="4">
        <f>81.8248 * CHOOSE(CONTROL!$C$9, $C$13, 100%, $E$13) + CHOOSE(CONTROL!$C$28, 0.0197, 0)</f>
        <v>81.844499999999996</v>
      </c>
      <c r="D744" s="4">
        <f>73.4681 * CHOOSE(CONTROL!$C$9, $C$13, 100%, $E$13) + CHOOSE(CONTROL!$C$28, 0, 0)</f>
        <v>73.468100000000007</v>
      </c>
      <c r="E744" s="4">
        <f>458.44443819913 * CHOOSE(CONTROL!$C$9, $C$13, 100%, $E$13) + CHOOSE(CONTROL!$C$28, 0, 0)</f>
        <v>458.44443819912999</v>
      </c>
    </row>
    <row r="745" spans="1:5" ht="15">
      <c r="A745" s="13">
        <v>64558</v>
      </c>
      <c r="B745" s="4">
        <f>78.9388 * CHOOSE(CONTROL!$C$9, $C$13, 100%, $E$13) + CHOOSE(CONTROL!$C$28, 0.0197, 0)</f>
        <v>78.958500000000001</v>
      </c>
      <c r="C745" s="4">
        <f>78.6263 * CHOOSE(CONTROL!$C$9, $C$13, 100%, $E$13) + CHOOSE(CONTROL!$C$28, 0.0197, 0)</f>
        <v>78.646000000000001</v>
      </c>
      <c r="D745" s="4">
        <f>73.0979 * CHOOSE(CONTROL!$C$9, $C$13, 100%, $E$13) + CHOOSE(CONTROL!$C$28, 0, 0)</f>
        <v>73.097899999999996</v>
      </c>
      <c r="E745" s="4">
        <f>440.175037376 * CHOOSE(CONTROL!$C$9, $C$13, 100%, $E$13) + CHOOSE(CONTROL!$C$28, 0, 0)</f>
        <v>440.17503737599998</v>
      </c>
    </row>
    <row r="746" spans="1:5" ht="15">
      <c r="A746" s="13">
        <v>64589</v>
      </c>
      <c r="B746" s="4">
        <f>76.3783 * CHOOSE(CONTROL!$C$9, $C$13, 100%, $E$13) + CHOOSE(CONTROL!$C$28, 0.0003, 0)</f>
        <v>76.378599999999992</v>
      </c>
      <c r="C746" s="4">
        <f>76.0658 * CHOOSE(CONTROL!$C$9, $C$13, 100%, $E$13) + CHOOSE(CONTROL!$C$28, 0.0003, 0)</f>
        <v>76.066099999999992</v>
      </c>
      <c r="D746" s="4">
        <f>72.1068 * CHOOSE(CONTROL!$C$9, $C$13, 100%, $E$13) + CHOOSE(CONTROL!$C$28, 0, 0)</f>
        <v>72.106800000000007</v>
      </c>
      <c r="E746" s="4">
        <f>425.550019952936 * CHOOSE(CONTROL!$C$9, $C$13, 100%, $E$13) + CHOOSE(CONTROL!$C$28, 0, 0)</f>
        <v>425.550019952936</v>
      </c>
    </row>
    <row r="747" spans="1:5" ht="15">
      <c r="A747" s="13">
        <v>64619</v>
      </c>
      <c r="B747" s="4">
        <f>74.7292 * CHOOSE(CONTROL!$C$9, $C$13, 100%, $E$13) + CHOOSE(CONTROL!$C$28, 0.0003, 0)</f>
        <v>74.729500000000002</v>
      </c>
      <c r="C747" s="4">
        <f>74.4167 * CHOOSE(CONTROL!$C$9, $C$13, 100%, $E$13) + CHOOSE(CONTROL!$C$28, 0.0003, 0)</f>
        <v>74.417000000000002</v>
      </c>
      <c r="D747" s="4">
        <f>71.766 * CHOOSE(CONTROL!$C$9, $C$13, 100%, $E$13) + CHOOSE(CONTROL!$C$28, 0, 0)</f>
        <v>71.766000000000005</v>
      </c>
      <c r="E747" s="4">
        <f>416.130416604558 * CHOOSE(CONTROL!$C$9, $C$13, 100%, $E$13) + CHOOSE(CONTROL!$C$28, 0, 0)</f>
        <v>416.13041660455798</v>
      </c>
    </row>
    <row r="748" spans="1:5" ht="15">
      <c r="A748" s="13">
        <v>64650</v>
      </c>
      <c r="B748" s="4">
        <f>73.5882 * CHOOSE(CONTROL!$C$9, $C$13, 100%, $E$13) + CHOOSE(CONTROL!$C$28, 0.0003, 0)</f>
        <v>73.588499999999996</v>
      </c>
      <c r="C748" s="4">
        <f>73.2757 * CHOOSE(CONTROL!$C$9, $C$13, 100%, $E$13) + CHOOSE(CONTROL!$C$28, 0.0003, 0)</f>
        <v>73.275999999999996</v>
      </c>
      <c r="D748" s="4">
        <f>69.2573 * CHOOSE(CONTROL!$C$9, $C$13, 100%, $E$13) + CHOOSE(CONTROL!$C$28, 0, 0)</f>
        <v>69.257300000000001</v>
      </c>
      <c r="E748" s="4">
        <f>409.613261924962 * CHOOSE(CONTROL!$C$9, $C$13, 100%, $E$13) + CHOOSE(CONTROL!$C$28, 0, 0)</f>
        <v>409.61326192496199</v>
      </c>
    </row>
    <row r="749" spans="1:5" ht="15">
      <c r="A749" s="13">
        <v>64681</v>
      </c>
      <c r="B749" s="4">
        <f>71.7343 * CHOOSE(CONTROL!$C$9, $C$13, 100%, $E$13) + CHOOSE(CONTROL!$C$28, 0.0003, 0)</f>
        <v>71.7346</v>
      </c>
      <c r="C749" s="4">
        <f>71.4218 * CHOOSE(CONTROL!$C$9, $C$13, 100%, $E$13) + CHOOSE(CONTROL!$C$28, 0.0003, 0)</f>
        <v>71.4221</v>
      </c>
      <c r="D749" s="4">
        <f>66.9516 * CHOOSE(CONTROL!$C$9, $C$13, 100%, $E$13) + CHOOSE(CONTROL!$C$28, 0, 0)</f>
        <v>66.951599999999999</v>
      </c>
      <c r="E749" s="4">
        <f>397.867114484919 * CHOOSE(CONTROL!$C$9, $C$13, 100%, $E$13) + CHOOSE(CONTROL!$C$28, 0, 0)</f>
        <v>397.867114484919</v>
      </c>
    </row>
    <row r="750" spans="1:5" ht="15">
      <c r="A750" s="13">
        <v>64709</v>
      </c>
      <c r="B750" s="4">
        <f>73.3931 * CHOOSE(CONTROL!$C$9, $C$13, 100%, $E$13) + CHOOSE(CONTROL!$C$28, 0.0003, 0)</f>
        <v>73.3934</v>
      </c>
      <c r="C750" s="4">
        <f>73.0806 * CHOOSE(CONTROL!$C$9, $C$13, 100%, $E$13) + CHOOSE(CONTROL!$C$28, 0.0003, 0)</f>
        <v>73.0809</v>
      </c>
      <c r="D750" s="4">
        <f>69.2735 * CHOOSE(CONTROL!$C$9, $C$13, 100%, $E$13) + CHOOSE(CONTROL!$C$28, 0, 0)</f>
        <v>69.273499999999999</v>
      </c>
      <c r="E750" s="4">
        <f>407.314047741058 * CHOOSE(CONTROL!$C$9, $C$13, 100%, $E$13) + CHOOSE(CONTROL!$C$28, 0, 0)</f>
        <v>407.314047741058</v>
      </c>
    </row>
    <row r="751" spans="1:5" ht="15">
      <c r="A751" s="13">
        <v>64740</v>
      </c>
      <c r="B751" s="4">
        <f>77.749 * CHOOSE(CONTROL!$C$9, $C$13, 100%, $E$13) + CHOOSE(CONTROL!$C$28, 0.0003, 0)</f>
        <v>77.749299999999991</v>
      </c>
      <c r="C751" s="4">
        <f>77.4365 * CHOOSE(CONTROL!$C$9, $C$13, 100%, $E$13) + CHOOSE(CONTROL!$C$28, 0.0003, 0)</f>
        <v>77.436799999999991</v>
      </c>
      <c r="D751" s="4">
        <f>72.9082 * CHOOSE(CONTROL!$C$9, $C$13, 100%, $E$13) + CHOOSE(CONTROL!$C$28, 0, 0)</f>
        <v>72.908199999999994</v>
      </c>
      <c r="E751" s="4">
        <f>432.122196512204 * CHOOSE(CONTROL!$C$9, $C$13, 100%, $E$13) + CHOOSE(CONTROL!$C$28, 0, 0)</f>
        <v>432.12219651220403</v>
      </c>
    </row>
    <row r="752" spans="1:5" ht="15">
      <c r="A752" s="13">
        <v>64770</v>
      </c>
      <c r="B752" s="4">
        <f>80.8439 * CHOOSE(CONTROL!$C$9, $C$13, 100%, $E$13) + CHOOSE(CONTROL!$C$28, 0.0003, 0)</f>
        <v>80.844200000000001</v>
      </c>
      <c r="C752" s="4">
        <f>80.5314 * CHOOSE(CONTROL!$C$9, $C$13, 100%, $E$13) + CHOOSE(CONTROL!$C$28, 0.0003, 0)</f>
        <v>80.531700000000001</v>
      </c>
      <c r="D752" s="4">
        <f>75.0018 * CHOOSE(CONTROL!$C$9, $C$13, 100%, $E$13) + CHOOSE(CONTROL!$C$28, 0, 0)</f>
        <v>75.001800000000003</v>
      </c>
      <c r="E752" s="4">
        <f>449.748716826154 * CHOOSE(CONTROL!$C$9, $C$13, 100%, $E$13) + CHOOSE(CONTROL!$C$28, 0, 0)</f>
        <v>449.74871682615401</v>
      </c>
    </row>
    <row r="753" spans="1:5" ht="15">
      <c r="A753" s="13">
        <v>64801</v>
      </c>
      <c r="B753" s="4">
        <f>82.7349 * CHOOSE(CONTROL!$C$9, $C$13, 100%, $E$13) + CHOOSE(CONTROL!$C$28, 0.0197, 0)</f>
        <v>82.754599999999996</v>
      </c>
      <c r="C753" s="4">
        <f>82.4224 * CHOOSE(CONTROL!$C$9, $C$13, 100%, $E$13) + CHOOSE(CONTROL!$C$28, 0.0197, 0)</f>
        <v>82.442099999999996</v>
      </c>
      <c r="D753" s="4">
        <f>74.1745 * CHOOSE(CONTROL!$C$9, $C$13, 100%, $E$13) + CHOOSE(CONTROL!$C$28, 0, 0)</f>
        <v>74.174499999999995</v>
      </c>
      <c r="E753" s="4">
        <f>460.518098289245 * CHOOSE(CONTROL!$C$9, $C$13, 100%, $E$13) + CHOOSE(CONTROL!$C$28, 0, 0)</f>
        <v>460.51809828924502</v>
      </c>
    </row>
    <row r="754" spans="1:5" ht="15">
      <c r="A754" s="13">
        <v>64831</v>
      </c>
      <c r="B754" s="4">
        <f>82.9907 * CHOOSE(CONTROL!$C$9, $C$13, 100%, $E$13) + CHOOSE(CONTROL!$C$28, 0.0197, 0)</f>
        <v>83.010400000000004</v>
      </c>
      <c r="C754" s="4">
        <f>82.6782 * CHOOSE(CONTROL!$C$9, $C$13, 100%, $E$13) + CHOOSE(CONTROL!$C$28, 0.0197, 0)</f>
        <v>82.697900000000004</v>
      </c>
      <c r="D754" s="4">
        <f>74.8483 * CHOOSE(CONTROL!$C$9, $C$13, 100%, $E$13) + CHOOSE(CONTROL!$C$28, 0, 0)</f>
        <v>74.848299999999995</v>
      </c>
      <c r="E754" s="4">
        <f>461.975240295053 * CHOOSE(CONTROL!$C$9, $C$13, 100%, $E$13) + CHOOSE(CONTROL!$C$28, 0, 0)</f>
        <v>461.97524029505303</v>
      </c>
    </row>
    <row r="755" spans="1:5" ht="15">
      <c r="A755" s="13">
        <v>64862</v>
      </c>
      <c r="B755" s="4">
        <f>82.9649 * CHOOSE(CONTROL!$C$9, $C$13, 100%, $E$13) + CHOOSE(CONTROL!$C$28, 0.0197, 0)</f>
        <v>82.9846</v>
      </c>
      <c r="C755" s="4">
        <f>82.6524 * CHOOSE(CONTROL!$C$9, $C$13, 100%, $E$13) + CHOOSE(CONTROL!$C$28, 0.0197, 0)</f>
        <v>82.6721</v>
      </c>
      <c r="D755" s="4">
        <f>76.0641 * CHOOSE(CONTROL!$C$9, $C$13, 100%, $E$13) + CHOOSE(CONTROL!$C$28, 0, 0)</f>
        <v>76.064099999999996</v>
      </c>
      <c r="E755" s="4">
        <f>461.828301605392 * CHOOSE(CONTROL!$C$9, $C$13, 100%, $E$13) + CHOOSE(CONTROL!$C$28, 0, 0)</f>
        <v>461.82830160539203</v>
      </c>
    </row>
    <row r="756" spans="1:5" ht="15">
      <c r="A756" s="13">
        <v>64893</v>
      </c>
      <c r="B756" s="4">
        <f>84.9064 * CHOOSE(CONTROL!$C$9, $C$13, 100%, $E$13) + CHOOSE(CONTROL!$C$28, 0.0197, 0)</f>
        <v>84.926100000000005</v>
      </c>
      <c r="C756" s="4">
        <f>84.5939 * CHOOSE(CONTROL!$C$9, $C$13, 100%, $E$13) + CHOOSE(CONTROL!$C$28, 0.0197, 0)</f>
        <v>84.613600000000005</v>
      </c>
      <c r="D756" s="4">
        <f>75.2612 * CHOOSE(CONTROL!$C$9, $C$13, 100%, $E$13) + CHOOSE(CONTROL!$C$28, 0, 0)</f>
        <v>75.261200000000002</v>
      </c>
      <c r="E756" s="4">
        <f>472.885438002403 * CHOOSE(CONTROL!$C$9, $C$13, 100%, $E$13) + CHOOSE(CONTROL!$C$28, 0, 0)</f>
        <v>472.88543800240302</v>
      </c>
    </row>
    <row r="757" spans="1:5" ht="15">
      <c r="A757" s="13">
        <v>64923</v>
      </c>
      <c r="B757" s="4">
        <f>81.5975 * CHOOSE(CONTROL!$C$9, $C$13, 100%, $E$13) + CHOOSE(CONTROL!$C$28, 0.0197, 0)</f>
        <v>81.617199999999997</v>
      </c>
      <c r="C757" s="4">
        <f>81.285 * CHOOSE(CONTROL!$C$9, $C$13, 100%, $E$13) + CHOOSE(CONTROL!$C$28, 0.0197, 0)</f>
        <v>81.304699999999997</v>
      </c>
      <c r="D757" s="4">
        <f>74.8818 * CHOOSE(CONTROL!$C$9, $C$13, 100%, $E$13) + CHOOSE(CONTROL!$C$28, 0, 0)</f>
        <v>74.881799999999998</v>
      </c>
      <c r="E757" s="4">
        <f>454.040551053344 * CHOOSE(CONTROL!$C$9, $C$13, 100%, $E$13) + CHOOSE(CONTROL!$C$28, 0, 0)</f>
        <v>454.04055105334402</v>
      </c>
    </row>
    <row r="758" spans="1:5" ht="15">
      <c r="A758" s="13">
        <v>64954</v>
      </c>
      <c r="B758" s="4">
        <f>78.9487 * CHOOSE(CONTROL!$C$9, $C$13, 100%, $E$13) + CHOOSE(CONTROL!$C$28, 0.0003, 0)</f>
        <v>78.948999999999998</v>
      </c>
      <c r="C758" s="4">
        <f>78.6362 * CHOOSE(CONTROL!$C$9, $C$13, 100%, $E$13) + CHOOSE(CONTROL!$C$28, 0.0003, 0)</f>
        <v>78.636499999999998</v>
      </c>
      <c r="D758" s="4">
        <f>73.8661 * CHOOSE(CONTROL!$C$9, $C$13, 100%, $E$13) + CHOOSE(CONTROL!$C$28, 0, 0)</f>
        <v>73.866100000000003</v>
      </c>
      <c r="E758" s="4">
        <f>438.954845581453 * CHOOSE(CONTROL!$C$9, $C$13, 100%, $E$13) + CHOOSE(CONTROL!$C$28, 0, 0)</f>
        <v>438.95484558145301</v>
      </c>
    </row>
    <row r="759" spans="1:5" ht="15">
      <c r="A759" s="13">
        <v>64984</v>
      </c>
      <c r="B759" s="4">
        <f>77.2427 * CHOOSE(CONTROL!$C$9, $C$13, 100%, $E$13) + CHOOSE(CONTROL!$C$28, 0.0003, 0)</f>
        <v>77.242999999999995</v>
      </c>
      <c r="C759" s="4">
        <f>76.9302 * CHOOSE(CONTROL!$C$9, $C$13, 100%, $E$13) + CHOOSE(CONTROL!$C$28, 0.0003, 0)</f>
        <v>76.930499999999995</v>
      </c>
      <c r="D759" s="4">
        <f>73.5169 * CHOOSE(CONTROL!$C$9, $C$13, 100%, $E$13) + CHOOSE(CONTROL!$C$28, 0, 0)</f>
        <v>73.516900000000007</v>
      </c>
      <c r="E759" s="4">
        <f>429.238524727601 * CHOOSE(CONTROL!$C$9, $C$13, 100%, $E$13) + CHOOSE(CONTROL!$C$28, 0, 0)</f>
        <v>429.23852472760097</v>
      </c>
    </row>
    <row r="760" spans="1:5" ht="15">
      <c r="A760" s="13">
        <v>65015</v>
      </c>
      <c r="B760" s="4">
        <f>76.0623 * CHOOSE(CONTROL!$C$9, $C$13, 100%, $E$13) + CHOOSE(CONTROL!$C$28, 0.0003, 0)</f>
        <v>76.062599999999989</v>
      </c>
      <c r="C760" s="4">
        <f>75.7498 * CHOOSE(CONTROL!$C$9, $C$13, 100%, $E$13) + CHOOSE(CONTROL!$C$28, 0.0003, 0)</f>
        <v>75.750099999999989</v>
      </c>
      <c r="D760" s="4">
        <f>70.946 * CHOOSE(CONTROL!$C$9, $C$13, 100%, $E$13) + CHOOSE(CONTROL!$C$28, 0, 0)</f>
        <v>70.945999999999998</v>
      </c>
      <c r="E760" s="4">
        <f>422.516079675598 * CHOOSE(CONTROL!$C$9, $C$13, 100%, $E$13) + CHOOSE(CONTROL!$C$28, 0, 0)</f>
        <v>422.51607967559801</v>
      </c>
    </row>
    <row r="761" spans="1:5" ht="15">
      <c r="A761" s="13">
        <v>65046</v>
      </c>
      <c r="B761" s="4">
        <f>74.1445 * CHOOSE(CONTROL!$C$9, $C$13, 100%, $E$13) + CHOOSE(CONTROL!$C$28, 0.0003, 0)</f>
        <v>74.144799999999989</v>
      </c>
      <c r="C761" s="4">
        <f>73.832 * CHOOSE(CONTROL!$C$9, $C$13, 100%, $E$13) + CHOOSE(CONTROL!$C$28, 0.0003, 0)</f>
        <v>73.832299999999989</v>
      </c>
      <c r="D761" s="4">
        <f>68.5831 * CHOOSE(CONTROL!$C$9, $C$13, 100%, $E$13) + CHOOSE(CONTROL!$C$28, 0, 0)</f>
        <v>68.583100000000002</v>
      </c>
      <c r="E761" s="4">
        <f>410.399928591194 * CHOOSE(CONTROL!$C$9, $C$13, 100%, $E$13) + CHOOSE(CONTROL!$C$28, 0, 0)</f>
        <v>410.399928591194</v>
      </c>
    </row>
    <row r="762" spans="1:5" ht="15">
      <c r="A762" s="13">
        <v>65074</v>
      </c>
      <c r="B762" s="4">
        <f>75.8604 * CHOOSE(CONTROL!$C$9, $C$13, 100%, $E$13) + CHOOSE(CONTROL!$C$28, 0.0003, 0)</f>
        <v>75.860699999999994</v>
      </c>
      <c r="C762" s="4">
        <f>75.5479 * CHOOSE(CONTROL!$C$9, $C$13, 100%, $E$13) + CHOOSE(CONTROL!$C$28, 0.0003, 0)</f>
        <v>75.548199999999994</v>
      </c>
      <c r="D762" s="4">
        <f>70.9626 * CHOOSE(CONTROL!$C$9, $C$13, 100%, $E$13) + CHOOSE(CONTROL!$C$28, 0, 0)</f>
        <v>70.962599999999995</v>
      </c>
      <c r="E762" s="4">
        <f>420.144440244902 * CHOOSE(CONTROL!$C$9, $C$13, 100%, $E$13) + CHOOSE(CONTROL!$C$28, 0, 0)</f>
        <v>420.144440244902</v>
      </c>
    </row>
    <row r="763" spans="1:5" ht="15">
      <c r="A763" s="13">
        <v>65105</v>
      </c>
      <c r="B763" s="4">
        <f>80.3667 * CHOOSE(CONTROL!$C$9, $C$13, 100%, $E$13) + CHOOSE(CONTROL!$C$28, 0.0003, 0)</f>
        <v>80.36699999999999</v>
      </c>
      <c r="C763" s="4">
        <f>80.0542 * CHOOSE(CONTROL!$C$9, $C$13, 100%, $E$13) + CHOOSE(CONTROL!$C$28, 0.0003, 0)</f>
        <v>80.05449999999999</v>
      </c>
      <c r="D763" s="4">
        <f>74.6874 * CHOOSE(CONTROL!$C$9, $C$13, 100%, $E$13) + CHOOSE(CONTROL!$C$28, 0, 0)</f>
        <v>74.687399999999997</v>
      </c>
      <c r="E763" s="4">
        <f>445.734045702338 * CHOOSE(CONTROL!$C$9, $C$13, 100%, $E$13) + CHOOSE(CONTROL!$C$28, 0, 0)</f>
        <v>445.73404570233799</v>
      </c>
    </row>
    <row r="764" spans="1:5" ht="15">
      <c r="A764" s="13">
        <v>65135</v>
      </c>
      <c r="B764" s="4">
        <f>83.5684 * CHOOSE(CONTROL!$C$9, $C$13, 100%, $E$13) + CHOOSE(CONTROL!$C$28, 0.0003, 0)</f>
        <v>83.568699999999993</v>
      </c>
      <c r="C764" s="4">
        <f>83.2559 * CHOOSE(CONTROL!$C$9, $C$13, 100%, $E$13) + CHOOSE(CONTROL!$C$28, 0.0003, 0)</f>
        <v>83.256199999999993</v>
      </c>
      <c r="D764" s="4">
        <f>76.833 * CHOOSE(CONTROL!$C$9, $C$13, 100%, $E$13) + CHOOSE(CONTROL!$C$28, 0, 0)</f>
        <v>76.832999999999998</v>
      </c>
      <c r="E764" s="4">
        <f>463.915801406178 * CHOOSE(CONTROL!$C$9, $C$13, 100%, $E$13) + CHOOSE(CONTROL!$C$28, 0, 0)</f>
        <v>463.91580140617799</v>
      </c>
    </row>
    <row r="765" spans="1:5" ht="15">
      <c r="A765" s="13">
        <v>65166</v>
      </c>
      <c r="B765" s="4">
        <f>85.5245 * CHOOSE(CONTROL!$C$9, $C$13, 100%, $E$13) + CHOOSE(CONTROL!$C$28, 0.0197, 0)</f>
        <v>85.544200000000004</v>
      </c>
      <c r="C765" s="4">
        <f>85.212 * CHOOSE(CONTROL!$C$9, $C$13, 100%, $E$13) + CHOOSE(CONTROL!$C$28, 0.0197, 0)</f>
        <v>85.231700000000004</v>
      </c>
      <c r="D765" s="4">
        <f>75.9851 * CHOOSE(CONTROL!$C$9, $C$13, 100%, $E$13) + CHOOSE(CONTROL!$C$28, 0, 0)</f>
        <v>75.985100000000003</v>
      </c>
      <c r="E765" s="4">
        <f>475.024418385357 * CHOOSE(CONTROL!$C$9, $C$13, 100%, $E$13) + CHOOSE(CONTROL!$C$28, 0, 0)</f>
        <v>475.02441838535702</v>
      </c>
    </row>
    <row r="766" spans="1:5" ht="15">
      <c r="A766" s="13">
        <v>65196</v>
      </c>
      <c r="B766" s="4">
        <f>85.7892 * CHOOSE(CONTROL!$C$9, $C$13, 100%, $E$13) + CHOOSE(CONTROL!$C$28, 0.0197, 0)</f>
        <v>85.808899999999994</v>
      </c>
      <c r="C766" s="4">
        <f>85.4767 * CHOOSE(CONTROL!$C$9, $C$13, 100%, $E$13) + CHOOSE(CONTROL!$C$28, 0.0197, 0)</f>
        <v>85.496399999999994</v>
      </c>
      <c r="D766" s="4">
        <f>76.6756 * CHOOSE(CONTROL!$C$9, $C$13, 100%, $E$13) + CHOOSE(CONTROL!$C$28, 0, 0)</f>
        <v>76.675600000000003</v>
      </c>
      <c r="E766" s="4">
        <f>476.527460364347 * CHOOSE(CONTROL!$C$9, $C$13, 100%, $E$13) + CHOOSE(CONTROL!$C$28, 0, 0)</f>
        <v>476.52746036434701</v>
      </c>
    </row>
    <row r="767" spans="1:5" ht="15">
      <c r="A767" s="13">
        <v>65227</v>
      </c>
      <c r="B767" s="4">
        <f>85.7625 * CHOOSE(CONTROL!$C$9, $C$13, 100%, $E$13) + CHOOSE(CONTROL!$C$28, 0.0197, 0)</f>
        <v>85.782200000000003</v>
      </c>
      <c r="C767" s="4">
        <f>85.45 * CHOOSE(CONTROL!$C$9, $C$13, 100%, $E$13) + CHOOSE(CONTROL!$C$28, 0.0197, 0)</f>
        <v>85.469700000000003</v>
      </c>
      <c r="D767" s="4">
        <f>77.9216 * CHOOSE(CONTROL!$C$9, $C$13, 100%, $E$13) + CHOOSE(CONTROL!$C$28, 0, 0)</f>
        <v>77.921599999999998</v>
      </c>
      <c r="E767" s="4">
        <f>476.375893105962 * CHOOSE(CONTROL!$C$9, $C$13, 100%, $E$13) + CHOOSE(CONTROL!$C$28, 0, 0)</f>
        <v>476.37589310596201</v>
      </c>
    </row>
    <row r="768" spans="1:5" ht="15">
      <c r="A768" s="13">
        <v>65258</v>
      </c>
      <c r="B768" s="4">
        <f>87.771 * CHOOSE(CONTROL!$C$9, $C$13, 100%, $E$13) + CHOOSE(CONTROL!$C$28, 0.0197, 0)</f>
        <v>87.790700000000001</v>
      </c>
      <c r="C768" s="4">
        <f>87.4585 * CHOOSE(CONTROL!$C$9, $C$13, 100%, $E$13) + CHOOSE(CONTROL!$C$28, 0.0197, 0)</f>
        <v>87.478200000000001</v>
      </c>
      <c r="D768" s="4">
        <f>77.0988 * CHOOSE(CONTROL!$C$9, $C$13, 100%, $E$13) + CHOOSE(CONTROL!$C$28, 0, 0)</f>
        <v>77.098799999999997</v>
      </c>
      <c r="E768" s="4">
        <f>487.781329299479 * CHOOSE(CONTROL!$C$9, $C$13, 100%, $E$13) + CHOOSE(CONTROL!$C$28, 0, 0)</f>
        <v>487.78132929947901</v>
      </c>
    </row>
    <row r="769" spans="1:5" ht="15">
      <c r="A769" s="13">
        <v>65288</v>
      </c>
      <c r="B769" s="4">
        <f>84.348 * CHOOSE(CONTROL!$C$9, $C$13, 100%, $E$13) + CHOOSE(CONTROL!$C$28, 0.0197, 0)</f>
        <v>84.367699999999999</v>
      </c>
      <c r="C769" s="4">
        <f>84.0355 * CHOOSE(CONTROL!$C$9, $C$13, 100%, $E$13) + CHOOSE(CONTROL!$C$28, 0.0197, 0)</f>
        <v>84.055199999999999</v>
      </c>
      <c r="D769" s="4">
        <f>76.71 * CHOOSE(CONTROL!$C$9, $C$13, 100%, $E$13) + CHOOSE(CONTROL!$C$28, 0, 0)</f>
        <v>76.709999999999994</v>
      </c>
      <c r="E769" s="4">
        <f>468.342828411525 * CHOOSE(CONTROL!$C$9, $C$13, 100%, $E$13) + CHOOSE(CONTROL!$C$28, 0, 0)</f>
        <v>468.34282841152498</v>
      </c>
    </row>
    <row r="770" spans="1:5" ht="15">
      <c r="A770" s="13">
        <v>65319</v>
      </c>
      <c r="B770" s="4">
        <f>81.6078 * CHOOSE(CONTROL!$C$9, $C$13, 100%, $E$13) + CHOOSE(CONTROL!$C$28, 0.0003, 0)</f>
        <v>81.608099999999993</v>
      </c>
      <c r="C770" s="4">
        <f>81.2953 * CHOOSE(CONTROL!$C$9, $C$13, 100%, $E$13) + CHOOSE(CONTROL!$C$28, 0.0003, 0)</f>
        <v>81.295599999999993</v>
      </c>
      <c r="D770" s="4">
        <f>75.6691 * CHOOSE(CONTROL!$C$9, $C$13, 100%, $E$13) + CHOOSE(CONTROL!$C$28, 0, 0)</f>
        <v>75.6691</v>
      </c>
      <c r="E770" s="4">
        <f>452.781923217269 * CHOOSE(CONTROL!$C$9, $C$13, 100%, $E$13) + CHOOSE(CONTROL!$C$28, 0, 0)</f>
        <v>452.78192321726902</v>
      </c>
    </row>
    <row r="771" spans="1:5" ht="15">
      <c r="A771" s="13">
        <v>65349</v>
      </c>
      <c r="B771" s="4">
        <f>79.8429 * CHOOSE(CONTROL!$C$9, $C$13, 100%, $E$13) + CHOOSE(CONTROL!$C$28, 0.0003, 0)</f>
        <v>79.843199999999996</v>
      </c>
      <c r="C771" s="4">
        <f>79.5304 * CHOOSE(CONTROL!$C$9, $C$13, 100%, $E$13) + CHOOSE(CONTROL!$C$28, 0.0003, 0)</f>
        <v>79.530699999999996</v>
      </c>
      <c r="D771" s="4">
        <f>75.3112 * CHOOSE(CONTROL!$C$9, $C$13, 100%, $E$13) + CHOOSE(CONTROL!$C$28, 0, 0)</f>
        <v>75.311199999999999</v>
      </c>
      <c r="E771" s="4">
        <f>442.759538256521 * CHOOSE(CONTROL!$C$9, $C$13, 100%, $E$13) + CHOOSE(CONTROL!$C$28, 0, 0)</f>
        <v>442.75953825652101</v>
      </c>
    </row>
    <row r="772" spans="1:5" ht="15">
      <c r="A772" s="13">
        <v>65380</v>
      </c>
      <c r="B772" s="4">
        <f>78.6218 * CHOOSE(CONTROL!$C$9, $C$13, 100%, $E$13) + CHOOSE(CONTROL!$C$28, 0.0003, 0)</f>
        <v>78.622099999999989</v>
      </c>
      <c r="C772" s="4">
        <f>78.3093 * CHOOSE(CONTROL!$C$9, $C$13, 100%, $E$13) + CHOOSE(CONTROL!$C$28, 0.0003, 0)</f>
        <v>78.309599999999989</v>
      </c>
      <c r="D772" s="4">
        <f>72.6766 * CHOOSE(CONTROL!$C$9, $C$13, 100%, $E$13) + CHOOSE(CONTROL!$C$28, 0, 0)</f>
        <v>72.676599999999993</v>
      </c>
      <c r="E772" s="4">
        <f>435.825336185379 * CHOOSE(CONTROL!$C$9, $C$13, 100%, $E$13) + CHOOSE(CONTROL!$C$28, 0, 0)</f>
        <v>435.825336185379</v>
      </c>
    </row>
    <row r="773" spans="1:5" ht="15">
      <c r="A773" s="13">
        <v>65411</v>
      </c>
      <c r="B773" s="4">
        <f>76.6378 * CHOOSE(CONTROL!$C$9, $C$13, 100%, $E$13) + CHOOSE(CONTROL!$C$28, 0.0003, 0)</f>
        <v>76.638099999999994</v>
      </c>
      <c r="C773" s="4">
        <f>76.3253 * CHOOSE(CONTROL!$C$9, $C$13, 100%, $E$13) + CHOOSE(CONTROL!$C$28, 0.0003, 0)</f>
        <v>76.325599999999994</v>
      </c>
      <c r="D773" s="4">
        <f>70.2551 * CHOOSE(CONTROL!$C$9, $C$13, 100%, $E$13) + CHOOSE(CONTROL!$C$28, 0, 0)</f>
        <v>70.255099999999999</v>
      </c>
      <c r="E773" s="4">
        <f>423.327526341816 * CHOOSE(CONTROL!$C$9, $C$13, 100%, $E$13) + CHOOSE(CONTROL!$C$28, 0, 0)</f>
        <v>423.327526341816</v>
      </c>
    </row>
    <row r="774" spans="1:5" ht="15">
      <c r="A774" s="13">
        <v>65439</v>
      </c>
      <c r="B774" s="4">
        <f>78.4129 * CHOOSE(CONTROL!$C$9, $C$13, 100%, $E$13) + CHOOSE(CONTROL!$C$28, 0.0003, 0)</f>
        <v>78.413199999999989</v>
      </c>
      <c r="C774" s="4">
        <f>78.1004 * CHOOSE(CONTROL!$C$9, $C$13, 100%, $E$13) + CHOOSE(CONTROL!$C$28, 0.0003, 0)</f>
        <v>78.100699999999989</v>
      </c>
      <c r="D774" s="4">
        <f>72.6935 * CHOOSE(CONTROL!$C$9, $C$13, 100%, $E$13) + CHOOSE(CONTROL!$C$28, 0, 0)</f>
        <v>72.6935</v>
      </c>
      <c r="E774" s="4">
        <f>433.378990112616 * CHOOSE(CONTROL!$C$9, $C$13, 100%, $E$13) + CHOOSE(CONTROL!$C$28, 0, 0)</f>
        <v>433.37899011261601</v>
      </c>
    </row>
    <row r="775" spans="1:5" ht="15">
      <c r="A775" s="13">
        <v>65470</v>
      </c>
      <c r="B775" s="4">
        <f>83.0746 * CHOOSE(CONTROL!$C$9, $C$13, 100%, $E$13) + CHOOSE(CONTROL!$C$28, 0.0003, 0)</f>
        <v>83.0749</v>
      </c>
      <c r="C775" s="4">
        <f>82.7621 * CHOOSE(CONTROL!$C$9, $C$13, 100%, $E$13) + CHOOSE(CONTROL!$C$28, 0.0003, 0)</f>
        <v>82.7624</v>
      </c>
      <c r="D775" s="4">
        <f>76.5107 * CHOOSE(CONTROL!$C$9, $C$13, 100%, $E$13) + CHOOSE(CONTROL!$C$28, 0, 0)</f>
        <v>76.5107</v>
      </c>
      <c r="E775" s="4">
        <f>459.774668141962 * CHOOSE(CONTROL!$C$9, $C$13, 100%, $E$13) + CHOOSE(CONTROL!$C$28, 0, 0)</f>
        <v>459.77466814196202</v>
      </c>
    </row>
    <row r="776" spans="1:5" ht="15">
      <c r="A776" s="13">
        <v>65500</v>
      </c>
      <c r="B776" s="4">
        <f>86.3868 * CHOOSE(CONTROL!$C$9, $C$13, 100%, $E$13) + CHOOSE(CONTROL!$C$28, 0.0003, 0)</f>
        <v>86.38709999999999</v>
      </c>
      <c r="C776" s="4">
        <f>86.0743 * CHOOSE(CONTROL!$C$9, $C$13, 100%, $E$13) + CHOOSE(CONTROL!$C$28, 0.0003, 0)</f>
        <v>86.07459999999999</v>
      </c>
      <c r="D776" s="4">
        <f>78.7095 * CHOOSE(CONTROL!$C$9, $C$13, 100%, $E$13) + CHOOSE(CONTROL!$C$28, 0, 0)</f>
        <v>78.709500000000006</v>
      </c>
      <c r="E776" s="4">
        <f>478.529149150473 * CHOOSE(CONTROL!$C$9, $C$13, 100%, $E$13) + CHOOSE(CONTROL!$C$28, 0, 0)</f>
        <v>478.52914915047302</v>
      </c>
    </row>
    <row r="777" spans="1:5" ht="15">
      <c r="A777" s="13">
        <v>65531</v>
      </c>
      <c r="B777" s="4">
        <f>88.4105 * CHOOSE(CONTROL!$C$9, $C$13, 100%, $E$13) + CHOOSE(CONTROL!$C$28, 0.0197, 0)</f>
        <v>88.430199999999999</v>
      </c>
      <c r="C777" s="4">
        <f>88.098 * CHOOSE(CONTROL!$C$9, $C$13, 100%, $E$13) + CHOOSE(CONTROL!$C$28, 0.0197, 0)</f>
        <v>88.117699999999999</v>
      </c>
      <c r="D777" s="4">
        <f>77.8407 * CHOOSE(CONTROL!$C$9, $C$13, 100%, $E$13) + CHOOSE(CONTROL!$C$28, 0, 0)</f>
        <v>77.840699999999998</v>
      </c>
      <c r="E777" s="4">
        <f>489.987687564496 * CHOOSE(CONTROL!$C$9, $C$13, 100%, $E$13) + CHOOSE(CONTROL!$C$28, 0, 0)</f>
        <v>489.98768756449601</v>
      </c>
    </row>
    <row r="778" spans="1:5" ht="15">
      <c r="A778" s="13">
        <v>65561</v>
      </c>
      <c r="B778" s="4">
        <f>88.6843 * CHOOSE(CONTROL!$C$9, $C$13, 100%, $E$13) + CHOOSE(CONTROL!$C$28, 0.0197, 0)</f>
        <v>88.703999999999994</v>
      </c>
      <c r="C778" s="4">
        <f>88.3718 * CHOOSE(CONTROL!$C$9, $C$13, 100%, $E$13) + CHOOSE(CONTROL!$C$28, 0.0197, 0)</f>
        <v>88.391499999999994</v>
      </c>
      <c r="D778" s="4">
        <f>78.5483 * CHOOSE(CONTROL!$C$9, $C$13, 100%, $E$13) + CHOOSE(CONTROL!$C$28, 0, 0)</f>
        <v>78.548299999999998</v>
      </c>
      <c r="E778" s="4">
        <f>491.538075365824 * CHOOSE(CONTROL!$C$9, $C$13, 100%, $E$13) + CHOOSE(CONTROL!$C$28, 0, 0)</f>
        <v>491.538075365824</v>
      </c>
    </row>
    <row r="779" spans="1:5" ht="15">
      <c r="A779" s="13">
        <v>65592</v>
      </c>
      <c r="B779" s="4">
        <f>88.6567 * CHOOSE(CONTROL!$C$9, $C$13, 100%, $E$13) + CHOOSE(CONTROL!$C$28, 0.0197, 0)</f>
        <v>88.676400000000001</v>
      </c>
      <c r="C779" s="4">
        <f>88.3442 * CHOOSE(CONTROL!$C$9, $C$13, 100%, $E$13) + CHOOSE(CONTROL!$C$28, 0.0197, 0)</f>
        <v>88.363900000000001</v>
      </c>
      <c r="D779" s="4">
        <f>79.8251 * CHOOSE(CONTROL!$C$9, $C$13, 100%, $E$13) + CHOOSE(CONTROL!$C$28, 0, 0)</f>
        <v>79.825100000000006</v>
      </c>
      <c r="E779" s="4">
        <f>491.3817337388 * CHOOSE(CONTROL!$C$9, $C$13, 100%, $E$13) + CHOOSE(CONTROL!$C$28, 0, 0)</f>
        <v>491.38173373879999</v>
      </c>
    </row>
    <row r="780" spans="1:5" ht="15">
      <c r="A780" s="13">
        <v>65623</v>
      </c>
      <c r="B780" s="4">
        <f>90.7344 * CHOOSE(CONTROL!$C$9, $C$13, 100%, $E$13) + CHOOSE(CONTROL!$C$28, 0.0197, 0)</f>
        <v>90.754099999999994</v>
      </c>
      <c r="C780" s="4">
        <f>90.4219 * CHOOSE(CONTROL!$C$9, $C$13, 100%, $E$13) + CHOOSE(CONTROL!$C$28, 0.0197, 0)</f>
        <v>90.441599999999994</v>
      </c>
      <c r="D780" s="4">
        <f>78.9819 * CHOOSE(CONTROL!$C$9, $C$13, 100%, $E$13) + CHOOSE(CONTROL!$C$28, 0, 0)</f>
        <v>78.981899999999996</v>
      </c>
      <c r="E780" s="4">
        <f>503.146441172412 * CHOOSE(CONTROL!$C$9, $C$13, 100%, $E$13) + CHOOSE(CONTROL!$C$28, 0, 0)</f>
        <v>503.14644117241198</v>
      </c>
    </row>
    <row r="781" spans="1:5" ht="15">
      <c r="A781" s="13">
        <v>65653</v>
      </c>
      <c r="B781" s="4">
        <f>87.1933 * CHOOSE(CONTROL!$C$9, $C$13, 100%, $E$13) + CHOOSE(CONTROL!$C$28, 0.0197, 0)</f>
        <v>87.212999999999994</v>
      </c>
      <c r="C781" s="4">
        <f>86.8808 * CHOOSE(CONTROL!$C$9, $C$13, 100%, $E$13) + CHOOSE(CONTROL!$C$28, 0.0197, 0)</f>
        <v>86.900499999999994</v>
      </c>
      <c r="D781" s="4">
        <f>78.5835 * CHOOSE(CONTROL!$C$9, $C$13, 100%, $E$13) + CHOOSE(CONTROL!$C$28, 0, 0)</f>
        <v>78.583500000000001</v>
      </c>
      <c r="E781" s="4">
        <f>483.095627506488 * CHOOSE(CONTROL!$C$9, $C$13, 100%, $E$13) + CHOOSE(CONTROL!$C$28, 0, 0)</f>
        <v>483.09562750648797</v>
      </c>
    </row>
    <row r="782" spans="1:5" ht="15">
      <c r="A782" s="13">
        <v>65684</v>
      </c>
      <c r="B782" s="4">
        <f>84.3585 * CHOOSE(CONTROL!$C$9, $C$13, 100%, $E$13) + CHOOSE(CONTROL!$C$28, 0.0003, 0)</f>
        <v>84.358800000000002</v>
      </c>
      <c r="C782" s="4">
        <f>84.046 * CHOOSE(CONTROL!$C$9, $C$13, 100%, $E$13) + CHOOSE(CONTROL!$C$28, 0.0003, 0)</f>
        <v>84.046300000000002</v>
      </c>
      <c r="D782" s="4">
        <f>77.5168 * CHOOSE(CONTROL!$C$9, $C$13, 100%, $E$13) + CHOOSE(CONTROL!$C$28, 0, 0)</f>
        <v>77.516800000000003</v>
      </c>
      <c r="E782" s="4">
        <f>467.044553798613 * CHOOSE(CONTROL!$C$9, $C$13, 100%, $E$13) + CHOOSE(CONTROL!$C$28, 0, 0)</f>
        <v>467.04455379861298</v>
      </c>
    </row>
    <row r="783" spans="1:5" ht="15">
      <c r="A783" s="13">
        <v>65714</v>
      </c>
      <c r="B783" s="4">
        <f>82.5327 * CHOOSE(CONTROL!$C$9, $C$13, 100%, $E$13) + CHOOSE(CONTROL!$C$28, 0.0003, 0)</f>
        <v>82.533000000000001</v>
      </c>
      <c r="C783" s="4">
        <f>82.2202 * CHOOSE(CONTROL!$C$9, $C$13, 100%, $E$13) + CHOOSE(CONTROL!$C$28, 0.0003, 0)</f>
        <v>82.220500000000001</v>
      </c>
      <c r="D783" s="4">
        <f>77.15 * CHOOSE(CONTROL!$C$9, $C$13, 100%, $E$13) + CHOOSE(CONTROL!$C$28, 0, 0)</f>
        <v>77.150000000000006</v>
      </c>
      <c r="E783" s="4">
        <f>456.706463711601 * CHOOSE(CONTROL!$C$9, $C$13, 100%, $E$13) + CHOOSE(CONTROL!$C$28, 0, 0)</f>
        <v>456.70646371160097</v>
      </c>
    </row>
    <row r="784" spans="1:5" ht="15">
      <c r="A784" s="13">
        <v>65745</v>
      </c>
      <c r="B784" s="4">
        <f>81.2695 * CHOOSE(CONTROL!$C$9, $C$13, 100%, $E$13) + CHOOSE(CONTROL!$C$28, 0.0003, 0)</f>
        <v>81.269799999999989</v>
      </c>
      <c r="C784" s="4">
        <f>80.957 * CHOOSE(CONTROL!$C$9, $C$13, 100%, $E$13) + CHOOSE(CONTROL!$C$28, 0.0003, 0)</f>
        <v>80.957299999999989</v>
      </c>
      <c r="D784" s="4">
        <f>74.45 * CHOOSE(CONTROL!$C$9, $C$13, 100%, $E$13) + CHOOSE(CONTROL!$C$28, 0, 0)</f>
        <v>74.45</v>
      </c>
      <c r="E784" s="4">
        <f>449.553834275219 * CHOOSE(CONTROL!$C$9, $C$13, 100%, $E$13) + CHOOSE(CONTROL!$C$28, 0, 0)</f>
        <v>449.553834275219</v>
      </c>
    </row>
    <row r="785" spans="1:5" ht="15">
      <c r="A785" s="13">
        <v>65776</v>
      </c>
      <c r="B785" s="4">
        <f>79.2171 * CHOOSE(CONTROL!$C$9, $C$13, 100%, $E$13) + CHOOSE(CONTROL!$C$28, 0.0003, 0)</f>
        <v>79.217399999999998</v>
      </c>
      <c r="C785" s="4">
        <f>78.9046 * CHOOSE(CONTROL!$C$9, $C$13, 100%, $E$13) + CHOOSE(CONTROL!$C$28, 0.0003, 0)</f>
        <v>78.904899999999998</v>
      </c>
      <c r="D785" s="4">
        <f>71.9685 * CHOOSE(CONTROL!$C$9, $C$13, 100%, $E$13) + CHOOSE(CONTROL!$C$28, 0, 0)</f>
        <v>71.968500000000006</v>
      </c>
      <c r="E785" s="4">
        <f>436.662343421584 * CHOOSE(CONTROL!$C$9, $C$13, 100%, $E$13) + CHOOSE(CONTROL!$C$28, 0, 0)</f>
        <v>436.66234342158401</v>
      </c>
    </row>
    <row r="786" spans="1:5" ht="15">
      <c r="A786" s="13">
        <v>65805</v>
      </c>
      <c r="B786" s="4">
        <f>81.0535 * CHOOSE(CONTROL!$C$9, $C$13, 100%, $E$13) + CHOOSE(CONTROL!$C$28, 0.0003, 0)</f>
        <v>81.053799999999995</v>
      </c>
      <c r="C786" s="4">
        <f>80.741 * CHOOSE(CONTROL!$C$9, $C$13, 100%, $E$13) + CHOOSE(CONTROL!$C$28, 0.0003, 0)</f>
        <v>80.741299999999995</v>
      </c>
      <c r="D786" s="4">
        <f>74.4674 * CHOOSE(CONTROL!$C$9, $C$13, 100%, $E$13) + CHOOSE(CONTROL!$C$28, 0, 0)</f>
        <v>74.467399999999998</v>
      </c>
      <c r="E786" s="4">
        <f>447.030428301164 * CHOOSE(CONTROL!$C$9, $C$13, 100%, $E$13) + CHOOSE(CONTROL!$C$28, 0, 0)</f>
        <v>447.03042830116402</v>
      </c>
    </row>
    <row r="787" spans="1:5" ht="15">
      <c r="A787" s="13">
        <v>65836</v>
      </c>
      <c r="B787" s="4">
        <f>85.876 * CHOOSE(CONTROL!$C$9, $C$13, 100%, $E$13) + CHOOSE(CONTROL!$C$28, 0.0003, 0)</f>
        <v>85.876300000000001</v>
      </c>
      <c r="C787" s="4">
        <f>85.5635 * CHOOSE(CONTROL!$C$9, $C$13, 100%, $E$13) + CHOOSE(CONTROL!$C$28, 0.0003, 0)</f>
        <v>85.563800000000001</v>
      </c>
      <c r="D787" s="4">
        <f>78.3793 * CHOOSE(CONTROL!$C$9, $C$13, 100%, $E$13) + CHOOSE(CONTROL!$C$28, 0, 0)</f>
        <v>78.379300000000001</v>
      </c>
      <c r="E787" s="4">
        <f>474.257570188434 * CHOOSE(CONTROL!$C$9, $C$13, 100%, $E$13) + CHOOSE(CONTROL!$C$28, 0, 0)</f>
        <v>474.25757018843399</v>
      </c>
    </row>
    <row r="788" spans="1:5" ht="15">
      <c r="A788" s="13">
        <v>65866</v>
      </c>
      <c r="B788" s="4">
        <f>89.3025 * CHOOSE(CONTROL!$C$9, $C$13, 100%, $E$13) + CHOOSE(CONTROL!$C$28, 0.0003, 0)</f>
        <v>89.302799999999991</v>
      </c>
      <c r="C788" s="4">
        <f>88.99 * CHOOSE(CONTROL!$C$9, $C$13, 100%, $E$13) + CHOOSE(CONTROL!$C$28, 0.0003, 0)</f>
        <v>88.990299999999991</v>
      </c>
      <c r="D788" s="4">
        <f>80.6326 * CHOOSE(CONTROL!$C$9, $C$13, 100%, $E$13) + CHOOSE(CONTROL!$C$28, 0, 0)</f>
        <v>80.632599999999996</v>
      </c>
      <c r="E788" s="4">
        <f>493.602817348713 * CHOOSE(CONTROL!$C$9, $C$13, 100%, $E$13) + CHOOSE(CONTROL!$C$28, 0, 0)</f>
        <v>493.60281734871302</v>
      </c>
    </row>
    <row r="789" spans="1:5" ht="15">
      <c r="A789" s="13">
        <v>65897</v>
      </c>
      <c r="B789" s="4">
        <f>91.3959 * CHOOSE(CONTROL!$C$9, $C$13, 100%, $E$13) + CHOOSE(CONTROL!$C$28, 0.0197, 0)</f>
        <v>91.415599999999998</v>
      </c>
      <c r="C789" s="4">
        <f>91.0834 * CHOOSE(CONTROL!$C$9, $C$13, 100%, $E$13) + CHOOSE(CONTROL!$C$28, 0.0197, 0)</f>
        <v>91.103099999999998</v>
      </c>
      <c r="D789" s="4">
        <f>79.7422 * CHOOSE(CONTROL!$C$9, $C$13, 100%, $E$13) + CHOOSE(CONTROL!$C$28, 0, 0)</f>
        <v>79.742199999999997</v>
      </c>
      <c r="E789" s="4">
        <f>505.422299722777 * CHOOSE(CONTROL!$C$9, $C$13, 100%, $E$13) + CHOOSE(CONTROL!$C$28, 0, 0)</f>
        <v>505.42229972277698</v>
      </c>
    </row>
    <row r="790" spans="1:5" ht="15">
      <c r="A790" s="13">
        <v>65927</v>
      </c>
      <c r="B790" s="4">
        <f>91.6792 * CHOOSE(CONTROL!$C$9, $C$13, 100%, $E$13) + CHOOSE(CONTROL!$C$28, 0.0197, 0)</f>
        <v>91.698899999999995</v>
      </c>
      <c r="C790" s="4">
        <f>91.3667 * CHOOSE(CONTROL!$C$9, $C$13, 100%, $E$13) + CHOOSE(CONTROL!$C$28, 0.0197, 0)</f>
        <v>91.386399999999995</v>
      </c>
      <c r="D790" s="4">
        <f>80.4674 * CHOOSE(CONTROL!$C$9, $C$13, 100%, $E$13) + CHOOSE(CONTROL!$C$28, 0, 0)</f>
        <v>80.467399999999998</v>
      </c>
      <c r="E790" s="4">
        <f>507.021524739848 * CHOOSE(CONTROL!$C$9, $C$13, 100%, $E$13) + CHOOSE(CONTROL!$C$28, 0, 0)</f>
        <v>507.02152473984802</v>
      </c>
    </row>
    <row r="791" spans="1:5" ht="15">
      <c r="A791" s="13">
        <v>65958</v>
      </c>
      <c r="B791" s="4">
        <f>91.6506 * CHOOSE(CONTROL!$C$9, $C$13, 100%, $E$13) + CHOOSE(CONTROL!$C$28, 0.0197, 0)</f>
        <v>91.670299999999997</v>
      </c>
      <c r="C791" s="4">
        <f>91.3381 * CHOOSE(CONTROL!$C$9, $C$13, 100%, $E$13) + CHOOSE(CONTROL!$C$28, 0.0197, 0)</f>
        <v>91.357799999999997</v>
      </c>
      <c r="D791" s="4">
        <f>81.7759 * CHOOSE(CONTROL!$C$9, $C$13, 100%, $E$13) + CHOOSE(CONTROL!$C$28, 0, 0)</f>
        <v>81.775899999999993</v>
      </c>
      <c r="E791" s="4">
        <f>506.860258351572 * CHOOSE(CONTROL!$C$9, $C$13, 100%, $E$13) + CHOOSE(CONTROL!$C$28, 0, 0)</f>
        <v>506.86025835157199</v>
      </c>
    </row>
    <row r="792" spans="1:5" ht="15">
      <c r="A792" s="13">
        <v>65989</v>
      </c>
      <c r="B792" s="4">
        <f>93.8 * CHOOSE(CONTROL!$C$9, $C$13, 100%, $E$13) + CHOOSE(CONTROL!$C$28, 0.0197, 0)</f>
        <v>93.819699999999997</v>
      </c>
      <c r="C792" s="4">
        <f>93.4875 * CHOOSE(CONTROL!$C$9, $C$13, 100%, $E$13) + CHOOSE(CONTROL!$C$28, 0.0197, 0)</f>
        <v>93.507199999999997</v>
      </c>
      <c r="D792" s="4">
        <f>80.9118 * CHOOSE(CONTROL!$C$9, $C$13, 100%, $E$13) + CHOOSE(CONTROL!$C$28, 0, 0)</f>
        <v>80.911799999999999</v>
      </c>
      <c r="E792" s="4">
        <f>518.995554069343 * CHOOSE(CONTROL!$C$9, $C$13, 100%, $E$13) + CHOOSE(CONTROL!$C$28, 0, 0)</f>
        <v>518.99555406934303</v>
      </c>
    </row>
    <row r="793" spans="1:5" ht="15">
      <c r="A793" s="13">
        <v>66019</v>
      </c>
      <c r="B793" s="4">
        <f>90.1368 * CHOOSE(CONTROL!$C$9, $C$13, 100%, $E$13) + CHOOSE(CONTROL!$C$28, 0.0197, 0)</f>
        <v>90.156499999999994</v>
      </c>
      <c r="C793" s="4">
        <f>89.8243 * CHOOSE(CONTROL!$C$9, $C$13, 100%, $E$13) + CHOOSE(CONTROL!$C$28, 0.0197, 0)</f>
        <v>89.843999999999994</v>
      </c>
      <c r="D793" s="4">
        <f>80.5035 * CHOOSE(CONTROL!$C$9, $C$13, 100%, $E$13) + CHOOSE(CONTROL!$C$28, 0, 0)</f>
        <v>80.503500000000003</v>
      </c>
      <c r="E793" s="4">
        <f>498.313139772942 * CHOOSE(CONTROL!$C$9, $C$13, 100%, $E$13) + CHOOSE(CONTROL!$C$28, 0, 0)</f>
        <v>498.31313977294201</v>
      </c>
    </row>
    <row r="794" spans="1:5" ht="15">
      <c r="A794" s="13">
        <v>66050</v>
      </c>
      <c r="B794" s="4">
        <f>87.2042 * CHOOSE(CONTROL!$C$9, $C$13, 100%, $E$13) + CHOOSE(CONTROL!$C$28, 0.0003, 0)</f>
        <v>87.204499999999996</v>
      </c>
      <c r="C794" s="4">
        <f>86.8917 * CHOOSE(CONTROL!$C$9, $C$13, 100%, $E$13) + CHOOSE(CONTROL!$C$28, 0.0003, 0)</f>
        <v>86.891999999999996</v>
      </c>
      <c r="D794" s="4">
        <f>79.4103 * CHOOSE(CONTROL!$C$9, $C$13, 100%, $E$13) + CHOOSE(CONTROL!$C$28, 0, 0)</f>
        <v>79.410300000000007</v>
      </c>
      <c r="E794" s="4">
        <f>481.756457243269 * CHOOSE(CONTROL!$C$9, $C$13, 100%, $E$13) + CHOOSE(CONTROL!$C$28, 0, 0)</f>
        <v>481.75645724326898</v>
      </c>
    </row>
    <row r="795" spans="1:5" ht="15">
      <c r="A795" s="13">
        <v>66080</v>
      </c>
      <c r="B795" s="4">
        <f>85.3154 * CHOOSE(CONTROL!$C$9, $C$13, 100%, $E$13) + CHOOSE(CONTROL!$C$28, 0.0003, 0)</f>
        <v>85.315699999999993</v>
      </c>
      <c r="C795" s="4">
        <f>85.0029 * CHOOSE(CONTROL!$C$9, $C$13, 100%, $E$13) + CHOOSE(CONTROL!$C$28, 0.0003, 0)</f>
        <v>85.003199999999993</v>
      </c>
      <c r="D795" s="4">
        <f>79.0344 * CHOOSE(CONTROL!$C$9, $C$13, 100%, $E$13) + CHOOSE(CONTROL!$C$28, 0, 0)</f>
        <v>79.034400000000005</v>
      </c>
      <c r="E795" s="4">
        <f>471.092717318517 * CHOOSE(CONTROL!$C$9, $C$13, 100%, $E$13) + CHOOSE(CONTROL!$C$28, 0, 0)</f>
        <v>471.09271731851697</v>
      </c>
    </row>
    <row r="796" spans="1:5" ht="15">
      <c r="A796" s="13">
        <v>66111</v>
      </c>
      <c r="B796" s="4">
        <f>84.0087 * CHOOSE(CONTROL!$C$9, $C$13, 100%, $E$13) + CHOOSE(CONTROL!$C$28, 0.0003, 0)</f>
        <v>84.009</v>
      </c>
      <c r="C796" s="4">
        <f>83.6962 * CHOOSE(CONTROL!$C$9, $C$13, 100%, $E$13) + CHOOSE(CONTROL!$C$28, 0.0003, 0)</f>
        <v>83.6965</v>
      </c>
      <c r="D796" s="4">
        <f>76.2675 * CHOOSE(CONTROL!$C$9, $C$13, 100%, $E$13) + CHOOSE(CONTROL!$C$28, 0, 0)</f>
        <v>76.267499999999998</v>
      </c>
      <c r="E796" s="4">
        <f>463.714780054888 * CHOOSE(CONTROL!$C$9, $C$13, 100%, $E$13) + CHOOSE(CONTROL!$C$28, 0, 0)</f>
        <v>463.71478005488802</v>
      </c>
    </row>
    <row r="797" spans="1:5" ht="15">
      <c r="A797" s="13">
        <v>66142</v>
      </c>
      <c r="B797" s="4">
        <f>81.8854 * CHOOSE(CONTROL!$C$9, $C$13, 100%, $E$13) + CHOOSE(CONTROL!$C$28, 0.0003, 0)</f>
        <v>81.8857</v>
      </c>
      <c r="C797" s="4">
        <f>81.5729 * CHOOSE(CONTROL!$C$9, $C$13, 100%, $E$13) + CHOOSE(CONTROL!$C$28, 0.0003, 0)</f>
        <v>81.5732</v>
      </c>
      <c r="D797" s="4">
        <f>73.7244 * CHOOSE(CONTROL!$C$9, $C$13, 100%, $E$13) + CHOOSE(CONTROL!$C$28, 0, 0)</f>
        <v>73.724400000000003</v>
      </c>
      <c r="E797" s="4">
        <f>450.417207239363 * CHOOSE(CONTROL!$C$9, $C$13, 100%, $E$13) + CHOOSE(CONTROL!$C$28, 0, 0)</f>
        <v>450.41720723936299</v>
      </c>
    </row>
    <row r="798" spans="1:5" ht="15">
      <c r="A798" s="13">
        <v>66170</v>
      </c>
      <c r="B798" s="4">
        <f>83.7852 * CHOOSE(CONTROL!$C$9, $C$13, 100%, $E$13) + CHOOSE(CONTROL!$C$28, 0.0003, 0)</f>
        <v>83.785499999999999</v>
      </c>
      <c r="C798" s="4">
        <f>83.4727 * CHOOSE(CONTROL!$C$9, $C$13, 100%, $E$13) + CHOOSE(CONTROL!$C$28, 0.0003, 0)</f>
        <v>83.472999999999999</v>
      </c>
      <c r="D798" s="4">
        <f>76.2853 * CHOOSE(CONTROL!$C$9, $C$13, 100%, $E$13) + CHOOSE(CONTROL!$C$28, 0, 0)</f>
        <v>76.285300000000007</v>
      </c>
      <c r="E798" s="4">
        <f>461.11188679265 * CHOOSE(CONTROL!$C$9, $C$13, 100%, $E$13) + CHOOSE(CONTROL!$C$28, 0, 0)</f>
        <v>461.11188679265001</v>
      </c>
    </row>
    <row r="799" spans="1:5" ht="15">
      <c r="A799" s="13">
        <v>66201</v>
      </c>
      <c r="B799" s="4">
        <f>88.774 * CHOOSE(CONTROL!$C$9, $C$13, 100%, $E$13) + CHOOSE(CONTROL!$C$28, 0.0003, 0)</f>
        <v>88.774299999999997</v>
      </c>
      <c r="C799" s="4">
        <f>88.4615 * CHOOSE(CONTROL!$C$9, $C$13, 100%, $E$13) + CHOOSE(CONTROL!$C$28, 0.0003, 0)</f>
        <v>88.461799999999997</v>
      </c>
      <c r="D799" s="4">
        <f>80.2942 * CHOOSE(CONTROL!$C$9, $C$13, 100%, $E$13) + CHOOSE(CONTROL!$C$28, 0, 0)</f>
        <v>80.294200000000004</v>
      </c>
      <c r="E799" s="4">
        <f>489.196683649369 * CHOOSE(CONTROL!$C$9, $C$13, 100%, $E$13) + CHOOSE(CONTROL!$C$28, 0, 0)</f>
        <v>489.19668364936899</v>
      </c>
    </row>
    <row r="800" spans="1:5" ht="15">
      <c r="A800" s="13">
        <v>66231</v>
      </c>
      <c r="B800" s="4">
        <f>92.3187 * CHOOSE(CONTROL!$C$9, $C$13, 100%, $E$13) + CHOOSE(CONTROL!$C$28, 0.0003, 0)</f>
        <v>92.319000000000003</v>
      </c>
      <c r="C800" s="4">
        <f>92.0062 * CHOOSE(CONTROL!$C$9, $C$13, 100%, $E$13) + CHOOSE(CONTROL!$C$28, 0.0003, 0)</f>
        <v>92.006500000000003</v>
      </c>
      <c r="D800" s="4">
        <f>82.6034 * CHOOSE(CONTROL!$C$9, $C$13, 100%, $E$13) + CHOOSE(CONTROL!$C$28, 0, 0)</f>
        <v>82.603399999999993</v>
      </c>
      <c r="E800" s="4">
        <f>509.151306095197 * CHOOSE(CONTROL!$C$9, $C$13, 100%, $E$13) + CHOOSE(CONTROL!$C$28, 0, 0)</f>
        <v>509.15130609519701</v>
      </c>
    </row>
    <row r="801" spans="1:5" ht="15">
      <c r="A801" s="13">
        <v>66262</v>
      </c>
      <c r="B801" s="4">
        <f>94.4844 * CHOOSE(CONTROL!$C$9, $C$13, 100%, $E$13) + CHOOSE(CONTROL!$C$28, 0.0197, 0)</f>
        <v>94.504099999999994</v>
      </c>
      <c r="C801" s="4">
        <f>94.1719 * CHOOSE(CONTROL!$C$9, $C$13, 100%, $E$13) + CHOOSE(CONTROL!$C$28, 0.0197, 0)</f>
        <v>94.191599999999994</v>
      </c>
      <c r="D801" s="4">
        <f>81.6909 * CHOOSE(CONTROL!$C$9, $C$13, 100%, $E$13) + CHOOSE(CONTROL!$C$28, 0, 0)</f>
        <v>81.690899999999999</v>
      </c>
      <c r="E801" s="4">
        <f>521.343102164045 * CHOOSE(CONTROL!$C$9, $C$13, 100%, $E$13) + CHOOSE(CONTROL!$C$28, 0, 0)</f>
        <v>521.34310216404504</v>
      </c>
    </row>
    <row r="802" spans="1:5" ht="15">
      <c r="A802" s="13">
        <v>66292</v>
      </c>
      <c r="B802" s="4">
        <f>94.7774 * CHOOSE(CONTROL!$C$9, $C$13, 100%, $E$13) + CHOOSE(CONTROL!$C$28, 0.0197, 0)</f>
        <v>94.7971</v>
      </c>
      <c r="C802" s="4">
        <f>94.4649 * CHOOSE(CONTROL!$C$9, $C$13, 100%, $E$13) + CHOOSE(CONTROL!$C$28, 0.0197, 0)</f>
        <v>94.4846</v>
      </c>
      <c r="D802" s="4">
        <f>82.4341 * CHOOSE(CONTROL!$C$9, $C$13, 100%, $E$13) + CHOOSE(CONTROL!$C$28, 0, 0)</f>
        <v>82.434100000000001</v>
      </c>
      <c r="E802" s="4">
        <f>522.992702769153 * CHOOSE(CONTROL!$C$9, $C$13, 100%, $E$13) + CHOOSE(CONTROL!$C$28, 0, 0)</f>
        <v>522.99270276915297</v>
      </c>
    </row>
    <row r="803" spans="1:5" ht="15">
      <c r="A803" s="13">
        <v>66323</v>
      </c>
      <c r="B803" s="4">
        <f>94.7479 * CHOOSE(CONTROL!$C$9, $C$13, 100%, $E$13) + CHOOSE(CONTROL!$C$28, 0.0197, 0)</f>
        <v>94.767600000000002</v>
      </c>
      <c r="C803" s="4">
        <f>94.4354 * CHOOSE(CONTROL!$C$9, $C$13, 100%, $E$13) + CHOOSE(CONTROL!$C$28, 0.0197, 0)</f>
        <v>94.455100000000002</v>
      </c>
      <c r="D803" s="4">
        <f>83.775 * CHOOSE(CONTROL!$C$9, $C$13, 100%, $E$13) + CHOOSE(CONTROL!$C$28, 0, 0)</f>
        <v>83.775000000000006</v>
      </c>
      <c r="E803" s="4">
        <f>522.826356489646 * CHOOSE(CONTROL!$C$9, $C$13, 100%, $E$13) + CHOOSE(CONTROL!$C$28, 0, 0)</f>
        <v>522.82635648964595</v>
      </c>
    </row>
    <row r="804" spans="1:5" ht="15">
      <c r="A804" s="13">
        <v>66354</v>
      </c>
      <c r="B804" s="4">
        <f>96.9715 * CHOOSE(CONTROL!$C$9, $C$13, 100%, $E$13) + CHOOSE(CONTROL!$C$28, 0.0197, 0)</f>
        <v>96.991200000000006</v>
      </c>
      <c r="C804" s="4">
        <f>96.659 * CHOOSE(CONTROL!$C$9, $C$13, 100%, $E$13) + CHOOSE(CONTROL!$C$28, 0.0197, 0)</f>
        <v>96.678700000000006</v>
      </c>
      <c r="D804" s="4">
        <f>82.8895 * CHOOSE(CONTROL!$C$9, $C$13, 100%, $E$13) + CHOOSE(CONTROL!$C$28, 0, 0)</f>
        <v>82.889499999999998</v>
      </c>
      <c r="E804" s="4">
        <f>535.343914022528 * CHOOSE(CONTROL!$C$9, $C$13, 100%, $E$13) + CHOOSE(CONTROL!$C$28, 0, 0)</f>
        <v>535.343914022528</v>
      </c>
    </row>
    <row r="805" spans="1:5" ht="15">
      <c r="A805" s="13">
        <v>66384</v>
      </c>
      <c r="B805" s="4">
        <f>93.1818 * CHOOSE(CONTROL!$C$9, $C$13, 100%, $E$13) + CHOOSE(CONTROL!$C$28, 0.0197, 0)</f>
        <v>93.201499999999996</v>
      </c>
      <c r="C805" s="4">
        <f>92.8693 * CHOOSE(CONTROL!$C$9, $C$13, 100%, $E$13) + CHOOSE(CONTROL!$C$28, 0.0197, 0)</f>
        <v>92.888999999999996</v>
      </c>
      <c r="D805" s="4">
        <f>82.4711 * CHOOSE(CONTROL!$C$9, $C$13, 100%, $E$13) + CHOOSE(CONTROL!$C$28, 0, 0)</f>
        <v>82.471100000000007</v>
      </c>
      <c r="E805" s="4">
        <f>514.01000367579 * CHOOSE(CONTROL!$C$9, $C$13, 100%, $E$13) + CHOOSE(CONTROL!$C$28, 0, 0)</f>
        <v>514.01000367579002</v>
      </c>
    </row>
    <row r="806" spans="1:5" ht="15">
      <c r="A806" s="13">
        <v>66415</v>
      </c>
      <c r="B806" s="4">
        <f>90.1481 * CHOOSE(CONTROL!$C$9, $C$13, 100%, $E$13) + CHOOSE(CONTROL!$C$28, 0.0003, 0)</f>
        <v>90.148399999999995</v>
      </c>
      <c r="C806" s="4">
        <f>89.8356 * CHOOSE(CONTROL!$C$9, $C$13, 100%, $E$13) + CHOOSE(CONTROL!$C$28, 0.0003, 0)</f>
        <v>89.835899999999995</v>
      </c>
      <c r="D806" s="4">
        <f>81.3508 * CHOOSE(CONTROL!$C$9, $C$13, 100%, $E$13) + CHOOSE(CONTROL!$C$28, 0, 0)</f>
        <v>81.350800000000007</v>
      </c>
      <c r="E806" s="4">
        <f>496.931785646432 * CHOOSE(CONTROL!$C$9, $C$13, 100%, $E$13) + CHOOSE(CONTROL!$C$28, 0, 0)</f>
        <v>496.93178564643199</v>
      </c>
    </row>
    <row r="807" spans="1:5" ht="15">
      <c r="A807" s="13">
        <v>66445</v>
      </c>
      <c r="B807" s="4">
        <f>88.1941 * CHOOSE(CONTROL!$C$9, $C$13, 100%, $E$13) + CHOOSE(CONTROL!$C$28, 0.0003, 0)</f>
        <v>88.194400000000002</v>
      </c>
      <c r="C807" s="4">
        <f>87.8816 * CHOOSE(CONTROL!$C$9, $C$13, 100%, $E$13) + CHOOSE(CONTROL!$C$28, 0.0003, 0)</f>
        <v>87.881900000000002</v>
      </c>
      <c r="D807" s="4">
        <f>80.9656 * CHOOSE(CONTROL!$C$9, $C$13, 100%, $E$13) + CHOOSE(CONTROL!$C$28, 0, 0)</f>
        <v>80.965599999999995</v>
      </c>
      <c r="E807" s="4">
        <f>485.93213791405 * CHOOSE(CONTROL!$C$9, $C$13, 100%, $E$13) + CHOOSE(CONTROL!$C$28, 0, 0)</f>
        <v>485.93213791404997</v>
      </c>
    </row>
    <row r="808" spans="1:5" ht="15">
      <c r="A808" s="13">
        <v>66476</v>
      </c>
      <c r="B808" s="4">
        <f>86.8423 * CHOOSE(CONTROL!$C$9, $C$13, 100%, $E$13) + CHOOSE(CONTROL!$C$28, 0.0003, 0)</f>
        <v>86.84259999999999</v>
      </c>
      <c r="C808" s="4">
        <f>86.5298 * CHOOSE(CONTROL!$C$9, $C$13, 100%, $E$13) + CHOOSE(CONTROL!$C$28, 0.0003, 0)</f>
        <v>86.53009999999999</v>
      </c>
      <c r="D808" s="4">
        <f>78.13 * CHOOSE(CONTROL!$C$9, $C$13, 100%, $E$13) + CHOOSE(CONTROL!$C$28, 0, 0)</f>
        <v>78.13</v>
      </c>
      <c r="E808" s="4">
        <f>478.321795626617 * CHOOSE(CONTROL!$C$9, $C$13, 100%, $E$13) + CHOOSE(CONTROL!$C$28, 0, 0)</f>
        <v>478.32179562661702</v>
      </c>
    </row>
    <row r="809" spans="1:5" ht="15">
      <c r="A809" s="13">
        <v>66507</v>
      </c>
      <c r="B809" s="4">
        <f>84.6458 * CHOOSE(CONTROL!$C$9, $C$13, 100%, $E$13) + CHOOSE(CONTROL!$C$28, 0.0003, 0)</f>
        <v>84.64609999999999</v>
      </c>
      <c r="C809" s="4">
        <f>84.3333 * CHOOSE(CONTROL!$C$9, $C$13, 100%, $E$13) + CHOOSE(CONTROL!$C$28, 0.0003, 0)</f>
        <v>84.33359999999999</v>
      </c>
      <c r="D809" s="4">
        <f>75.5239 * CHOOSE(CONTROL!$C$9, $C$13, 100%, $E$13) + CHOOSE(CONTROL!$C$28, 0, 0)</f>
        <v>75.523899999999998</v>
      </c>
      <c r="E809" s="4">
        <f>464.605349267403 * CHOOSE(CONTROL!$C$9, $C$13, 100%, $E$13) + CHOOSE(CONTROL!$C$28, 0, 0)</f>
        <v>464.60534926740303</v>
      </c>
    </row>
    <row r="810" spans="1:5" ht="15">
      <c r="A810" s="13">
        <v>66535</v>
      </c>
      <c r="B810" s="4">
        <f>86.6111 * CHOOSE(CONTROL!$C$9, $C$13, 100%, $E$13) + CHOOSE(CONTROL!$C$28, 0.0003, 0)</f>
        <v>86.611399999999989</v>
      </c>
      <c r="C810" s="4">
        <f>86.2986 * CHOOSE(CONTROL!$C$9, $C$13, 100%, $E$13) + CHOOSE(CONTROL!$C$28, 0.0003, 0)</f>
        <v>86.298899999999989</v>
      </c>
      <c r="D810" s="4">
        <f>78.1483 * CHOOSE(CONTROL!$C$9, $C$13, 100%, $E$13) + CHOOSE(CONTROL!$C$28, 0, 0)</f>
        <v>78.148300000000006</v>
      </c>
      <c r="E810" s="4">
        <f>475.636911226619 * CHOOSE(CONTROL!$C$9, $C$13, 100%, $E$13) + CHOOSE(CONTROL!$C$28, 0, 0)</f>
        <v>475.63691122661902</v>
      </c>
    </row>
    <row r="811" spans="1:5" ht="15">
      <c r="A811" s="13">
        <v>66566</v>
      </c>
      <c r="B811" s="4">
        <f>91.7721 * CHOOSE(CONTROL!$C$9, $C$13, 100%, $E$13) + CHOOSE(CONTROL!$C$28, 0.0003, 0)</f>
        <v>91.77239999999999</v>
      </c>
      <c r="C811" s="4">
        <f>91.4596 * CHOOSE(CONTROL!$C$9, $C$13, 100%, $E$13) + CHOOSE(CONTROL!$C$28, 0.0003, 0)</f>
        <v>91.45989999999999</v>
      </c>
      <c r="D811" s="4">
        <f>82.2566 * CHOOSE(CONTROL!$C$9, $C$13, 100%, $E$13) + CHOOSE(CONTROL!$C$28, 0, 0)</f>
        <v>82.256600000000006</v>
      </c>
      <c r="E811" s="4">
        <f>504.606379184325 * CHOOSE(CONTROL!$C$9, $C$13, 100%, $E$13) + CHOOSE(CONTROL!$C$28, 0, 0)</f>
        <v>504.60637918432502</v>
      </c>
    </row>
    <row r="812" spans="1:5" ht="15">
      <c r="A812" s="13">
        <v>66596</v>
      </c>
      <c r="B812" s="4">
        <f>95.439 * CHOOSE(CONTROL!$C$9, $C$13, 100%, $E$13) + CHOOSE(CONTROL!$C$28, 0.0003, 0)</f>
        <v>95.439299999999989</v>
      </c>
      <c r="C812" s="4">
        <f>95.1265 * CHOOSE(CONTROL!$C$9, $C$13, 100%, $E$13) + CHOOSE(CONTROL!$C$28, 0.0003, 0)</f>
        <v>95.126799999999989</v>
      </c>
      <c r="D812" s="4">
        <f>84.6231 * CHOOSE(CONTROL!$C$9, $C$13, 100%, $E$13) + CHOOSE(CONTROL!$C$28, 0, 0)</f>
        <v>84.623099999999994</v>
      </c>
      <c r="E812" s="4">
        <f>525.189572237196 * CHOOSE(CONTROL!$C$9, $C$13, 100%, $E$13) + CHOOSE(CONTROL!$C$28, 0, 0)</f>
        <v>525.18957223719599</v>
      </c>
    </row>
    <row r="813" spans="1:5" ht="15">
      <c r="A813" s="13">
        <v>66627</v>
      </c>
      <c r="B813" s="4">
        <f>97.6794 * CHOOSE(CONTROL!$C$9, $C$13, 100%, $E$13) + CHOOSE(CONTROL!$C$28, 0.0197, 0)</f>
        <v>97.699100000000001</v>
      </c>
      <c r="C813" s="4">
        <f>97.3669 * CHOOSE(CONTROL!$C$9, $C$13, 100%, $E$13) + CHOOSE(CONTROL!$C$28, 0.0197, 0)</f>
        <v>97.386600000000001</v>
      </c>
      <c r="D813" s="4">
        <f>83.688 * CHOOSE(CONTROL!$C$9, $C$13, 100%, $E$13) + CHOOSE(CONTROL!$C$28, 0, 0)</f>
        <v>83.688000000000002</v>
      </c>
      <c r="E813" s="4">
        <f>537.765409882212 * CHOOSE(CONTROL!$C$9, $C$13, 100%, $E$13) + CHOOSE(CONTROL!$C$28, 0, 0)</f>
        <v>537.765409882212</v>
      </c>
    </row>
    <row r="814" spans="1:5" ht="15">
      <c r="A814" s="13">
        <v>66657</v>
      </c>
      <c r="B814" s="4">
        <f>97.9826 * CHOOSE(CONTROL!$C$9, $C$13, 100%, $E$13) + CHOOSE(CONTROL!$C$28, 0.0197, 0)</f>
        <v>98.002300000000005</v>
      </c>
      <c r="C814" s="4">
        <f>97.6701 * CHOOSE(CONTROL!$C$9, $C$13, 100%, $E$13) + CHOOSE(CONTROL!$C$28, 0.0197, 0)</f>
        <v>97.689800000000005</v>
      </c>
      <c r="D814" s="4">
        <f>84.4495 * CHOOSE(CONTROL!$C$9, $C$13, 100%, $E$13) + CHOOSE(CONTROL!$C$28, 0, 0)</f>
        <v>84.4495</v>
      </c>
      <c r="E814" s="4">
        <f>539.466972906381 * CHOOSE(CONTROL!$C$9, $C$13, 100%, $E$13) + CHOOSE(CONTROL!$C$28, 0, 0)</f>
        <v>539.46697290638099</v>
      </c>
    </row>
    <row r="815" spans="1:5" ht="15">
      <c r="A815" s="13">
        <v>66688</v>
      </c>
      <c r="B815" s="4">
        <f>97.952 * CHOOSE(CONTROL!$C$9, $C$13, 100%, $E$13) + CHOOSE(CONTROL!$C$28, 0.0197, 0)</f>
        <v>97.971699999999998</v>
      </c>
      <c r="C815" s="4">
        <f>97.6395 * CHOOSE(CONTROL!$C$9, $C$13, 100%, $E$13) + CHOOSE(CONTROL!$C$28, 0.0197, 0)</f>
        <v>97.659199999999998</v>
      </c>
      <c r="D815" s="4">
        <f>85.8237 * CHOOSE(CONTROL!$C$9, $C$13, 100%, $E$13) + CHOOSE(CONTROL!$C$28, 0, 0)</f>
        <v>85.823700000000002</v>
      </c>
      <c r="E815" s="4">
        <f>539.29538671907 * CHOOSE(CONTROL!$C$9, $C$13, 100%, $E$13) + CHOOSE(CONTROL!$C$28, 0, 0)</f>
        <v>539.29538671907005</v>
      </c>
    </row>
    <row r="816" spans="1:5" ht="15">
      <c r="A816" s="13">
        <v>66719</v>
      </c>
      <c r="B816" s="4">
        <f>100.2523 * CHOOSE(CONTROL!$C$9, $C$13, 100%, $E$13) + CHOOSE(CONTROL!$C$28, 0.0197, 0)</f>
        <v>100.27200000000001</v>
      </c>
      <c r="C816" s="4">
        <f>99.9398 * CHOOSE(CONTROL!$C$9, $C$13, 100%, $E$13) + CHOOSE(CONTROL!$C$28, 0.0197, 0)</f>
        <v>99.959500000000006</v>
      </c>
      <c r="D816" s="4">
        <f>84.9162 * CHOOSE(CONTROL!$C$9, $C$13, 100%, $E$13) + CHOOSE(CONTROL!$C$28, 0, 0)</f>
        <v>84.916200000000003</v>
      </c>
      <c r="E816" s="4">
        <f>552.207247314237 * CHOOSE(CONTROL!$C$9, $C$13, 100%, $E$13) + CHOOSE(CONTROL!$C$28, 0, 0)</f>
        <v>552.20724731423695</v>
      </c>
    </row>
    <row r="817" spans="1:5" ht="15">
      <c r="A817" s="13">
        <v>66749</v>
      </c>
      <c r="B817" s="4">
        <f>96.3319 * CHOOSE(CONTROL!$C$9, $C$13, 100%, $E$13) + CHOOSE(CONTROL!$C$28, 0.0197, 0)</f>
        <v>96.351600000000005</v>
      </c>
      <c r="C817" s="4">
        <f>96.0194 * CHOOSE(CONTROL!$C$9, $C$13, 100%, $E$13) + CHOOSE(CONTROL!$C$28, 0.0197, 0)</f>
        <v>96.039100000000005</v>
      </c>
      <c r="D817" s="4">
        <f>84.4874 * CHOOSE(CONTROL!$C$9, $C$13, 100%, $E$13) + CHOOSE(CONTROL!$C$28, 0, 0)</f>
        <v>84.487399999999994</v>
      </c>
      <c r="E817" s="4">
        <f>530.201318791577 * CHOOSE(CONTROL!$C$9, $C$13, 100%, $E$13) + CHOOSE(CONTROL!$C$28, 0, 0)</f>
        <v>530.20131879157702</v>
      </c>
    </row>
    <row r="818" spans="1:5" ht="15">
      <c r="A818" s="13">
        <v>66780</v>
      </c>
      <c r="B818" s="4">
        <f>93.1935 * CHOOSE(CONTROL!$C$9, $C$13, 100%, $E$13) + CHOOSE(CONTROL!$C$28, 0.0003, 0)</f>
        <v>93.193799999999996</v>
      </c>
      <c r="C818" s="4">
        <f>92.881 * CHOOSE(CONTROL!$C$9, $C$13, 100%, $E$13) + CHOOSE(CONTROL!$C$28, 0.0003, 0)</f>
        <v>92.881299999999996</v>
      </c>
      <c r="D818" s="4">
        <f>83.3393 * CHOOSE(CONTROL!$C$9, $C$13, 100%, $E$13) + CHOOSE(CONTROL!$C$28, 0, 0)</f>
        <v>83.339299999999994</v>
      </c>
      <c r="E818" s="4">
        <f>512.585136894295 * CHOOSE(CONTROL!$C$9, $C$13, 100%, $E$13) + CHOOSE(CONTROL!$C$28, 0, 0)</f>
        <v>512.58513689429503</v>
      </c>
    </row>
    <row r="819" spans="1:5" ht="15">
      <c r="A819" s="13">
        <v>66810</v>
      </c>
      <c r="B819" s="4">
        <f>91.1721 * CHOOSE(CONTROL!$C$9, $C$13, 100%, $E$13) + CHOOSE(CONTROL!$C$28, 0.0003, 0)</f>
        <v>91.172399999999996</v>
      </c>
      <c r="C819" s="4">
        <f>90.8596 * CHOOSE(CONTROL!$C$9, $C$13, 100%, $E$13) + CHOOSE(CONTROL!$C$28, 0.0003, 0)</f>
        <v>90.859899999999996</v>
      </c>
      <c r="D819" s="4">
        <f>82.9446 * CHOOSE(CONTROL!$C$9, $C$13, 100%, $E$13) + CHOOSE(CONTROL!$C$28, 0, 0)</f>
        <v>82.944599999999994</v>
      </c>
      <c r="E819" s="4">
        <f>501.239000258342 * CHOOSE(CONTROL!$C$9, $C$13, 100%, $E$13) + CHOOSE(CONTROL!$C$28, 0, 0)</f>
        <v>501.239000258342</v>
      </c>
    </row>
    <row r="820" spans="1:5" ht="15">
      <c r="A820" s="13">
        <v>66841</v>
      </c>
      <c r="B820" s="4">
        <f>89.7736 * CHOOSE(CONTROL!$C$9, $C$13, 100%, $E$13) + CHOOSE(CONTROL!$C$28, 0.0003, 0)</f>
        <v>89.773899999999998</v>
      </c>
      <c r="C820" s="4">
        <f>89.4611 * CHOOSE(CONTROL!$C$9, $C$13, 100%, $E$13) + CHOOSE(CONTROL!$C$28, 0.0003, 0)</f>
        <v>89.461399999999998</v>
      </c>
      <c r="D820" s="4">
        <f>80.0387 * CHOOSE(CONTROL!$C$9, $C$13, 100%, $E$13) + CHOOSE(CONTROL!$C$28, 0, 0)</f>
        <v>80.038700000000006</v>
      </c>
      <c r="E820" s="4">
        <f>493.388932188856 * CHOOSE(CONTROL!$C$9, $C$13, 100%, $E$13) + CHOOSE(CONTROL!$C$28, 0, 0)</f>
        <v>493.38893218885602</v>
      </c>
    </row>
    <row r="821" spans="1:5" ht="15">
      <c r="A821" s="13">
        <v>66872</v>
      </c>
      <c r="B821" s="4">
        <f>87.5013 * CHOOSE(CONTROL!$C$9, $C$13, 100%, $E$13) + CHOOSE(CONTROL!$C$28, 0.0003, 0)</f>
        <v>87.501599999999996</v>
      </c>
      <c r="C821" s="4">
        <f>87.1888 * CHOOSE(CONTROL!$C$9, $C$13, 100%, $E$13) + CHOOSE(CONTROL!$C$28, 0.0003, 0)</f>
        <v>87.189099999999996</v>
      </c>
      <c r="D821" s="4">
        <f>77.368 * CHOOSE(CONTROL!$C$9, $C$13, 100%, $E$13) + CHOOSE(CONTROL!$C$28, 0, 0)</f>
        <v>77.367999999999995</v>
      </c>
      <c r="E821" s="4">
        <f>479.240417769327 * CHOOSE(CONTROL!$C$9, $C$13, 100%, $E$13) + CHOOSE(CONTROL!$C$28, 0, 0)</f>
        <v>479.240417769327</v>
      </c>
    </row>
    <row r="822" spans="1:5" ht="15">
      <c r="A822" s="13">
        <v>66900</v>
      </c>
      <c r="B822" s="4">
        <f>89.5345 * CHOOSE(CONTROL!$C$9, $C$13, 100%, $E$13) + CHOOSE(CONTROL!$C$28, 0.0003, 0)</f>
        <v>89.53479999999999</v>
      </c>
      <c r="C822" s="4">
        <f>89.222 * CHOOSE(CONTROL!$C$9, $C$13, 100%, $E$13) + CHOOSE(CONTROL!$C$28, 0.0003, 0)</f>
        <v>89.22229999999999</v>
      </c>
      <c r="D822" s="4">
        <f>80.0575 * CHOOSE(CONTROL!$C$9, $C$13, 100%, $E$13) + CHOOSE(CONTROL!$C$28, 0, 0)</f>
        <v>80.057500000000005</v>
      </c>
      <c r="E822" s="4">
        <f>490.619473930257 * CHOOSE(CONTROL!$C$9, $C$13, 100%, $E$13) + CHOOSE(CONTROL!$C$28, 0, 0)</f>
        <v>490.61947393025702</v>
      </c>
    </row>
    <row r="823" spans="1:5" ht="15">
      <c r="A823" s="13">
        <v>66931</v>
      </c>
      <c r="B823" s="4">
        <f>94.8735 * CHOOSE(CONTROL!$C$9, $C$13, 100%, $E$13) + CHOOSE(CONTROL!$C$28, 0.0003, 0)</f>
        <v>94.873800000000003</v>
      </c>
      <c r="C823" s="4">
        <f>94.561 * CHOOSE(CONTROL!$C$9, $C$13, 100%, $E$13) + CHOOSE(CONTROL!$C$28, 0.0003, 0)</f>
        <v>94.561300000000003</v>
      </c>
      <c r="D823" s="4">
        <f>84.2676 * CHOOSE(CONTROL!$C$9, $C$13, 100%, $E$13) + CHOOSE(CONTROL!$C$28, 0, 0)</f>
        <v>84.267600000000002</v>
      </c>
      <c r="E823" s="4">
        <f>520.501480128631 * CHOOSE(CONTROL!$C$9, $C$13, 100%, $E$13) + CHOOSE(CONTROL!$C$28, 0, 0)</f>
        <v>520.50148012863099</v>
      </c>
    </row>
    <row r="824" spans="1:5" ht="15">
      <c r="A824" s="13">
        <v>66961</v>
      </c>
      <c r="B824" s="4">
        <f>98.667 * CHOOSE(CONTROL!$C$9, $C$13, 100%, $E$13) + CHOOSE(CONTROL!$C$28, 0.0003, 0)</f>
        <v>98.667299999999997</v>
      </c>
      <c r="C824" s="4">
        <f>98.3545 * CHOOSE(CONTROL!$C$9, $C$13, 100%, $E$13) + CHOOSE(CONTROL!$C$28, 0.0003, 0)</f>
        <v>98.354799999999997</v>
      </c>
      <c r="D824" s="4">
        <f>86.6928 * CHOOSE(CONTROL!$C$9, $C$13, 100%, $E$13) + CHOOSE(CONTROL!$C$28, 0, 0)</f>
        <v>86.692800000000005</v>
      </c>
      <c r="E824" s="4">
        <f>541.733043762668 * CHOOSE(CONTROL!$C$9, $C$13, 100%, $E$13) + CHOOSE(CONTROL!$C$28, 0, 0)</f>
        <v>541.73304376266799</v>
      </c>
    </row>
    <row r="825" spans="1:5" ht="15">
      <c r="A825" s="13">
        <v>66992</v>
      </c>
      <c r="B825" s="4">
        <f>100.9847 * CHOOSE(CONTROL!$C$9, $C$13, 100%, $E$13) + CHOOSE(CONTROL!$C$28, 0.0197, 0)</f>
        <v>101.0044</v>
      </c>
      <c r="C825" s="4">
        <f>100.6722 * CHOOSE(CONTROL!$C$9, $C$13, 100%, $E$13) + CHOOSE(CONTROL!$C$28, 0.0197, 0)</f>
        <v>100.6919</v>
      </c>
      <c r="D825" s="4">
        <f>85.7345 * CHOOSE(CONTROL!$C$9, $C$13, 100%, $E$13) + CHOOSE(CONTROL!$C$28, 0, 0)</f>
        <v>85.734499999999997</v>
      </c>
      <c r="E825" s="4">
        <f>554.705020293502 * CHOOSE(CONTROL!$C$9, $C$13, 100%, $E$13) + CHOOSE(CONTROL!$C$28, 0, 0)</f>
        <v>554.705020293502</v>
      </c>
    </row>
    <row r="826" spans="1:5" ht="15">
      <c r="A826" s="13">
        <v>67022</v>
      </c>
      <c r="B826" s="4">
        <f>101.2983 * CHOOSE(CONTROL!$C$9, $C$13, 100%, $E$13) + CHOOSE(CONTROL!$C$28, 0.0197, 0)</f>
        <v>101.318</v>
      </c>
      <c r="C826" s="4">
        <f>100.9858 * CHOOSE(CONTROL!$C$9, $C$13, 100%, $E$13) + CHOOSE(CONTROL!$C$28, 0.0197, 0)</f>
        <v>101.0055</v>
      </c>
      <c r="D826" s="4">
        <f>86.515 * CHOOSE(CONTROL!$C$9, $C$13, 100%, $E$13) + CHOOSE(CONTROL!$C$28, 0, 0)</f>
        <v>86.515000000000001</v>
      </c>
      <c r="E826" s="4">
        <f>556.460182552932 * CHOOSE(CONTROL!$C$9, $C$13, 100%, $E$13) + CHOOSE(CONTROL!$C$28, 0, 0)</f>
        <v>556.460182552932</v>
      </c>
    </row>
    <row r="827" spans="1:5" ht="15">
      <c r="A827" s="13">
        <v>67053</v>
      </c>
      <c r="B827" s="4">
        <f>101.2667 * CHOOSE(CONTROL!$C$9, $C$13, 100%, $E$13) + CHOOSE(CONTROL!$C$28, 0.0197, 0)</f>
        <v>101.2864</v>
      </c>
      <c r="C827" s="4">
        <f>100.9542 * CHOOSE(CONTROL!$C$9, $C$13, 100%, $E$13) + CHOOSE(CONTROL!$C$28, 0.0197, 0)</f>
        <v>100.9739</v>
      </c>
      <c r="D827" s="4">
        <f>87.9233 * CHOOSE(CONTROL!$C$9, $C$13, 100%, $E$13) + CHOOSE(CONTROL!$C$28, 0, 0)</f>
        <v>87.923299999999998</v>
      </c>
      <c r="E827" s="4">
        <f>556.283191400721 * CHOOSE(CONTROL!$C$9, $C$13, 100%, $E$13) + CHOOSE(CONTROL!$C$28, 0, 0)</f>
        <v>556.28319140072097</v>
      </c>
    </row>
    <row r="828" spans="1:5" ht="15">
      <c r="A828" s="13">
        <v>67084</v>
      </c>
      <c r="B828" s="4">
        <f>103.6463 * CHOOSE(CONTROL!$C$9, $C$13, 100%, $E$13) + CHOOSE(CONTROL!$C$28, 0.0197, 0)</f>
        <v>103.666</v>
      </c>
      <c r="C828" s="4">
        <f>103.3338 * CHOOSE(CONTROL!$C$9, $C$13, 100%, $E$13) + CHOOSE(CONTROL!$C$28, 0.0197, 0)</f>
        <v>103.3535</v>
      </c>
      <c r="D828" s="4">
        <f>86.9932 * CHOOSE(CONTROL!$C$9, $C$13, 100%, $E$13) + CHOOSE(CONTROL!$C$28, 0, 0)</f>
        <v>86.993200000000002</v>
      </c>
      <c r="E828" s="4">
        <f>569.601775604636 * CHOOSE(CONTROL!$C$9, $C$13, 100%, $E$13) + CHOOSE(CONTROL!$C$28, 0, 0)</f>
        <v>569.60177560463603</v>
      </c>
    </row>
    <row r="829" spans="1:5" ht="15">
      <c r="A829" s="13">
        <v>67114</v>
      </c>
      <c r="B829" s="4">
        <f>99.5906 * CHOOSE(CONTROL!$C$9, $C$13, 100%, $E$13) + CHOOSE(CONTROL!$C$28, 0.0197, 0)</f>
        <v>99.610299999999995</v>
      </c>
      <c r="C829" s="4">
        <f>99.2781 * CHOOSE(CONTROL!$C$9, $C$13, 100%, $E$13) + CHOOSE(CONTROL!$C$28, 0.0197, 0)</f>
        <v>99.297799999999995</v>
      </c>
      <c r="D829" s="4">
        <f>86.5538 * CHOOSE(CONTROL!$C$9, $C$13, 100%, $E$13) + CHOOSE(CONTROL!$C$28, 0, 0)</f>
        <v>86.553799999999995</v>
      </c>
      <c r="E829" s="4">
        <f>546.902660333512 * CHOOSE(CONTROL!$C$9, $C$13, 100%, $E$13) + CHOOSE(CONTROL!$C$28, 0, 0)</f>
        <v>546.90266033351202</v>
      </c>
    </row>
    <row r="830" spans="1:5" ht="15">
      <c r="A830" s="13">
        <v>67145</v>
      </c>
      <c r="B830" s="4">
        <f>96.344 * CHOOSE(CONTROL!$C$9, $C$13, 100%, $E$13) + CHOOSE(CONTROL!$C$28, 0.0003, 0)</f>
        <v>96.34429999999999</v>
      </c>
      <c r="C830" s="4">
        <f>96.0315 * CHOOSE(CONTROL!$C$9, $C$13, 100%, $E$13) + CHOOSE(CONTROL!$C$28, 0.0003, 0)</f>
        <v>96.03179999999999</v>
      </c>
      <c r="D830" s="4">
        <f>85.3773 * CHOOSE(CONTROL!$C$9, $C$13, 100%, $E$13) + CHOOSE(CONTROL!$C$28, 0, 0)</f>
        <v>85.377300000000005</v>
      </c>
      <c r="E830" s="4">
        <f>528.731568706465 * CHOOSE(CONTROL!$C$9, $C$13, 100%, $E$13) + CHOOSE(CONTROL!$C$28, 0, 0)</f>
        <v>528.73156870646505</v>
      </c>
    </row>
    <row r="831" spans="1:5" ht="15">
      <c r="A831" s="13">
        <v>67175</v>
      </c>
      <c r="B831" s="4">
        <f>94.2529 * CHOOSE(CONTROL!$C$9, $C$13, 100%, $E$13) + CHOOSE(CONTROL!$C$28, 0.0003, 0)</f>
        <v>94.253199999999993</v>
      </c>
      <c r="C831" s="4">
        <f>93.9404 * CHOOSE(CONTROL!$C$9, $C$13, 100%, $E$13) + CHOOSE(CONTROL!$C$28, 0.0003, 0)</f>
        <v>93.940699999999993</v>
      </c>
      <c r="D831" s="4">
        <f>84.9728 * CHOOSE(CONTROL!$C$9, $C$13, 100%, $E$13) + CHOOSE(CONTROL!$C$28, 0, 0)</f>
        <v>84.972800000000007</v>
      </c>
      <c r="E831" s="4">
        <f>517.02802876648 * CHOOSE(CONTROL!$C$9, $C$13, 100%, $E$13) + CHOOSE(CONTROL!$C$28, 0, 0)</f>
        <v>517.02802876648002</v>
      </c>
    </row>
    <row r="832" spans="1:5" ht="15">
      <c r="A832" s="13">
        <v>67206</v>
      </c>
      <c r="B832" s="4">
        <f>92.8061 * CHOOSE(CONTROL!$C$9, $C$13, 100%, $E$13) + CHOOSE(CONTROL!$C$28, 0.0003, 0)</f>
        <v>92.806399999999996</v>
      </c>
      <c r="C832" s="4">
        <f>92.4936 * CHOOSE(CONTROL!$C$9, $C$13, 100%, $E$13) + CHOOSE(CONTROL!$C$28, 0.0003, 0)</f>
        <v>92.493899999999996</v>
      </c>
      <c r="D832" s="4">
        <f>81.9948 * CHOOSE(CONTROL!$C$9, $C$13, 100%, $E$13) + CHOOSE(CONTROL!$C$28, 0, 0)</f>
        <v>81.994799999999998</v>
      </c>
      <c r="E832" s="4">
        <f>508.930683552805 * CHOOSE(CONTROL!$C$9, $C$13, 100%, $E$13) + CHOOSE(CONTROL!$C$28, 0, 0)</f>
        <v>508.93068355280502</v>
      </c>
    </row>
    <row r="833" spans="1:5" ht="15">
      <c r="A833" s="13">
        <v>67237</v>
      </c>
      <c r="B833" s="4">
        <f>90.4555 * CHOOSE(CONTROL!$C$9, $C$13, 100%, $E$13) + CHOOSE(CONTROL!$C$28, 0.0003, 0)</f>
        <v>90.455799999999996</v>
      </c>
      <c r="C833" s="4">
        <f>90.143 * CHOOSE(CONTROL!$C$9, $C$13, 100%, $E$13) + CHOOSE(CONTROL!$C$28, 0.0003, 0)</f>
        <v>90.143299999999996</v>
      </c>
      <c r="D833" s="4">
        <f>79.2578 * CHOOSE(CONTROL!$C$9, $C$13, 100%, $E$13) + CHOOSE(CONTROL!$C$28, 0, 0)</f>
        <v>79.257800000000003</v>
      </c>
      <c r="E833" s="4">
        <f>494.33649092906 * CHOOSE(CONTROL!$C$9, $C$13, 100%, $E$13) + CHOOSE(CONTROL!$C$28, 0, 0)</f>
        <v>494.33649092906001</v>
      </c>
    </row>
    <row r="834" spans="1:5" ht="15">
      <c r="A834" s="13">
        <v>67266</v>
      </c>
      <c r="B834" s="4">
        <f>92.5587 * CHOOSE(CONTROL!$C$9, $C$13, 100%, $E$13) + CHOOSE(CONTROL!$C$28, 0.0003, 0)</f>
        <v>92.558999999999997</v>
      </c>
      <c r="C834" s="4">
        <f>92.2462 * CHOOSE(CONTROL!$C$9, $C$13, 100%, $E$13) + CHOOSE(CONTROL!$C$28, 0.0003, 0)</f>
        <v>92.246499999999997</v>
      </c>
      <c r="D834" s="4">
        <f>82.014 * CHOOSE(CONTROL!$C$9, $C$13, 100%, $E$13) + CHOOSE(CONTROL!$C$28, 0, 0)</f>
        <v>82.013999999999996</v>
      </c>
      <c r="E834" s="4">
        <f>506.07398735906 * CHOOSE(CONTROL!$C$9, $C$13, 100%, $E$13) + CHOOSE(CONTROL!$C$28, 0, 0)</f>
        <v>506.07398735906003</v>
      </c>
    </row>
    <row r="835" spans="1:5" ht="15">
      <c r="A835" s="13">
        <v>67297</v>
      </c>
      <c r="B835" s="4">
        <f>98.082 * CHOOSE(CONTROL!$C$9, $C$13, 100%, $E$13) + CHOOSE(CONTROL!$C$28, 0.0003, 0)</f>
        <v>98.082299999999989</v>
      </c>
      <c r="C835" s="4">
        <f>97.7695 * CHOOSE(CONTROL!$C$9, $C$13, 100%, $E$13) + CHOOSE(CONTROL!$C$28, 0.0003, 0)</f>
        <v>97.769799999999989</v>
      </c>
      <c r="D835" s="4">
        <f>86.3286 * CHOOSE(CONTROL!$C$9, $C$13, 100%, $E$13) + CHOOSE(CONTROL!$C$28, 0, 0)</f>
        <v>86.328599999999994</v>
      </c>
      <c r="E835" s="4">
        <f>536.897276752683 * CHOOSE(CONTROL!$C$9, $C$13, 100%, $E$13) + CHOOSE(CONTROL!$C$28, 0, 0)</f>
        <v>536.89727675268296</v>
      </c>
    </row>
    <row r="836" spans="1:5" ht="15">
      <c r="A836" s="13">
        <v>67327</v>
      </c>
      <c r="B836" s="4">
        <f>102.0063 * CHOOSE(CONTROL!$C$9, $C$13, 100%, $E$13) + CHOOSE(CONTROL!$C$28, 0.0003, 0)</f>
        <v>102.00659999999999</v>
      </c>
      <c r="C836" s="4">
        <f>101.6938 * CHOOSE(CONTROL!$C$9, $C$13, 100%, $E$13) + CHOOSE(CONTROL!$C$28, 0.0003, 0)</f>
        <v>101.69409999999999</v>
      </c>
      <c r="D836" s="4">
        <f>88.8139 * CHOOSE(CONTROL!$C$9, $C$13, 100%, $E$13) + CHOOSE(CONTROL!$C$28, 0, 0)</f>
        <v>88.813900000000004</v>
      </c>
      <c r="E836" s="4">
        <f>558.797634641192 * CHOOSE(CONTROL!$C$9, $C$13, 100%, $E$13) + CHOOSE(CONTROL!$C$28, 0, 0)</f>
        <v>558.79763464119196</v>
      </c>
    </row>
    <row r="837" spans="1:5" ht="15">
      <c r="A837" s="13">
        <v>67358</v>
      </c>
      <c r="B837" s="4">
        <f>104.404 * CHOOSE(CONTROL!$C$9, $C$13, 100%, $E$13) + CHOOSE(CONTROL!$C$28, 0.0197, 0)</f>
        <v>104.4237</v>
      </c>
      <c r="C837" s="4">
        <f>104.0915 * CHOOSE(CONTROL!$C$9, $C$13, 100%, $E$13) + CHOOSE(CONTROL!$C$28, 0.0197, 0)</f>
        <v>104.1112</v>
      </c>
      <c r="D837" s="4">
        <f>87.8318 * CHOOSE(CONTROL!$C$9, $C$13, 100%, $E$13) + CHOOSE(CONTROL!$C$28, 0, 0)</f>
        <v>87.831800000000001</v>
      </c>
      <c r="E837" s="4">
        <f>572.178228432747 * CHOOSE(CONTROL!$C$9, $C$13, 100%, $E$13) + CHOOSE(CONTROL!$C$28, 0, 0)</f>
        <v>572.17822843274701</v>
      </c>
    </row>
    <row r="838" spans="1:5" ht="15">
      <c r="A838" s="13">
        <v>67388</v>
      </c>
      <c r="B838" s="4">
        <f>104.7284 * CHOOSE(CONTROL!$C$9, $C$13, 100%, $E$13) + CHOOSE(CONTROL!$C$28, 0.0197, 0)</f>
        <v>104.74809999999999</v>
      </c>
      <c r="C838" s="4">
        <f>104.4159 * CHOOSE(CONTROL!$C$9, $C$13, 100%, $E$13) + CHOOSE(CONTROL!$C$28, 0.0197, 0)</f>
        <v>104.43559999999999</v>
      </c>
      <c r="D838" s="4">
        <f>88.6317 * CHOOSE(CONTROL!$C$9, $C$13, 100%, $E$13) + CHOOSE(CONTROL!$C$28, 0, 0)</f>
        <v>88.631699999999995</v>
      </c>
      <c r="E838" s="4">
        <f>573.98867830335 * CHOOSE(CONTROL!$C$9, $C$13, 100%, $E$13) + CHOOSE(CONTROL!$C$28, 0, 0)</f>
        <v>573.98867830334996</v>
      </c>
    </row>
    <row r="839" spans="1:5" ht="15">
      <c r="A839" s="13">
        <v>67419</v>
      </c>
      <c r="B839" s="4">
        <f>104.6957 * CHOOSE(CONTROL!$C$9, $C$13, 100%, $E$13) + CHOOSE(CONTROL!$C$28, 0.0197, 0)</f>
        <v>104.7154</v>
      </c>
      <c r="C839" s="4">
        <f>104.3832 * CHOOSE(CONTROL!$C$9, $C$13, 100%, $E$13) + CHOOSE(CONTROL!$C$28, 0.0197, 0)</f>
        <v>104.4029</v>
      </c>
      <c r="D839" s="4">
        <f>90.0749 * CHOOSE(CONTROL!$C$9, $C$13, 100%, $E$13) + CHOOSE(CONTROL!$C$28, 0, 0)</f>
        <v>90.0749</v>
      </c>
      <c r="E839" s="4">
        <f>573.806111929844 * CHOOSE(CONTROL!$C$9, $C$13, 100%, $E$13) + CHOOSE(CONTROL!$C$28, 0, 0)</f>
        <v>573.80611192984395</v>
      </c>
    </row>
    <row r="840" spans="1:5" ht="15">
      <c r="A840" s="13">
        <v>67450</v>
      </c>
      <c r="B840" s="4">
        <f>107.1574 * CHOOSE(CONTROL!$C$9, $C$13, 100%, $E$13) + CHOOSE(CONTROL!$C$28, 0.0197, 0)</f>
        <v>107.1771</v>
      </c>
      <c r="C840" s="4">
        <f>106.8449 * CHOOSE(CONTROL!$C$9, $C$13, 100%, $E$13) + CHOOSE(CONTROL!$C$28, 0.0197, 0)</f>
        <v>106.8646</v>
      </c>
      <c r="D840" s="4">
        <f>89.1218 * CHOOSE(CONTROL!$C$9, $C$13, 100%, $E$13) + CHOOSE(CONTROL!$C$28, 0, 0)</f>
        <v>89.121799999999993</v>
      </c>
      <c r="E840" s="4">
        <f>587.544231536182 * CHOOSE(CONTROL!$C$9, $C$13, 100%, $E$13) + CHOOSE(CONTROL!$C$28, 0, 0)</f>
        <v>587.544231536182</v>
      </c>
    </row>
    <row r="841" spans="1:5" ht="15">
      <c r="A841" s="13">
        <v>67480</v>
      </c>
      <c r="B841" s="4">
        <f>102.9618 * CHOOSE(CONTROL!$C$9, $C$13, 100%, $E$13) + CHOOSE(CONTROL!$C$28, 0.0197, 0)</f>
        <v>102.9815</v>
      </c>
      <c r="C841" s="4">
        <f>102.6493 * CHOOSE(CONTROL!$C$9, $C$13, 100%, $E$13) + CHOOSE(CONTROL!$C$28, 0.0197, 0)</f>
        <v>102.669</v>
      </c>
      <c r="D841" s="4">
        <f>88.6715 * CHOOSE(CONTROL!$C$9, $C$13, 100%, $E$13) + CHOOSE(CONTROL!$C$28, 0, 0)</f>
        <v>88.671499999999995</v>
      </c>
      <c r="E841" s="4">
        <f>564.130094134018 * CHOOSE(CONTROL!$C$9, $C$13, 100%, $E$13) + CHOOSE(CONTROL!$C$28, 0, 0)</f>
        <v>564.13009413401801</v>
      </c>
    </row>
    <row r="842" spans="1:5" ht="15">
      <c r="A842" s="13">
        <v>67511</v>
      </c>
      <c r="B842" s="4">
        <f>99.6032 * CHOOSE(CONTROL!$C$9, $C$13, 100%, $E$13) + CHOOSE(CONTROL!$C$28, 0.0003, 0)</f>
        <v>99.603499999999997</v>
      </c>
      <c r="C842" s="4">
        <f>99.2907 * CHOOSE(CONTROL!$C$9, $C$13, 100%, $E$13) + CHOOSE(CONTROL!$C$28, 0.0003, 0)</f>
        <v>99.290999999999997</v>
      </c>
      <c r="D842" s="4">
        <f>87.4657 * CHOOSE(CONTROL!$C$9, $C$13, 100%, $E$13) + CHOOSE(CONTROL!$C$28, 0, 0)</f>
        <v>87.465699999999998</v>
      </c>
      <c r="E842" s="4">
        <f>545.386613120719 * CHOOSE(CONTROL!$C$9, $C$13, 100%, $E$13) + CHOOSE(CONTROL!$C$28, 0, 0)</f>
        <v>545.38661312071895</v>
      </c>
    </row>
    <row r="843" spans="1:5" ht="15">
      <c r="A843" s="13">
        <v>67541</v>
      </c>
      <c r="B843" s="4">
        <f>97.4399 * CHOOSE(CONTROL!$C$9, $C$13, 100%, $E$13) + CHOOSE(CONTROL!$C$28, 0.0003, 0)</f>
        <v>97.44019999999999</v>
      </c>
      <c r="C843" s="4">
        <f>97.1274 * CHOOSE(CONTROL!$C$9, $C$13, 100%, $E$13) + CHOOSE(CONTROL!$C$28, 0.0003, 0)</f>
        <v>97.12769999999999</v>
      </c>
      <c r="D843" s="4">
        <f>87.0512 * CHOOSE(CONTROL!$C$9, $C$13, 100%, $E$13) + CHOOSE(CONTROL!$C$28, 0, 0)</f>
        <v>87.051199999999994</v>
      </c>
      <c r="E843" s="4">
        <f>533.314411672624 * CHOOSE(CONTROL!$C$9, $C$13, 100%, $E$13) + CHOOSE(CONTROL!$C$28, 0, 0)</f>
        <v>533.31441167262403</v>
      </c>
    </row>
    <row r="844" spans="1:5" ht="15">
      <c r="A844" s="13">
        <v>67572</v>
      </c>
      <c r="B844" s="4">
        <f>95.9433 * CHOOSE(CONTROL!$C$9, $C$13, 100%, $E$13) + CHOOSE(CONTROL!$C$28, 0.0003, 0)</f>
        <v>95.943599999999989</v>
      </c>
      <c r="C844" s="4">
        <f>95.6308 * CHOOSE(CONTROL!$C$9, $C$13, 100%, $E$13) + CHOOSE(CONTROL!$C$28, 0.0003, 0)</f>
        <v>95.631099999999989</v>
      </c>
      <c r="D844" s="4">
        <f>83.9994 * CHOOSE(CONTROL!$C$9, $C$13, 100%, $E$13) + CHOOSE(CONTROL!$C$28, 0, 0)</f>
        <v>83.999399999999994</v>
      </c>
      <c r="E844" s="4">
        <f>524.962000084718 * CHOOSE(CONTROL!$C$9, $C$13, 100%, $E$13) + CHOOSE(CONTROL!$C$28, 0, 0)</f>
        <v>524.96200008471806</v>
      </c>
    </row>
    <row r="845" spans="1:5" ht="15">
      <c r="A845" s="13">
        <v>67603</v>
      </c>
      <c r="B845" s="4">
        <f>93.5115 * CHOOSE(CONTROL!$C$9, $C$13, 100%, $E$13) + CHOOSE(CONTROL!$C$28, 0.0003, 0)</f>
        <v>93.511799999999994</v>
      </c>
      <c r="C845" s="4">
        <f>93.199 * CHOOSE(CONTROL!$C$9, $C$13, 100%, $E$13) + CHOOSE(CONTROL!$C$28, 0.0003, 0)</f>
        <v>93.199299999999994</v>
      </c>
      <c r="D845" s="4">
        <f>81.1945 * CHOOSE(CONTROL!$C$9, $C$13, 100%, $E$13) + CHOOSE(CONTROL!$C$28, 0, 0)</f>
        <v>81.194500000000005</v>
      </c>
      <c r="E845" s="4">
        <f>509.908090393326 * CHOOSE(CONTROL!$C$9, $C$13, 100%, $E$13) + CHOOSE(CONTROL!$C$28, 0, 0)</f>
        <v>509.90809039332601</v>
      </c>
    </row>
    <row r="846" spans="1:5" ht="15">
      <c r="A846" s="13">
        <v>67631</v>
      </c>
      <c r="B846" s="4">
        <f>95.6873 * CHOOSE(CONTROL!$C$9, $C$13, 100%, $E$13) + CHOOSE(CONTROL!$C$28, 0.0003, 0)</f>
        <v>95.687599999999989</v>
      </c>
      <c r="C846" s="4">
        <f>95.3748 * CHOOSE(CONTROL!$C$9, $C$13, 100%, $E$13) + CHOOSE(CONTROL!$C$28, 0.0003, 0)</f>
        <v>95.375099999999989</v>
      </c>
      <c r="D846" s="4">
        <f>84.019 * CHOOSE(CONTROL!$C$9, $C$13, 100%, $E$13) + CHOOSE(CONTROL!$C$28, 0, 0)</f>
        <v>84.019000000000005</v>
      </c>
      <c r="E846" s="4">
        <f>522.015317960871 * CHOOSE(CONTROL!$C$9, $C$13, 100%, $E$13) + CHOOSE(CONTROL!$C$28, 0, 0)</f>
        <v>522.01531796087102</v>
      </c>
    </row>
    <row r="847" spans="1:5" ht="15">
      <c r="A847" s="13">
        <v>67662</v>
      </c>
      <c r="B847" s="4">
        <f>101.4011 * CHOOSE(CONTROL!$C$9, $C$13, 100%, $E$13) + CHOOSE(CONTROL!$C$28, 0.0003, 0)</f>
        <v>101.4014</v>
      </c>
      <c r="C847" s="4">
        <f>101.0886 * CHOOSE(CONTROL!$C$9, $C$13, 100%, $E$13) + CHOOSE(CONTROL!$C$28, 0.0003, 0)</f>
        <v>101.0889</v>
      </c>
      <c r="D847" s="4">
        <f>88.4406 * CHOOSE(CONTROL!$C$9, $C$13, 100%, $E$13) + CHOOSE(CONTROL!$C$28, 0, 0)</f>
        <v>88.440600000000003</v>
      </c>
      <c r="E847" s="4">
        <f>553.809540970392 * CHOOSE(CONTROL!$C$9, $C$13, 100%, $E$13) + CHOOSE(CONTROL!$C$28, 0, 0)</f>
        <v>553.80954097039205</v>
      </c>
    </row>
    <row r="848" spans="1:5" ht="15">
      <c r="A848" s="13">
        <v>67692</v>
      </c>
      <c r="B848" s="4">
        <f>105.4608 * CHOOSE(CONTROL!$C$9, $C$13, 100%, $E$13) + CHOOSE(CONTROL!$C$28, 0.0003, 0)</f>
        <v>105.4611</v>
      </c>
      <c r="C848" s="4">
        <f>105.1483 * CHOOSE(CONTROL!$C$9, $C$13, 100%, $E$13) + CHOOSE(CONTROL!$C$28, 0.0003, 0)</f>
        <v>105.1486</v>
      </c>
      <c r="D848" s="4">
        <f>90.9876 * CHOOSE(CONTROL!$C$9, $C$13, 100%, $E$13) + CHOOSE(CONTROL!$C$28, 0, 0)</f>
        <v>90.9876</v>
      </c>
      <c r="E848" s="4">
        <f>576.39976013239 * CHOOSE(CONTROL!$C$9, $C$13, 100%, $E$13) + CHOOSE(CONTROL!$C$28, 0, 0)</f>
        <v>576.39976013239004</v>
      </c>
    </row>
    <row r="849" spans="1:5" ht="15">
      <c r="A849" s="13">
        <v>67723</v>
      </c>
      <c r="B849" s="4">
        <f>107.9412 * CHOOSE(CONTROL!$C$9, $C$13, 100%, $E$13) + CHOOSE(CONTROL!$C$28, 0.0197, 0)</f>
        <v>107.9609</v>
      </c>
      <c r="C849" s="4">
        <f>107.6287 * CHOOSE(CONTROL!$C$9, $C$13, 100%, $E$13) + CHOOSE(CONTROL!$C$28, 0.0197, 0)</f>
        <v>107.6484</v>
      </c>
      <c r="D849" s="4">
        <f>89.9812 * CHOOSE(CONTROL!$C$9, $C$13, 100%, $E$13) + CHOOSE(CONTROL!$C$28, 0, 0)</f>
        <v>89.981200000000001</v>
      </c>
      <c r="E849" s="4">
        <f>590.201842628379 * CHOOSE(CONTROL!$C$9, $C$13, 100%, $E$13) + CHOOSE(CONTROL!$C$28, 0, 0)</f>
        <v>590.20184262837904</v>
      </c>
    </row>
    <row r="850" spans="1:5" ht="15">
      <c r="A850" s="13">
        <v>67753</v>
      </c>
      <c r="B850" s="4">
        <f>108.2768 * CHOOSE(CONTROL!$C$9, $C$13, 100%, $E$13) + CHOOSE(CONTROL!$C$28, 0.0197, 0)</f>
        <v>108.29649999999999</v>
      </c>
      <c r="C850" s="4">
        <f>107.9643 * CHOOSE(CONTROL!$C$9, $C$13, 100%, $E$13) + CHOOSE(CONTROL!$C$28, 0.0197, 0)</f>
        <v>107.98399999999999</v>
      </c>
      <c r="D850" s="4">
        <f>90.8008 * CHOOSE(CONTROL!$C$9, $C$13, 100%, $E$13) + CHOOSE(CONTROL!$C$28, 0, 0)</f>
        <v>90.800799999999995</v>
      </c>
      <c r="E850" s="4">
        <f>592.069321669905 * CHOOSE(CONTROL!$C$9, $C$13, 100%, $E$13) + CHOOSE(CONTROL!$C$28, 0, 0)</f>
        <v>592.06932166990498</v>
      </c>
    </row>
    <row r="851" spans="1:5" ht="15">
      <c r="A851" s="13">
        <v>67784</v>
      </c>
      <c r="B851" s="4">
        <f>108.243 * CHOOSE(CONTROL!$C$9, $C$13, 100%, $E$13) + CHOOSE(CONTROL!$C$28, 0.0197, 0)</f>
        <v>108.2627</v>
      </c>
      <c r="C851" s="4">
        <f>107.9305 * CHOOSE(CONTROL!$C$9, $C$13, 100%, $E$13) + CHOOSE(CONTROL!$C$28, 0.0197, 0)</f>
        <v>107.9502</v>
      </c>
      <c r="D851" s="4">
        <f>92.2798 * CHOOSE(CONTROL!$C$9, $C$13, 100%, $E$13) + CHOOSE(CONTROL!$C$28, 0, 0)</f>
        <v>92.279799999999994</v>
      </c>
      <c r="E851" s="4">
        <f>591.881004455634 * CHOOSE(CONTROL!$C$9, $C$13, 100%, $E$13) + CHOOSE(CONTROL!$C$28, 0, 0)</f>
        <v>591.88100445563396</v>
      </c>
    </row>
    <row r="852" spans="1:5" ht="15">
      <c r="A852" s="13">
        <v>67815</v>
      </c>
      <c r="B852" s="4">
        <f>110.7897 * CHOOSE(CONTROL!$C$9, $C$13, 100%, $E$13) + CHOOSE(CONTROL!$C$28, 0.0197, 0)</f>
        <v>110.8094</v>
      </c>
      <c r="C852" s="4">
        <f>110.4772 * CHOOSE(CONTROL!$C$9, $C$13, 100%, $E$13) + CHOOSE(CONTROL!$C$28, 0.0197, 0)</f>
        <v>110.4969</v>
      </c>
      <c r="D852" s="4">
        <f>91.3031 * CHOOSE(CONTROL!$C$9, $C$13, 100%, $E$13) + CHOOSE(CONTROL!$C$28, 0, 0)</f>
        <v>91.303100000000001</v>
      </c>
      <c r="E852" s="4">
        <f>606.051874829572 * CHOOSE(CONTROL!$C$9, $C$13, 100%, $E$13) + CHOOSE(CONTROL!$C$28, 0, 0)</f>
        <v>606.05187482957194</v>
      </c>
    </row>
    <row r="853" spans="1:5" ht="15">
      <c r="A853" s="13">
        <v>67845</v>
      </c>
      <c r="B853" s="4">
        <f>106.4493 * CHOOSE(CONTROL!$C$9, $C$13, 100%, $E$13) + CHOOSE(CONTROL!$C$28, 0.0197, 0)</f>
        <v>106.46899999999999</v>
      </c>
      <c r="C853" s="4">
        <f>106.1368 * CHOOSE(CONTROL!$C$9, $C$13, 100%, $E$13) + CHOOSE(CONTROL!$C$28, 0.0197, 0)</f>
        <v>106.15649999999999</v>
      </c>
      <c r="D853" s="4">
        <f>90.8416 * CHOOSE(CONTROL!$C$9, $C$13, 100%, $E$13) + CHOOSE(CONTROL!$C$28, 0, 0)</f>
        <v>90.8416</v>
      </c>
      <c r="E853" s="4">
        <f>581.900192099239 * CHOOSE(CONTROL!$C$9, $C$13, 100%, $E$13) + CHOOSE(CONTROL!$C$28, 0, 0)</f>
        <v>581.90019209923901</v>
      </c>
    </row>
    <row r="854" spans="1:5" ht="15">
      <c r="A854" s="13">
        <v>67876</v>
      </c>
      <c r="B854" s="4">
        <f>102.9748 * CHOOSE(CONTROL!$C$9, $C$13, 100%, $E$13) + CHOOSE(CONTROL!$C$28, 0.0003, 0)</f>
        <v>102.9751</v>
      </c>
      <c r="C854" s="4">
        <f>102.6623 * CHOOSE(CONTROL!$C$9, $C$13, 100%, $E$13) + CHOOSE(CONTROL!$C$28, 0.0003, 0)</f>
        <v>102.6626</v>
      </c>
      <c r="D854" s="4">
        <f>89.606 * CHOOSE(CONTROL!$C$9, $C$13, 100%, $E$13) + CHOOSE(CONTROL!$C$28, 0, 0)</f>
        <v>89.605999999999995</v>
      </c>
      <c r="E854" s="4">
        <f>562.566291434022 * CHOOSE(CONTROL!$C$9, $C$13, 100%, $E$13) + CHOOSE(CONTROL!$C$28, 0, 0)</f>
        <v>562.56629143402199</v>
      </c>
    </row>
    <row r="855" spans="1:5" ht="15">
      <c r="A855" s="13">
        <v>67906</v>
      </c>
      <c r="B855" s="4">
        <f>100.7369 * CHOOSE(CONTROL!$C$9, $C$13, 100%, $E$13) + CHOOSE(CONTROL!$C$28, 0.0003, 0)</f>
        <v>100.7372</v>
      </c>
      <c r="C855" s="4">
        <f>100.4244 * CHOOSE(CONTROL!$C$9, $C$13, 100%, $E$13) + CHOOSE(CONTROL!$C$28, 0.0003, 0)</f>
        <v>100.4247</v>
      </c>
      <c r="D855" s="4">
        <f>89.1811 * CHOOSE(CONTROL!$C$9, $C$13, 100%, $E$13) + CHOOSE(CONTROL!$C$28, 0, 0)</f>
        <v>89.181100000000001</v>
      </c>
      <c r="E855" s="4">
        <f>550.113815640312 * CHOOSE(CONTROL!$C$9, $C$13, 100%, $E$13) + CHOOSE(CONTROL!$C$28, 0, 0)</f>
        <v>550.11381564031205</v>
      </c>
    </row>
    <row r="856" spans="1:5" ht="15">
      <c r="A856" s="13">
        <v>67937</v>
      </c>
      <c r="B856" s="4">
        <f>99.1886 * CHOOSE(CONTROL!$C$9, $C$13, 100%, $E$13) + CHOOSE(CONTROL!$C$28, 0.0003, 0)</f>
        <v>99.18889999999999</v>
      </c>
      <c r="C856" s="4">
        <f>98.8761 * CHOOSE(CONTROL!$C$9, $C$13, 100%, $E$13) + CHOOSE(CONTROL!$C$28, 0.0003, 0)</f>
        <v>98.87639999999999</v>
      </c>
      <c r="D856" s="4">
        <f>86.0536 * CHOOSE(CONTROL!$C$9, $C$13, 100%, $E$13) + CHOOSE(CONTROL!$C$28, 0, 0)</f>
        <v>86.053600000000003</v>
      </c>
      <c r="E856" s="4">
        <f>541.498303087387 * CHOOSE(CONTROL!$C$9, $C$13, 100%, $E$13) + CHOOSE(CONTROL!$C$28, 0, 0)</f>
        <v>541.49830308738694</v>
      </c>
    </row>
    <row r="857" spans="1:5" ht="15">
      <c r="A857" s="13">
        <v>67968</v>
      </c>
      <c r="B857" s="4">
        <f>96.6729 * CHOOSE(CONTROL!$C$9, $C$13, 100%, $E$13) + CHOOSE(CONTROL!$C$28, 0.0003, 0)</f>
        <v>96.673199999999994</v>
      </c>
      <c r="C857" s="4">
        <f>96.3604 * CHOOSE(CONTROL!$C$9, $C$13, 100%, $E$13) + CHOOSE(CONTROL!$C$28, 0.0003, 0)</f>
        <v>96.360699999999994</v>
      </c>
      <c r="D857" s="4">
        <f>83.1792 * CHOOSE(CONTROL!$C$9, $C$13, 100%, $E$13) + CHOOSE(CONTROL!$C$28, 0, 0)</f>
        <v>83.179199999999994</v>
      </c>
      <c r="E857" s="4">
        <f>525.970195240716 * CHOOSE(CONTROL!$C$9, $C$13, 100%, $E$13) + CHOOSE(CONTROL!$C$28, 0, 0)</f>
        <v>525.97019524071595</v>
      </c>
    </row>
    <row r="858" spans="1:5" ht="15">
      <c r="A858" s="13">
        <v>67996</v>
      </c>
      <c r="B858" s="4">
        <f>98.9238 * CHOOSE(CONTROL!$C$9, $C$13, 100%, $E$13) + CHOOSE(CONTROL!$C$28, 0.0003, 0)</f>
        <v>98.924099999999996</v>
      </c>
      <c r="C858" s="4">
        <f>98.6113 * CHOOSE(CONTROL!$C$9, $C$13, 100%, $E$13) + CHOOSE(CONTROL!$C$28, 0.0003, 0)</f>
        <v>98.611599999999996</v>
      </c>
      <c r="D858" s="4">
        <f>86.0738 * CHOOSE(CONTROL!$C$9, $C$13, 100%, $E$13) + CHOOSE(CONTROL!$C$28, 0, 0)</f>
        <v>86.073800000000006</v>
      </c>
      <c r="E858" s="4">
        <f>538.458800476638 * CHOOSE(CONTROL!$C$9, $C$13, 100%, $E$13) + CHOOSE(CONTROL!$C$28, 0, 0)</f>
        <v>538.45880047663798</v>
      </c>
    </row>
    <row r="859" spans="1:5" ht="15">
      <c r="A859" s="13">
        <v>68027</v>
      </c>
      <c r="B859" s="4">
        <f>104.8347 * CHOOSE(CONTROL!$C$9, $C$13, 100%, $E$13) + CHOOSE(CONTROL!$C$28, 0.0003, 0)</f>
        <v>104.83499999999999</v>
      </c>
      <c r="C859" s="4">
        <f>104.5222 * CHOOSE(CONTROL!$C$9, $C$13, 100%, $E$13) + CHOOSE(CONTROL!$C$28, 0.0003, 0)</f>
        <v>104.52249999999999</v>
      </c>
      <c r="D859" s="4">
        <f>90.605 * CHOOSE(CONTROL!$C$9, $C$13, 100%, $E$13) + CHOOSE(CONTROL!$C$28, 0, 0)</f>
        <v>90.605000000000004</v>
      </c>
      <c r="E859" s="4">
        <f>571.25454151096 * CHOOSE(CONTROL!$C$9, $C$13, 100%, $E$13) + CHOOSE(CONTROL!$C$28, 0, 0)</f>
        <v>571.25454151096005</v>
      </c>
    </row>
    <row r="860" spans="1:5" ht="15">
      <c r="A860" s="13">
        <v>68057</v>
      </c>
      <c r="B860" s="4">
        <f>109.0345 * CHOOSE(CONTROL!$C$9, $C$13, 100%, $E$13) + CHOOSE(CONTROL!$C$28, 0.0003, 0)</f>
        <v>109.03479999999999</v>
      </c>
      <c r="C860" s="4">
        <f>108.722 * CHOOSE(CONTROL!$C$9, $C$13, 100%, $E$13) + CHOOSE(CONTROL!$C$28, 0.0003, 0)</f>
        <v>108.72229999999999</v>
      </c>
      <c r="D860" s="4">
        <f>93.2152 * CHOOSE(CONTROL!$C$9, $C$13, 100%, $E$13) + CHOOSE(CONTROL!$C$28, 0, 0)</f>
        <v>93.215199999999996</v>
      </c>
      <c r="E860" s="4">
        <f>594.55635257656 * CHOOSE(CONTROL!$C$9, $C$13, 100%, $E$13) + CHOOSE(CONTROL!$C$28, 0, 0)</f>
        <v>594.55635257656002</v>
      </c>
    </row>
    <row r="861" spans="1:5" ht="15">
      <c r="A861" s="13">
        <v>68088</v>
      </c>
      <c r="B861" s="4">
        <f>111.6005 * CHOOSE(CONTROL!$C$9, $C$13, 100%, $E$13) + CHOOSE(CONTROL!$C$28, 0.0197, 0)</f>
        <v>111.6202</v>
      </c>
      <c r="C861" s="4">
        <f>111.288 * CHOOSE(CONTROL!$C$9, $C$13, 100%, $E$13) + CHOOSE(CONTROL!$C$28, 0.0197, 0)</f>
        <v>111.3077</v>
      </c>
      <c r="D861" s="4">
        <f>92.1838 * CHOOSE(CONTROL!$C$9, $C$13, 100%, $E$13) + CHOOSE(CONTROL!$C$28, 0, 0)</f>
        <v>92.183800000000005</v>
      </c>
      <c r="E861" s="4">
        <f>608.793200671173 * CHOOSE(CONTROL!$C$9, $C$13, 100%, $E$13) + CHOOSE(CONTROL!$C$28, 0, 0)</f>
        <v>608.79320067117305</v>
      </c>
    </row>
    <row r="862" spans="1:5" ht="15">
      <c r="A862" s="13">
        <v>68118</v>
      </c>
      <c r="B862" s="4">
        <f>111.9477 * CHOOSE(CONTROL!$C$9, $C$13, 100%, $E$13) + CHOOSE(CONTROL!$C$28, 0.0197, 0)</f>
        <v>111.9674</v>
      </c>
      <c r="C862" s="4">
        <f>111.6352 * CHOOSE(CONTROL!$C$9, $C$13, 100%, $E$13) + CHOOSE(CONTROL!$C$28, 0.0197, 0)</f>
        <v>111.6549</v>
      </c>
      <c r="D862" s="4">
        <f>93.0238 * CHOOSE(CONTROL!$C$9, $C$13, 100%, $E$13) + CHOOSE(CONTROL!$C$28, 0, 0)</f>
        <v>93.023799999999994</v>
      </c>
      <c r="E862" s="4">
        <f>610.719505302508 * CHOOSE(CONTROL!$C$9, $C$13, 100%, $E$13) + CHOOSE(CONTROL!$C$28, 0, 0)</f>
        <v>610.71950530250797</v>
      </c>
    </row>
    <row r="863" spans="1:5" ht="15">
      <c r="A863" s="13">
        <v>68149</v>
      </c>
      <c r="B863" s="4">
        <f>111.9127 * CHOOSE(CONTROL!$C$9, $C$13, 100%, $E$13) + CHOOSE(CONTROL!$C$28, 0.0197, 0)</f>
        <v>111.9324</v>
      </c>
      <c r="C863" s="4">
        <f>111.6002 * CHOOSE(CONTROL!$C$9, $C$13, 100%, $E$13) + CHOOSE(CONTROL!$C$28, 0.0197, 0)</f>
        <v>111.6199</v>
      </c>
      <c r="D863" s="4">
        <f>94.5394 * CHOOSE(CONTROL!$C$9, $C$13, 100%, $E$13) + CHOOSE(CONTROL!$C$28, 0, 0)</f>
        <v>94.539400000000001</v>
      </c>
      <c r="E863" s="4">
        <f>610.525256095986 * CHOOSE(CONTROL!$C$9, $C$13, 100%, $E$13) + CHOOSE(CONTROL!$C$28, 0, 0)</f>
        <v>610.52525609598604</v>
      </c>
    </row>
    <row r="864" spans="1:5" ht="15">
      <c r="A864" s="13">
        <v>68180</v>
      </c>
      <c r="B864" s="4">
        <f>114.5472 * CHOOSE(CONTROL!$C$9, $C$13, 100%, $E$13) + CHOOSE(CONTROL!$C$28, 0.0197, 0)</f>
        <v>114.5669</v>
      </c>
      <c r="C864" s="4">
        <f>114.2347 * CHOOSE(CONTROL!$C$9, $C$13, 100%, $E$13) + CHOOSE(CONTROL!$C$28, 0.0197, 0)</f>
        <v>114.2544</v>
      </c>
      <c r="D864" s="4">
        <f>93.5385 * CHOOSE(CONTROL!$C$9, $C$13, 100%, $E$13) + CHOOSE(CONTROL!$C$28, 0, 0)</f>
        <v>93.538499999999999</v>
      </c>
      <c r="E864" s="4">
        <f>625.142508886703 * CHOOSE(CONTROL!$C$9, $C$13, 100%, $E$13) + CHOOSE(CONTROL!$C$28, 0, 0)</f>
        <v>625.14250888670301</v>
      </c>
    </row>
    <row r="865" spans="1:5" ht="15">
      <c r="A865" s="13">
        <v>68210</v>
      </c>
      <c r="B865" s="4">
        <f>110.0571 * CHOOSE(CONTROL!$C$9, $C$13, 100%, $E$13) + CHOOSE(CONTROL!$C$28, 0.0197, 0)</f>
        <v>110.07680000000001</v>
      </c>
      <c r="C865" s="4">
        <f>109.7446 * CHOOSE(CONTROL!$C$9, $C$13, 100%, $E$13) + CHOOSE(CONTROL!$C$28, 0.0197, 0)</f>
        <v>109.76430000000001</v>
      </c>
      <c r="D865" s="4">
        <f>93.0656 * CHOOSE(CONTROL!$C$9, $C$13, 100%, $E$13) + CHOOSE(CONTROL!$C$28, 0, 0)</f>
        <v>93.065600000000003</v>
      </c>
      <c r="E865" s="4">
        <f>600.230048150365 * CHOOSE(CONTROL!$C$9, $C$13, 100%, $E$13) + CHOOSE(CONTROL!$C$28, 0, 0)</f>
        <v>600.23004815036495</v>
      </c>
    </row>
    <row r="866" spans="1:5" ht="15">
      <c r="A866" s="13">
        <v>68241</v>
      </c>
      <c r="B866" s="4">
        <f>106.4627 * CHOOSE(CONTROL!$C$9, $C$13, 100%, $E$13) + CHOOSE(CONTROL!$C$28, 0.0003, 0)</f>
        <v>106.46299999999999</v>
      </c>
      <c r="C866" s="4">
        <f>106.1502 * CHOOSE(CONTROL!$C$9, $C$13, 100%, $E$13) + CHOOSE(CONTROL!$C$28, 0.0003, 0)</f>
        <v>106.15049999999999</v>
      </c>
      <c r="D866" s="4">
        <f>91.7993 * CHOOSE(CONTROL!$C$9, $C$13, 100%, $E$13) + CHOOSE(CONTROL!$C$28, 0, 0)</f>
        <v>91.799300000000002</v>
      </c>
      <c r="E866" s="4">
        <f>580.287129614193 * CHOOSE(CONTROL!$C$9, $C$13, 100%, $E$13) + CHOOSE(CONTROL!$C$28, 0, 0)</f>
        <v>580.28712961419296</v>
      </c>
    </row>
    <row r="867" spans="1:5" ht="15">
      <c r="A867" s="13">
        <v>68271</v>
      </c>
      <c r="B867" s="4">
        <f>104.1477 * CHOOSE(CONTROL!$C$9, $C$13, 100%, $E$13) + CHOOSE(CONTROL!$C$28, 0.0003, 0)</f>
        <v>104.148</v>
      </c>
      <c r="C867" s="4">
        <f>103.8352 * CHOOSE(CONTROL!$C$9, $C$13, 100%, $E$13) + CHOOSE(CONTROL!$C$28, 0.0003, 0)</f>
        <v>103.8355</v>
      </c>
      <c r="D867" s="4">
        <f>91.3639 * CHOOSE(CONTROL!$C$9, $C$13, 100%, $E$13) + CHOOSE(CONTROL!$C$28, 0, 0)</f>
        <v>91.363900000000001</v>
      </c>
      <c r="E867" s="4">
        <f>567.442400832982 * CHOOSE(CONTROL!$C$9, $C$13, 100%, $E$13) + CHOOSE(CONTROL!$C$28, 0, 0)</f>
        <v>567.442400832982</v>
      </c>
    </row>
    <row r="868" spans="1:5" ht="15">
      <c r="A868" s="13">
        <v>68302</v>
      </c>
      <c r="B868" s="4">
        <f>102.5459 * CHOOSE(CONTROL!$C$9, $C$13, 100%, $E$13) + CHOOSE(CONTROL!$C$28, 0.0003, 0)</f>
        <v>102.5462</v>
      </c>
      <c r="C868" s="4">
        <f>102.2334 * CHOOSE(CONTROL!$C$9, $C$13, 100%, $E$13) + CHOOSE(CONTROL!$C$28, 0.0003, 0)</f>
        <v>102.2337</v>
      </c>
      <c r="D868" s="4">
        <f>88.1589 * CHOOSE(CONTROL!$C$9, $C$13, 100%, $E$13) + CHOOSE(CONTROL!$C$28, 0, 0)</f>
        <v>88.158900000000003</v>
      </c>
      <c r="E868" s="4">
        <f>558.555499634639 * CHOOSE(CONTROL!$C$9, $C$13, 100%, $E$13) + CHOOSE(CONTROL!$C$28, 0, 0)</f>
        <v>558.55549963463898</v>
      </c>
    </row>
    <row r="869" spans="1:5" ht="15">
      <c r="A869" s="13">
        <v>68333</v>
      </c>
      <c r="B869" s="4">
        <f>99.9435 * CHOOSE(CONTROL!$C$9, $C$13, 100%, $E$13) + CHOOSE(CONTROL!$C$28, 0.0003, 0)</f>
        <v>99.943799999999996</v>
      </c>
      <c r="C869" s="4">
        <f>99.631 * CHOOSE(CONTROL!$C$9, $C$13, 100%, $E$13) + CHOOSE(CONTROL!$C$28, 0.0003, 0)</f>
        <v>99.631299999999996</v>
      </c>
      <c r="D869" s="4">
        <f>85.2131 * CHOOSE(CONTROL!$C$9, $C$13, 100%, $E$13) + CHOOSE(CONTROL!$C$28, 0, 0)</f>
        <v>85.213099999999997</v>
      </c>
      <c r="E869" s="4">
        <f>542.538256390798 * CHOOSE(CONTROL!$C$9, $C$13, 100%, $E$13) + CHOOSE(CONTROL!$C$28, 0, 0)</f>
        <v>542.53825639079798</v>
      </c>
    </row>
    <row r="870" spans="1:5" ht="15">
      <c r="A870" s="13">
        <v>68361</v>
      </c>
      <c r="B870" s="4">
        <f>102.272 * CHOOSE(CONTROL!$C$9, $C$13, 100%, $E$13) + CHOOSE(CONTROL!$C$28, 0.0003, 0)</f>
        <v>102.2723</v>
      </c>
      <c r="C870" s="4">
        <f>101.9595 * CHOOSE(CONTROL!$C$9, $C$13, 100%, $E$13) + CHOOSE(CONTROL!$C$28, 0.0003, 0)</f>
        <v>101.9598</v>
      </c>
      <c r="D870" s="4">
        <f>88.1795 * CHOOSE(CONTROL!$C$9, $C$13, 100%, $E$13) + CHOOSE(CONTROL!$C$28, 0, 0)</f>
        <v>88.179500000000004</v>
      </c>
      <c r="E870" s="4">
        <f>555.420252691653 * CHOOSE(CONTROL!$C$9, $C$13, 100%, $E$13) + CHOOSE(CONTROL!$C$28, 0, 0)</f>
        <v>555.42025269165299</v>
      </c>
    </row>
    <row r="871" spans="1:5" ht="15">
      <c r="A871" s="13">
        <v>68392</v>
      </c>
      <c r="B871" s="4">
        <f>108.3869 * CHOOSE(CONTROL!$C$9, $C$13, 100%, $E$13) + CHOOSE(CONTROL!$C$28, 0.0003, 0)</f>
        <v>108.38719999999999</v>
      </c>
      <c r="C871" s="4">
        <f>108.0744 * CHOOSE(CONTROL!$C$9, $C$13, 100%, $E$13) + CHOOSE(CONTROL!$C$28, 0.0003, 0)</f>
        <v>108.07469999999999</v>
      </c>
      <c r="D871" s="4">
        <f>92.8231 * CHOOSE(CONTROL!$C$9, $C$13, 100%, $E$13) + CHOOSE(CONTROL!$C$28, 0, 0)</f>
        <v>92.823099999999997</v>
      </c>
      <c r="E871" s="4">
        <f>589.249059568555 * CHOOSE(CONTROL!$C$9, $C$13, 100%, $E$13) + CHOOSE(CONTROL!$C$28, 0, 0)</f>
        <v>589.24905956855503</v>
      </c>
    </row>
    <row r="872" spans="1:5" ht="15">
      <c r="A872" s="13">
        <v>68422</v>
      </c>
      <c r="B872" s="4">
        <f>112.7315 * CHOOSE(CONTROL!$C$9, $C$13, 100%, $E$13) + CHOOSE(CONTROL!$C$28, 0.0003, 0)</f>
        <v>112.73179999999999</v>
      </c>
      <c r="C872" s="4">
        <f>112.419 * CHOOSE(CONTROL!$C$9, $C$13, 100%, $E$13) + CHOOSE(CONTROL!$C$28, 0.0003, 0)</f>
        <v>112.41929999999999</v>
      </c>
      <c r="D872" s="4">
        <f>95.498 * CHOOSE(CONTROL!$C$9, $C$13, 100%, $E$13) + CHOOSE(CONTROL!$C$28, 0, 0)</f>
        <v>95.498000000000005</v>
      </c>
      <c r="E872" s="4">
        <f>613.284877682722 * CHOOSE(CONTROL!$C$9, $C$13, 100%, $E$13) + CHOOSE(CONTROL!$C$28, 0, 0)</f>
        <v>613.28487768272203</v>
      </c>
    </row>
    <row r="873" spans="1:5" ht="15">
      <c r="A873" s="13">
        <v>68453</v>
      </c>
      <c r="B873" s="4">
        <f>115.386 * CHOOSE(CONTROL!$C$9, $C$13, 100%, $E$13) + CHOOSE(CONTROL!$C$28, 0.0197, 0)</f>
        <v>115.4057</v>
      </c>
      <c r="C873" s="4">
        <f>115.0735 * CHOOSE(CONTROL!$C$9, $C$13, 100%, $E$13) + CHOOSE(CONTROL!$C$28, 0.0197, 0)</f>
        <v>115.0932</v>
      </c>
      <c r="D873" s="4">
        <f>94.441 * CHOOSE(CONTROL!$C$9, $C$13, 100%, $E$13) + CHOOSE(CONTROL!$C$28, 0, 0)</f>
        <v>94.441000000000003</v>
      </c>
      <c r="E873" s="4">
        <f>627.970186492315 * CHOOSE(CONTROL!$C$9, $C$13, 100%, $E$13) + CHOOSE(CONTROL!$C$28, 0, 0)</f>
        <v>627.97018649231495</v>
      </c>
    </row>
    <row r="874" spans="1:5" ht="15">
      <c r="A874" s="13">
        <v>68483</v>
      </c>
      <c r="B874" s="4">
        <f>115.7452 * CHOOSE(CONTROL!$C$9, $C$13, 100%, $E$13) + CHOOSE(CONTROL!$C$28, 0.0197, 0)</f>
        <v>115.7649</v>
      </c>
      <c r="C874" s="4">
        <f>115.4327 * CHOOSE(CONTROL!$C$9, $C$13, 100%, $E$13) + CHOOSE(CONTROL!$C$28, 0.0197, 0)</f>
        <v>115.4524</v>
      </c>
      <c r="D874" s="4">
        <f>95.3019 * CHOOSE(CONTROL!$C$9, $C$13, 100%, $E$13) + CHOOSE(CONTROL!$C$28, 0, 0)</f>
        <v>95.301900000000003</v>
      </c>
      <c r="E874" s="4">
        <f>629.957169719537 * CHOOSE(CONTROL!$C$9, $C$13, 100%, $E$13) + CHOOSE(CONTROL!$C$28, 0, 0)</f>
        <v>629.95716971953698</v>
      </c>
    </row>
    <row r="875" spans="1:5" ht="15">
      <c r="A875" s="13">
        <v>68514</v>
      </c>
      <c r="B875" s="4">
        <f>115.709 * CHOOSE(CONTROL!$C$9, $C$13, 100%, $E$13) + CHOOSE(CONTROL!$C$28, 0.0197, 0)</f>
        <v>115.7287</v>
      </c>
      <c r="C875" s="4">
        <f>115.3965 * CHOOSE(CONTROL!$C$9, $C$13, 100%, $E$13) + CHOOSE(CONTROL!$C$28, 0.0197, 0)</f>
        <v>115.4162</v>
      </c>
      <c r="D875" s="4">
        <f>96.8551 * CHOOSE(CONTROL!$C$9, $C$13, 100%, $E$13) + CHOOSE(CONTROL!$C$28, 0, 0)</f>
        <v>96.855099999999993</v>
      </c>
      <c r="E875" s="4">
        <f>629.75680166301 * CHOOSE(CONTROL!$C$9, $C$13, 100%, $E$13) + CHOOSE(CONTROL!$C$28, 0, 0)</f>
        <v>629.75680166301004</v>
      </c>
    </row>
    <row r="876" spans="1:5" ht="15">
      <c r="A876" s="13">
        <v>68545</v>
      </c>
      <c r="B876" s="4">
        <f>118.4344 * CHOOSE(CONTROL!$C$9, $C$13, 100%, $E$13) + CHOOSE(CONTROL!$C$28, 0.0197, 0)</f>
        <v>118.4541</v>
      </c>
      <c r="C876" s="4">
        <f>118.1219 * CHOOSE(CONTROL!$C$9, $C$13, 100%, $E$13) + CHOOSE(CONTROL!$C$28, 0.0197, 0)</f>
        <v>118.1416</v>
      </c>
      <c r="D876" s="4">
        <f>95.8293 * CHOOSE(CONTROL!$C$9, $C$13, 100%, $E$13) + CHOOSE(CONTROL!$C$28, 0, 0)</f>
        <v>95.829300000000003</v>
      </c>
      <c r="E876" s="4">
        <f>644.834497916634 * CHOOSE(CONTROL!$C$9, $C$13, 100%, $E$13) + CHOOSE(CONTROL!$C$28, 0, 0)</f>
        <v>644.83449791663395</v>
      </c>
    </row>
    <row r="877" spans="1:5" ht="15">
      <c r="A877" s="13">
        <v>68575</v>
      </c>
      <c r="B877" s="4">
        <f>113.7894 * CHOOSE(CONTROL!$C$9, $C$13, 100%, $E$13) + CHOOSE(CONTROL!$C$28, 0.0197, 0)</f>
        <v>113.8091</v>
      </c>
      <c r="C877" s="4">
        <f>113.4769 * CHOOSE(CONTROL!$C$9, $C$13, 100%, $E$13) + CHOOSE(CONTROL!$C$28, 0.0197, 0)</f>
        <v>113.4966</v>
      </c>
      <c r="D877" s="4">
        <f>95.3447 * CHOOSE(CONTROL!$C$9, $C$13, 100%, $E$13) + CHOOSE(CONTROL!$C$28, 0, 0)</f>
        <v>95.344700000000003</v>
      </c>
      <c r="E877" s="4">
        <f>619.137294667102 * CHOOSE(CONTROL!$C$9, $C$13, 100%, $E$13) + CHOOSE(CONTROL!$C$28, 0, 0)</f>
        <v>619.13729466710197</v>
      </c>
    </row>
    <row r="878" spans="1:5" ht="15">
      <c r="A878" s="13">
        <v>68606</v>
      </c>
      <c r="B878" s="4">
        <f>110.071 * CHOOSE(CONTROL!$C$9, $C$13, 100%, $E$13) + CHOOSE(CONTROL!$C$28, 0.0003, 0)</f>
        <v>110.07129999999999</v>
      </c>
      <c r="C878" s="4">
        <f>109.7585 * CHOOSE(CONTROL!$C$9, $C$13, 100%, $E$13) + CHOOSE(CONTROL!$C$28, 0.0003, 0)</f>
        <v>109.75879999999999</v>
      </c>
      <c r="D878" s="4">
        <f>94.047 * CHOOSE(CONTROL!$C$9, $C$13, 100%, $E$13) + CHOOSE(CONTROL!$C$28, 0, 0)</f>
        <v>94.046999999999997</v>
      </c>
      <c r="E878" s="4">
        <f>598.566174197041 * CHOOSE(CONTROL!$C$9, $C$13, 100%, $E$13) + CHOOSE(CONTROL!$C$28, 0, 0)</f>
        <v>598.56617419704105</v>
      </c>
    </row>
    <row r="879" spans="1:5" ht="15">
      <c r="A879" s="13">
        <v>68636</v>
      </c>
      <c r="B879" s="4">
        <f>107.6761 * CHOOSE(CONTROL!$C$9, $C$13, 100%, $E$13) + CHOOSE(CONTROL!$C$28, 0.0003, 0)</f>
        <v>107.6764</v>
      </c>
      <c r="C879" s="4">
        <f>107.3636 * CHOOSE(CONTROL!$C$9, $C$13, 100%, $E$13) + CHOOSE(CONTROL!$C$28, 0.0003, 0)</f>
        <v>107.3639</v>
      </c>
      <c r="D879" s="4">
        <f>93.6009 * CHOOSE(CONTROL!$C$9, $C$13, 100%, $E$13) + CHOOSE(CONTROL!$C$28, 0, 0)</f>
        <v>93.600899999999996</v>
      </c>
      <c r="E879" s="4">
        <f>585.316836459221 * CHOOSE(CONTROL!$C$9, $C$13, 100%, $E$13) + CHOOSE(CONTROL!$C$28, 0, 0)</f>
        <v>585.31683645922101</v>
      </c>
    </row>
    <row r="880" spans="1:5" ht="15">
      <c r="A880" s="13">
        <v>68667</v>
      </c>
      <c r="B880" s="4">
        <f>106.0191 * CHOOSE(CONTROL!$C$9, $C$13, 100%, $E$13) + CHOOSE(CONTROL!$C$28, 0.0003, 0)</f>
        <v>106.01939999999999</v>
      </c>
      <c r="C880" s="4">
        <f>105.7066 * CHOOSE(CONTROL!$C$9, $C$13, 100%, $E$13) + CHOOSE(CONTROL!$C$28, 0.0003, 0)</f>
        <v>105.70689999999999</v>
      </c>
      <c r="D880" s="4">
        <f>90.3163 * CHOOSE(CONTROL!$C$9, $C$13, 100%, $E$13) + CHOOSE(CONTROL!$C$28, 0, 0)</f>
        <v>90.316299999999998</v>
      </c>
      <c r="E880" s="4">
        <f>576.149997873131 * CHOOSE(CONTROL!$C$9, $C$13, 100%, $E$13) + CHOOSE(CONTROL!$C$28, 0, 0)</f>
        <v>576.14999787313104</v>
      </c>
    </row>
    <row r="881" spans="1:5" ht="15">
      <c r="A881" s="13">
        <v>68698</v>
      </c>
      <c r="B881" s="4">
        <f>103.3268 * CHOOSE(CONTROL!$C$9, $C$13, 100%, $E$13) + CHOOSE(CONTROL!$C$28, 0.0003, 0)</f>
        <v>103.3271</v>
      </c>
      <c r="C881" s="4">
        <f>103.0143 * CHOOSE(CONTROL!$C$9, $C$13, 100%, $E$13) + CHOOSE(CONTROL!$C$28, 0.0003, 0)</f>
        <v>103.0146</v>
      </c>
      <c r="D881" s="4">
        <f>87.2975 * CHOOSE(CONTROL!$C$9, $C$13, 100%, $E$13) + CHOOSE(CONTROL!$C$28, 0, 0)</f>
        <v>87.297499999999999</v>
      </c>
      <c r="E881" s="4">
        <f>559.628211467109 * CHOOSE(CONTROL!$C$9, $C$13, 100%, $E$13) + CHOOSE(CONTROL!$C$28, 0, 0)</f>
        <v>559.62821146710905</v>
      </c>
    </row>
    <row r="882" spans="1:5" ht="15">
      <c r="A882" s="13">
        <v>68727</v>
      </c>
      <c r="B882" s="4">
        <f>105.7357 * CHOOSE(CONTROL!$C$9, $C$13, 100%, $E$13) + CHOOSE(CONTROL!$C$28, 0.0003, 0)</f>
        <v>105.73599999999999</v>
      </c>
      <c r="C882" s="4">
        <f>105.4232 * CHOOSE(CONTROL!$C$9, $C$13, 100%, $E$13) + CHOOSE(CONTROL!$C$28, 0.0003, 0)</f>
        <v>105.42349999999999</v>
      </c>
      <c r="D882" s="4">
        <f>90.3375 * CHOOSE(CONTROL!$C$9, $C$13, 100%, $E$13) + CHOOSE(CONTROL!$C$28, 0, 0)</f>
        <v>90.337500000000006</v>
      </c>
      <c r="E882" s="4">
        <f>572.91599065144 * CHOOSE(CONTROL!$C$9, $C$13, 100%, $E$13) + CHOOSE(CONTROL!$C$28, 0, 0)</f>
        <v>572.91599065143998</v>
      </c>
    </row>
    <row r="883" spans="1:5" ht="15">
      <c r="A883" s="13">
        <v>68758</v>
      </c>
      <c r="B883" s="4">
        <f>112.0615 * CHOOSE(CONTROL!$C$9, $C$13, 100%, $E$13) + CHOOSE(CONTROL!$C$28, 0.0003, 0)</f>
        <v>112.06179999999999</v>
      </c>
      <c r="C883" s="4">
        <f>111.749 * CHOOSE(CONTROL!$C$9, $C$13, 100%, $E$13) + CHOOSE(CONTROL!$C$28, 0.0003, 0)</f>
        <v>111.74929999999999</v>
      </c>
      <c r="D883" s="4">
        <f>95.0963 * CHOOSE(CONTROL!$C$9, $C$13, 100%, $E$13) + CHOOSE(CONTROL!$C$28, 0, 0)</f>
        <v>95.096299999999999</v>
      </c>
      <c r="E883" s="4">
        <f>607.810404944965 * CHOOSE(CONTROL!$C$9, $C$13, 100%, $E$13) + CHOOSE(CONTROL!$C$28, 0, 0)</f>
        <v>607.81040494496494</v>
      </c>
    </row>
    <row r="884" spans="1:5" ht="15">
      <c r="A884" s="13">
        <v>68788</v>
      </c>
      <c r="B884" s="4">
        <f>116.5561 * CHOOSE(CONTROL!$C$9, $C$13, 100%, $E$13) + CHOOSE(CONTROL!$C$28, 0.0003, 0)</f>
        <v>116.5564</v>
      </c>
      <c r="C884" s="4">
        <f>116.2436 * CHOOSE(CONTROL!$C$9, $C$13, 100%, $E$13) + CHOOSE(CONTROL!$C$28, 0.0003, 0)</f>
        <v>116.2439</v>
      </c>
      <c r="D884" s="4">
        <f>97.8375 * CHOOSE(CONTROL!$C$9, $C$13, 100%, $E$13) + CHOOSE(CONTROL!$C$28, 0, 0)</f>
        <v>97.837500000000006</v>
      </c>
      <c r="E884" s="4">
        <f>632.603351329727 * CHOOSE(CONTROL!$C$9, $C$13, 100%, $E$13) + CHOOSE(CONTROL!$C$28, 0, 0)</f>
        <v>632.60335132972705</v>
      </c>
    </row>
    <row r="885" spans="1:5" ht="15">
      <c r="A885" s="13">
        <v>68819</v>
      </c>
      <c r="B885" s="4">
        <f>119.3022 * CHOOSE(CONTROL!$C$9, $C$13, 100%, $E$13) + CHOOSE(CONTROL!$C$28, 0.0197, 0)</f>
        <v>119.3219</v>
      </c>
      <c r="C885" s="4">
        <f>118.9897 * CHOOSE(CONTROL!$C$9, $C$13, 100%, $E$13) + CHOOSE(CONTROL!$C$28, 0.0197, 0)</f>
        <v>119.0094</v>
      </c>
      <c r="D885" s="4">
        <f>96.7543 * CHOOSE(CONTROL!$C$9, $C$13, 100%, $E$13) + CHOOSE(CONTROL!$C$28, 0, 0)</f>
        <v>96.754300000000001</v>
      </c>
      <c r="E885" s="4">
        <f>647.751247366823 * CHOOSE(CONTROL!$C$9, $C$13, 100%, $E$13) + CHOOSE(CONTROL!$C$28, 0, 0)</f>
        <v>647.75124736682301</v>
      </c>
    </row>
    <row r="886" spans="1:5" ht="15">
      <c r="A886" s="13">
        <v>68849</v>
      </c>
      <c r="B886" s="4">
        <f>119.6737 * CHOOSE(CONTROL!$C$9, $C$13, 100%, $E$13) + CHOOSE(CONTROL!$C$28, 0.0197, 0)</f>
        <v>119.6934</v>
      </c>
      <c r="C886" s="4">
        <f>119.3612 * CHOOSE(CONTROL!$C$9, $C$13, 100%, $E$13) + CHOOSE(CONTROL!$C$28, 0.0197, 0)</f>
        <v>119.3809</v>
      </c>
      <c r="D886" s="4">
        <f>97.6365 * CHOOSE(CONTROL!$C$9, $C$13, 100%, $E$13) + CHOOSE(CONTROL!$C$28, 0, 0)</f>
        <v>97.636499999999998</v>
      </c>
      <c r="E886" s="4">
        <f>649.800820565702 * CHOOSE(CONTROL!$C$9, $C$13, 100%, $E$13) + CHOOSE(CONTROL!$C$28, 0, 0)</f>
        <v>649.800820565702</v>
      </c>
    </row>
    <row r="887" spans="1:5" ht="15">
      <c r="A887" s="13">
        <v>68880</v>
      </c>
      <c r="B887" s="4">
        <f>119.6362 * CHOOSE(CONTROL!$C$9, $C$13, 100%, $E$13) + CHOOSE(CONTROL!$C$28, 0.0197, 0)</f>
        <v>119.6559</v>
      </c>
      <c r="C887" s="4">
        <f>119.3237 * CHOOSE(CONTROL!$C$9, $C$13, 100%, $E$13) + CHOOSE(CONTROL!$C$28, 0.0197, 0)</f>
        <v>119.3434</v>
      </c>
      <c r="D887" s="4">
        <f>99.2282 * CHOOSE(CONTROL!$C$9, $C$13, 100%, $E$13) + CHOOSE(CONTROL!$C$28, 0, 0)</f>
        <v>99.228200000000001</v>
      </c>
      <c r="E887" s="4">
        <f>649.594140915395 * CHOOSE(CONTROL!$C$9, $C$13, 100%, $E$13) + CHOOSE(CONTROL!$C$28, 0, 0)</f>
        <v>649.59414091539497</v>
      </c>
    </row>
    <row r="888" spans="1:5" ht="15">
      <c r="A888" s="13">
        <v>68911</v>
      </c>
      <c r="B888" s="4">
        <f>122.4557 * CHOOSE(CONTROL!$C$9, $C$13, 100%, $E$13) + CHOOSE(CONTROL!$C$28, 0.0197, 0)</f>
        <v>122.47539999999999</v>
      </c>
      <c r="C888" s="4">
        <f>122.1432 * CHOOSE(CONTROL!$C$9, $C$13, 100%, $E$13) + CHOOSE(CONTROL!$C$28, 0.0197, 0)</f>
        <v>122.16289999999999</v>
      </c>
      <c r="D888" s="4">
        <f>98.177 * CHOOSE(CONTROL!$C$9, $C$13, 100%, $E$13) + CHOOSE(CONTROL!$C$28, 0, 0)</f>
        <v>98.177000000000007</v>
      </c>
      <c r="E888" s="4">
        <f>665.146784601008 * CHOOSE(CONTROL!$C$9, $C$13, 100%, $E$13) + CHOOSE(CONTROL!$C$28, 0, 0)</f>
        <v>665.14678460100799</v>
      </c>
    </row>
    <row r="889" spans="1:5" ht="15">
      <c r="A889" s="13">
        <v>68941</v>
      </c>
      <c r="B889" s="4">
        <f>117.6505 * CHOOSE(CONTROL!$C$9, $C$13, 100%, $E$13) + CHOOSE(CONTROL!$C$28, 0.0197, 0)</f>
        <v>117.67019999999999</v>
      </c>
      <c r="C889" s="4">
        <f>117.338 * CHOOSE(CONTROL!$C$9, $C$13, 100%, $E$13) + CHOOSE(CONTROL!$C$28, 0.0197, 0)</f>
        <v>117.35769999999999</v>
      </c>
      <c r="D889" s="4">
        <f>97.6803 * CHOOSE(CONTROL!$C$9, $C$13, 100%, $E$13) + CHOOSE(CONTROL!$C$28, 0, 0)</f>
        <v>97.680300000000003</v>
      </c>
      <c r="E889" s="4">
        <f>638.640119449116 * CHOOSE(CONTROL!$C$9, $C$13, 100%, $E$13) + CHOOSE(CONTROL!$C$28, 0, 0)</f>
        <v>638.64011944911601</v>
      </c>
    </row>
    <row r="890" spans="1:5" ht="15">
      <c r="A890" s="13">
        <v>68972</v>
      </c>
      <c r="B890" s="4">
        <f>113.8038 * CHOOSE(CONTROL!$C$9, $C$13, 100%, $E$13) + CHOOSE(CONTROL!$C$28, 0.0003, 0)</f>
        <v>113.80409999999999</v>
      </c>
      <c r="C890" s="4">
        <f>113.4913 * CHOOSE(CONTROL!$C$9, $C$13, 100%, $E$13) + CHOOSE(CONTROL!$C$28, 0.0003, 0)</f>
        <v>113.49159999999999</v>
      </c>
      <c r="D890" s="4">
        <f>96.3505 * CHOOSE(CONTROL!$C$9, $C$13, 100%, $E$13) + CHOOSE(CONTROL!$C$28, 0, 0)</f>
        <v>96.350499999999997</v>
      </c>
      <c r="E890" s="4">
        <f>617.421008684247 * CHOOSE(CONTROL!$C$9, $C$13, 100%, $E$13) + CHOOSE(CONTROL!$C$28, 0, 0)</f>
        <v>617.421008684247</v>
      </c>
    </row>
    <row r="891" spans="1:5" ht="15">
      <c r="A891" s="13">
        <v>69002</v>
      </c>
      <c r="B891" s="4">
        <f>111.3262 * CHOOSE(CONTROL!$C$9, $C$13, 100%, $E$13) + CHOOSE(CONTROL!$C$28, 0.0003, 0)</f>
        <v>111.3265</v>
      </c>
      <c r="C891" s="4">
        <f>111.0137 * CHOOSE(CONTROL!$C$9, $C$13, 100%, $E$13) + CHOOSE(CONTROL!$C$28, 0.0003, 0)</f>
        <v>111.014</v>
      </c>
      <c r="D891" s="4">
        <f>95.8933 * CHOOSE(CONTROL!$C$9, $C$13, 100%, $E$13) + CHOOSE(CONTROL!$C$28, 0, 0)</f>
        <v>95.893299999999996</v>
      </c>
      <c r="E891" s="4">
        <f>603.754316807687 * CHOOSE(CONTROL!$C$9, $C$13, 100%, $E$13) + CHOOSE(CONTROL!$C$28, 0, 0)</f>
        <v>603.75431680768702</v>
      </c>
    </row>
    <row r="892" spans="1:5" ht="15">
      <c r="A892" s="13">
        <v>69033</v>
      </c>
      <c r="B892" s="4">
        <f>109.6121 * CHOOSE(CONTROL!$C$9, $C$13, 100%, $E$13) + CHOOSE(CONTROL!$C$28, 0.0003, 0)</f>
        <v>109.61239999999999</v>
      </c>
      <c r="C892" s="4">
        <f>109.2996 * CHOOSE(CONTROL!$C$9, $C$13, 100%, $E$13) + CHOOSE(CONTROL!$C$28, 0.0003, 0)</f>
        <v>109.29989999999999</v>
      </c>
      <c r="D892" s="4">
        <f>92.5273 * CHOOSE(CONTROL!$C$9, $C$13, 100%, $E$13) + CHOOSE(CONTROL!$C$28, 0, 0)</f>
        <v>92.527299999999997</v>
      </c>
      <c r="E892" s="4">
        <f>594.298722806134 * CHOOSE(CONTROL!$C$9, $C$13, 100%, $E$13) + CHOOSE(CONTROL!$C$28, 0, 0)</f>
        <v>594.29872280613404</v>
      </c>
    </row>
    <row r="893" spans="1:5" ht="15">
      <c r="A893" s="13">
        <v>69064</v>
      </c>
      <c r="B893" s="4">
        <f>106.8269 * CHOOSE(CONTROL!$C$9, $C$13, 100%, $E$13) + CHOOSE(CONTROL!$C$28, 0.0003, 0)</f>
        <v>106.82719999999999</v>
      </c>
      <c r="C893" s="4">
        <f>106.5144 * CHOOSE(CONTROL!$C$9, $C$13, 100%, $E$13) + CHOOSE(CONTROL!$C$28, 0.0003, 0)</f>
        <v>106.51469999999999</v>
      </c>
      <c r="D893" s="4">
        <f>89.4336 * CHOOSE(CONTROL!$C$9, $C$13, 100%, $E$13) + CHOOSE(CONTROL!$C$28, 0, 0)</f>
        <v>89.433599999999998</v>
      </c>
      <c r="E893" s="4">
        <f>577.256500128323 * CHOOSE(CONTROL!$C$9, $C$13, 100%, $E$13) + CHOOSE(CONTROL!$C$28, 0, 0)</f>
        <v>577.25650012832295</v>
      </c>
    </row>
    <row r="894" spans="1:5" ht="15">
      <c r="A894" s="13">
        <v>69092</v>
      </c>
      <c r="B894" s="4">
        <f>109.3189 * CHOOSE(CONTROL!$C$9, $C$13, 100%, $E$13) + CHOOSE(CONTROL!$C$28, 0.0003, 0)</f>
        <v>109.3192</v>
      </c>
      <c r="C894" s="4">
        <f>109.0064 * CHOOSE(CONTROL!$C$9, $C$13, 100%, $E$13) + CHOOSE(CONTROL!$C$28, 0.0003, 0)</f>
        <v>109.0067</v>
      </c>
      <c r="D894" s="4">
        <f>92.5489 * CHOOSE(CONTROL!$C$9, $C$13, 100%, $E$13) + CHOOSE(CONTROL!$C$28, 0, 0)</f>
        <v>92.548900000000003</v>
      </c>
      <c r="E894" s="4">
        <f>590.96284435696 * CHOOSE(CONTROL!$C$9, $C$13, 100%, $E$13) + CHOOSE(CONTROL!$C$28, 0, 0)</f>
        <v>590.96284435695998</v>
      </c>
    </row>
    <row r="895" spans="1:5" ht="15">
      <c r="A895" s="13">
        <v>69123</v>
      </c>
      <c r="B895" s="4">
        <f>115.8629 * CHOOSE(CONTROL!$C$9, $C$13, 100%, $E$13) + CHOOSE(CONTROL!$C$28, 0.0003, 0)</f>
        <v>115.86319999999999</v>
      </c>
      <c r="C895" s="4">
        <f>115.5504 * CHOOSE(CONTROL!$C$9, $C$13, 100%, $E$13) + CHOOSE(CONTROL!$C$28, 0.0003, 0)</f>
        <v>115.55069999999999</v>
      </c>
      <c r="D895" s="4">
        <f>97.4257 * CHOOSE(CONTROL!$C$9, $C$13, 100%, $E$13) + CHOOSE(CONTROL!$C$28, 0, 0)</f>
        <v>97.425700000000006</v>
      </c>
      <c r="E895" s="4">
        <f>626.956432700731 * CHOOSE(CONTROL!$C$9, $C$13, 100%, $E$13) + CHOOSE(CONTROL!$C$28, 0, 0)</f>
        <v>626.95643270073106</v>
      </c>
    </row>
    <row r="896" spans="1:5" ht="15">
      <c r="A896" s="13">
        <v>69153</v>
      </c>
      <c r="B896" s="4">
        <f>120.5126 * CHOOSE(CONTROL!$C$9, $C$13, 100%, $E$13) + CHOOSE(CONTROL!$C$28, 0.0003, 0)</f>
        <v>120.5129</v>
      </c>
      <c r="C896" s="4">
        <f>120.2001 * CHOOSE(CONTROL!$C$9, $C$13, 100%, $E$13) + CHOOSE(CONTROL!$C$28, 0.0003, 0)</f>
        <v>120.2004</v>
      </c>
      <c r="D896" s="4">
        <f>100.2349 * CHOOSE(CONTROL!$C$9, $C$13, 100%, $E$13) + CHOOSE(CONTROL!$C$28, 0, 0)</f>
        <v>100.2349</v>
      </c>
      <c r="E896" s="4">
        <f>652.530356896614 * CHOOSE(CONTROL!$C$9, $C$13, 100%, $E$13) + CHOOSE(CONTROL!$C$28, 0, 0)</f>
        <v>652.53035689661397</v>
      </c>
    </row>
    <row r="897" spans="1:5" ht="15">
      <c r="A897" s="13">
        <v>69184</v>
      </c>
      <c r="B897" s="4">
        <f>123.3534 * CHOOSE(CONTROL!$C$9, $C$13, 100%, $E$13) + CHOOSE(CONTROL!$C$28, 0.0197, 0)</f>
        <v>123.37309999999999</v>
      </c>
      <c r="C897" s="4">
        <f>123.0409 * CHOOSE(CONTROL!$C$9, $C$13, 100%, $E$13) + CHOOSE(CONTROL!$C$28, 0.0197, 0)</f>
        <v>123.06059999999999</v>
      </c>
      <c r="D897" s="4">
        <f>99.1249 * CHOOSE(CONTROL!$C$9, $C$13, 100%, $E$13) + CHOOSE(CONTROL!$C$28, 0, 0)</f>
        <v>99.124899999999997</v>
      </c>
      <c r="E897" s="4">
        <f>668.155411658878 * CHOOSE(CONTROL!$C$9, $C$13, 100%, $E$13) + CHOOSE(CONTROL!$C$28, 0, 0)</f>
        <v>668.15541165887805</v>
      </c>
    </row>
    <row r="898" spans="1:5" ht="15">
      <c r="A898" s="13">
        <v>69214</v>
      </c>
      <c r="B898" s="4">
        <f>123.7378 * CHOOSE(CONTROL!$C$9, $C$13, 100%, $E$13) + CHOOSE(CONTROL!$C$28, 0.0197, 0)</f>
        <v>123.75749999999999</v>
      </c>
      <c r="C898" s="4">
        <f>123.4253 * CHOOSE(CONTROL!$C$9, $C$13, 100%, $E$13) + CHOOSE(CONTROL!$C$28, 0.0197, 0)</f>
        <v>123.44499999999999</v>
      </c>
      <c r="D898" s="4">
        <f>100.0289 * CHOOSE(CONTROL!$C$9, $C$13, 100%, $E$13) + CHOOSE(CONTROL!$C$28, 0, 0)</f>
        <v>100.02889999999999</v>
      </c>
      <c r="E898" s="4">
        <f>670.269546413522 * CHOOSE(CONTROL!$C$9, $C$13, 100%, $E$13) + CHOOSE(CONTROL!$C$28, 0, 0)</f>
        <v>670.26954641352199</v>
      </c>
    </row>
    <row r="899" spans="1:5" ht="15">
      <c r="A899" s="13">
        <v>69245</v>
      </c>
      <c r="B899" s="4">
        <f>123.699 * CHOOSE(CONTROL!$C$9, $C$13, 100%, $E$13) + CHOOSE(CONTROL!$C$28, 0.0197, 0)</f>
        <v>123.7187</v>
      </c>
      <c r="C899" s="4">
        <f>123.3865 * CHOOSE(CONTROL!$C$9, $C$13, 100%, $E$13) + CHOOSE(CONTROL!$C$28, 0.0197, 0)</f>
        <v>123.4062</v>
      </c>
      <c r="D899" s="4">
        <f>101.6602 * CHOOSE(CONTROL!$C$9, $C$13, 100%, $E$13) + CHOOSE(CONTROL!$C$28, 0, 0)</f>
        <v>101.6602</v>
      </c>
      <c r="E899" s="4">
        <f>670.05635635423 * CHOOSE(CONTROL!$C$9, $C$13, 100%, $E$13) + CHOOSE(CONTROL!$C$28, 0, 0)</f>
        <v>670.05635635423005</v>
      </c>
    </row>
    <row r="900" spans="1:5" ht="15">
      <c r="A900" s="13">
        <v>69276</v>
      </c>
      <c r="B900" s="4">
        <f>126.6157 * CHOOSE(CONTROL!$C$9, $C$13, 100%, $E$13) + CHOOSE(CONTROL!$C$28, 0.0197, 0)</f>
        <v>126.6354</v>
      </c>
      <c r="C900" s="4">
        <f>126.3032 * CHOOSE(CONTROL!$C$9, $C$13, 100%, $E$13) + CHOOSE(CONTROL!$C$28, 0.0197, 0)</f>
        <v>126.3229</v>
      </c>
      <c r="D900" s="4">
        <f>100.5829 * CHOOSE(CONTROL!$C$9, $C$13, 100%, $E$13) + CHOOSE(CONTROL!$C$28, 0, 0)</f>
        <v>100.5829</v>
      </c>
      <c r="E900" s="4">
        <f>686.09890831594 * CHOOSE(CONTROL!$C$9, $C$13, 100%, $E$13) + CHOOSE(CONTROL!$C$28, 0, 0)</f>
        <v>686.09890831593998</v>
      </c>
    </row>
    <row r="901" spans="1:5" ht="15">
      <c r="A901" s="13">
        <v>69306</v>
      </c>
      <c r="B901" s="4">
        <f>121.6447 * CHOOSE(CONTROL!$C$9, $C$13, 100%, $E$13) + CHOOSE(CONTROL!$C$28, 0.0197, 0)</f>
        <v>121.6644</v>
      </c>
      <c r="C901" s="4">
        <f>121.3322 * CHOOSE(CONTROL!$C$9, $C$13, 100%, $E$13) + CHOOSE(CONTROL!$C$28, 0.0197, 0)</f>
        <v>121.3519</v>
      </c>
      <c r="D901" s="4">
        <f>100.0739 * CHOOSE(CONTROL!$C$9, $C$13, 100%, $E$13) + CHOOSE(CONTROL!$C$28, 0, 0)</f>
        <v>100.07389999999999</v>
      </c>
      <c r="E901" s="4">
        <f>658.757283211763 * CHOOSE(CONTROL!$C$9, $C$13, 100%, $E$13) + CHOOSE(CONTROL!$C$28, 0, 0)</f>
        <v>658.75728321176302</v>
      </c>
    </row>
    <row r="902" spans="1:5" ht="15">
      <c r="A902" s="13">
        <v>69337</v>
      </c>
      <c r="B902" s="4">
        <f>117.6653 * CHOOSE(CONTROL!$C$9, $C$13, 100%, $E$13) + CHOOSE(CONTROL!$C$28, 0.0003, 0)</f>
        <v>117.6656</v>
      </c>
      <c r="C902" s="4">
        <f>117.3528 * CHOOSE(CONTROL!$C$9, $C$13, 100%, $E$13) + CHOOSE(CONTROL!$C$28, 0.0003, 0)</f>
        <v>117.3531</v>
      </c>
      <c r="D902" s="4">
        <f>98.7111 * CHOOSE(CONTROL!$C$9, $C$13, 100%, $E$13) + CHOOSE(CONTROL!$C$28, 0, 0)</f>
        <v>98.711100000000002</v>
      </c>
      <c r="E902" s="4">
        <f>636.869770457801 * CHOOSE(CONTROL!$C$9, $C$13, 100%, $E$13) + CHOOSE(CONTROL!$C$28, 0, 0)</f>
        <v>636.869770457801</v>
      </c>
    </row>
    <row r="903" spans="1:5" ht="15">
      <c r="A903" s="13">
        <v>69367</v>
      </c>
      <c r="B903" s="4">
        <f>115.1023 * CHOOSE(CONTROL!$C$9, $C$13, 100%, $E$13) + CHOOSE(CONTROL!$C$28, 0.0003, 0)</f>
        <v>115.1026</v>
      </c>
      <c r="C903" s="4">
        <f>114.7898 * CHOOSE(CONTROL!$C$9, $C$13, 100%, $E$13) + CHOOSE(CONTROL!$C$28, 0.0003, 0)</f>
        <v>114.7901</v>
      </c>
      <c r="D903" s="4">
        <f>98.2425 * CHOOSE(CONTROL!$C$9, $C$13, 100%, $E$13) + CHOOSE(CONTROL!$C$28, 0, 0)</f>
        <v>98.242500000000007</v>
      </c>
      <c r="E903" s="4">
        <f>622.772577787129 * CHOOSE(CONTROL!$C$9, $C$13, 100%, $E$13) + CHOOSE(CONTROL!$C$28, 0, 0)</f>
        <v>622.77257778712897</v>
      </c>
    </row>
    <row r="904" spans="1:5" ht="15">
      <c r="A904" s="13">
        <v>69398</v>
      </c>
      <c r="B904" s="4">
        <f>113.329 * CHOOSE(CONTROL!$C$9, $C$13, 100%, $E$13) + CHOOSE(CONTROL!$C$28, 0.0003, 0)</f>
        <v>113.32929999999999</v>
      </c>
      <c r="C904" s="4">
        <f>113.0165 * CHOOSE(CONTROL!$C$9, $C$13, 100%, $E$13) + CHOOSE(CONTROL!$C$28, 0.0003, 0)</f>
        <v>113.01679999999999</v>
      </c>
      <c r="D904" s="4">
        <f>94.793 * CHOOSE(CONTROL!$C$9, $C$13, 100%, $E$13) + CHOOSE(CONTROL!$C$28, 0, 0)</f>
        <v>94.793000000000006</v>
      </c>
      <c r="E904" s="4">
        <f>613.019132574528 * CHOOSE(CONTROL!$C$9, $C$13, 100%, $E$13) + CHOOSE(CONTROL!$C$28, 0, 0)</f>
        <v>613.01913257452804</v>
      </c>
    </row>
    <row r="905" spans="1:5" ht="15">
      <c r="A905" s="13">
        <v>69429</v>
      </c>
      <c r="B905" s="4">
        <f>110.4478 * CHOOSE(CONTROL!$C$9, $C$13, 100%, $E$13) + CHOOSE(CONTROL!$C$28, 0.0003, 0)</f>
        <v>110.4481</v>
      </c>
      <c r="C905" s="4">
        <f>110.1353 * CHOOSE(CONTROL!$C$9, $C$13, 100%, $E$13) + CHOOSE(CONTROL!$C$28, 0.0003, 0)</f>
        <v>110.1356</v>
      </c>
      <c r="D905" s="4">
        <f>91.6226 * CHOOSE(CONTROL!$C$9, $C$13, 100%, $E$13) + CHOOSE(CONTROL!$C$28, 0, 0)</f>
        <v>91.622600000000006</v>
      </c>
      <c r="E905" s="4">
        <f>595.440079882365 * CHOOSE(CONTROL!$C$9, $C$13, 100%, $E$13) + CHOOSE(CONTROL!$C$28, 0, 0)</f>
        <v>595.44007988236501</v>
      </c>
    </row>
    <row r="906" spans="1:5" ht="15">
      <c r="A906" s="13">
        <v>69457</v>
      </c>
      <c r="B906" s="4">
        <f>113.0257 * CHOOSE(CONTROL!$C$9, $C$13, 100%, $E$13) + CHOOSE(CONTROL!$C$28, 0.0003, 0)</f>
        <v>113.026</v>
      </c>
      <c r="C906" s="4">
        <f>112.7132 * CHOOSE(CONTROL!$C$9, $C$13, 100%, $E$13) + CHOOSE(CONTROL!$C$28, 0.0003, 0)</f>
        <v>112.7135</v>
      </c>
      <c r="D906" s="4">
        <f>94.8152 * CHOOSE(CONTROL!$C$9, $C$13, 100%, $E$13) + CHOOSE(CONTROL!$C$28, 0, 0)</f>
        <v>94.815200000000004</v>
      </c>
      <c r="E906" s="4">
        <f>609.578173954204 * CHOOSE(CONTROL!$C$9, $C$13, 100%, $E$13) + CHOOSE(CONTROL!$C$28, 0, 0)</f>
        <v>609.57817395420398</v>
      </c>
    </row>
    <row r="907" spans="1:5" ht="15">
      <c r="A907" s="13">
        <v>69488</v>
      </c>
      <c r="B907" s="4">
        <f>119.7955 * CHOOSE(CONTROL!$C$9, $C$13, 100%, $E$13) + CHOOSE(CONTROL!$C$28, 0.0003, 0)</f>
        <v>119.7958</v>
      </c>
      <c r="C907" s="4">
        <f>119.483 * CHOOSE(CONTROL!$C$9, $C$13, 100%, $E$13) + CHOOSE(CONTROL!$C$28, 0.0003, 0)</f>
        <v>119.4833</v>
      </c>
      <c r="D907" s="4">
        <f>99.813 * CHOOSE(CONTROL!$C$9, $C$13, 100%, $E$13) + CHOOSE(CONTROL!$C$28, 0, 0)</f>
        <v>99.813000000000002</v>
      </c>
      <c r="E907" s="4">
        <f>646.705560330804 * CHOOSE(CONTROL!$C$9, $C$13, 100%, $E$13) + CHOOSE(CONTROL!$C$28, 0, 0)</f>
        <v>646.70556033080402</v>
      </c>
    </row>
    <row r="908" spans="1:5" ht="15">
      <c r="A908" s="13">
        <v>69518</v>
      </c>
      <c r="B908" s="4">
        <f>124.6056 * CHOOSE(CONTROL!$C$9, $C$13, 100%, $E$13) + CHOOSE(CONTROL!$C$28, 0.0003, 0)</f>
        <v>124.60589999999999</v>
      </c>
      <c r="C908" s="4">
        <f>124.2931 * CHOOSE(CONTROL!$C$9, $C$13, 100%, $E$13) + CHOOSE(CONTROL!$C$28, 0.0003, 0)</f>
        <v>124.29339999999999</v>
      </c>
      <c r="D908" s="4">
        <f>102.6919 * CHOOSE(CONTROL!$C$9, $C$13, 100%, $E$13) + CHOOSE(CONTROL!$C$28, 0, 0)</f>
        <v>102.6919</v>
      </c>
      <c r="E908" s="4">
        <f>673.085063138857 * CHOOSE(CONTROL!$C$9, $C$13, 100%, $E$13) + CHOOSE(CONTROL!$C$28, 0, 0)</f>
        <v>673.08506313885698</v>
      </c>
    </row>
    <row r="909" spans="1:5" ht="15">
      <c r="A909" s="13">
        <v>69549</v>
      </c>
      <c r="B909" s="4">
        <f>127.5444 * CHOOSE(CONTROL!$C$9, $C$13, 100%, $E$13) + CHOOSE(CONTROL!$C$28, 0.0197, 0)</f>
        <v>127.5641</v>
      </c>
      <c r="C909" s="4">
        <f>127.2319 * CHOOSE(CONTROL!$C$9, $C$13, 100%, $E$13) + CHOOSE(CONTROL!$C$28, 0.0197, 0)</f>
        <v>127.2516</v>
      </c>
      <c r="D909" s="4">
        <f>101.5543 * CHOOSE(CONTROL!$C$9, $C$13, 100%, $E$13) + CHOOSE(CONTROL!$C$28, 0, 0)</f>
        <v>101.5543</v>
      </c>
      <c r="E909" s="4">
        <f>689.202307126133 * CHOOSE(CONTROL!$C$9, $C$13, 100%, $E$13) + CHOOSE(CONTROL!$C$28, 0, 0)</f>
        <v>689.20230712613295</v>
      </c>
    </row>
    <row r="910" spans="1:5" ht="15">
      <c r="A910" s="13">
        <v>69579</v>
      </c>
      <c r="B910" s="4">
        <f>127.942 * CHOOSE(CONTROL!$C$9, $C$13, 100%, $E$13) + CHOOSE(CONTROL!$C$28, 0.0197, 0)</f>
        <v>127.96169999999999</v>
      </c>
      <c r="C910" s="4">
        <f>127.6295 * CHOOSE(CONTROL!$C$9, $C$13, 100%, $E$13) + CHOOSE(CONTROL!$C$28, 0.0197, 0)</f>
        <v>127.64919999999999</v>
      </c>
      <c r="D910" s="4">
        <f>102.4807 * CHOOSE(CONTROL!$C$9, $C$13, 100%, $E$13) + CHOOSE(CONTROL!$C$28, 0, 0)</f>
        <v>102.4807</v>
      </c>
      <c r="E910" s="4">
        <f>691.383037125548 * CHOOSE(CONTROL!$C$9, $C$13, 100%, $E$13) + CHOOSE(CONTROL!$C$28, 0, 0)</f>
        <v>691.38303712554796</v>
      </c>
    </row>
    <row r="911" spans="1:5" ht="15">
      <c r="A911" s="13">
        <v>69610</v>
      </c>
      <c r="B911" s="4">
        <f>127.9019 * CHOOSE(CONTROL!$C$9, $C$13, 100%, $E$13) + CHOOSE(CONTROL!$C$28, 0.0197, 0)</f>
        <v>127.9216</v>
      </c>
      <c r="C911" s="4">
        <f>127.5894 * CHOOSE(CONTROL!$C$9, $C$13, 100%, $E$13) + CHOOSE(CONTROL!$C$28, 0.0197, 0)</f>
        <v>127.6091</v>
      </c>
      <c r="D911" s="4">
        <f>104.1525 * CHOOSE(CONTROL!$C$9, $C$13, 100%, $E$13) + CHOOSE(CONTROL!$C$28, 0, 0)</f>
        <v>104.1525</v>
      </c>
      <c r="E911" s="4">
        <f>691.163131579388 * CHOOSE(CONTROL!$C$9, $C$13, 100%, $E$13) + CHOOSE(CONTROL!$C$28, 0, 0)</f>
        <v>691.16313157938805</v>
      </c>
    </row>
    <row r="912" spans="1:5" ht="15">
      <c r="A912" s="13">
        <v>69641</v>
      </c>
      <c r="B912" s="4">
        <f>130.9193 * CHOOSE(CONTROL!$C$9, $C$13, 100%, $E$13) + CHOOSE(CONTROL!$C$28, 0.0197, 0)</f>
        <v>130.93899999999999</v>
      </c>
      <c r="C912" s="4">
        <f>130.6068 * CHOOSE(CONTROL!$C$9, $C$13, 100%, $E$13) + CHOOSE(CONTROL!$C$28, 0.0197, 0)</f>
        <v>130.62649999999999</v>
      </c>
      <c r="D912" s="4">
        <f>103.0484 * CHOOSE(CONTROL!$C$9, $C$13, 100%, $E$13) + CHOOSE(CONTROL!$C$28, 0, 0)</f>
        <v>103.0484</v>
      </c>
      <c r="E912" s="4">
        <f>707.711023927892 * CHOOSE(CONTROL!$C$9, $C$13, 100%, $E$13) + CHOOSE(CONTROL!$C$28, 0, 0)</f>
        <v>707.71102392789203</v>
      </c>
    </row>
    <row r="913" spans="1:5" ht="15">
      <c r="A913" s="13">
        <v>69671</v>
      </c>
      <c r="B913" s="4">
        <f>125.7768 * CHOOSE(CONTROL!$C$9, $C$13, 100%, $E$13) + CHOOSE(CONTROL!$C$28, 0.0197, 0)</f>
        <v>125.79649999999999</v>
      </c>
      <c r="C913" s="4">
        <f>125.4643 * CHOOSE(CONTROL!$C$9, $C$13, 100%, $E$13) + CHOOSE(CONTROL!$C$28, 0.0197, 0)</f>
        <v>125.48399999999999</v>
      </c>
      <c r="D913" s="4">
        <f>102.5268 * CHOOSE(CONTROL!$C$9, $C$13, 100%, $E$13) + CHOOSE(CONTROL!$C$28, 0, 0)</f>
        <v>102.52679999999999</v>
      </c>
      <c r="E913" s="4">
        <f>679.508137632934 * CHOOSE(CONTROL!$C$9, $C$13, 100%, $E$13) + CHOOSE(CONTROL!$C$28, 0, 0)</f>
        <v>679.50813763293399</v>
      </c>
    </row>
    <row r="914" spans="1:5" ht="15">
      <c r="A914" s="13">
        <v>69702</v>
      </c>
      <c r="B914" s="4">
        <f>121.6601 * CHOOSE(CONTROL!$C$9, $C$13, 100%, $E$13) + CHOOSE(CONTROL!$C$28, 0.0003, 0)</f>
        <v>121.6604</v>
      </c>
      <c r="C914" s="4">
        <f>121.3476 * CHOOSE(CONTROL!$C$9, $C$13, 100%, $E$13) + CHOOSE(CONTROL!$C$28, 0.0003, 0)</f>
        <v>121.3479</v>
      </c>
      <c r="D914" s="4">
        <f>101.1302 * CHOOSE(CONTROL!$C$9, $C$13, 100%, $E$13) + CHOOSE(CONTROL!$C$28, 0, 0)</f>
        <v>101.1302</v>
      </c>
      <c r="E914" s="4">
        <f>656.931168227222 * CHOOSE(CONTROL!$C$9, $C$13, 100%, $E$13) + CHOOSE(CONTROL!$C$28, 0, 0)</f>
        <v>656.93116822722197</v>
      </c>
    </row>
    <row r="915" spans="1:5" ht="15">
      <c r="A915" s="13">
        <v>69732</v>
      </c>
      <c r="B915" s="4">
        <f>119.0086 * CHOOSE(CONTROL!$C$9, $C$13, 100%, $E$13) + CHOOSE(CONTROL!$C$28, 0.0003, 0)</f>
        <v>119.0089</v>
      </c>
      <c r="C915" s="4">
        <f>118.6961 * CHOOSE(CONTROL!$C$9, $C$13, 100%, $E$13) + CHOOSE(CONTROL!$C$28, 0.0003, 0)</f>
        <v>118.6964</v>
      </c>
      <c r="D915" s="4">
        <f>100.65 * CHOOSE(CONTROL!$C$9, $C$13, 100%, $E$13) + CHOOSE(CONTROL!$C$28, 0, 0)</f>
        <v>100.65</v>
      </c>
      <c r="E915" s="4">
        <f>642.389913987423 * CHOOSE(CONTROL!$C$9, $C$13, 100%, $E$13) + CHOOSE(CONTROL!$C$28, 0, 0)</f>
        <v>642.38991398742303</v>
      </c>
    </row>
    <row r="916" spans="1:5" ht="15">
      <c r="A916" s="13">
        <v>69763</v>
      </c>
      <c r="B916" s="4">
        <f>117.1741 * CHOOSE(CONTROL!$C$9, $C$13, 100%, $E$13) + CHOOSE(CONTROL!$C$28, 0.0003, 0)</f>
        <v>117.17439999999999</v>
      </c>
      <c r="C916" s="4">
        <f>116.8616 * CHOOSE(CONTROL!$C$9, $C$13, 100%, $E$13) + CHOOSE(CONTROL!$C$28, 0.0003, 0)</f>
        <v>116.86189999999999</v>
      </c>
      <c r="D916" s="4">
        <f>97.115 * CHOOSE(CONTROL!$C$9, $C$13, 100%, $E$13) + CHOOSE(CONTROL!$C$28, 0, 0)</f>
        <v>97.114999999999995</v>
      </c>
      <c r="E916" s="4">
        <f>632.329235250625 * CHOOSE(CONTROL!$C$9, $C$13, 100%, $E$13) + CHOOSE(CONTROL!$C$28, 0, 0)</f>
        <v>632.32923525062495</v>
      </c>
    </row>
    <row r="917" spans="1:5" ht="15">
      <c r="A917" s="13">
        <v>69794</v>
      </c>
      <c r="B917" s="4">
        <f>114.1935 * CHOOSE(CONTROL!$C$9, $C$13, 100%, $E$13) + CHOOSE(CONTROL!$C$28, 0.0003, 0)</f>
        <v>114.1938</v>
      </c>
      <c r="C917" s="4">
        <f>113.881 * CHOOSE(CONTROL!$C$9, $C$13, 100%, $E$13) + CHOOSE(CONTROL!$C$28, 0.0003, 0)</f>
        <v>113.8813</v>
      </c>
      <c r="D917" s="4">
        <f>93.866 * CHOOSE(CONTROL!$C$9, $C$13, 100%, $E$13) + CHOOSE(CONTROL!$C$28, 0, 0)</f>
        <v>93.866</v>
      </c>
      <c r="E917" s="4">
        <f>614.196442398659 * CHOOSE(CONTROL!$C$9, $C$13, 100%, $E$13) + CHOOSE(CONTROL!$C$28, 0, 0)</f>
        <v>614.19644239865897</v>
      </c>
    </row>
    <row r="918" spans="1:5" ht="15">
      <c r="A918" s="13">
        <v>69822</v>
      </c>
      <c r="B918" s="4">
        <f>116.8604 * CHOOSE(CONTROL!$C$9, $C$13, 100%, $E$13) + CHOOSE(CONTROL!$C$28, 0.0003, 0)</f>
        <v>116.86069999999999</v>
      </c>
      <c r="C918" s="4">
        <f>116.5479 * CHOOSE(CONTROL!$C$9, $C$13, 100%, $E$13) + CHOOSE(CONTROL!$C$28, 0.0003, 0)</f>
        <v>116.54819999999999</v>
      </c>
      <c r="D918" s="4">
        <f>97.1378 * CHOOSE(CONTROL!$C$9, $C$13, 100%, $E$13) + CHOOSE(CONTROL!$C$28, 0, 0)</f>
        <v>97.137799999999999</v>
      </c>
      <c r="E918" s="4">
        <f>628.779886433762 * CHOOSE(CONTROL!$C$9, $C$13, 100%, $E$13) + CHOOSE(CONTROL!$C$28, 0, 0)</f>
        <v>628.77988643376204</v>
      </c>
    </row>
    <row r="919" spans="1:5" ht="15">
      <c r="A919" s="13">
        <v>69853</v>
      </c>
      <c r="B919" s="4">
        <f>123.8638 * CHOOSE(CONTROL!$C$9, $C$13, 100%, $E$13) + CHOOSE(CONTROL!$C$28, 0.0003, 0)</f>
        <v>123.86409999999999</v>
      </c>
      <c r="C919" s="4">
        <f>123.5513 * CHOOSE(CONTROL!$C$9, $C$13, 100%, $E$13) + CHOOSE(CONTROL!$C$28, 0.0003, 0)</f>
        <v>123.55159999999999</v>
      </c>
      <c r="D919" s="4">
        <f>102.2595 * CHOOSE(CONTROL!$C$9, $C$13, 100%, $E$13) + CHOOSE(CONTROL!$C$28, 0, 0)</f>
        <v>102.2595</v>
      </c>
      <c r="E919" s="4">
        <f>667.076785481225 * CHOOSE(CONTROL!$C$9, $C$13, 100%, $E$13) + CHOOSE(CONTROL!$C$28, 0, 0)</f>
        <v>667.07678548122499</v>
      </c>
    </row>
    <row r="920" spans="1:5" ht="15">
      <c r="A920" s="13">
        <v>69883</v>
      </c>
      <c r="B920" s="4">
        <f>128.8398 * CHOOSE(CONTROL!$C$9, $C$13, 100%, $E$13) + CHOOSE(CONTROL!$C$28, 0.0003, 0)</f>
        <v>128.84010000000001</v>
      </c>
      <c r="C920" s="4">
        <f>128.5273 * CHOOSE(CONTROL!$C$9, $C$13, 100%, $E$13) + CHOOSE(CONTROL!$C$28, 0.0003, 0)</f>
        <v>128.52760000000001</v>
      </c>
      <c r="D920" s="4">
        <f>105.2097 * CHOOSE(CONTROL!$C$9, $C$13, 100%, $E$13) + CHOOSE(CONTROL!$C$28, 0, 0)</f>
        <v>105.2097</v>
      </c>
      <c r="E920" s="4">
        <f>694.287242627731 * CHOOSE(CONTROL!$C$9, $C$13, 100%, $E$13) + CHOOSE(CONTROL!$C$28, 0, 0)</f>
        <v>694.28724262773096</v>
      </c>
    </row>
    <row r="921" spans="1:5" ht="15">
      <c r="A921" s="13">
        <v>69914</v>
      </c>
      <c r="B921" s="4">
        <f>131.88 * CHOOSE(CONTROL!$C$9, $C$13, 100%, $E$13) + CHOOSE(CONTROL!$C$28, 0.0197, 0)</f>
        <v>131.8997</v>
      </c>
      <c r="C921" s="4">
        <f>131.5675 * CHOOSE(CONTROL!$C$9, $C$13, 100%, $E$13) + CHOOSE(CONTROL!$C$28, 0.0197, 0)</f>
        <v>131.5872</v>
      </c>
      <c r="D921" s="4">
        <f>104.0439 * CHOOSE(CONTROL!$C$9, $C$13, 100%, $E$13) + CHOOSE(CONTROL!$C$28, 0, 0)</f>
        <v>104.04389999999999</v>
      </c>
      <c r="E921" s="4">
        <f>710.912179800606 * CHOOSE(CONTROL!$C$9, $C$13, 100%, $E$13) + CHOOSE(CONTROL!$C$28, 0, 0)</f>
        <v>710.91217980060605</v>
      </c>
    </row>
    <row r="922" spans="1:5" ht="15">
      <c r="A922" s="13">
        <v>69944</v>
      </c>
      <c r="B922" s="4">
        <f>132.2913 * CHOOSE(CONTROL!$C$9, $C$13, 100%, $E$13) + CHOOSE(CONTROL!$C$28, 0.0197, 0)</f>
        <v>132.31100000000001</v>
      </c>
      <c r="C922" s="4">
        <f>131.9788 * CHOOSE(CONTROL!$C$9, $C$13, 100%, $E$13) + CHOOSE(CONTROL!$C$28, 0.0197, 0)</f>
        <v>131.99850000000001</v>
      </c>
      <c r="D922" s="4">
        <f>104.9934 * CHOOSE(CONTROL!$C$9, $C$13, 100%, $E$13) + CHOOSE(CONTROL!$C$28, 0, 0)</f>
        <v>104.99339999999999</v>
      </c>
      <c r="E922" s="4">
        <f>713.161602795002 * CHOOSE(CONTROL!$C$9, $C$13, 100%, $E$13) + CHOOSE(CONTROL!$C$28, 0, 0)</f>
        <v>713.16160279500195</v>
      </c>
    </row>
    <row r="923" spans="1:5" ht="15">
      <c r="A923" s="13">
        <v>69975</v>
      </c>
      <c r="B923" s="4">
        <f>132.2499 * CHOOSE(CONTROL!$C$9, $C$13, 100%, $E$13) + CHOOSE(CONTROL!$C$28, 0.0197, 0)</f>
        <v>132.2696</v>
      </c>
      <c r="C923" s="4">
        <f>131.9374 * CHOOSE(CONTROL!$C$9, $C$13, 100%, $E$13) + CHOOSE(CONTROL!$C$28, 0.0197, 0)</f>
        <v>131.9571</v>
      </c>
      <c r="D923" s="4">
        <f>106.7065 * CHOOSE(CONTROL!$C$9, $C$13, 100%, $E$13) + CHOOSE(CONTROL!$C$28, 0, 0)</f>
        <v>106.70650000000001</v>
      </c>
      <c r="E923" s="4">
        <f>712.934770224139 * CHOOSE(CONTROL!$C$9, $C$13, 100%, $E$13) + CHOOSE(CONTROL!$C$28, 0, 0)</f>
        <v>712.93477022413902</v>
      </c>
    </row>
    <row r="924" spans="1:5" ht="15">
      <c r="A924" s="13">
        <v>70006</v>
      </c>
      <c r="B924" s="4">
        <f>135.3713 * CHOOSE(CONTROL!$C$9, $C$13, 100%, $E$13) + CHOOSE(CONTROL!$C$28, 0.0197, 0)</f>
        <v>135.39099999999999</v>
      </c>
      <c r="C924" s="4">
        <f>135.0588 * CHOOSE(CONTROL!$C$9, $C$13, 100%, $E$13) + CHOOSE(CONTROL!$C$28, 0.0197, 0)</f>
        <v>135.07849999999999</v>
      </c>
      <c r="D924" s="4">
        <f>105.5751 * CHOOSE(CONTROL!$C$9, $C$13, 100%, $E$13) + CHOOSE(CONTROL!$C$28, 0, 0)</f>
        <v>105.57510000000001</v>
      </c>
      <c r="E924" s="4">
        <f>730.003921181621 * CHOOSE(CONTROL!$C$9, $C$13, 100%, $E$13) + CHOOSE(CONTROL!$C$28, 0, 0)</f>
        <v>730.00392118162097</v>
      </c>
    </row>
    <row r="925" spans="1:5" ht="15">
      <c r="A925" s="13">
        <v>70036</v>
      </c>
      <c r="B925" s="4">
        <f>130.0514 * CHOOSE(CONTROL!$C$9, $C$13, 100%, $E$13) + CHOOSE(CONTROL!$C$28, 0.0197, 0)</f>
        <v>130.0711</v>
      </c>
      <c r="C925" s="4">
        <f>129.7389 * CHOOSE(CONTROL!$C$9, $C$13, 100%, $E$13) + CHOOSE(CONTROL!$C$28, 0.0197, 0)</f>
        <v>129.7586</v>
      </c>
      <c r="D925" s="4">
        <f>105.0406 * CHOOSE(CONTROL!$C$9, $C$13, 100%, $E$13) + CHOOSE(CONTROL!$C$28, 0, 0)</f>
        <v>105.0406</v>
      </c>
      <c r="E925" s="4">
        <f>700.912643968371 * CHOOSE(CONTROL!$C$9, $C$13, 100%, $E$13) + CHOOSE(CONTROL!$C$28, 0, 0)</f>
        <v>700.91264396837096</v>
      </c>
    </row>
    <row r="926" spans="1:5" ht="15">
      <c r="A926" s="13">
        <v>70067</v>
      </c>
      <c r="B926" s="4">
        <f>125.7927 * CHOOSE(CONTROL!$C$9, $C$13, 100%, $E$13) + CHOOSE(CONTROL!$C$28, 0.0003, 0)</f>
        <v>125.79299999999999</v>
      </c>
      <c r="C926" s="4">
        <f>125.4802 * CHOOSE(CONTROL!$C$9, $C$13, 100%, $E$13) + CHOOSE(CONTROL!$C$28, 0.0003, 0)</f>
        <v>125.48049999999999</v>
      </c>
      <c r="D926" s="4">
        <f>103.6093 * CHOOSE(CONTROL!$C$9, $C$13, 100%, $E$13) + CHOOSE(CONTROL!$C$28, 0, 0)</f>
        <v>103.6093</v>
      </c>
      <c r="E926" s="4">
        <f>677.62450002638 * CHOOSE(CONTROL!$C$9, $C$13, 100%, $E$13) + CHOOSE(CONTROL!$C$28, 0, 0)</f>
        <v>677.62450002638002</v>
      </c>
    </row>
    <row r="927" spans="1:5" ht="15">
      <c r="A927" s="13">
        <v>70097</v>
      </c>
      <c r="B927" s="4">
        <f>123.0497 * CHOOSE(CONTROL!$C$9, $C$13, 100%, $E$13) + CHOOSE(CONTROL!$C$28, 0.0003, 0)</f>
        <v>123.05</v>
      </c>
      <c r="C927" s="4">
        <f>122.7372 * CHOOSE(CONTROL!$C$9, $C$13, 100%, $E$13) + CHOOSE(CONTROL!$C$28, 0.0003, 0)</f>
        <v>122.7375</v>
      </c>
      <c r="D927" s="4">
        <f>103.1172 * CHOOSE(CONTROL!$C$9, $C$13, 100%, $E$13) + CHOOSE(CONTROL!$C$28, 0, 0)</f>
        <v>103.1172</v>
      </c>
      <c r="E927" s="4">
        <f>662.625196278027 * CHOOSE(CONTROL!$C$9, $C$13, 100%, $E$13) + CHOOSE(CONTROL!$C$28, 0, 0)</f>
        <v>662.62519627802703</v>
      </c>
    </row>
    <row r="928" spans="1:5" ht="15">
      <c r="A928" s="13">
        <v>70128</v>
      </c>
      <c r="B928" s="4">
        <f>121.152 * CHOOSE(CONTROL!$C$9, $C$13, 100%, $E$13) + CHOOSE(CONTROL!$C$28, 0.0003, 0)</f>
        <v>121.1523</v>
      </c>
      <c r="C928" s="4">
        <f>120.8395 * CHOOSE(CONTROL!$C$9, $C$13, 100%, $E$13) + CHOOSE(CONTROL!$C$28, 0.0003, 0)</f>
        <v>120.8398</v>
      </c>
      <c r="D928" s="4">
        <f>99.4945 * CHOOSE(CONTROL!$C$9, $C$13, 100%, $E$13) + CHOOSE(CONTROL!$C$28, 0, 0)</f>
        <v>99.494500000000002</v>
      </c>
      <c r="E928" s="4">
        <f>652.24760616102 * CHOOSE(CONTROL!$C$9, $C$13, 100%, $E$13) + CHOOSE(CONTROL!$C$28, 0, 0)</f>
        <v>652.24760616102003</v>
      </c>
    </row>
    <row r="929" spans="1:5" ht="15">
      <c r="A929" s="13">
        <v>70159</v>
      </c>
      <c r="B929" s="4">
        <f>118.0685 * CHOOSE(CONTROL!$C$9, $C$13, 100%, $E$13) + CHOOSE(CONTROL!$C$28, 0.0003, 0)</f>
        <v>118.0688</v>
      </c>
      <c r="C929" s="4">
        <f>117.756 * CHOOSE(CONTROL!$C$9, $C$13, 100%, $E$13) + CHOOSE(CONTROL!$C$28, 0.0003, 0)</f>
        <v>117.7563</v>
      </c>
      <c r="D929" s="4">
        <f>96.165 * CHOOSE(CONTROL!$C$9, $C$13, 100%, $E$13) + CHOOSE(CONTROL!$C$28, 0, 0)</f>
        <v>96.165000000000006</v>
      </c>
      <c r="E929" s="4">
        <f>633.543630334217 * CHOOSE(CONTROL!$C$9, $C$13, 100%, $E$13) + CHOOSE(CONTROL!$C$28, 0, 0)</f>
        <v>633.54363033421703</v>
      </c>
    </row>
    <row r="930" spans="1:5" ht="15">
      <c r="A930" s="13">
        <v>70188</v>
      </c>
      <c r="B930" s="4">
        <f>120.8274 * CHOOSE(CONTROL!$C$9, $C$13, 100%, $E$13) + CHOOSE(CONTROL!$C$28, 0.0003, 0)</f>
        <v>120.82769999999999</v>
      </c>
      <c r="C930" s="4">
        <f>120.5149 * CHOOSE(CONTROL!$C$9, $C$13, 100%, $E$13) + CHOOSE(CONTROL!$C$28, 0.0003, 0)</f>
        <v>120.51519999999999</v>
      </c>
      <c r="D930" s="4">
        <f>99.5179 * CHOOSE(CONTROL!$C$9, $C$13, 100%, $E$13) + CHOOSE(CONTROL!$C$28, 0, 0)</f>
        <v>99.517899999999997</v>
      </c>
      <c r="E930" s="4">
        <f>648.586452856425 * CHOOSE(CONTROL!$C$9, $C$13, 100%, $E$13) + CHOOSE(CONTROL!$C$28, 0, 0)</f>
        <v>648.58645285642501</v>
      </c>
    </row>
    <row r="931" spans="1:5" ht="15">
      <c r="A931" s="13">
        <v>70219</v>
      </c>
      <c r="B931" s="4">
        <f>128.0724 * CHOOSE(CONTROL!$C$9, $C$13, 100%, $E$13) + CHOOSE(CONTROL!$C$28, 0.0003, 0)</f>
        <v>128.0727</v>
      </c>
      <c r="C931" s="4">
        <f>127.7599 * CHOOSE(CONTROL!$C$9, $C$13, 100%, $E$13) + CHOOSE(CONTROL!$C$28, 0.0003, 0)</f>
        <v>127.7602</v>
      </c>
      <c r="D931" s="4">
        <f>104.7666 * CHOOSE(CONTROL!$C$9, $C$13, 100%, $E$13) + CHOOSE(CONTROL!$C$28, 0, 0)</f>
        <v>104.7666</v>
      </c>
      <c r="E931" s="4">
        <f>688.089704223883 * CHOOSE(CONTROL!$C$9, $C$13, 100%, $E$13) + CHOOSE(CONTROL!$C$28, 0, 0)</f>
        <v>688.08970422388302</v>
      </c>
    </row>
    <row r="932" spans="1:5" ht="15">
      <c r="A932" s="13">
        <v>70249</v>
      </c>
      <c r="B932" s="4">
        <f>133.2201 * CHOOSE(CONTROL!$C$9, $C$13, 100%, $E$13) + CHOOSE(CONTROL!$C$28, 0.0003, 0)</f>
        <v>133.22040000000001</v>
      </c>
      <c r="C932" s="4">
        <f>132.9076 * CHOOSE(CONTROL!$C$9, $C$13, 100%, $E$13) + CHOOSE(CONTROL!$C$28, 0.0003, 0)</f>
        <v>132.90790000000001</v>
      </c>
      <c r="D932" s="4">
        <f>107.79 * CHOOSE(CONTROL!$C$9, $C$13, 100%, $E$13) + CHOOSE(CONTROL!$C$28, 0, 0)</f>
        <v>107.79</v>
      </c>
      <c r="E932" s="4">
        <f>716.157290770505 * CHOOSE(CONTROL!$C$9, $C$13, 100%, $E$13) + CHOOSE(CONTROL!$C$28, 0, 0)</f>
        <v>716.15729077050503</v>
      </c>
    </row>
    <row r="933" spans="1:5" ht="15">
      <c r="A933" s="13">
        <v>70280</v>
      </c>
      <c r="B933" s="4">
        <f>136.3652 * CHOOSE(CONTROL!$C$9, $C$13, 100%, $E$13) + CHOOSE(CONTROL!$C$28, 0.0197, 0)</f>
        <v>136.38489999999999</v>
      </c>
      <c r="C933" s="4">
        <f>136.0527 * CHOOSE(CONTROL!$C$9, $C$13, 100%, $E$13) + CHOOSE(CONTROL!$C$28, 0.0197, 0)</f>
        <v>136.07239999999999</v>
      </c>
      <c r="D933" s="4">
        <f>106.5953 * CHOOSE(CONTROL!$C$9, $C$13, 100%, $E$13) + CHOOSE(CONTROL!$C$28, 0, 0)</f>
        <v>106.59529999999999</v>
      </c>
      <c r="E933" s="4">
        <f>733.305913464325 * CHOOSE(CONTROL!$C$9, $C$13, 100%, $E$13) + CHOOSE(CONTROL!$C$28, 0, 0)</f>
        <v>733.30591346432504</v>
      </c>
    </row>
    <row r="934" spans="1:5" ht="15">
      <c r="A934" s="13">
        <v>70310</v>
      </c>
      <c r="B934" s="4">
        <f>136.7907 * CHOOSE(CONTROL!$C$9, $C$13, 100%, $E$13) + CHOOSE(CONTROL!$C$28, 0.0197, 0)</f>
        <v>136.81039999999999</v>
      </c>
      <c r="C934" s="4">
        <f>136.4782 * CHOOSE(CONTROL!$C$9, $C$13, 100%, $E$13) + CHOOSE(CONTROL!$C$28, 0.0197, 0)</f>
        <v>136.49789999999999</v>
      </c>
      <c r="D934" s="4">
        <f>107.5683 * CHOOSE(CONTROL!$C$9, $C$13, 100%, $E$13) + CHOOSE(CONTROL!$C$28, 0, 0)</f>
        <v>107.56829999999999</v>
      </c>
      <c r="E934" s="4">
        <f>735.626193283045 * CHOOSE(CONTROL!$C$9, $C$13, 100%, $E$13) + CHOOSE(CONTROL!$C$28, 0, 0)</f>
        <v>735.62619328304504</v>
      </c>
    </row>
    <row r="935" spans="1:5" ht="15">
      <c r="A935" s="13">
        <v>70341</v>
      </c>
      <c r="B935" s="4">
        <f>136.7478 * CHOOSE(CONTROL!$C$9, $C$13, 100%, $E$13) + CHOOSE(CONTROL!$C$28, 0.0197, 0)</f>
        <v>136.76750000000001</v>
      </c>
      <c r="C935" s="4">
        <f>136.4353 * CHOOSE(CONTROL!$C$9, $C$13, 100%, $E$13) + CHOOSE(CONTROL!$C$28, 0.0197, 0)</f>
        <v>136.45500000000001</v>
      </c>
      <c r="D935" s="4">
        <f>109.324 * CHOOSE(CONTROL!$C$9, $C$13, 100%, $E$13) + CHOOSE(CONTROL!$C$28, 0, 0)</f>
        <v>109.324</v>
      </c>
      <c r="E935" s="4">
        <f>735.392215486199 * CHOOSE(CONTROL!$C$9, $C$13, 100%, $E$13) + CHOOSE(CONTROL!$C$28, 0, 0)</f>
        <v>735.39221548619901</v>
      </c>
    </row>
    <row r="936" spans="1:5" ht="15">
      <c r="A936" s="13">
        <v>70372</v>
      </c>
      <c r="B936" s="4">
        <f>139.9769 * CHOOSE(CONTROL!$C$9, $C$13, 100%, $E$13) + CHOOSE(CONTROL!$C$28, 0.0197, 0)</f>
        <v>139.9966</v>
      </c>
      <c r="C936" s="4">
        <f>139.6644 * CHOOSE(CONTROL!$C$9, $C$13, 100%, $E$13) + CHOOSE(CONTROL!$C$28, 0.0197, 0)</f>
        <v>139.6841</v>
      </c>
      <c r="D936" s="4">
        <f>108.1645 * CHOOSE(CONTROL!$C$9, $C$13, 100%, $E$13) + CHOOSE(CONTROL!$C$28, 0, 0)</f>
        <v>108.1645</v>
      </c>
      <c r="E936" s="4">
        <f>752.999044698842 * CHOOSE(CONTROL!$C$9, $C$13, 100%, $E$13) + CHOOSE(CONTROL!$C$28, 0, 0)</f>
        <v>752.999044698842</v>
      </c>
    </row>
    <row r="937" spans="1:5" ht="15">
      <c r="A937" s="13">
        <v>70402</v>
      </c>
      <c r="B937" s="4">
        <f>134.4735 * CHOOSE(CONTROL!$C$9, $C$13, 100%, $E$13) + CHOOSE(CONTROL!$C$28, 0.0197, 0)</f>
        <v>134.4932</v>
      </c>
      <c r="C937" s="4">
        <f>134.161 * CHOOSE(CONTROL!$C$9, $C$13, 100%, $E$13) + CHOOSE(CONTROL!$C$28, 0.0197, 0)</f>
        <v>134.1807</v>
      </c>
      <c r="D937" s="4">
        <f>107.6167 * CHOOSE(CONTROL!$C$9, $C$13, 100%, $E$13) + CHOOSE(CONTROL!$C$28, 0, 0)</f>
        <v>107.61669999999999</v>
      </c>
      <c r="E937" s="4">
        <f>722.991392253375 * CHOOSE(CONTROL!$C$9, $C$13, 100%, $E$13) + CHOOSE(CONTROL!$C$28, 0, 0)</f>
        <v>722.99139225337501</v>
      </c>
    </row>
    <row r="938" spans="1:5" ht="15">
      <c r="A938" s="13">
        <v>70433</v>
      </c>
      <c r="B938" s="4">
        <f>130.0678 * CHOOSE(CONTROL!$C$9, $C$13, 100%, $E$13) + CHOOSE(CONTROL!$C$28, 0.0003, 0)</f>
        <v>130.06810000000002</v>
      </c>
      <c r="C938" s="4">
        <f>129.7553 * CHOOSE(CONTROL!$C$9, $C$13, 100%, $E$13) + CHOOSE(CONTROL!$C$28, 0.0003, 0)</f>
        <v>129.75560000000002</v>
      </c>
      <c r="D938" s="4">
        <f>106.1499 * CHOOSE(CONTROL!$C$9, $C$13, 100%, $E$13) + CHOOSE(CONTROL!$C$28, 0, 0)</f>
        <v>106.1499</v>
      </c>
      <c r="E938" s="4">
        <f>698.969671777211 * CHOOSE(CONTROL!$C$9, $C$13, 100%, $E$13) + CHOOSE(CONTROL!$C$28, 0, 0)</f>
        <v>698.96967177721103</v>
      </c>
    </row>
    <row r="939" spans="1:5" ht="15">
      <c r="A939" s="13">
        <v>70463</v>
      </c>
      <c r="B939" s="4">
        <f>127.2303 * CHOOSE(CONTROL!$C$9, $C$13, 100%, $E$13) + CHOOSE(CONTROL!$C$28, 0.0003, 0)</f>
        <v>127.2306</v>
      </c>
      <c r="C939" s="4">
        <f>126.9178 * CHOOSE(CONTROL!$C$9, $C$13, 100%, $E$13) + CHOOSE(CONTROL!$C$28, 0.0003, 0)</f>
        <v>126.9181</v>
      </c>
      <c r="D939" s="4">
        <f>105.6456 * CHOOSE(CONTROL!$C$9, $C$13, 100%, $E$13) + CHOOSE(CONTROL!$C$28, 0, 0)</f>
        <v>105.6456</v>
      </c>
      <c r="E939" s="4">
        <f>683.497889960785 * CHOOSE(CONTROL!$C$9, $C$13, 100%, $E$13) + CHOOSE(CONTROL!$C$28, 0, 0)</f>
        <v>683.49788996078496</v>
      </c>
    </row>
    <row r="940" spans="1:5" ht="15">
      <c r="A940" s="13">
        <v>70494</v>
      </c>
      <c r="B940" s="4">
        <f>125.267 * CHOOSE(CONTROL!$C$9, $C$13, 100%, $E$13) + CHOOSE(CONTROL!$C$28, 0.0003, 0)</f>
        <v>125.26729999999999</v>
      </c>
      <c r="C940" s="4">
        <f>124.9545 * CHOOSE(CONTROL!$C$9, $C$13, 100%, $E$13) + CHOOSE(CONTROL!$C$28, 0.0003, 0)</f>
        <v>124.95479999999999</v>
      </c>
      <c r="D940" s="4">
        <f>101.9331 * CHOOSE(CONTROL!$C$9, $C$13, 100%, $E$13) + CHOOSE(CONTROL!$C$28, 0, 0)</f>
        <v>101.9331</v>
      </c>
      <c r="E940" s="4">
        <f>672.793405755092 * CHOOSE(CONTROL!$C$9, $C$13, 100%, $E$13) + CHOOSE(CONTROL!$C$28, 0, 0)</f>
        <v>672.79340575509195</v>
      </c>
    </row>
    <row r="941" spans="1:5" ht="15">
      <c r="A941" s="13">
        <v>70525</v>
      </c>
      <c r="B941" s="4">
        <f>122.0772 * CHOOSE(CONTROL!$C$9, $C$13, 100%, $E$13) + CHOOSE(CONTROL!$C$28, 0.0003, 0)</f>
        <v>122.0775</v>
      </c>
      <c r="C941" s="4">
        <f>121.7647 * CHOOSE(CONTROL!$C$9, $C$13, 100%, $E$13) + CHOOSE(CONTROL!$C$28, 0.0003, 0)</f>
        <v>121.765</v>
      </c>
      <c r="D941" s="4">
        <f>98.5209 * CHOOSE(CONTROL!$C$9, $C$13, 100%, $E$13) + CHOOSE(CONTROL!$C$28, 0, 0)</f>
        <v>98.520899999999997</v>
      </c>
      <c r="E941" s="4">
        <f>653.500254689745 * CHOOSE(CONTROL!$C$9, $C$13, 100%, $E$13) + CHOOSE(CONTROL!$C$28, 0, 0)</f>
        <v>653.50025468974502</v>
      </c>
    </row>
    <row r="942" spans="1:5" ht="15">
      <c r="A942" s="13">
        <v>70553</v>
      </c>
      <c r="B942" s="4">
        <f>124.9313 * CHOOSE(CONTROL!$C$9, $C$13, 100%, $E$13) + CHOOSE(CONTROL!$C$28, 0.0003, 0)</f>
        <v>124.93159999999999</v>
      </c>
      <c r="C942" s="4">
        <f>124.6188 * CHOOSE(CONTROL!$C$9, $C$13, 100%, $E$13) + CHOOSE(CONTROL!$C$28, 0.0003, 0)</f>
        <v>124.61909999999999</v>
      </c>
      <c r="D942" s="4">
        <f>101.957 * CHOOSE(CONTROL!$C$9, $C$13, 100%, $E$13) + CHOOSE(CONTROL!$C$28, 0, 0)</f>
        <v>101.95699999999999</v>
      </c>
      <c r="E942" s="4">
        <f>669.016926121403 * CHOOSE(CONTROL!$C$9, $C$13, 100%, $E$13) + CHOOSE(CONTROL!$C$28, 0, 0)</f>
        <v>669.016926121403</v>
      </c>
    </row>
    <row r="943" spans="1:5" ht="15">
      <c r="A943" s="13">
        <v>70584</v>
      </c>
      <c r="B943" s="4">
        <f>132.4262 * CHOOSE(CONTROL!$C$9, $C$13, 100%, $E$13) + CHOOSE(CONTROL!$C$28, 0.0003, 0)</f>
        <v>132.4265</v>
      </c>
      <c r="C943" s="4">
        <f>132.1137 * CHOOSE(CONTROL!$C$9, $C$13, 100%, $E$13) + CHOOSE(CONTROL!$C$28, 0.0003, 0)</f>
        <v>132.114</v>
      </c>
      <c r="D943" s="4">
        <f>107.3359 * CHOOSE(CONTROL!$C$9, $C$13, 100%, $E$13) + CHOOSE(CONTROL!$C$28, 0, 0)</f>
        <v>107.3359</v>
      </c>
      <c r="E943" s="4">
        <f>709.764529906935 * CHOOSE(CONTROL!$C$9, $C$13, 100%, $E$13) + CHOOSE(CONTROL!$C$28, 0, 0)</f>
        <v>709.76452990693497</v>
      </c>
    </row>
    <row r="944" spans="1:5" ht="15">
      <c r="A944" s="13">
        <v>70614</v>
      </c>
      <c r="B944" s="4">
        <f>137.7515 * CHOOSE(CONTROL!$C$9, $C$13, 100%, $E$13) + CHOOSE(CONTROL!$C$28, 0.0003, 0)</f>
        <v>137.7518</v>
      </c>
      <c r="C944" s="4">
        <f>137.439 * CHOOSE(CONTROL!$C$9, $C$13, 100%, $E$13) + CHOOSE(CONTROL!$C$28, 0.0003, 0)</f>
        <v>137.4393</v>
      </c>
      <c r="D944" s="4">
        <f>110.4343 * CHOOSE(CONTROL!$C$9, $C$13, 100%, $E$13) + CHOOSE(CONTROL!$C$28, 0, 0)</f>
        <v>110.43429999999999</v>
      </c>
      <c r="E944" s="4">
        <f>738.716245429776 * CHOOSE(CONTROL!$C$9, $C$13, 100%, $E$13) + CHOOSE(CONTROL!$C$28, 0, 0)</f>
        <v>738.716245429776</v>
      </c>
    </row>
    <row r="945" spans="1:5" ht="15">
      <c r="A945" s="13">
        <v>70645</v>
      </c>
      <c r="B945" s="4">
        <f>141.0051 * CHOOSE(CONTROL!$C$9, $C$13, 100%, $E$13) + CHOOSE(CONTROL!$C$28, 0.0197, 0)</f>
        <v>141.0248</v>
      </c>
      <c r="C945" s="4">
        <f>140.6926 * CHOOSE(CONTROL!$C$9, $C$13, 100%, $E$13) + CHOOSE(CONTROL!$C$28, 0.0197, 0)</f>
        <v>140.7123</v>
      </c>
      <c r="D945" s="4">
        <f>109.21 * CHOOSE(CONTROL!$C$9, $C$13, 100%, $E$13) + CHOOSE(CONTROL!$C$28, 0, 0)</f>
        <v>109.21</v>
      </c>
      <c r="E945" s="4">
        <f>756.405049738451 * CHOOSE(CONTROL!$C$9, $C$13, 100%, $E$13) + CHOOSE(CONTROL!$C$28, 0, 0)</f>
        <v>756.405049738451</v>
      </c>
    </row>
    <row r="946" spans="1:5" ht="15">
      <c r="A946" s="13">
        <v>70675</v>
      </c>
      <c r="B946" s="4">
        <f>141.4453 * CHOOSE(CONTROL!$C$9, $C$13, 100%, $E$13) + CHOOSE(CONTROL!$C$28, 0.0197, 0)</f>
        <v>141.465</v>
      </c>
      <c r="C946" s="4">
        <f>141.1328 * CHOOSE(CONTROL!$C$9, $C$13, 100%, $E$13) + CHOOSE(CONTROL!$C$28, 0.0197, 0)</f>
        <v>141.1525</v>
      </c>
      <c r="D946" s="4">
        <f>110.2071 * CHOOSE(CONTROL!$C$9, $C$13, 100%, $E$13) + CHOOSE(CONTROL!$C$28, 0, 0)</f>
        <v>110.2071</v>
      </c>
      <c r="E946" s="4">
        <f>758.798418371461 * CHOOSE(CONTROL!$C$9, $C$13, 100%, $E$13) + CHOOSE(CONTROL!$C$28, 0, 0)</f>
        <v>758.79841837146103</v>
      </c>
    </row>
    <row r="947" spans="1:5" ht="15">
      <c r="A947" s="13">
        <v>70706</v>
      </c>
      <c r="B947" s="4">
        <f>141.4009 * CHOOSE(CONTROL!$C$9, $C$13, 100%, $E$13) + CHOOSE(CONTROL!$C$28, 0.0197, 0)</f>
        <v>141.42060000000001</v>
      </c>
      <c r="C947" s="4">
        <f>141.0884 * CHOOSE(CONTROL!$C$9, $C$13, 100%, $E$13) + CHOOSE(CONTROL!$C$28, 0.0197, 0)</f>
        <v>141.10810000000001</v>
      </c>
      <c r="D947" s="4">
        <f>112.0063 * CHOOSE(CONTROL!$C$9, $C$13, 100%, $E$13) + CHOOSE(CONTROL!$C$28, 0, 0)</f>
        <v>112.0063</v>
      </c>
      <c r="E947" s="4">
        <f>758.557070274015 * CHOOSE(CONTROL!$C$9, $C$13, 100%, $E$13) + CHOOSE(CONTROL!$C$28, 0, 0)</f>
        <v>758.55707027401502</v>
      </c>
    </row>
    <row r="948" spans="1:5" ht="15">
      <c r="A948" s="13">
        <v>70737</v>
      </c>
      <c r="B948" s="4">
        <f>144.7415 * CHOOSE(CONTROL!$C$9, $C$13, 100%, $E$13) + CHOOSE(CONTROL!$C$28, 0.0197, 0)</f>
        <v>144.7612</v>
      </c>
      <c r="C948" s="4">
        <f>144.429 * CHOOSE(CONTROL!$C$9, $C$13, 100%, $E$13) + CHOOSE(CONTROL!$C$28, 0.0197, 0)</f>
        <v>144.4487</v>
      </c>
      <c r="D948" s="4">
        <f>110.8181 * CHOOSE(CONTROL!$C$9, $C$13, 100%, $E$13) + CHOOSE(CONTROL!$C$28, 0, 0)</f>
        <v>110.8181</v>
      </c>
      <c r="E948" s="4">
        <f>776.718514606856 * CHOOSE(CONTROL!$C$9, $C$13, 100%, $E$13) + CHOOSE(CONTROL!$C$28, 0, 0)</f>
        <v>776.71851460685605</v>
      </c>
    </row>
    <row r="949" spans="1:5" ht="15">
      <c r="A949" s="13">
        <v>70767</v>
      </c>
      <c r="B949" s="4">
        <f>139.0481 * CHOOSE(CONTROL!$C$9, $C$13, 100%, $E$13) + CHOOSE(CONTROL!$C$28, 0.0197, 0)</f>
        <v>139.06780000000001</v>
      </c>
      <c r="C949" s="4">
        <f>138.7356 * CHOOSE(CONTROL!$C$9, $C$13, 100%, $E$13) + CHOOSE(CONTROL!$C$28, 0.0197, 0)</f>
        <v>138.75530000000001</v>
      </c>
      <c r="D949" s="4">
        <f>110.2567 * CHOOSE(CONTROL!$C$9, $C$13, 100%, $E$13) + CHOOSE(CONTROL!$C$28, 0, 0)</f>
        <v>110.2567</v>
      </c>
      <c r="E949" s="4">
        <f>745.765621109356 * CHOOSE(CONTROL!$C$9, $C$13, 100%, $E$13) + CHOOSE(CONTROL!$C$28, 0, 0)</f>
        <v>745.76562110935595</v>
      </c>
    </row>
    <row r="950" spans="1:5" ht="15">
      <c r="A950" s="13">
        <v>70798</v>
      </c>
      <c r="B950" s="4">
        <f>134.4905 * CHOOSE(CONTROL!$C$9, $C$13, 100%, $E$13) + CHOOSE(CONTROL!$C$28, 0.0003, 0)</f>
        <v>134.49080000000001</v>
      </c>
      <c r="C950" s="4">
        <f>134.178 * CHOOSE(CONTROL!$C$9, $C$13, 100%, $E$13) + CHOOSE(CONTROL!$C$28, 0.0003, 0)</f>
        <v>134.17830000000001</v>
      </c>
      <c r="D950" s="4">
        <f>108.7535 * CHOOSE(CONTROL!$C$9, $C$13, 100%, $E$13) + CHOOSE(CONTROL!$C$28, 0, 0)</f>
        <v>108.7535</v>
      </c>
      <c r="E950" s="4">
        <f>720.987216438193 * CHOOSE(CONTROL!$C$9, $C$13, 100%, $E$13) + CHOOSE(CONTROL!$C$28, 0, 0)</f>
        <v>720.98721643819295</v>
      </c>
    </row>
    <row r="951" spans="1:5" ht="15">
      <c r="A951" s="13">
        <v>70828</v>
      </c>
      <c r="B951" s="4">
        <f>131.555 * CHOOSE(CONTROL!$C$9, $C$13, 100%, $E$13) + CHOOSE(CONTROL!$C$28, 0.0003, 0)</f>
        <v>131.55530000000002</v>
      </c>
      <c r="C951" s="4">
        <f>131.2425 * CHOOSE(CONTROL!$C$9, $C$13, 100%, $E$13) + CHOOSE(CONTROL!$C$28, 0.0003, 0)</f>
        <v>131.24280000000002</v>
      </c>
      <c r="D951" s="4">
        <f>108.2368 * CHOOSE(CONTROL!$C$9, $C$13, 100%, $E$13) + CHOOSE(CONTROL!$C$28, 0, 0)</f>
        <v>108.2368</v>
      </c>
      <c r="E951" s="4">
        <f>705.02807349455 * CHOOSE(CONTROL!$C$9, $C$13, 100%, $E$13) + CHOOSE(CONTROL!$C$28, 0, 0)</f>
        <v>705.02807349454997</v>
      </c>
    </row>
    <row r="952" spans="1:5" ht="15">
      <c r="A952" s="13">
        <v>70859</v>
      </c>
      <c r="B952" s="4">
        <f>129.524 * CHOOSE(CONTROL!$C$9, $C$13, 100%, $E$13) + CHOOSE(CONTROL!$C$28, 0.0003, 0)</f>
        <v>129.52430000000001</v>
      </c>
      <c r="C952" s="4">
        <f>129.2115 * CHOOSE(CONTROL!$C$9, $C$13, 100%, $E$13) + CHOOSE(CONTROL!$C$28, 0.0003, 0)</f>
        <v>129.21180000000001</v>
      </c>
      <c r="D952" s="4">
        <f>104.4321 * CHOOSE(CONTROL!$C$9, $C$13, 100%, $E$13) + CHOOSE(CONTROL!$C$28, 0, 0)</f>
        <v>104.43210000000001</v>
      </c>
      <c r="E952" s="4">
        <f>693.986398036378 * CHOOSE(CONTROL!$C$9, $C$13, 100%, $E$13) + CHOOSE(CONTROL!$C$28, 0, 0)</f>
        <v>693.98639803637798</v>
      </c>
    </row>
    <row r="953" spans="1:5" ht="15">
      <c r="A953" s="13">
        <v>70890</v>
      </c>
      <c r="B953" s="4">
        <f>126.2242 * CHOOSE(CONTROL!$C$9, $C$13, 100%, $E$13) + CHOOSE(CONTROL!$C$28, 0.0003, 0)</f>
        <v>126.22449999999999</v>
      </c>
      <c r="C953" s="4">
        <f>125.9117 * CHOOSE(CONTROL!$C$9, $C$13, 100%, $E$13) + CHOOSE(CONTROL!$C$28, 0.0003, 0)</f>
        <v>125.91199999999999</v>
      </c>
      <c r="D953" s="4">
        <f>100.9354 * CHOOSE(CONTROL!$C$9, $C$13, 100%, $E$13) + CHOOSE(CONTROL!$C$28, 0, 0)</f>
        <v>100.9354</v>
      </c>
      <c r="E953" s="4">
        <f>674.085512712472 * CHOOSE(CONTROL!$C$9, $C$13, 100%, $E$13) + CHOOSE(CONTROL!$C$28, 0, 0)</f>
        <v>674.085512712472</v>
      </c>
    </row>
    <row r="954" spans="1:5" ht="15">
      <c r="A954" s="13">
        <v>70918</v>
      </c>
      <c r="B954" s="4">
        <f>129.1767 * CHOOSE(CONTROL!$C$9, $C$13, 100%, $E$13) + CHOOSE(CONTROL!$C$28, 0.0003, 0)</f>
        <v>129.17700000000002</v>
      </c>
      <c r="C954" s="4">
        <f>128.8642 * CHOOSE(CONTROL!$C$9, $C$13, 100%, $E$13) + CHOOSE(CONTROL!$C$28, 0.0003, 0)</f>
        <v>128.86450000000002</v>
      </c>
      <c r="D954" s="4">
        <f>104.4566 * CHOOSE(CONTROL!$C$9, $C$13, 100%, $E$13) + CHOOSE(CONTROL!$C$28, 0, 0)</f>
        <v>104.45659999999999</v>
      </c>
      <c r="E954" s="4">
        <f>690.090959294227 * CHOOSE(CONTROL!$C$9, $C$13, 100%, $E$13) + CHOOSE(CONTROL!$C$28, 0, 0)</f>
        <v>690.09095929422699</v>
      </c>
    </row>
    <row r="955" spans="1:5" ht="15">
      <c r="A955" s="13">
        <v>70949</v>
      </c>
      <c r="B955" s="4">
        <f>136.9302 * CHOOSE(CONTROL!$C$9, $C$13, 100%, $E$13) + CHOOSE(CONTROL!$C$28, 0.0003, 0)</f>
        <v>136.93050000000002</v>
      </c>
      <c r="C955" s="4">
        <f>136.6177 * CHOOSE(CONTROL!$C$9, $C$13, 100%, $E$13) + CHOOSE(CONTROL!$C$28, 0.0003, 0)</f>
        <v>136.61800000000002</v>
      </c>
      <c r="D955" s="4">
        <f>109.9689 * CHOOSE(CONTROL!$C$9, $C$13, 100%, $E$13) + CHOOSE(CONTROL!$C$28, 0, 0)</f>
        <v>109.9689</v>
      </c>
      <c r="E955" s="4">
        <f>732.122112599004 * CHOOSE(CONTROL!$C$9, $C$13, 100%, $E$13) + CHOOSE(CONTROL!$C$28, 0, 0)</f>
        <v>732.12211259900403</v>
      </c>
    </row>
    <row r="956" spans="1:5" ht="15">
      <c r="A956" s="13">
        <v>70979</v>
      </c>
      <c r="B956" s="4">
        <f>142.4392 * CHOOSE(CONTROL!$C$9, $C$13, 100%, $E$13) + CHOOSE(CONTROL!$C$28, 0.0003, 0)</f>
        <v>142.43950000000001</v>
      </c>
      <c r="C956" s="4">
        <f>142.1267 * CHOOSE(CONTROL!$C$9, $C$13, 100%, $E$13) + CHOOSE(CONTROL!$C$28, 0.0003, 0)</f>
        <v>142.12700000000001</v>
      </c>
      <c r="D956" s="4">
        <f>113.1442 * CHOOSE(CONTROL!$C$9, $C$13, 100%, $E$13) + CHOOSE(CONTROL!$C$28, 0, 0)</f>
        <v>113.1442</v>
      </c>
      <c r="E956" s="4">
        <f>761.985807160814 * CHOOSE(CONTROL!$C$9, $C$13, 100%, $E$13) + CHOOSE(CONTROL!$C$28, 0, 0)</f>
        <v>761.98580716081403</v>
      </c>
    </row>
    <row r="957" spans="1:5" ht="15">
      <c r="A957" s="13">
        <v>71010</v>
      </c>
      <c r="B957" s="4">
        <f>145.8051 * CHOOSE(CONTROL!$C$9, $C$13, 100%, $E$13) + CHOOSE(CONTROL!$C$28, 0.0197, 0)</f>
        <v>145.82480000000001</v>
      </c>
      <c r="C957" s="4">
        <f>145.4926 * CHOOSE(CONTROL!$C$9, $C$13, 100%, $E$13) + CHOOSE(CONTROL!$C$28, 0.0197, 0)</f>
        <v>145.51230000000001</v>
      </c>
      <c r="D957" s="4">
        <f>111.8895 * CHOOSE(CONTROL!$C$9, $C$13, 100%, $E$13) + CHOOSE(CONTROL!$C$28, 0, 0)</f>
        <v>111.8895</v>
      </c>
      <c r="E957" s="4">
        <f>780.231808805212 * CHOOSE(CONTROL!$C$9, $C$13, 100%, $E$13) + CHOOSE(CONTROL!$C$28, 0, 0)</f>
        <v>780.23180880521204</v>
      </c>
    </row>
    <row r="958" spans="1:5" ht="15">
      <c r="A958" s="13">
        <v>71040</v>
      </c>
      <c r="B958" s="4">
        <f>146.2605 * CHOOSE(CONTROL!$C$9, $C$13, 100%, $E$13) + CHOOSE(CONTROL!$C$28, 0.0197, 0)</f>
        <v>146.28020000000001</v>
      </c>
      <c r="C958" s="4">
        <f>145.948 * CHOOSE(CONTROL!$C$9, $C$13, 100%, $E$13) + CHOOSE(CONTROL!$C$28, 0.0197, 0)</f>
        <v>145.96770000000001</v>
      </c>
      <c r="D958" s="4">
        <f>112.9113 * CHOOSE(CONTROL!$C$9, $C$13, 100%, $E$13) + CHOOSE(CONTROL!$C$28, 0, 0)</f>
        <v>112.9113</v>
      </c>
      <c r="E958" s="4">
        <f>782.700568550162 * CHOOSE(CONTROL!$C$9, $C$13, 100%, $E$13) + CHOOSE(CONTROL!$C$28, 0, 0)</f>
        <v>782.70056855016196</v>
      </c>
    </row>
    <row r="959" spans="1:5" ht="15">
      <c r="A959" s="13">
        <v>71071</v>
      </c>
      <c r="B959" s="4">
        <f>146.2146 * CHOOSE(CONTROL!$C$9, $C$13, 100%, $E$13) + CHOOSE(CONTROL!$C$28, 0.0197, 0)</f>
        <v>146.23429999999999</v>
      </c>
      <c r="C959" s="4">
        <f>145.9021 * CHOOSE(CONTROL!$C$9, $C$13, 100%, $E$13) + CHOOSE(CONTROL!$C$28, 0.0197, 0)</f>
        <v>145.92179999999999</v>
      </c>
      <c r="D959" s="4">
        <f>114.7551 * CHOOSE(CONTROL!$C$9, $C$13, 100%, $E$13) + CHOOSE(CONTROL!$C$28, 0, 0)</f>
        <v>114.7551</v>
      </c>
      <c r="E959" s="4">
        <f>782.451617987646 * CHOOSE(CONTROL!$C$9, $C$13, 100%, $E$13) + CHOOSE(CONTROL!$C$28, 0, 0)</f>
        <v>782.45161798764605</v>
      </c>
    </row>
    <row r="960" spans="1:5" ht="15">
      <c r="A960" s="13">
        <v>71102</v>
      </c>
      <c r="B960" s="4">
        <f>149.6703 * CHOOSE(CONTROL!$C$9, $C$13, 100%, $E$13) + CHOOSE(CONTROL!$C$28, 0.0197, 0)</f>
        <v>149.69</v>
      </c>
      <c r="C960" s="4">
        <f>149.3578 * CHOOSE(CONTROL!$C$9, $C$13, 100%, $E$13) + CHOOSE(CONTROL!$C$28, 0.0197, 0)</f>
        <v>149.3775</v>
      </c>
      <c r="D960" s="4">
        <f>113.5375 * CHOOSE(CONTROL!$C$9, $C$13, 100%, $E$13) + CHOOSE(CONTROL!$C$28, 0, 0)</f>
        <v>113.53749999999999</v>
      </c>
      <c r="E960" s="4">
        <f>801.185147816972 * CHOOSE(CONTROL!$C$9, $C$13, 100%, $E$13) + CHOOSE(CONTROL!$C$28, 0, 0)</f>
        <v>801.18514781697195</v>
      </c>
    </row>
    <row r="961" spans="1:5" ht="15">
      <c r="A961" s="13">
        <v>71132</v>
      </c>
      <c r="B961" s="4">
        <f>143.7806 * CHOOSE(CONTROL!$C$9, $C$13, 100%, $E$13) + CHOOSE(CONTROL!$C$28, 0.0197, 0)</f>
        <v>143.80029999999999</v>
      </c>
      <c r="C961" s="4">
        <f>143.4681 * CHOOSE(CONTROL!$C$9, $C$13, 100%, $E$13) + CHOOSE(CONTROL!$C$28, 0.0197, 0)</f>
        <v>143.48779999999999</v>
      </c>
      <c r="D961" s="4">
        <f>112.9622 * CHOOSE(CONTROL!$C$9, $C$13, 100%, $E$13) + CHOOSE(CONTROL!$C$28, 0, 0)</f>
        <v>112.9622</v>
      </c>
      <c r="E961" s="4">
        <f>769.257238174301 * CHOOSE(CONTROL!$C$9, $C$13, 100%, $E$13) + CHOOSE(CONTROL!$C$28, 0, 0)</f>
        <v>769.25723817430105</v>
      </c>
    </row>
    <row r="962" spans="1:5" ht="15">
      <c r="A962" s="13">
        <v>71163</v>
      </c>
      <c r="B962" s="4">
        <f>139.0657 * CHOOSE(CONTROL!$C$9, $C$13, 100%, $E$13) + CHOOSE(CONTROL!$C$28, 0.0003, 0)</f>
        <v>139.066</v>
      </c>
      <c r="C962" s="4">
        <f>138.7532 * CHOOSE(CONTROL!$C$9, $C$13, 100%, $E$13) + CHOOSE(CONTROL!$C$28, 0.0003, 0)</f>
        <v>138.7535</v>
      </c>
      <c r="D962" s="4">
        <f>111.4217 * CHOOSE(CONTROL!$C$9, $C$13, 100%, $E$13) + CHOOSE(CONTROL!$C$28, 0, 0)</f>
        <v>111.4217</v>
      </c>
      <c r="E962" s="4">
        <f>743.698313755996 * CHOOSE(CONTROL!$C$9, $C$13, 100%, $E$13) + CHOOSE(CONTROL!$C$28, 0, 0)</f>
        <v>743.69831375599597</v>
      </c>
    </row>
    <row r="963" spans="1:5" ht="15">
      <c r="A963" s="13">
        <v>71193</v>
      </c>
      <c r="B963" s="4">
        <f>136.029 * CHOOSE(CONTROL!$C$9, $C$13, 100%, $E$13) + CHOOSE(CONTROL!$C$28, 0.0003, 0)</f>
        <v>136.02930000000001</v>
      </c>
      <c r="C963" s="4">
        <f>135.7165 * CHOOSE(CONTROL!$C$9, $C$13, 100%, $E$13) + CHOOSE(CONTROL!$C$28, 0.0003, 0)</f>
        <v>135.71680000000001</v>
      </c>
      <c r="D963" s="4">
        <f>110.8921 * CHOOSE(CONTROL!$C$9, $C$13, 100%, $E$13) + CHOOSE(CONTROL!$C$28, 0, 0)</f>
        <v>110.8921</v>
      </c>
      <c r="E963" s="4">
        <f>727.236457809628 * CHOOSE(CONTROL!$C$9, $C$13, 100%, $E$13) + CHOOSE(CONTROL!$C$28, 0, 0)</f>
        <v>727.23645780962795</v>
      </c>
    </row>
    <row r="964" spans="1:5" ht="15">
      <c r="A964" s="13">
        <v>71224</v>
      </c>
      <c r="B964" s="4">
        <f>133.9279 * CHOOSE(CONTROL!$C$9, $C$13, 100%, $E$13) + CHOOSE(CONTROL!$C$28, 0.0003, 0)</f>
        <v>133.9282</v>
      </c>
      <c r="C964" s="4">
        <f>133.6154 * CHOOSE(CONTROL!$C$9, $C$13, 100%, $E$13) + CHOOSE(CONTROL!$C$28, 0.0003, 0)</f>
        <v>133.6157</v>
      </c>
      <c r="D964" s="4">
        <f>106.9931 * CHOOSE(CONTROL!$C$9, $C$13, 100%, $E$13) + CHOOSE(CONTROL!$C$28, 0, 0)</f>
        <v>106.9931</v>
      </c>
      <c r="E964" s="4">
        <f>715.846969574523 * CHOOSE(CONTROL!$C$9, $C$13, 100%, $E$13) + CHOOSE(CONTROL!$C$28, 0, 0)</f>
        <v>715.84696957452297</v>
      </c>
    </row>
    <row r="965" spans="1:5" ht="15">
      <c r="A965" s="13">
        <v>71255</v>
      </c>
      <c r="B965" s="4">
        <f>130.5142 * CHOOSE(CONTROL!$C$9, $C$13, 100%, $E$13) + CHOOSE(CONTROL!$C$28, 0.0003, 0)</f>
        <v>130.5145</v>
      </c>
      <c r="C965" s="4">
        <f>130.2017 * CHOOSE(CONTROL!$C$9, $C$13, 100%, $E$13) + CHOOSE(CONTROL!$C$28, 0.0003, 0)</f>
        <v>130.202</v>
      </c>
      <c r="D965" s="4">
        <f>103.4097 * CHOOSE(CONTROL!$C$9, $C$13, 100%, $E$13) + CHOOSE(CONTROL!$C$28, 0, 0)</f>
        <v>103.4097</v>
      </c>
      <c r="E965" s="4">
        <f>695.319206362915 * CHOOSE(CONTROL!$C$9, $C$13, 100%, $E$13) + CHOOSE(CONTROL!$C$28, 0, 0)</f>
        <v>695.319206362915</v>
      </c>
    </row>
    <row r="966" spans="1:5" ht="15">
      <c r="A966" s="13">
        <v>71283</v>
      </c>
      <c r="B966" s="4">
        <f>133.5686 * CHOOSE(CONTROL!$C$9, $C$13, 100%, $E$13) + CHOOSE(CONTROL!$C$28, 0.0003, 0)</f>
        <v>133.56890000000001</v>
      </c>
      <c r="C966" s="4">
        <f>133.2561 * CHOOSE(CONTROL!$C$9, $C$13, 100%, $E$13) + CHOOSE(CONTROL!$C$28, 0.0003, 0)</f>
        <v>133.25640000000001</v>
      </c>
      <c r="D966" s="4">
        <f>107.0183 * CHOOSE(CONTROL!$C$9, $C$13, 100%, $E$13) + CHOOSE(CONTROL!$C$28, 0, 0)</f>
        <v>107.0183</v>
      </c>
      <c r="E966" s="4">
        <f>711.828824511995 * CHOOSE(CONTROL!$C$9, $C$13, 100%, $E$13) + CHOOSE(CONTROL!$C$28, 0, 0)</f>
        <v>711.82882451199498</v>
      </c>
    </row>
    <row r="967" spans="1:5" ht="15">
      <c r="A967" s="13">
        <v>71314</v>
      </c>
      <c r="B967" s="4">
        <f>141.5896 * CHOOSE(CONTROL!$C$9, $C$13, 100%, $E$13) + CHOOSE(CONTROL!$C$28, 0.0003, 0)</f>
        <v>141.5899</v>
      </c>
      <c r="C967" s="4">
        <f>141.2771 * CHOOSE(CONTROL!$C$9, $C$13, 100%, $E$13) + CHOOSE(CONTROL!$C$28, 0.0003, 0)</f>
        <v>141.2774</v>
      </c>
      <c r="D967" s="4">
        <f>112.6672 * CHOOSE(CONTROL!$C$9, $C$13, 100%, $E$13) + CHOOSE(CONTROL!$C$28, 0, 0)</f>
        <v>112.66719999999999</v>
      </c>
      <c r="E967" s="4">
        <f>755.183959145873 * CHOOSE(CONTROL!$C$9, $C$13, 100%, $E$13) + CHOOSE(CONTROL!$C$28, 0, 0)</f>
        <v>755.18395914587302</v>
      </c>
    </row>
    <row r="968" spans="1:5" ht="15">
      <c r="A968" s="13">
        <v>71344</v>
      </c>
      <c r="B968" s="4">
        <f>147.2887 * CHOOSE(CONTROL!$C$9, $C$13, 100%, $E$13) + CHOOSE(CONTROL!$C$28, 0.0003, 0)</f>
        <v>147.28900000000002</v>
      </c>
      <c r="C968" s="4">
        <f>146.9762 * CHOOSE(CONTROL!$C$9, $C$13, 100%, $E$13) + CHOOSE(CONTROL!$C$28, 0.0003, 0)</f>
        <v>146.97650000000002</v>
      </c>
      <c r="D968" s="4">
        <f>115.9212 * CHOOSE(CONTROL!$C$9, $C$13, 100%, $E$13) + CHOOSE(CONTROL!$C$28, 0, 0)</f>
        <v>115.9212</v>
      </c>
      <c r="E968" s="4">
        <f>785.98836008638 * CHOOSE(CONTROL!$C$9, $C$13, 100%, $E$13) + CHOOSE(CONTROL!$C$28, 0, 0)</f>
        <v>785.98836008638</v>
      </c>
    </row>
    <row r="969" spans="1:5" ht="15">
      <c r="A969" s="13">
        <v>71375</v>
      </c>
      <c r="B969" s="4">
        <f>150.7707 * CHOOSE(CONTROL!$C$9, $C$13, 100%, $E$13) + CHOOSE(CONTROL!$C$28, 0.0197, 0)</f>
        <v>150.79040000000001</v>
      </c>
      <c r="C969" s="4">
        <f>150.4582 * CHOOSE(CONTROL!$C$9, $C$13, 100%, $E$13) + CHOOSE(CONTROL!$C$28, 0.0197, 0)</f>
        <v>150.47790000000001</v>
      </c>
      <c r="D969" s="4">
        <f>114.6354 * CHOOSE(CONTROL!$C$9, $C$13, 100%, $E$13) + CHOOSE(CONTROL!$C$28, 0, 0)</f>
        <v>114.6354</v>
      </c>
      <c r="E969" s="4">
        <f>804.809110782576 * CHOOSE(CONTROL!$C$9, $C$13, 100%, $E$13) + CHOOSE(CONTROL!$C$28, 0, 0)</f>
        <v>804.809110782576</v>
      </c>
    </row>
    <row r="970" spans="1:5" ht="15">
      <c r="A970" s="13">
        <v>71405</v>
      </c>
      <c r="B970" s="4">
        <f>151.2418 * CHOOSE(CONTROL!$C$9, $C$13, 100%, $E$13) + CHOOSE(CONTROL!$C$28, 0.0197, 0)</f>
        <v>151.26150000000001</v>
      </c>
      <c r="C970" s="4">
        <f>150.9293 * CHOOSE(CONTROL!$C$9, $C$13, 100%, $E$13) + CHOOSE(CONTROL!$C$28, 0.0197, 0)</f>
        <v>150.94900000000001</v>
      </c>
      <c r="D970" s="4">
        <f>115.6826 * CHOOSE(CONTROL!$C$9, $C$13, 100%, $E$13) + CHOOSE(CONTROL!$C$28, 0, 0)</f>
        <v>115.68259999999999</v>
      </c>
      <c r="E970" s="4">
        <f>807.355636459492 * CHOOSE(CONTROL!$C$9, $C$13, 100%, $E$13) + CHOOSE(CONTROL!$C$28, 0, 0)</f>
        <v>807.35563645949196</v>
      </c>
    </row>
    <row r="971" spans="1:5" ht="15">
      <c r="A971" s="13">
        <v>71436</v>
      </c>
      <c r="B971" s="4">
        <f>151.1943 * CHOOSE(CONTROL!$C$9, $C$13, 100%, $E$13) + CHOOSE(CONTROL!$C$28, 0.0197, 0)</f>
        <v>151.214</v>
      </c>
      <c r="C971" s="4">
        <f>150.8818 * CHOOSE(CONTROL!$C$9, $C$13, 100%, $E$13) + CHOOSE(CONTROL!$C$28, 0.0197, 0)</f>
        <v>150.9015</v>
      </c>
      <c r="D971" s="4">
        <f>117.5722 * CHOOSE(CONTROL!$C$9, $C$13, 100%, $E$13) + CHOOSE(CONTROL!$C$28, 0, 0)</f>
        <v>117.5722</v>
      </c>
      <c r="E971" s="4">
        <f>807.098843954257 * CHOOSE(CONTROL!$C$9, $C$13, 100%, $E$13) + CHOOSE(CONTROL!$C$28, 0, 0)</f>
        <v>807.09884395425695</v>
      </c>
    </row>
    <row r="972" spans="1:5" ht="15">
      <c r="A972" s="13">
        <v>71467</v>
      </c>
      <c r="B972" s="4">
        <f>154.7693 * CHOOSE(CONTROL!$C$9, $C$13, 100%, $E$13) + CHOOSE(CONTROL!$C$28, 0.0197, 0)</f>
        <v>154.78899999999999</v>
      </c>
      <c r="C972" s="4">
        <f>154.4568 * CHOOSE(CONTROL!$C$9, $C$13, 100%, $E$13) + CHOOSE(CONTROL!$C$28, 0.0197, 0)</f>
        <v>154.47649999999999</v>
      </c>
      <c r="D972" s="4">
        <f>116.3243 * CHOOSE(CONTROL!$C$9, $C$13, 100%, $E$13) + CHOOSE(CONTROL!$C$28, 0, 0)</f>
        <v>116.32429999999999</v>
      </c>
      <c r="E972" s="4">
        <f>826.422479973206 * CHOOSE(CONTROL!$C$9, $C$13, 100%, $E$13) + CHOOSE(CONTROL!$C$28, 0, 0)</f>
        <v>826.42247997320601</v>
      </c>
    </row>
    <row r="973" spans="1:5" ht="15">
      <c r="A973" s="13">
        <v>71497</v>
      </c>
      <c r="B973" s="4">
        <f>148.6763 * CHOOSE(CONTROL!$C$9, $C$13, 100%, $E$13) + CHOOSE(CONTROL!$C$28, 0.0197, 0)</f>
        <v>148.696</v>
      </c>
      <c r="C973" s="4">
        <f>148.3638 * CHOOSE(CONTROL!$C$9, $C$13, 100%, $E$13) + CHOOSE(CONTROL!$C$28, 0.0197, 0)</f>
        <v>148.3835</v>
      </c>
      <c r="D973" s="4">
        <f>115.7347 * CHOOSE(CONTROL!$C$9, $C$13, 100%, $E$13) + CHOOSE(CONTROL!$C$28, 0, 0)</f>
        <v>115.7347</v>
      </c>
      <c r="E973" s="4">
        <f>793.488841176791 * CHOOSE(CONTROL!$C$9, $C$13, 100%, $E$13) + CHOOSE(CONTROL!$C$28, 0, 0)</f>
        <v>793.48884117679097</v>
      </c>
    </row>
    <row r="974" spans="1:5" ht="15">
      <c r="A974" s="13">
        <v>71528</v>
      </c>
      <c r="B974" s="4">
        <f>143.7988 * CHOOSE(CONTROL!$C$9, $C$13, 100%, $E$13) + CHOOSE(CONTROL!$C$28, 0.0003, 0)</f>
        <v>143.79910000000001</v>
      </c>
      <c r="C974" s="4">
        <f>143.4863 * CHOOSE(CONTROL!$C$9, $C$13, 100%, $E$13) + CHOOSE(CONTROL!$C$28, 0.0003, 0)</f>
        <v>143.48660000000001</v>
      </c>
      <c r="D974" s="4">
        <f>114.1561 * CHOOSE(CONTROL!$C$9, $C$13, 100%, $E$13) + CHOOSE(CONTROL!$C$28, 0, 0)</f>
        <v>114.1561</v>
      </c>
      <c r="E974" s="4">
        <f>767.12481063931 * CHOOSE(CONTROL!$C$9, $C$13, 100%, $E$13) + CHOOSE(CONTROL!$C$28, 0, 0)</f>
        <v>767.12481063931</v>
      </c>
    </row>
    <row r="975" spans="1:5" ht="15">
      <c r="A975" s="13">
        <v>71558</v>
      </c>
      <c r="B975" s="4">
        <f>140.6573 * CHOOSE(CONTROL!$C$9, $C$13, 100%, $E$13) + CHOOSE(CONTROL!$C$28, 0.0003, 0)</f>
        <v>140.6576</v>
      </c>
      <c r="C975" s="4">
        <f>140.3448 * CHOOSE(CONTROL!$C$9, $C$13, 100%, $E$13) + CHOOSE(CONTROL!$C$28, 0.0003, 0)</f>
        <v>140.3451</v>
      </c>
      <c r="D975" s="4">
        <f>113.6133 * CHOOSE(CONTROL!$C$9, $C$13, 100%, $E$13) + CHOOSE(CONTROL!$C$28, 0, 0)</f>
        <v>113.6133</v>
      </c>
      <c r="E975" s="4">
        <f>750.144406230632 * CHOOSE(CONTROL!$C$9, $C$13, 100%, $E$13) + CHOOSE(CONTROL!$C$28, 0, 0)</f>
        <v>750.14440623063194</v>
      </c>
    </row>
    <row r="976" spans="1:5" ht="15">
      <c r="A976" s="13">
        <v>71589</v>
      </c>
      <c r="B976" s="4">
        <f>138.4838 * CHOOSE(CONTROL!$C$9, $C$13, 100%, $E$13) + CHOOSE(CONTROL!$C$28, 0.0003, 0)</f>
        <v>138.48410000000001</v>
      </c>
      <c r="C976" s="4">
        <f>138.1713 * CHOOSE(CONTROL!$C$9, $C$13, 100%, $E$13) + CHOOSE(CONTROL!$C$28, 0.0003, 0)</f>
        <v>138.17160000000001</v>
      </c>
      <c r="D976" s="4">
        <f>109.6177 * CHOOSE(CONTROL!$C$9, $C$13, 100%, $E$13) + CHOOSE(CONTROL!$C$28, 0, 0)</f>
        <v>109.6177</v>
      </c>
      <c r="E976" s="4">
        <f>738.396149116121 * CHOOSE(CONTROL!$C$9, $C$13, 100%, $E$13) + CHOOSE(CONTROL!$C$28, 0, 0)</f>
        <v>738.39614911612102</v>
      </c>
    </row>
    <row r="977" spans="1:5" ht="15">
      <c r="A977" s="13">
        <v>71620</v>
      </c>
      <c r="B977" s="4">
        <f>134.9523 * CHOOSE(CONTROL!$C$9, $C$13, 100%, $E$13) + CHOOSE(CONTROL!$C$28, 0.0003, 0)</f>
        <v>134.95260000000002</v>
      </c>
      <c r="C977" s="4">
        <f>134.6398 * CHOOSE(CONTROL!$C$9, $C$13, 100%, $E$13) + CHOOSE(CONTROL!$C$28, 0.0003, 0)</f>
        <v>134.64010000000002</v>
      </c>
      <c r="D977" s="4">
        <f>105.9453 * CHOOSE(CONTROL!$C$9, $C$13, 100%, $E$13) + CHOOSE(CONTROL!$C$28, 0, 0)</f>
        <v>105.9453</v>
      </c>
      <c r="E977" s="4">
        <f>717.221761363347 * CHOOSE(CONTROL!$C$9, $C$13, 100%, $E$13) + CHOOSE(CONTROL!$C$28, 0, 0)</f>
        <v>717.22176136334701</v>
      </c>
    </row>
    <row r="978" spans="1:5" ht="15">
      <c r="A978" s="13">
        <v>71649</v>
      </c>
      <c r="B978" s="4">
        <f>138.112 * CHOOSE(CONTROL!$C$9, $C$13, 100%, $E$13) + CHOOSE(CONTROL!$C$28, 0.0003, 0)</f>
        <v>138.1123</v>
      </c>
      <c r="C978" s="4">
        <f>137.7995 * CHOOSE(CONTROL!$C$9, $C$13, 100%, $E$13) + CHOOSE(CONTROL!$C$28, 0.0003, 0)</f>
        <v>137.7998</v>
      </c>
      <c r="D978" s="4">
        <f>109.6434 * CHOOSE(CONTROL!$C$9, $C$13, 100%, $E$13) + CHOOSE(CONTROL!$C$28, 0, 0)</f>
        <v>109.6434</v>
      </c>
      <c r="E978" s="4">
        <f>734.251432484123 * CHOOSE(CONTROL!$C$9, $C$13, 100%, $E$13) + CHOOSE(CONTROL!$C$28, 0, 0)</f>
        <v>734.25143248412303</v>
      </c>
    </row>
    <row r="979" spans="1:5" ht="15">
      <c r="A979" s="13">
        <v>71680</v>
      </c>
      <c r="B979" s="4">
        <f>146.4098 * CHOOSE(CONTROL!$C$9, $C$13, 100%, $E$13) + CHOOSE(CONTROL!$C$28, 0.0003, 0)</f>
        <v>146.4101</v>
      </c>
      <c r="C979" s="4">
        <f>146.0973 * CHOOSE(CONTROL!$C$9, $C$13, 100%, $E$13) + CHOOSE(CONTROL!$C$28, 0.0003, 0)</f>
        <v>146.0976</v>
      </c>
      <c r="D979" s="4">
        <f>115.4325 * CHOOSE(CONTROL!$C$9, $C$13, 100%, $E$13) + CHOOSE(CONTROL!$C$28, 0, 0)</f>
        <v>115.4325</v>
      </c>
      <c r="E979" s="4">
        <f>778.972253858968 * CHOOSE(CONTROL!$C$9, $C$13, 100%, $E$13) + CHOOSE(CONTROL!$C$28, 0, 0)</f>
        <v>778.97225385896797</v>
      </c>
    </row>
    <row r="980" spans="1:5" ht="15">
      <c r="A980" s="13">
        <v>71710</v>
      </c>
      <c r="B980" s="4">
        <f>152.3054 * CHOOSE(CONTROL!$C$9, $C$13, 100%, $E$13) + CHOOSE(CONTROL!$C$28, 0.0003, 0)</f>
        <v>152.3057</v>
      </c>
      <c r="C980" s="4">
        <f>151.9929 * CHOOSE(CONTROL!$C$9, $C$13, 100%, $E$13) + CHOOSE(CONTROL!$C$28, 0.0003, 0)</f>
        <v>151.9932</v>
      </c>
      <c r="D980" s="4">
        <f>118.7672 * CHOOSE(CONTROL!$C$9, $C$13, 100%, $E$13) + CHOOSE(CONTROL!$C$28, 0, 0)</f>
        <v>118.7672</v>
      </c>
      <c r="E980" s="4">
        <f>810.7469934291 * CHOOSE(CONTROL!$C$9, $C$13, 100%, $E$13) + CHOOSE(CONTROL!$C$28, 0, 0)</f>
        <v>810.74699342910003</v>
      </c>
    </row>
    <row r="981" spans="1:5" ht="15">
      <c r="A981" s="13">
        <v>71741</v>
      </c>
      <c r="B981" s="4">
        <f>155.9076 * CHOOSE(CONTROL!$C$9, $C$13, 100%, $E$13) + CHOOSE(CONTROL!$C$28, 0.0197, 0)</f>
        <v>155.9273</v>
      </c>
      <c r="C981" s="4">
        <f>155.5951 * CHOOSE(CONTROL!$C$9, $C$13, 100%, $E$13) + CHOOSE(CONTROL!$C$28, 0.0197, 0)</f>
        <v>155.6148</v>
      </c>
      <c r="D981" s="4">
        <f>117.4495 * CHOOSE(CONTROL!$C$9, $C$13, 100%, $E$13) + CHOOSE(CONTROL!$C$28, 0, 0)</f>
        <v>117.4495</v>
      </c>
      <c r="E981" s="4">
        <f>830.160597772228 * CHOOSE(CONTROL!$C$9, $C$13, 100%, $E$13) + CHOOSE(CONTROL!$C$28, 0, 0)</f>
        <v>830.16059777222802</v>
      </c>
    </row>
    <row r="982" spans="1:5" ht="15">
      <c r="A982" s="13">
        <v>71771</v>
      </c>
      <c r="B982" s="4">
        <f>156.3949 * CHOOSE(CONTROL!$C$9, $C$13, 100%, $E$13) + CHOOSE(CONTROL!$C$28, 0.0197, 0)</f>
        <v>156.41460000000001</v>
      </c>
      <c r="C982" s="4">
        <f>156.0824 * CHOOSE(CONTROL!$C$9, $C$13, 100%, $E$13) + CHOOSE(CONTROL!$C$28, 0.0197, 0)</f>
        <v>156.10210000000001</v>
      </c>
      <c r="D982" s="4">
        <f>118.5226 * CHOOSE(CONTROL!$C$9, $C$13, 100%, $E$13) + CHOOSE(CONTROL!$C$28, 0, 0)</f>
        <v>118.5226</v>
      </c>
      <c r="E982" s="4">
        <f>832.787339007966 * CHOOSE(CONTROL!$C$9, $C$13, 100%, $E$13) + CHOOSE(CONTROL!$C$28, 0, 0)</f>
        <v>832.78733900796601</v>
      </c>
    </row>
    <row r="983" spans="1:5" ht="15">
      <c r="A983" s="13">
        <v>71802</v>
      </c>
      <c r="B983" s="4">
        <f>156.3458 * CHOOSE(CONTROL!$C$9, $C$13, 100%, $E$13) + CHOOSE(CONTROL!$C$28, 0.0197, 0)</f>
        <v>156.3655</v>
      </c>
      <c r="C983" s="4">
        <f>156.0333 * CHOOSE(CONTROL!$C$9, $C$13, 100%, $E$13) + CHOOSE(CONTROL!$C$28, 0.0197, 0)</f>
        <v>156.053</v>
      </c>
      <c r="D983" s="4">
        <f>120.459 * CHOOSE(CONTROL!$C$9, $C$13, 100%, $E$13) + CHOOSE(CONTROL!$C$28, 0, 0)</f>
        <v>120.459</v>
      </c>
      <c r="E983" s="4">
        <f>832.522457538816 * CHOOSE(CONTROL!$C$9, $C$13, 100%, $E$13) + CHOOSE(CONTROL!$C$28, 0, 0)</f>
        <v>832.52245753881596</v>
      </c>
    </row>
    <row r="984" spans="1:5" ht="15">
      <c r="A984" s="13">
        <v>71833</v>
      </c>
      <c r="B984" s="4">
        <f>160.0441 * CHOOSE(CONTROL!$C$9, $C$13, 100%, $E$13) + CHOOSE(CONTROL!$C$28, 0.0197, 0)</f>
        <v>160.06379999999999</v>
      </c>
      <c r="C984" s="4">
        <f>159.7316 * CHOOSE(CONTROL!$C$9, $C$13, 100%, $E$13) + CHOOSE(CONTROL!$C$28, 0.0197, 0)</f>
        <v>159.75129999999999</v>
      </c>
      <c r="D984" s="4">
        <f>119.1802 * CHOOSE(CONTROL!$C$9, $C$13, 100%, $E$13) + CHOOSE(CONTROL!$C$28, 0, 0)</f>
        <v>119.1802</v>
      </c>
      <c r="E984" s="4">
        <f>852.454788092362 * CHOOSE(CONTROL!$C$9, $C$13, 100%, $E$13) + CHOOSE(CONTROL!$C$28, 0, 0)</f>
        <v>852.45478809236204</v>
      </c>
    </row>
    <row r="985" spans="1:5" ht="15">
      <c r="A985" s="13">
        <v>71863</v>
      </c>
      <c r="B985" s="4">
        <f>153.741 * CHOOSE(CONTROL!$C$9, $C$13, 100%, $E$13) + CHOOSE(CONTROL!$C$28, 0.0197, 0)</f>
        <v>153.76070000000001</v>
      </c>
      <c r="C985" s="4">
        <f>153.4285 * CHOOSE(CONTROL!$C$9, $C$13, 100%, $E$13) + CHOOSE(CONTROL!$C$28, 0.0197, 0)</f>
        <v>153.44820000000001</v>
      </c>
      <c r="D985" s="4">
        <f>118.576 * CHOOSE(CONTROL!$C$9, $C$13, 100%, $E$13) + CHOOSE(CONTROL!$C$28, 0, 0)</f>
        <v>118.57599999999999</v>
      </c>
      <c r="E985" s="4">
        <f>818.48373967386 * CHOOSE(CONTROL!$C$9, $C$13, 100%, $E$13) + CHOOSE(CONTROL!$C$28, 0, 0)</f>
        <v>818.48373967385999</v>
      </c>
    </row>
    <row r="986" spans="1:5" ht="15">
      <c r="A986" s="13">
        <v>71894</v>
      </c>
      <c r="B986" s="4">
        <f>148.6951 * CHOOSE(CONTROL!$C$9, $C$13, 100%, $E$13) + CHOOSE(CONTROL!$C$28, 0.0003, 0)</f>
        <v>148.69540000000001</v>
      </c>
      <c r="C986" s="4">
        <f>148.3826 * CHOOSE(CONTROL!$C$9, $C$13, 100%, $E$13) + CHOOSE(CONTROL!$C$28, 0.0003, 0)</f>
        <v>148.38290000000001</v>
      </c>
      <c r="D986" s="4">
        <f>116.9582 * CHOOSE(CONTROL!$C$9, $C$13, 100%, $E$13) + CHOOSE(CONTROL!$C$28, 0, 0)</f>
        <v>116.95820000000001</v>
      </c>
      <c r="E986" s="4">
        <f>791.289242174448 * CHOOSE(CONTROL!$C$9, $C$13, 100%, $E$13) + CHOOSE(CONTROL!$C$28, 0, 0)</f>
        <v>791.28924217444796</v>
      </c>
    </row>
    <row r="987" spans="1:5" ht="15">
      <c r="A987" s="13">
        <v>71924</v>
      </c>
      <c r="B987" s="4">
        <f>145.4453 * CHOOSE(CONTROL!$C$9, $C$13, 100%, $E$13) + CHOOSE(CONTROL!$C$28, 0.0003, 0)</f>
        <v>145.44560000000001</v>
      </c>
      <c r="C987" s="4">
        <f>145.1328 * CHOOSE(CONTROL!$C$9, $C$13, 100%, $E$13) + CHOOSE(CONTROL!$C$28, 0.0003, 0)</f>
        <v>145.13310000000001</v>
      </c>
      <c r="D987" s="4">
        <f>116.402 * CHOOSE(CONTROL!$C$9, $C$13, 100%, $E$13) + CHOOSE(CONTROL!$C$28, 0, 0)</f>
        <v>116.402</v>
      </c>
      <c r="E987" s="4">
        <f>773.773955026896 * CHOOSE(CONTROL!$C$9, $C$13, 100%, $E$13) + CHOOSE(CONTROL!$C$28, 0, 0)</f>
        <v>773.77395502689603</v>
      </c>
    </row>
    <row r="988" spans="1:5" ht="15">
      <c r="A988" s="13">
        <v>71955</v>
      </c>
      <c r="B988" s="4">
        <f>143.1968 * CHOOSE(CONTROL!$C$9, $C$13, 100%, $E$13) + CHOOSE(CONTROL!$C$28, 0.0003, 0)</f>
        <v>143.19710000000001</v>
      </c>
      <c r="C988" s="4">
        <f>142.8843 * CHOOSE(CONTROL!$C$9, $C$13, 100%, $E$13) + CHOOSE(CONTROL!$C$28, 0.0003, 0)</f>
        <v>142.88460000000001</v>
      </c>
      <c r="D988" s="4">
        <f>112.3073 * CHOOSE(CONTROL!$C$9, $C$13, 100%, $E$13) + CHOOSE(CONTROL!$C$28, 0, 0)</f>
        <v>112.3073</v>
      </c>
      <c r="E988" s="4">
        <f>761.655627813279 * CHOOSE(CONTROL!$C$9, $C$13, 100%, $E$13) + CHOOSE(CONTROL!$C$28, 0, 0)</f>
        <v>761.65562781327901</v>
      </c>
    </row>
    <row r="989" spans="1:5" ht="15">
      <c r="A989" s="13">
        <v>71986</v>
      </c>
      <c r="B989" s="4">
        <f>139.5434 * CHOOSE(CONTROL!$C$9, $C$13, 100%, $E$13) + CHOOSE(CONTROL!$C$28, 0.0003, 0)</f>
        <v>139.5437</v>
      </c>
      <c r="C989" s="4">
        <f>139.2309 * CHOOSE(CONTROL!$C$9, $C$13, 100%, $E$13) + CHOOSE(CONTROL!$C$28, 0.0003, 0)</f>
        <v>139.2312</v>
      </c>
      <c r="D989" s="4">
        <f>108.5439 * CHOOSE(CONTROL!$C$9, $C$13, 100%, $E$13) + CHOOSE(CONTROL!$C$28, 0, 0)</f>
        <v>108.54389999999999</v>
      </c>
      <c r="E989" s="4">
        <f>739.814246846292 * CHOOSE(CONTROL!$C$9, $C$13, 100%, $E$13) + CHOOSE(CONTROL!$C$28, 0, 0)</f>
        <v>739.81424684629201</v>
      </c>
    </row>
    <row r="990" spans="1:5" ht="15">
      <c r="A990" s="13">
        <v>72014</v>
      </c>
      <c r="B990" s="4">
        <f>142.8122 * CHOOSE(CONTROL!$C$9, $C$13, 100%, $E$13) + CHOOSE(CONTROL!$C$28, 0.0003, 0)</f>
        <v>142.8125</v>
      </c>
      <c r="C990" s="4">
        <f>142.4997 * CHOOSE(CONTROL!$C$9, $C$13, 100%, $E$13) + CHOOSE(CONTROL!$C$28, 0.0003, 0)</f>
        <v>142.5</v>
      </c>
      <c r="D990" s="4">
        <f>112.3337 * CHOOSE(CONTROL!$C$9, $C$13, 100%, $E$13) + CHOOSE(CONTROL!$C$28, 0, 0)</f>
        <v>112.33369999999999</v>
      </c>
      <c r="E990" s="4">
        <f>757.380352607373 * CHOOSE(CONTROL!$C$9, $C$13, 100%, $E$13) + CHOOSE(CONTROL!$C$28, 0, 0)</f>
        <v>757.38035260737297</v>
      </c>
    </row>
    <row r="991" spans="1:5" ht="15">
      <c r="A991" s="13">
        <v>72045</v>
      </c>
      <c r="B991" s="4">
        <f>151.3962 * CHOOSE(CONTROL!$C$9, $C$13, 100%, $E$13) + CHOOSE(CONTROL!$C$28, 0.0003, 0)</f>
        <v>151.3965</v>
      </c>
      <c r="C991" s="4">
        <f>151.0837 * CHOOSE(CONTROL!$C$9, $C$13, 100%, $E$13) + CHOOSE(CONTROL!$C$28, 0.0003, 0)</f>
        <v>151.084</v>
      </c>
      <c r="D991" s="4">
        <f>118.2663 * CHOOSE(CONTROL!$C$9, $C$13, 100%, $E$13) + CHOOSE(CONTROL!$C$28, 0, 0)</f>
        <v>118.2663</v>
      </c>
      <c r="E991" s="4">
        <f>803.509879855525 * CHOOSE(CONTROL!$C$9, $C$13, 100%, $E$13) + CHOOSE(CONTROL!$C$28, 0, 0)</f>
        <v>803.50987985552501</v>
      </c>
    </row>
    <row r="992" spans="1:5" ht="15">
      <c r="A992" s="13">
        <v>72075</v>
      </c>
      <c r="B992" s="4">
        <f>157.4953 * CHOOSE(CONTROL!$C$9, $C$13, 100%, $E$13) + CHOOSE(CONTROL!$C$28, 0.0003, 0)</f>
        <v>157.4956</v>
      </c>
      <c r="C992" s="4">
        <f>157.1828 * CHOOSE(CONTROL!$C$9, $C$13, 100%, $E$13) + CHOOSE(CONTROL!$C$28, 0.0003, 0)</f>
        <v>157.1831</v>
      </c>
      <c r="D992" s="4">
        <f>121.6837 * CHOOSE(CONTROL!$C$9, $C$13, 100%, $E$13) + CHOOSE(CONTROL!$C$28, 0, 0)</f>
        <v>121.6837</v>
      </c>
      <c r="E992" s="4">
        <f>836.285523722117 * CHOOSE(CONTROL!$C$9, $C$13, 100%, $E$13) + CHOOSE(CONTROL!$C$28, 0, 0)</f>
        <v>836.28552372211698</v>
      </c>
    </row>
    <row r="993" spans="1:5" ht="15">
      <c r="A993" s="13">
        <v>72106</v>
      </c>
      <c r="B993" s="4">
        <f>161.2217 * CHOOSE(CONTROL!$C$9, $C$13, 100%, $E$13) + CHOOSE(CONTROL!$C$28, 0.0197, 0)</f>
        <v>161.2414</v>
      </c>
      <c r="C993" s="4">
        <f>160.9092 * CHOOSE(CONTROL!$C$9, $C$13, 100%, $E$13) + CHOOSE(CONTROL!$C$28, 0.0197, 0)</f>
        <v>160.9289</v>
      </c>
      <c r="D993" s="4">
        <f>120.3333 * CHOOSE(CONTROL!$C$9, $C$13, 100%, $E$13) + CHOOSE(CONTROL!$C$28, 0, 0)</f>
        <v>120.33329999999999</v>
      </c>
      <c r="E993" s="4">
        <f>856.310656602053 * CHOOSE(CONTROL!$C$9, $C$13, 100%, $E$13) + CHOOSE(CONTROL!$C$28, 0, 0)</f>
        <v>856.31065660205297</v>
      </c>
    </row>
    <row r="994" spans="1:5" ht="15">
      <c r="A994" s="13">
        <v>72136</v>
      </c>
      <c r="B994" s="4">
        <f>161.7259 * CHOOSE(CONTROL!$C$9, $C$13, 100%, $E$13) + CHOOSE(CONTROL!$C$28, 0.0197, 0)</f>
        <v>161.7456</v>
      </c>
      <c r="C994" s="4">
        <f>161.4134 * CHOOSE(CONTROL!$C$9, $C$13, 100%, $E$13) + CHOOSE(CONTROL!$C$28, 0.0197, 0)</f>
        <v>161.4331</v>
      </c>
      <c r="D994" s="4">
        <f>121.4331 * CHOOSE(CONTROL!$C$9, $C$13, 100%, $E$13) + CHOOSE(CONTROL!$C$28, 0, 0)</f>
        <v>121.4331</v>
      </c>
      <c r="E994" s="4">
        <f>859.020140186717 * CHOOSE(CONTROL!$C$9, $C$13, 100%, $E$13) + CHOOSE(CONTROL!$C$28, 0, 0)</f>
        <v>859.02014018671696</v>
      </c>
    </row>
    <row r="995" spans="1:5" ht="15">
      <c r="A995" s="13">
        <v>72167</v>
      </c>
      <c r="B995" s="4">
        <f>161.675 * CHOOSE(CONTROL!$C$9, $C$13, 100%, $E$13) + CHOOSE(CONTROL!$C$28, 0.0197, 0)</f>
        <v>161.69470000000001</v>
      </c>
      <c r="C995" s="4">
        <f>161.3625 * CHOOSE(CONTROL!$C$9, $C$13, 100%, $E$13) + CHOOSE(CONTROL!$C$28, 0.0197, 0)</f>
        <v>161.38220000000001</v>
      </c>
      <c r="D995" s="4">
        <f>123.4175 * CHOOSE(CONTROL!$C$9, $C$13, 100%, $E$13) + CHOOSE(CONTROL!$C$28, 0, 0)</f>
        <v>123.4175</v>
      </c>
      <c r="E995" s="4">
        <f>858.746914951289 * CHOOSE(CONTROL!$C$9, $C$13, 100%, $E$13) + CHOOSE(CONTROL!$C$28, 0, 0)</f>
        <v>858.746914951289</v>
      </c>
    </row>
    <row r="996" spans="1:5" ht="15">
      <c r="A996" s="13">
        <v>72198</v>
      </c>
      <c r="B996" s="4">
        <f>165.501 * CHOOSE(CONTROL!$C$9, $C$13, 100%, $E$13) + CHOOSE(CONTROL!$C$28, 0.0197, 0)</f>
        <v>165.52070000000001</v>
      </c>
      <c r="C996" s="4">
        <f>165.1885 * CHOOSE(CONTROL!$C$9, $C$13, 100%, $E$13) + CHOOSE(CONTROL!$C$28, 0.0197, 0)</f>
        <v>165.20820000000001</v>
      </c>
      <c r="D996" s="4">
        <f>122.107 * CHOOSE(CONTROL!$C$9, $C$13, 100%, $E$13) + CHOOSE(CONTROL!$C$28, 0, 0)</f>
        <v>122.107</v>
      </c>
      <c r="E996" s="4">
        <f>879.307113917272 * CHOOSE(CONTROL!$C$9, $C$13, 100%, $E$13) + CHOOSE(CONTROL!$C$28, 0, 0)</f>
        <v>879.30711391727198</v>
      </c>
    </row>
    <row r="997" spans="1:5" ht="15">
      <c r="A997" s="13">
        <v>72228</v>
      </c>
      <c r="B997" s="4">
        <f>158.9803 * CHOOSE(CONTROL!$C$9, $C$13, 100%, $E$13) + CHOOSE(CONTROL!$C$28, 0.0197, 0)</f>
        <v>159</v>
      </c>
      <c r="C997" s="4">
        <f>158.6678 * CHOOSE(CONTROL!$C$9, $C$13, 100%, $E$13) + CHOOSE(CONTROL!$C$28, 0.0197, 0)</f>
        <v>158.6875</v>
      </c>
      <c r="D997" s="4">
        <f>121.4878 * CHOOSE(CONTROL!$C$9, $C$13, 100%, $E$13) + CHOOSE(CONTROL!$C$28, 0, 0)</f>
        <v>121.48779999999999</v>
      </c>
      <c r="E997" s="4">
        <f>844.265977473587 * CHOOSE(CONTROL!$C$9, $C$13, 100%, $E$13) + CHOOSE(CONTROL!$C$28, 0, 0)</f>
        <v>844.26597747358699</v>
      </c>
    </row>
    <row r="998" spans="1:5" ht="15">
      <c r="A998" s="13">
        <v>72259</v>
      </c>
      <c r="B998" s="4">
        <f>153.7604 * CHOOSE(CONTROL!$C$9, $C$13, 100%, $E$13) + CHOOSE(CONTROL!$C$28, 0.0003, 0)</f>
        <v>153.76070000000001</v>
      </c>
      <c r="C998" s="4">
        <f>153.4479 * CHOOSE(CONTROL!$C$9, $C$13, 100%, $E$13) + CHOOSE(CONTROL!$C$28, 0.0003, 0)</f>
        <v>153.44820000000001</v>
      </c>
      <c r="D998" s="4">
        <f>119.8299 * CHOOSE(CONTROL!$C$9, $C$13, 100%, $E$13) + CHOOSE(CONTROL!$C$28, 0, 0)</f>
        <v>119.82989999999999</v>
      </c>
      <c r="E998" s="4">
        <f>816.214853302943 * CHOOSE(CONTROL!$C$9, $C$13, 100%, $E$13) + CHOOSE(CONTROL!$C$28, 0, 0)</f>
        <v>816.21485330294297</v>
      </c>
    </row>
    <row r="999" spans="1:5" ht="15">
      <c r="A999" s="13">
        <v>72289</v>
      </c>
      <c r="B999" s="4">
        <f>150.3984 * CHOOSE(CONTROL!$C$9, $C$13, 100%, $E$13) + CHOOSE(CONTROL!$C$28, 0.0003, 0)</f>
        <v>150.39870000000002</v>
      </c>
      <c r="C999" s="4">
        <f>150.0859 * CHOOSE(CONTROL!$C$9, $C$13, 100%, $E$13) + CHOOSE(CONTROL!$C$28, 0.0003, 0)</f>
        <v>150.08620000000002</v>
      </c>
      <c r="D999" s="4">
        <f>119.2599 * CHOOSE(CONTROL!$C$9, $C$13, 100%, $E$13) + CHOOSE(CONTROL!$C$28, 0, 0)</f>
        <v>119.2599</v>
      </c>
      <c r="E999" s="4">
        <f>798.147834610244 * CHOOSE(CONTROL!$C$9, $C$13, 100%, $E$13) + CHOOSE(CONTROL!$C$28, 0, 0)</f>
        <v>798.14783461024399</v>
      </c>
    </row>
    <row r="1000" spans="1:5" ht="15">
      <c r="A1000" s="13">
        <v>72320</v>
      </c>
      <c r="B1000" s="4">
        <f>148.0724 * CHOOSE(CONTROL!$C$9, $C$13, 100%, $E$13) + CHOOSE(CONTROL!$C$28, 0.0003, 0)</f>
        <v>148.0727</v>
      </c>
      <c r="C1000" s="4">
        <f>147.7599 * CHOOSE(CONTROL!$C$9, $C$13, 100%, $E$13) + CHOOSE(CONTROL!$C$28, 0.0003, 0)</f>
        <v>147.7602</v>
      </c>
      <c r="D1000" s="4">
        <f>115.0636 * CHOOSE(CONTROL!$C$9, $C$13, 100%, $E$13) + CHOOSE(CONTROL!$C$28, 0, 0)</f>
        <v>115.06359999999999</v>
      </c>
      <c r="E1000" s="4">
        <f>785.647780089397 * CHOOSE(CONTROL!$C$9, $C$13, 100%, $E$13) + CHOOSE(CONTROL!$C$28, 0, 0)</f>
        <v>785.64778008939697</v>
      </c>
    </row>
    <row r="1001" spans="1:5" ht="15">
      <c r="A1001" s="13">
        <v>72351</v>
      </c>
      <c r="B1001" s="4">
        <f>144.293 * CHOOSE(CONTROL!$C$9, $C$13, 100%, $E$13) + CHOOSE(CONTROL!$C$28, 0.0003, 0)</f>
        <v>144.29330000000002</v>
      </c>
      <c r="C1001" s="4">
        <f>143.9805 * CHOOSE(CONTROL!$C$9, $C$13, 100%, $E$13) + CHOOSE(CONTROL!$C$28, 0.0003, 0)</f>
        <v>143.98080000000002</v>
      </c>
      <c r="D1001" s="4">
        <f>111.2068 * CHOOSE(CONTROL!$C$9, $C$13, 100%, $E$13) + CHOOSE(CONTROL!$C$28, 0, 0)</f>
        <v>111.2068</v>
      </c>
      <c r="E1001" s="4">
        <f>763.11839562195 * CHOOSE(CONTROL!$C$9, $C$13, 100%, $E$13) + CHOOSE(CONTROL!$C$28, 0, 0)</f>
        <v>763.11839562194996</v>
      </c>
    </row>
    <row r="1002" spans="1:5" ht="15">
      <c r="A1002" s="13">
        <v>72379</v>
      </c>
      <c r="B1002" s="4">
        <f>147.6746 * CHOOSE(CONTROL!$C$9, $C$13, 100%, $E$13) + CHOOSE(CONTROL!$C$28, 0.0003, 0)</f>
        <v>147.67490000000001</v>
      </c>
      <c r="C1002" s="4">
        <f>147.3621 * CHOOSE(CONTROL!$C$9, $C$13, 100%, $E$13) + CHOOSE(CONTROL!$C$28, 0.0003, 0)</f>
        <v>147.36240000000001</v>
      </c>
      <c r="D1002" s="4">
        <f>115.0906 * CHOOSE(CONTROL!$C$9, $C$13, 100%, $E$13) + CHOOSE(CONTROL!$C$28, 0, 0)</f>
        <v>115.09059999999999</v>
      </c>
      <c r="E1002" s="4">
        <f>781.237833714505 * CHOOSE(CONTROL!$C$9, $C$13, 100%, $E$13) + CHOOSE(CONTROL!$C$28, 0, 0)</f>
        <v>781.23783371450497</v>
      </c>
    </row>
    <row r="1003" spans="1:5" ht="15">
      <c r="A1003" s="13">
        <v>72410</v>
      </c>
      <c r="B1003" s="4">
        <f>156.5547 * CHOOSE(CONTROL!$C$9, $C$13, 100%, $E$13) + CHOOSE(CONTROL!$C$28, 0.0003, 0)</f>
        <v>156.55500000000001</v>
      </c>
      <c r="C1003" s="4">
        <f>156.2422 * CHOOSE(CONTROL!$C$9, $C$13, 100%, $E$13) + CHOOSE(CONTROL!$C$28, 0.0003, 0)</f>
        <v>156.24250000000001</v>
      </c>
      <c r="D1003" s="4">
        <f>121.1704 * CHOOSE(CONTROL!$C$9, $C$13, 100%, $E$13) + CHOOSE(CONTROL!$C$28, 0, 0)</f>
        <v>121.1704</v>
      </c>
      <c r="E1003" s="4">
        <f>828.820441070974 * CHOOSE(CONTROL!$C$9, $C$13, 100%, $E$13) + CHOOSE(CONTROL!$C$28, 0, 0)</f>
        <v>828.82044107097397</v>
      </c>
    </row>
    <row r="1004" spans="1:5" ht="15">
      <c r="A1004" s="13">
        <v>72440</v>
      </c>
      <c r="B1004" s="4">
        <f>162.8642 * CHOOSE(CONTROL!$C$9, $C$13, 100%, $E$13) + CHOOSE(CONTROL!$C$28, 0.0003, 0)</f>
        <v>162.86450000000002</v>
      </c>
      <c r="C1004" s="4">
        <f>162.5517 * CHOOSE(CONTROL!$C$9, $C$13, 100%, $E$13) + CHOOSE(CONTROL!$C$28, 0.0003, 0)</f>
        <v>162.55200000000002</v>
      </c>
      <c r="D1004" s="4">
        <f>124.6726 * CHOOSE(CONTROL!$C$9, $C$13, 100%, $E$13) + CHOOSE(CONTROL!$C$28, 0, 0)</f>
        <v>124.6726</v>
      </c>
      <c r="E1004" s="4">
        <f>862.628517719364 * CHOOSE(CONTROL!$C$9, $C$13, 100%, $E$13) + CHOOSE(CONTROL!$C$28, 0, 0)</f>
        <v>862.62851771936403</v>
      </c>
    </row>
    <row r="1005" spans="1:5" ht="15">
      <c r="A1005" s="13">
        <v>72471</v>
      </c>
      <c r="B1005" s="4">
        <f>166.7191 * CHOOSE(CONTROL!$C$9, $C$13, 100%, $E$13) + CHOOSE(CONTROL!$C$28, 0.0197, 0)</f>
        <v>166.7388</v>
      </c>
      <c r="C1005" s="4">
        <f>166.4066 * CHOOSE(CONTROL!$C$9, $C$13, 100%, $E$13) + CHOOSE(CONTROL!$C$28, 0.0197, 0)</f>
        <v>166.4263</v>
      </c>
      <c r="D1005" s="4">
        <f>123.2887 * CHOOSE(CONTROL!$C$9, $C$13, 100%, $E$13) + CHOOSE(CONTROL!$C$28, 0, 0)</f>
        <v>123.28870000000001</v>
      </c>
      <c r="E1005" s="4">
        <f>883.284442285018 * CHOOSE(CONTROL!$C$9, $C$13, 100%, $E$13) + CHOOSE(CONTROL!$C$28, 0, 0)</f>
        <v>883.28444228501803</v>
      </c>
    </row>
    <row r="1006" spans="1:5" ht="15">
      <c r="A1006" s="13">
        <v>72501</v>
      </c>
      <c r="B1006" s="4">
        <f>167.2407 * CHOOSE(CONTROL!$C$9, $C$13, 100%, $E$13) + CHOOSE(CONTROL!$C$28, 0.0197, 0)</f>
        <v>167.2604</v>
      </c>
      <c r="C1006" s="4">
        <f>166.9282 * CHOOSE(CONTROL!$C$9, $C$13, 100%, $E$13) + CHOOSE(CONTROL!$C$28, 0.0197, 0)</f>
        <v>166.9479</v>
      </c>
      <c r="D1006" s="4">
        <f>124.4157 * CHOOSE(CONTROL!$C$9, $C$13, 100%, $E$13) + CHOOSE(CONTROL!$C$28, 0, 0)</f>
        <v>124.4157</v>
      </c>
      <c r="E1006" s="4">
        <f>886.079274602599 * CHOOSE(CONTROL!$C$9, $C$13, 100%, $E$13) + CHOOSE(CONTROL!$C$28, 0, 0)</f>
        <v>886.07927460259896</v>
      </c>
    </row>
    <row r="1007" spans="1:5" ht="15">
      <c r="A1007" s="13">
        <v>72532</v>
      </c>
      <c r="B1007" s="4">
        <f>167.1881 * CHOOSE(CONTROL!$C$9, $C$13, 100%, $E$13) + CHOOSE(CONTROL!$C$28, 0.0197, 0)</f>
        <v>167.20779999999999</v>
      </c>
      <c r="C1007" s="4">
        <f>166.8756 * CHOOSE(CONTROL!$C$9, $C$13, 100%, $E$13) + CHOOSE(CONTROL!$C$28, 0.0197, 0)</f>
        <v>166.89529999999999</v>
      </c>
      <c r="D1007" s="4">
        <f>126.4494 * CHOOSE(CONTROL!$C$9, $C$13, 100%, $E$13) + CHOOSE(CONTROL!$C$28, 0, 0)</f>
        <v>126.4494</v>
      </c>
      <c r="E1007" s="4">
        <f>885.797442772255 * CHOOSE(CONTROL!$C$9, $C$13, 100%, $E$13) + CHOOSE(CONTROL!$C$28, 0, 0)</f>
        <v>885.79744277225495</v>
      </c>
    </row>
    <row r="1008" spans="1:5" ht="15">
      <c r="A1008" s="13">
        <v>72563</v>
      </c>
      <c r="B1008" s="4">
        <f>171.1461 * CHOOSE(CONTROL!$C$9, $C$13, 100%, $E$13) + CHOOSE(CONTROL!$C$28, 0.0197, 0)</f>
        <v>171.16579999999999</v>
      </c>
      <c r="C1008" s="4">
        <f>170.8336 * CHOOSE(CONTROL!$C$9, $C$13, 100%, $E$13) + CHOOSE(CONTROL!$C$28, 0.0197, 0)</f>
        <v>170.85329999999999</v>
      </c>
      <c r="D1008" s="4">
        <f>125.1064 * CHOOSE(CONTROL!$C$9, $C$13, 100%, $E$13) + CHOOSE(CONTROL!$C$28, 0, 0)</f>
        <v>125.10639999999999</v>
      </c>
      <c r="E1008" s="4">
        <f>907.005288005666 * CHOOSE(CONTROL!$C$9, $C$13, 100%, $E$13) + CHOOSE(CONTROL!$C$28, 0, 0)</f>
        <v>907.00528800566599</v>
      </c>
    </row>
    <row r="1009" spans="1:5" ht="15">
      <c r="A1009" s="13">
        <v>72593</v>
      </c>
      <c r="B1009" s="4">
        <f>164.4005 * CHOOSE(CONTROL!$C$9, $C$13, 100%, $E$13) + CHOOSE(CONTROL!$C$28, 0.0197, 0)</f>
        <v>164.42019999999999</v>
      </c>
      <c r="C1009" s="4">
        <f>164.088 * CHOOSE(CONTROL!$C$9, $C$13, 100%, $E$13) + CHOOSE(CONTROL!$C$28, 0.0197, 0)</f>
        <v>164.10769999999999</v>
      </c>
      <c r="D1009" s="4">
        <f>124.4718 * CHOOSE(CONTROL!$C$9, $C$13, 100%, $E$13) + CHOOSE(CONTROL!$C$28, 0, 0)</f>
        <v>124.4718</v>
      </c>
      <c r="E1009" s="4">
        <f>870.860355764005 * CHOOSE(CONTROL!$C$9, $C$13, 100%, $E$13) + CHOOSE(CONTROL!$C$28, 0, 0)</f>
        <v>870.86035576400502</v>
      </c>
    </row>
    <row r="1010" spans="1:5" ht="15">
      <c r="A1010" s="13">
        <v>72624</v>
      </c>
      <c r="B1010" s="4">
        <f>159.0005 * CHOOSE(CONTROL!$C$9, $C$13, 100%, $E$13) + CHOOSE(CONTROL!$C$28, 0.0003, 0)</f>
        <v>159.0008</v>
      </c>
      <c r="C1010" s="4">
        <f>158.688 * CHOOSE(CONTROL!$C$9, $C$13, 100%, $E$13) + CHOOSE(CONTROL!$C$28, 0.0003, 0)</f>
        <v>158.6883</v>
      </c>
      <c r="D1010" s="4">
        <f>122.7728 * CHOOSE(CONTROL!$C$9, $C$13, 100%, $E$13) + CHOOSE(CONTROL!$C$28, 0, 0)</f>
        <v>122.7728</v>
      </c>
      <c r="E1010" s="4">
        <f>841.925621181986 * CHOOSE(CONTROL!$C$9, $C$13, 100%, $E$13) + CHOOSE(CONTROL!$C$28, 0, 0)</f>
        <v>841.925621181986</v>
      </c>
    </row>
    <row r="1011" spans="1:5" ht="15">
      <c r="A1011" s="13">
        <v>72654</v>
      </c>
      <c r="B1011" s="4">
        <f>155.5225 * CHOOSE(CONTROL!$C$9, $C$13, 100%, $E$13) + CHOOSE(CONTROL!$C$28, 0.0003, 0)</f>
        <v>155.52280000000002</v>
      </c>
      <c r="C1011" s="4">
        <f>155.21 * CHOOSE(CONTROL!$C$9, $C$13, 100%, $E$13) + CHOOSE(CONTROL!$C$28, 0.0003, 0)</f>
        <v>155.21030000000002</v>
      </c>
      <c r="D1011" s="4">
        <f>122.1887 * CHOOSE(CONTROL!$C$9, $C$13, 100%, $E$13) + CHOOSE(CONTROL!$C$28, 0, 0)</f>
        <v>122.1887</v>
      </c>
      <c r="E1011" s="4">
        <f>823.289491400467 * CHOOSE(CONTROL!$C$9, $C$13, 100%, $E$13) + CHOOSE(CONTROL!$C$28, 0, 0)</f>
        <v>823.289491400467</v>
      </c>
    </row>
    <row r="1012" spans="1:5" ht="15">
      <c r="A1012" s="13">
        <v>72685</v>
      </c>
      <c r="B1012" s="4">
        <f>153.1162 * CHOOSE(CONTROL!$C$9, $C$13, 100%, $E$13) + CHOOSE(CONTROL!$C$28, 0.0003, 0)</f>
        <v>153.1165</v>
      </c>
      <c r="C1012" s="4">
        <f>152.8037 * CHOOSE(CONTROL!$C$9, $C$13, 100%, $E$13) + CHOOSE(CONTROL!$C$28, 0.0003, 0)</f>
        <v>152.804</v>
      </c>
      <c r="D1012" s="4">
        <f>117.8883 * CHOOSE(CONTROL!$C$9, $C$13, 100%, $E$13) + CHOOSE(CONTROL!$C$28, 0, 0)</f>
        <v>117.8883</v>
      </c>
      <c r="E1012" s="4">
        <f>810.395685162213 * CHOOSE(CONTROL!$C$9, $C$13, 100%, $E$13) + CHOOSE(CONTROL!$C$28, 0, 0)</f>
        <v>810.395685162213</v>
      </c>
    </row>
    <row r="1013" spans="1:5" ht="15">
      <c r="A1013" s="13">
        <v>72716</v>
      </c>
      <c r="B1013" s="4">
        <f>149.2064 * CHOOSE(CONTROL!$C$9, $C$13, 100%, $E$13) + CHOOSE(CONTROL!$C$28, 0.0003, 0)</f>
        <v>149.20670000000001</v>
      </c>
      <c r="C1013" s="4">
        <f>148.8939 * CHOOSE(CONTROL!$C$9, $C$13, 100%, $E$13) + CHOOSE(CONTROL!$C$28, 0.0003, 0)</f>
        <v>148.89420000000001</v>
      </c>
      <c r="D1013" s="4">
        <f>113.9359 * CHOOSE(CONTROL!$C$9, $C$13, 100%, $E$13) + CHOOSE(CONTROL!$C$28, 0, 0)</f>
        <v>113.9359</v>
      </c>
      <c r="E1013" s="4">
        <f>787.156625084042 * CHOOSE(CONTROL!$C$9, $C$13, 100%, $E$13) + CHOOSE(CONTROL!$C$28, 0, 0)</f>
        <v>787.15662508404205</v>
      </c>
    </row>
    <row r="1014" spans="1:5" ht="15">
      <c r="A1014" s="13">
        <v>72744</v>
      </c>
      <c r="B1014" s="4">
        <f>152.7046 * CHOOSE(CONTROL!$C$9, $C$13, 100%, $E$13) + CHOOSE(CONTROL!$C$28, 0.0003, 0)</f>
        <v>152.70490000000001</v>
      </c>
      <c r="C1014" s="4">
        <f>152.3921 * CHOOSE(CONTROL!$C$9, $C$13, 100%, $E$13) + CHOOSE(CONTROL!$C$28, 0.0003, 0)</f>
        <v>152.39240000000001</v>
      </c>
      <c r="D1014" s="4">
        <f>117.916 * CHOOSE(CONTROL!$C$9, $C$13, 100%, $E$13) + CHOOSE(CONTROL!$C$28, 0, 0)</f>
        <v>117.916</v>
      </c>
      <c r="E1014" s="4">
        <f>805.846825476512 * CHOOSE(CONTROL!$C$9, $C$13, 100%, $E$13) + CHOOSE(CONTROL!$C$28, 0, 0)</f>
        <v>805.84682547651198</v>
      </c>
    </row>
    <row r="1015" spans="1:5" ht="15">
      <c r="A1015" s="13">
        <v>72775</v>
      </c>
      <c r="B1015" s="4">
        <f>161.8912 * CHOOSE(CONTROL!$C$9, $C$13, 100%, $E$13) + CHOOSE(CONTROL!$C$28, 0.0003, 0)</f>
        <v>161.89150000000001</v>
      </c>
      <c r="C1015" s="4">
        <f>161.5787 * CHOOSE(CONTROL!$C$9, $C$13, 100%, $E$13) + CHOOSE(CONTROL!$C$28, 0.0003, 0)</f>
        <v>161.57900000000001</v>
      </c>
      <c r="D1015" s="4">
        <f>124.1465 * CHOOSE(CONTROL!$C$9, $C$13, 100%, $E$13) + CHOOSE(CONTROL!$C$28, 0, 0)</f>
        <v>124.1465</v>
      </c>
      <c r="E1015" s="4">
        <f>854.92828496471 * CHOOSE(CONTROL!$C$9, $C$13, 100%, $E$13) + CHOOSE(CONTROL!$C$28, 0, 0)</f>
        <v>854.92828496470997</v>
      </c>
    </row>
    <row r="1016" spans="1:5" ht="15">
      <c r="A1016" s="13">
        <v>72805</v>
      </c>
      <c r="B1016" s="4">
        <f>168.4183 * CHOOSE(CONTROL!$C$9, $C$13, 100%, $E$13) + CHOOSE(CONTROL!$C$28, 0.0003, 0)</f>
        <v>168.4186</v>
      </c>
      <c r="C1016" s="4">
        <f>168.1058 * CHOOSE(CONTROL!$C$9, $C$13, 100%, $E$13) + CHOOSE(CONTROL!$C$28, 0.0003, 0)</f>
        <v>168.1061</v>
      </c>
      <c r="D1016" s="4">
        <f>127.7355 * CHOOSE(CONTROL!$C$9, $C$13, 100%, $E$13) + CHOOSE(CONTROL!$C$28, 0, 0)</f>
        <v>127.7355</v>
      </c>
      <c r="E1016" s="4">
        <f>889.801316027524 * CHOOSE(CONTROL!$C$9, $C$13, 100%, $E$13) + CHOOSE(CONTROL!$C$28, 0, 0)</f>
        <v>889.80131602752397</v>
      </c>
    </row>
    <row r="1017" spans="1:5" ht="15">
      <c r="A1017" s="13">
        <v>72836</v>
      </c>
      <c r="B1017" s="4">
        <f>172.4063 * CHOOSE(CONTROL!$C$9, $C$13, 100%, $E$13) + CHOOSE(CONTROL!$C$28, 0.0197, 0)</f>
        <v>172.42599999999999</v>
      </c>
      <c r="C1017" s="4">
        <f>172.0938 * CHOOSE(CONTROL!$C$9, $C$13, 100%, $E$13) + CHOOSE(CONTROL!$C$28, 0.0197, 0)</f>
        <v>172.11349999999999</v>
      </c>
      <c r="D1017" s="4">
        <f>126.3173 * CHOOSE(CONTROL!$C$9, $C$13, 100%, $E$13) + CHOOSE(CONTROL!$C$28, 0, 0)</f>
        <v>126.3173</v>
      </c>
      <c r="E1017" s="4">
        <f>911.107902216996 * CHOOSE(CONTROL!$C$9, $C$13, 100%, $E$13) + CHOOSE(CONTROL!$C$28, 0, 0)</f>
        <v>911.10790221699597</v>
      </c>
    </row>
    <row r="1018" spans="1:5" ht="15">
      <c r="A1018" s="13">
        <v>72866</v>
      </c>
      <c r="B1018" s="4">
        <f>172.9458 * CHOOSE(CONTROL!$C$9, $C$13, 100%, $E$13) + CHOOSE(CONTROL!$C$28, 0.0197, 0)</f>
        <v>172.96549999999999</v>
      </c>
      <c r="C1018" s="4">
        <f>172.6333 * CHOOSE(CONTROL!$C$9, $C$13, 100%, $E$13) + CHOOSE(CONTROL!$C$28, 0.0197, 0)</f>
        <v>172.65299999999999</v>
      </c>
      <c r="D1018" s="4">
        <f>127.4723 * CHOOSE(CONTROL!$C$9, $C$13, 100%, $E$13) + CHOOSE(CONTROL!$C$28, 0, 0)</f>
        <v>127.4723</v>
      </c>
      <c r="E1018" s="4">
        <f>913.990771752581 * CHOOSE(CONTROL!$C$9, $C$13, 100%, $E$13) + CHOOSE(CONTROL!$C$28, 0, 0)</f>
        <v>913.99077175258105</v>
      </c>
    </row>
    <row r="1019" spans="1:5" ht="15">
      <c r="A1019" s="13">
        <v>72897</v>
      </c>
      <c r="B1019" s="4">
        <f>172.8914 * CHOOSE(CONTROL!$C$9, $C$13, 100%, $E$13) + CHOOSE(CONTROL!$C$28, 0.0197, 0)</f>
        <v>172.9111</v>
      </c>
      <c r="C1019" s="4">
        <f>172.5789 * CHOOSE(CONTROL!$C$9, $C$13, 100%, $E$13) + CHOOSE(CONTROL!$C$28, 0.0197, 0)</f>
        <v>172.5986</v>
      </c>
      <c r="D1019" s="4">
        <f>129.5564 * CHOOSE(CONTROL!$C$9, $C$13, 100%, $E$13) + CHOOSE(CONTROL!$C$28, 0, 0)</f>
        <v>129.5564</v>
      </c>
      <c r="E1019" s="4">
        <f>913.700062219581 * CHOOSE(CONTROL!$C$9, $C$13, 100%, $E$13) + CHOOSE(CONTROL!$C$28, 0, 0)</f>
        <v>913.70006221958101</v>
      </c>
    </row>
    <row r="1020" spans="1:5" ht="15">
      <c r="A1020" s="13">
        <v>72928</v>
      </c>
      <c r="B1020" s="4">
        <f>176.9859 * CHOOSE(CONTROL!$C$9, $C$13, 100%, $E$13) + CHOOSE(CONTROL!$C$28, 0.0197, 0)</f>
        <v>177.00559999999999</v>
      </c>
      <c r="C1020" s="4">
        <f>176.6734 * CHOOSE(CONTROL!$C$9, $C$13, 100%, $E$13) + CHOOSE(CONTROL!$C$28, 0.0197, 0)</f>
        <v>176.69309999999999</v>
      </c>
      <c r="D1020" s="4">
        <f>128.1801 * CHOOSE(CONTROL!$C$9, $C$13, 100%, $E$13) + CHOOSE(CONTROL!$C$28, 0, 0)</f>
        <v>128.18010000000001</v>
      </c>
      <c r="E1020" s="4">
        <f>935.575954577844 * CHOOSE(CONTROL!$C$9, $C$13, 100%, $E$13) + CHOOSE(CONTROL!$C$28, 0, 0)</f>
        <v>935.57595457784396</v>
      </c>
    </row>
    <row r="1021" spans="1:5" ht="15">
      <c r="A1021" s="13">
        <v>72958</v>
      </c>
      <c r="B1021" s="4">
        <f>170.0076 * CHOOSE(CONTROL!$C$9, $C$13, 100%, $E$13) + CHOOSE(CONTROL!$C$28, 0.0197, 0)</f>
        <v>170.0273</v>
      </c>
      <c r="C1021" s="4">
        <f>169.6951 * CHOOSE(CONTROL!$C$9, $C$13, 100%, $E$13) + CHOOSE(CONTROL!$C$28, 0.0197, 0)</f>
        <v>169.7148</v>
      </c>
      <c r="D1021" s="4">
        <f>127.5298 * CHOOSE(CONTROL!$C$9, $C$13, 100%, $E$13) + CHOOSE(CONTROL!$C$28, 0, 0)</f>
        <v>127.52979999999999</v>
      </c>
      <c r="E1021" s="4">
        <f>898.292456970571 * CHOOSE(CONTROL!$C$9, $C$13, 100%, $E$13) + CHOOSE(CONTROL!$C$28, 0, 0)</f>
        <v>898.29245697057104</v>
      </c>
    </row>
    <row r="1022" spans="1:5" ht="15">
      <c r="A1022" s="13">
        <v>72989</v>
      </c>
      <c r="B1022" s="4">
        <f>164.4213 * CHOOSE(CONTROL!$C$9, $C$13, 100%, $E$13) + CHOOSE(CONTROL!$C$28, 0.0003, 0)</f>
        <v>164.42160000000001</v>
      </c>
      <c r="C1022" s="4">
        <f>164.1088 * CHOOSE(CONTROL!$C$9, $C$13, 100%, $E$13) + CHOOSE(CONTROL!$C$28, 0.0003, 0)</f>
        <v>164.10910000000001</v>
      </c>
      <c r="D1022" s="4">
        <f>125.7886 * CHOOSE(CONTROL!$C$9, $C$13, 100%, $E$13) + CHOOSE(CONTROL!$C$28, 0, 0)</f>
        <v>125.7886</v>
      </c>
      <c r="E1022" s="4">
        <f>868.446278249218 * CHOOSE(CONTROL!$C$9, $C$13, 100%, $E$13) + CHOOSE(CONTROL!$C$28, 0, 0)</f>
        <v>868.44627824921804</v>
      </c>
    </row>
    <row r="1023" spans="1:5" ht="15">
      <c r="A1023" s="13">
        <v>73019</v>
      </c>
      <c r="B1023" s="4">
        <f>160.8233 * CHOOSE(CONTROL!$C$9, $C$13, 100%, $E$13) + CHOOSE(CONTROL!$C$28, 0.0003, 0)</f>
        <v>160.8236</v>
      </c>
      <c r="C1023" s="4">
        <f>160.5108 * CHOOSE(CONTROL!$C$9, $C$13, 100%, $E$13) + CHOOSE(CONTROL!$C$28, 0.0003, 0)</f>
        <v>160.5111</v>
      </c>
      <c r="D1023" s="4">
        <f>125.19 * CHOOSE(CONTROL!$C$9, $C$13, 100%, $E$13) + CHOOSE(CONTROL!$C$28, 0, 0)</f>
        <v>125.19</v>
      </c>
      <c r="E1023" s="4">
        <f>849.223110379581 * CHOOSE(CONTROL!$C$9, $C$13, 100%, $E$13) + CHOOSE(CONTROL!$C$28, 0, 0)</f>
        <v>849.22311037958104</v>
      </c>
    </row>
    <row r="1024" spans="1:5" ht="15">
      <c r="A1024" s="13">
        <v>73050</v>
      </c>
      <c r="B1024" s="4">
        <f>158.334 * CHOOSE(CONTROL!$C$9, $C$13, 100%, $E$13) + CHOOSE(CONTROL!$C$28, 0.0003, 0)</f>
        <v>158.33430000000001</v>
      </c>
      <c r="C1024" s="4">
        <f>158.0215 * CHOOSE(CONTROL!$C$9, $C$13, 100%, $E$13) + CHOOSE(CONTROL!$C$28, 0.0003, 0)</f>
        <v>158.02180000000001</v>
      </c>
      <c r="D1024" s="4">
        <f>120.783 * CHOOSE(CONTROL!$C$9, $C$13, 100%, $E$13) + CHOOSE(CONTROL!$C$28, 0, 0)</f>
        <v>120.783</v>
      </c>
      <c r="E1024" s="4">
        <f>835.923149244823 * CHOOSE(CONTROL!$C$9, $C$13, 100%, $E$13) + CHOOSE(CONTROL!$C$28, 0, 0)</f>
        <v>835.92314924482298</v>
      </c>
    </row>
    <row r="1025" spans="1:5" ht="15">
      <c r="A1025" s="13">
        <v>73081</v>
      </c>
      <c r="B1025" s="4">
        <f>154.2893 * CHOOSE(CONTROL!$C$9, $C$13, 100%, $E$13) + CHOOSE(CONTROL!$C$28, 0.0003, 0)</f>
        <v>154.28960000000001</v>
      </c>
      <c r="C1025" s="4">
        <f>153.9768 * CHOOSE(CONTROL!$C$9, $C$13, 100%, $E$13) + CHOOSE(CONTROL!$C$28, 0.0003, 0)</f>
        <v>153.97710000000001</v>
      </c>
      <c r="D1025" s="4">
        <f>116.7326 * CHOOSE(CONTROL!$C$9, $C$13, 100%, $E$13) + CHOOSE(CONTROL!$C$28, 0, 0)</f>
        <v>116.73260000000001</v>
      </c>
      <c r="E1025" s="4">
        <f>811.952058774189 * CHOOSE(CONTROL!$C$9, $C$13, 100%, $E$13) + CHOOSE(CONTROL!$C$28, 0, 0)</f>
        <v>811.95205877418903</v>
      </c>
    </row>
    <row r="1026" spans="1:5" ht="15">
      <c r="A1026" s="13">
        <v>73109</v>
      </c>
      <c r="B1026" s="4">
        <f>157.9083 * CHOOSE(CONTROL!$C$9, $C$13, 100%, $E$13) + CHOOSE(CONTROL!$C$28, 0.0003, 0)</f>
        <v>157.90860000000001</v>
      </c>
      <c r="C1026" s="4">
        <f>157.5958 * CHOOSE(CONTROL!$C$9, $C$13, 100%, $E$13) + CHOOSE(CONTROL!$C$28, 0.0003, 0)</f>
        <v>157.59610000000001</v>
      </c>
      <c r="D1026" s="4">
        <f>120.8114 * CHOOSE(CONTROL!$C$9, $C$13, 100%, $E$13) + CHOOSE(CONTROL!$C$28, 0, 0)</f>
        <v>120.81140000000001</v>
      </c>
      <c r="E1026" s="4">
        <f>831.231000479022 * CHOOSE(CONTROL!$C$9, $C$13, 100%, $E$13) + CHOOSE(CONTROL!$C$28, 0, 0)</f>
        <v>831.23100047902199</v>
      </c>
    </row>
    <row r="1027" spans="1:5" ht="15">
      <c r="A1027" s="13">
        <v>73140</v>
      </c>
      <c r="B1027" s="4">
        <f>167.4117 * CHOOSE(CONTROL!$C$9, $C$13, 100%, $E$13) + CHOOSE(CONTROL!$C$28, 0.0003, 0)</f>
        <v>167.41200000000001</v>
      </c>
      <c r="C1027" s="4">
        <f>167.0992 * CHOOSE(CONTROL!$C$9, $C$13, 100%, $E$13) + CHOOSE(CONTROL!$C$28, 0.0003, 0)</f>
        <v>167.09950000000001</v>
      </c>
      <c r="D1027" s="4">
        <f>127.1965 * CHOOSE(CONTROL!$C$9, $C$13, 100%, $E$13) + CHOOSE(CONTROL!$C$28, 0, 0)</f>
        <v>127.1965</v>
      </c>
      <c r="E1027" s="4">
        <f>881.858525941098 * CHOOSE(CONTROL!$C$9, $C$13, 100%, $E$13) + CHOOSE(CONTROL!$C$28, 0, 0)</f>
        <v>881.85852594109804</v>
      </c>
    </row>
    <row r="1028" spans="1:5" ht="15">
      <c r="A1028" s="13">
        <v>73170</v>
      </c>
      <c r="B1028" s="4">
        <f>174.1641 * CHOOSE(CONTROL!$C$9, $C$13, 100%, $E$13) + CHOOSE(CONTROL!$C$28, 0.0003, 0)</f>
        <v>174.1644</v>
      </c>
      <c r="C1028" s="4">
        <f>173.8516 * CHOOSE(CONTROL!$C$9, $C$13, 100%, $E$13) + CHOOSE(CONTROL!$C$28, 0.0003, 0)</f>
        <v>173.8519</v>
      </c>
      <c r="D1028" s="4">
        <f>130.8745 * CHOOSE(CONTROL!$C$9, $C$13, 100%, $E$13) + CHOOSE(CONTROL!$C$28, 0, 0)</f>
        <v>130.87450000000001</v>
      </c>
      <c r="E1028" s="4">
        <f>917.830057482391 * CHOOSE(CONTROL!$C$9, $C$13, 100%, $E$13) + CHOOSE(CONTROL!$C$28, 0, 0)</f>
        <v>917.830057482391</v>
      </c>
    </row>
    <row r="1029" spans="1:5" ht="15">
      <c r="A1029" s="13">
        <v>73201</v>
      </c>
      <c r="B1029" s="4">
        <f>178.2896 * CHOOSE(CONTROL!$C$9, $C$13, 100%, $E$13) + CHOOSE(CONTROL!$C$28, 0.0197, 0)</f>
        <v>178.30930000000001</v>
      </c>
      <c r="C1029" s="4">
        <f>177.9771 * CHOOSE(CONTROL!$C$9, $C$13, 100%, $E$13) + CHOOSE(CONTROL!$C$28, 0.0197, 0)</f>
        <v>177.99680000000001</v>
      </c>
      <c r="D1029" s="4">
        <f>129.4211 * CHOOSE(CONTROL!$C$9, $C$13, 100%, $E$13) + CHOOSE(CONTROL!$C$28, 0, 0)</f>
        <v>129.4211</v>
      </c>
      <c r="E1029" s="4">
        <f>939.807801136831 * CHOOSE(CONTROL!$C$9, $C$13, 100%, $E$13) + CHOOSE(CONTROL!$C$28, 0, 0)</f>
        <v>939.80780113683102</v>
      </c>
    </row>
    <row r="1030" spans="1:5" ht="15">
      <c r="A1030" s="13">
        <v>73231</v>
      </c>
      <c r="B1030" s="4">
        <f>178.8478 * CHOOSE(CONTROL!$C$9, $C$13, 100%, $E$13) + CHOOSE(CONTROL!$C$28, 0.0197, 0)</f>
        <v>178.86750000000001</v>
      </c>
      <c r="C1030" s="4">
        <f>178.5353 * CHOOSE(CONTROL!$C$9, $C$13, 100%, $E$13) + CHOOSE(CONTROL!$C$28, 0.0197, 0)</f>
        <v>178.55500000000001</v>
      </c>
      <c r="D1030" s="4">
        <f>130.6048 * CHOOSE(CONTROL!$C$9, $C$13, 100%, $E$13) + CHOOSE(CONTROL!$C$28, 0, 0)</f>
        <v>130.60480000000001</v>
      </c>
      <c r="E1030" s="4">
        <f>942.781481062787 * CHOOSE(CONTROL!$C$9, $C$13, 100%, $E$13) + CHOOSE(CONTROL!$C$28, 0, 0)</f>
        <v>942.78148106278695</v>
      </c>
    </row>
    <row r="1031" spans="1:5" ht="15">
      <c r="A1031" s="13">
        <v>73262</v>
      </c>
      <c r="B1031" s="4">
        <f>178.7915 * CHOOSE(CONTROL!$C$9, $C$13, 100%, $E$13) + CHOOSE(CONTROL!$C$28, 0.0197, 0)</f>
        <v>178.81120000000001</v>
      </c>
      <c r="C1031" s="4">
        <f>178.479 * CHOOSE(CONTROL!$C$9, $C$13, 100%, $E$13) + CHOOSE(CONTROL!$C$28, 0.0197, 0)</f>
        <v>178.49870000000001</v>
      </c>
      <c r="D1031" s="4">
        <f>132.7405 * CHOOSE(CONTROL!$C$9, $C$13, 100%, $E$13) + CHOOSE(CONTROL!$C$28, 0, 0)</f>
        <v>132.7405</v>
      </c>
      <c r="E1031" s="4">
        <f>942.481614179497 * CHOOSE(CONTROL!$C$9, $C$13, 100%, $E$13) + CHOOSE(CONTROL!$C$28, 0, 0)</f>
        <v>942.481614179497</v>
      </c>
    </row>
    <row r="1032" spans="1:5" ht="15">
      <c r="A1032" s="13">
        <v>73293</v>
      </c>
      <c r="B1032" s="4">
        <f>183.0273 * CHOOSE(CONTROL!$C$9, $C$13, 100%, $E$13) + CHOOSE(CONTROL!$C$28, 0.0197, 0)</f>
        <v>183.047</v>
      </c>
      <c r="C1032" s="4">
        <f>182.7148 * CHOOSE(CONTROL!$C$9, $C$13, 100%, $E$13) + CHOOSE(CONTROL!$C$28, 0.0197, 0)</f>
        <v>182.7345</v>
      </c>
      <c r="D1032" s="4">
        <f>131.3301 * CHOOSE(CONTROL!$C$9, $C$13, 100%, $E$13) + CHOOSE(CONTROL!$C$28, 0, 0)</f>
        <v>131.33009999999999</v>
      </c>
      <c r="E1032" s="4">
        <f>965.046597147047 * CHOOSE(CONTROL!$C$9, $C$13, 100%, $E$13) + CHOOSE(CONTROL!$C$28, 0, 0)</f>
        <v>965.04659714704701</v>
      </c>
    </row>
    <row r="1033" spans="1:5" ht="15">
      <c r="A1033" s="13">
        <v>73323</v>
      </c>
      <c r="B1033" s="4">
        <f>175.8082 * CHOOSE(CONTROL!$C$9, $C$13, 100%, $E$13) + CHOOSE(CONTROL!$C$28, 0.0197, 0)</f>
        <v>175.8279</v>
      </c>
      <c r="C1033" s="4">
        <f>175.4957 * CHOOSE(CONTROL!$C$9, $C$13, 100%, $E$13) + CHOOSE(CONTROL!$C$28, 0.0197, 0)</f>
        <v>175.5154</v>
      </c>
      <c r="D1033" s="4">
        <f>130.6636 * CHOOSE(CONTROL!$C$9, $C$13, 100%, $E$13) + CHOOSE(CONTROL!$C$28, 0, 0)</f>
        <v>130.6636</v>
      </c>
      <c r="E1033" s="4">
        <f>926.588669365144 * CHOOSE(CONTROL!$C$9, $C$13, 100%, $E$13) + CHOOSE(CONTROL!$C$28, 0, 0)</f>
        <v>926.58866936514403</v>
      </c>
    </row>
    <row r="1034" spans="1:5" ht="15">
      <c r="A1034" s="13">
        <v>73354</v>
      </c>
      <c r="B1034" s="4">
        <f>170.0292 * CHOOSE(CONTROL!$C$9, $C$13, 100%, $E$13) + CHOOSE(CONTROL!$C$28, 0.0003, 0)</f>
        <v>170.02950000000001</v>
      </c>
      <c r="C1034" s="4">
        <f>169.7167 * CHOOSE(CONTROL!$C$9, $C$13, 100%, $E$13) + CHOOSE(CONTROL!$C$28, 0.0003, 0)</f>
        <v>169.71700000000001</v>
      </c>
      <c r="D1034" s="4">
        <f>128.8793 * CHOOSE(CONTROL!$C$9, $C$13, 100%, $E$13) + CHOOSE(CONTROL!$C$28, 0, 0)</f>
        <v>128.8793</v>
      </c>
      <c r="E1034" s="4">
        <f>895.802336014069 * CHOOSE(CONTROL!$C$9, $C$13, 100%, $E$13) + CHOOSE(CONTROL!$C$28, 0, 0)</f>
        <v>895.80233601406906</v>
      </c>
    </row>
    <row r="1035" spans="1:5" ht="15">
      <c r="A1035" s="13">
        <v>73384</v>
      </c>
      <c r="B1035" s="4">
        <f>166.3071 * CHOOSE(CONTROL!$C$9, $C$13, 100%, $E$13) + CHOOSE(CONTROL!$C$28, 0.0003, 0)</f>
        <v>166.3074</v>
      </c>
      <c r="C1035" s="4">
        <f>165.9946 * CHOOSE(CONTROL!$C$9, $C$13, 100%, $E$13) + CHOOSE(CONTROL!$C$28, 0.0003, 0)</f>
        <v>165.9949</v>
      </c>
      <c r="D1035" s="4">
        <f>128.2658 * CHOOSE(CONTROL!$C$9, $C$13, 100%, $E$13) + CHOOSE(CONTROL!$C$28, 0, 0)</f>
        <v>128.26580000000001</v>
      </c>
      <c r="E1035" s="4">
        <f>875.973638356538 * CHOOSE(CONTROL!$C$9, $C$13, 100%, $E$13) + CHOOSE(CONTROL!$C$28, 0, 0)</f>
        <v>875.973638356538</v>
      </c>
    </row>
    <row r="1036" spans="1:5" ht="15">
      <c r="A1036" s="13">
        <v>73415</v>
      </c>
      <c r="B1036" s="4">
        <f>163.7318 * CHOOSE(CONTROL!$C$9, $C$13, 100%, $E$13) + CHOOSE(CONTROL!$C$28, 0.0003, 0)</f>
        <v>163.7321</v>
      </c>
      <c r="C1036" s="4">
        <f>163.4193 * CHOOSE(CONTROL!$C$9, $C$13, 100%, $E$13) + CHOOSE(CONTROL!$C$28, 0.0003, 0)</f>
        <v>163.4196</v>
      </c>
      <c r="D1036" s="4">
        <f>123.7495 * CHOOSE(CONTROL!$C$9, $C$13, 100%, $E$13) + CHOOSE(CONTROL!$C$28, 0, 0)</f>
        <v>123.7495</v>
      </c>
      <c r="E1036" s="4">
        <f>862.254728446035 * CHOOSE(CONTROL!$C$9, $C$13, 100%, $E$13) + CHOOSE(CONTROL!$C$28, 0, 0)</f>
        <v>862.25472844603496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6.3620249999999992</v>
      </c>
      <c r="C1038" s="4">
        <f>AVERAGE(C17:C28)</f>
        <v>6.0495333333333328</v>
      </c>
      <c r="D1038" s="4">
        <f>AVERAGE(D17:D28)</f>
        <v>9.2117750000000012</v>
      </c>
      <c r="E1038" s="4">
        <f>AVERAGE(E17:E28)</f>
        <v>35.897500000000001</v>
      </c>
    </row>
    <row r="1039" spans="1:5" ht="15">
      <c r="A1039" s="3">
        <v>2017</v>
      </c>
      <c r="B1039" s="4">
        <f>AVERAGE(B29:B40)</f>
        <v>7.2824833333333343</v>
      </c>
      <c r="C1039" s="4">
        <f>AVERAGE(C29:C40)</f>
        <v>6.9699833333333343</v>
      </c>
      <c r="D1039" s="4">
        <f>AVERAGE(D29:D40)</f>
        <v>10.440616666666665</v>
      </c>
      <c r="E1039" s="4">
        <f>AVERAGE(E29:E40)</f>
        <v>42.357500000000009</v>
      </c>
    </row>
    <row r="1040" spans="1:5" ht="15">
      <c r="A1040" s="3">
        <v>2018</v>
      </c>
      <c r="B1040" s="4">
        <f>AVERAGE(B41:B52)</f>
        <v>7.6850833333333339</v>
      </c>
      <c r="C1040" s="4">
        <f>AVERAGE(C41:C52)</f>
        <v>7.3725750000000003</v>
      </c>
      <c r="D1040" s="4">
        <f>AVERAGE(D41:D52)</f>
        <v>11.194958333333332</v>
      </c>
      <c r="E1040" s="4">
        <f>AVERAGE(E41:E52)</f>
        <v>44.93416666666667</v>
      </c>
    </row>
    <row r="1041" spans="1:5" ht="15">
      <c r="A1041" s="3">
        <v>2019</v>
      </c>
      <c r="B1041" s="4">
        <f>AVERAGE(B53:B64)</f>
        <v>10.077499999999999</v>
      </c>
      <c r="C1041" s="4">
        <f>AVERAGE(C53:C64)</f>
        <v>9.7649999999999988</v>
      </c>
      <c r="D1041" s="4">
        <f>AVERAGE(D53:D64)</f>
        <v>14.327525</v>
      </c>
      <c r="E1041" s="4">
        <f>AVERAGE(E53:E64)</f>
        <v>58.739027913411462</v>
      </c>
    </row>
    <row r="1042" spans="1:5" ht="15">
      <c r="A1042" s="3">
        <v>2020</v>
      </c>
      <c r="B1042" s="4">
        <f>AVERAGE(B65:B76)</f>
        <v>10.615558333333334</v>
      </c>
      <c r="C1042" s="4">
        <f>AVERAGE(C65:C76)</f>
        <v>10.303058333333334</v>
      </c>
      <c r="D1042" s="4">
        <f>AVERAGE(D65:D76)</f>
        <v>14.957966666666666</v>
      </c>
      <c r="E1042" s="4">
        <f>AVERAGE(E65:E76)</f>
        <v>61.857077840169289</v>
      </c>
    </row>
    <row r="1043" spans="1:5" ht="15">
      <c r="A1043" s="3">
        <v>2021</v>
      </c>
      <c r="B1043" s="4">
        <f>AVERAGE(B77:B88)</f>
        <v>13.852983333333333</v>
      </c>
      <c r="C1043" s="4">
        <f>AVERAGE(C77:C88)</f>
        <v>13.540483333333333</v>
      </c>
      <c r="D1043" s="4">
        <f>AVERAGE(D77:D88)</f>
        <v>18.511166666666664</v>
      </c>
      <c r="E1043" s="4">
        <f>AVERAGE(E77:E88)</f>
        <v>79.433403015136733</v>
      </c>
    </row>
    <row r="1044" spans="1:5" ht="15">
      <c r="A1044" s="3">
        <v>2022</v>
      </c>
      <c r="B1044" s="4">
        <f>AVERAGE(B89:B100)</f>
        <v>14.463566666666667</v>
      </c>
      <c r="C1044" s="4">
        <f>AVERAGE(C89:C100)</f>
        <v>14.151066666666667</v>
      </c>
      <c r="D1044" s="4">
        <f>AVERAGE(D89:D100)</f>
        <v>19.334300000000002</v>
      </c>
      <c r="E1044" s="4">
        <f>AVERAGE(E89:E100)</f>
        <v>83.260375976562514</v>
      </c>
    </row>
    <row r="1045" spans="1:5" ht="15">
      <c r="A1045" s="3">
        <v>2023</v>
      </c>
      <c r="B1045" s="4">
        <f>AVERAGE(B101:B112)</f>
        <v>15.1656</v>
      </c>
      <c r="C1045" s="4">
        <f>AVERAGE(C101:C112)</f>
        <v>14.8531</v>
      </c>
      <c r="D1045" s="4">
        <f>AVERAGE(D101:D112)</f>
        <v>20.255116666666666</v>
      </c>
      <c r="E1045" s="4">
        <f>AVERAGE(E101:E112)</f>
        <v>87.259902954101563</v>
      </c>
    </row>
    <row r="1046" spans="1:5" ht="15">
      <c r="A1046" s="3">
        <v>2024</v>
      </c>
      <c r="B1046" s="4">
        <f>AVERAGE(B113:B124)</f>
        <v>15.845408333333333</v>
      </c>
      <c r="C1046" s="4">
        <f>AVERAGE(C113:C124)</f>
        <v>15.532908333333333</v>
      </c>
      <c r="D1046" s="4">
        <f>AVERAGE(D113:D124)</f>
        <v>21.540483333333331</v>
      </c>
      <c r="E1046" s="4">
        <f>AVERAGE(E113:E124)</f>
        <v>91.379600524902358</v>
      </c>
    </row>
    <row r="1047" spans="1:5" ht="15">
      <c r="A1047" s="3">
        <v>2025</v>
      </c>
      <c r="B1047" s="4">
        <f>AVERAGE(B125:B136)</f>
        <v>16.619958333333333</v>
      </c>
      <c r="C1047" s="4">
        <f>AVERAGE(C125:C136)</f>
        <v>16.307458333333333</v>
      </c>
      <c r="D1047" s="4">
        <f>AVERAGE(D125:D136)</f>
        <v>22.412975000000003</v>
      </c>
      <c r="E1047" s="4">
        <f>AVERAGE(E125:E136)</f>
        <v>94.367088317871094</v>
      </c>
    </row>
    <row r="1048" spans="1:5" ht="15">
      <c r="A1048" s="3">
        <v>2026</v>
      </c>
      <c r="B1048" s="4">
        <f>AVERAGE(B137:B148)</f>
        <v>17.072141666666667</v>
      </c>
      <c r="C1048" s="4">
        <f>AVERAGE(C137:C148)</f>
        <v>16.759641666666667</v>
      </c>
      <c r="D1048" s="4">
        <f>AVERAGE(D137:D148)</f>
        <v>23.058241666666664</v>
      </c>
      <c r="E1048" s="4">
        <f>AVERAGE(E137:E148)</f>
        <v>97.621452331543026</v>
      </c>
    </row>
    <row r="1049" spans="1:5" ht="15">
      <c r="A1049" s="3">
        <v>2027</v>
      </c>
      <c r="B1049" s="4">
        <f>AVERAGE(B149:B160)</f>
        <v>17.474783333333331</v>
      </c>
      <c r="C1049" s="4">
        <f>AVERAGE(C149:C160)</f>
        <v>17.162283333333331</v>
      </c>
      <c r="D1049" s="4">
        <f>AVERAGE(D149:D160)</f>
        <v>23.596966666666663</v>
      </c>
      <c r="E1049" s="4">
        <f>AVERAGE(E149:E160)</f>
        <v>100.26343536376947</v>
      </c>
    </row>
    <row r="1050" spans="1:5" ht="15">
      <c r="A1050" s="3">
        <v>2028</v>
      </c>
      <c r="B1050" s="4">
        <f>AVERAGE(B161:B172)</f>
        <v>17.853533333333331</v>
      </c>
      <c r="C1050" s="4">
        <f>AVERAGE(C161:C172)</f>
        <v>17.541033333333331</v>
      </c>
      <c r="D1050" s="4">
        <f>AVERAGE(D161:D172)</f>
        <v>24.059008333333335</v>
      </c>
      <c r="E1050" s="4">
        <f>AVERAGE(E161:E172)</f>
        <v>102.80760955810551</v>
      </c>
    </row>
    <row r="1051" spans="1:5" ht="15">
      <c r="A1051" s="3">
        <v>2029</v>
      </c>
      <c r="B1051" s="4">
        <f>AVERAGE(B173:B184)</f>
        <v>18.299150000000001</v>
      </c>
      <c r="C1051" s="4">
        <f>AVERAGE(C173:C184)</f>
        <v>17.986650000000001</v>
      </c>
      <c r="D1051" s="4">
        <f>AVERAGE(D173:D184)</f>
        <v>24.526775000000001</v>
      </c>
      <c r="E1051" s="4">
        <f>AVERAGE(E173:E184)</f>
        <v>105.67950439453124</v>
      </c>
    </row>
    <row r="1052" spans="1:5" ht="15">
      <c r="A1052" s="3">
        <v>2030</v>
      </c>
      <c r="B1052" s="4">
        <f>AVERAGE(B185:B196)</f>
        <v>18.745966666666664</v>
      </c>
      <c r="C1052" s="4">
        <f>AVERAGE(C185:C196)</f>
        <v>18.433466666666664</v>
      </c>
      <c r="D1052" s="4">
        <f>AVERAGE(D185:D196)</f>
        <v>25.003641666666667</v>
      </c>
      <c r="E1052" s="4">
        <f>AVERAGE(E185:E196)</f>
        <v>108.57302093505869</v>
      </c>
    </row>
    <row r="1053" spans="1:5" ht="15">
      <c r="A1053" s="3">
        <v>2031</v>
      </c>
      <c r="B1053" s="4">
        <f>AVERAGE(B197:B208)</f>
        <v>19.080841666666668</v>
      </c>
      <c r="C1053" s="4">
        <f>AVERAGE(C197:C208)</f>
        <v>18.768341666666668</v>
      </c>
      <c r="D1053" s="4">
        <f>AVERAGE(D197:D208)</f>
        <v>25.370649999999998</v>
      </c>
      <c r="E1053" s="4">
        <f>AVERAGE(E197:E208)</f>
        <v>110.79463195800783</v>
      </c>
    </row>
    <row r="1054" spans="1:5" ht="15">
      <c r="A1054" s="3">
        <v>2032</v>
      </c>
      <c r="B1054" s="4">
        <f>AVERAGE(B209:B220)</f>
        <v>19.434899999999999</v>
      </c>
      <c r="C1054" s="4">
        <f>AVERAGE(C209:C220)</f>
        <v>19.122399999999999</v>
      </c>
      <c r="D1054" s="4">
        <f>AVERAGE(D209:D220)</f>
        <v>25.741600000000002</v>
      </c>
      <c r="E1054" s="4">
        <f>AVERAGE(E209:E220)</f>
        <v>113.02646636962892</v>
      </c>
    </row>
    <row r="1055" spans="1:5" ht="15">
      <c r="A1055" s="3">
        <v>2033</v>
      </c>
      <c r="B1055" s="4">
        <f>AVERAGE(B221:B232)</f>
        <v>19.784783333333337</v>
      </c>
      <c r="C1055" s="4">
        <f>AVERAGE(C221:C232)</f>
        <v>19.472283333333337</v>
      </c>
      <c r="D1055" s="4">
        <f>AVERAGE(D221:D232)</f>
        <v>26.107983333333337</v>
      </c>
      <c r="E1055" s="4">
        <f>AVERAGE(E221:E232)</f>
        <v>115.24274444580067</v>
      </c>
    </row>
    <row r="1056" spans="1:5" ht="15">
      <c r="A1056" s="3">
        <v>2034</v>
      </c>
      <c r="B1056" s="4">
        <f>AVERAGE(B233:B244)</f>
        <v>20.140574999999998</v>
      </c>
      <c r="C1056" s="4">
        <f>AVERAGE(C233:C244)</f>
        <v>19.828074999999998</v>
      </c>
      <c r="D1056" s="4">
        <f>AVERAGE(D233:D244)</f>
        <v>26.480833333333337</v>
      </c>
      <c r="E1056" s="4">
        <f>AVERAGE(E233:E244)</f>
        <v>117.50201416015641</v>
      </c>
    </row>
    <row r="1057" spans="1:5" ht="15">
      <c r="A1057" s="3">
        <v>2035</v>
      </c>
      <c r="B1057" s="4">
        <f>AVERAGE(B245:B256)</f>
        <v>20.504191666666667</v>
      </c>
      <c r="C1057" s="4">
        <f>AVERAGE(C245:C256)</f>
        <v>20.191691666666667</v>
      </c>
      <c r="D1057" s="4">
        <f>AVERAGE(D245:D256)</f>
        <v>26.889716666666668</v>
      </c>
      <c r="E1057" s="4">
        <f>AVERAGE(E245:E256)</f>
        <v>119.80786132812501</v>
      </c>
    </row>
    <row r="1058" spans="1:5" ht="15">
      <c r="A1058" s="3">
        <v>2036</v>
      </c>
      <c r="B1058" s="4">
        <f>AVERAGE(B257:B268)</f>
        <v>21.146625</v>
      </c>
      <c r="C1058" s="4">
        <f>AVERAGE(C257:C268)</f>
        <v>20.834125</v>
      </c>
      <c r="D1058" s="4">
        <f>AVERAGE(D257:D268)</f>
        <v>27.527691666666666</v>
      </c>
      <c r="E1058" s="4">
        <f>AVERAGE(E257:E268)</f>
        <v>123.58180895996094</v>
      </c>
    </row>
    <row r="1059" spans="1:5" ht="15">
      <c r="A1059" s="3">
        <v>2037</v>
      </c>
      <c r="B1059" s="4">
        <f>AVERAGE(B269:B280)</f>
        <v>21.811191666666669</v>
      </c>
      <c r="C1059" s="4">
        <f>AVERAGE(C269:C280)</f>
        <v>21.498691666666669</v>
      </c>
      <c r="D1059" s="4">
        <f>AVERAGE(D269:D280)</f>
        <v>28.181458333333339</v>
      </c>
      <c r="E1059" s="4">
        <f>AVERAGE(E269:E280)</f>
        <v>127.47463594219975</v>
      </c>
    </row>
    <row r="1060" spans="1:5" ht="15">
      <c r="A1060" s="3">
        <f t="shared" ref="A1060:A1091" si="0">A1059+1</f>
        <v>2038</v>
      </c>
      <c r="B1060" s="4">
        <f>AVERAGE(B281:B292)</f>
        <v>22.498708333333337</v>
      </c>
      <c r="C1060" s="4">
        <f>AVERAGE(C281:C292)</f>
        <v>22.186208333333337</v>
      </c>
      <c r="D1060" s="4">
        <f>AVERAGE(D281:D292)</f>
        <v>28.85145833333333</v>
      </c>
      <c r="E1060" s="4">
        <f>AVERAGE(E281:E292)</f>
        <v>131.49008697437901</v>
      </c>
    </row>
    <row r="1061" spans="1:5" ht="15">
      <c r="A1061" s="3">
        <f t="shared" si="0"/>
        <v>2039</v>
      </c>
      <c r="B1061" s="4">
        <f>AVERAGE(B293:B304)</f>
        <v>23.209916666666668</v>
      </c>
      <c r="C1061" s="4">
        <f>AVERAGE(C293:C304)</f>
        <v>22.897416666666668</v>
      </c>
      <c r="D1061" s="4">
        <f>AVERAGE(D293:D304)</f>
        <v>29.538066666666666</v>
      </c>
      <c r="E1061" s="4">
        <f>AVERAGE(E293:E304)</f>
        <v>135.63202471407195</v>
      </c>
    </row>
    <row r="1062" spans="1:5" ht="15">
      <c r="A1062" s="3">
        <f t="shared" si="0"/>
        <v>2040</v>
      </c>
      <c r="B1062" s="4">
        <f>AVERAGE(B305:B316)</f>
        <v>23.945708333333332</v>
      </c>
      <c r="C1062" s="4">
        <f>AVERAGE(C305:C316)</f>
        <v>23.633208333333332</v>
      </c>
      <c r="D1062" s="4">
        <f>AVERAGE(D305:D316)</f>
        <v>30.241725000000002</v>
      </c>
      <c r="E1062" s="4">
        <f>AVERAGE(E305:E316)</f>
        <v>139.90443349256523</v>
      </c>
    </row>
    <row r="1063" spans="1:5" ht="15">
      <c r="A1063" s="3">
        <f t="shared" si="0"/>
        <v>2041</v>
      </c>
      <c r="B1063" s="4">
        <f>AVERAGE(B317:B328)</f>
        <v>24.706849999999999</v>
      </c>
      <c r="C1063" s="4">
        <f>AVERAGE(C317:C328)</f>
        <v>24.394349999999999</v>
      </c>
      <c r="D1063" s="4">
        <f>AVERAGE(D317:D328)</f>
        <v>30.962808333333331</v>
      </c>
      <c r="E1063" s="4">
        <f>AVERAGE(E317:E328)</f>
        <v>144.31142314758108</v>
      </c>
    </row>
    <row r="1064" spans="1:5" ht="15">
      <c r="A1064" s="3">
        <f t="shared" si="0"/>
        <v>2042</v>
      </c>
      <c r="B1064" s="4">
        <f>AVERAGE(B329:B340)</f>
        <v>25.494266666666665</v>
      </c>
      <c r="C1064" s="4">
        <f>AVERAGE(C329:C340)</f>
        <v>25.181766666666665</v>
      </c>
      <c r="D1064" s="4">
        <f>AVERAGE(D329:D340)</f>
        <v>31.701791666666669</v>
      </c>
      <c r="E1064" s="4">
        <f>AVERAGE(E329:E340)</f>
        <v>148.85723297672993</v>
      </c>
    </row>
    <row r="1065" spans="1:5" ht="15">
      <c r="A1065" s="3">
        <f t="shared" si="0"/>
        <v>2043</v>
      </c>
      <c r="B1065" s="4">
        <f>AVERAGE(B341:B352)</f>
        <v>26.308833333333336</v>
      </c>
      <c r="C1065" s="4">
        <f>AVERAGE(C341:C352)</f>
        <v>25.996333333333336</v>
      </c>
      <c r="D1065" s="4">
        <f>AVERAGE(D341:D352)</f>
        <v>32.459091666666673</v>
      </c>
      <c r="E1065" s="4">
        <f>AVERAGE(E341:E352)</f>
        <v>153.546235815497</v>
      </c>
    </row>
    <row r="1066" spans="1:5" ht="15">
      <c r="A1066" s="3">
        <f t="shared" si="0"/>
        <v>2044</v>
      </c>
      <c r="B1066" s="4">
        <f>AVERAGE(B353:B364)</f>
        <v>27.151508333333339</v>
      </c>
      <c r="C1066" s="4">
        <f>AVERAGE(C353:C364)</f>
        <v>26.839008333333339</v>
      </c>
      <c r="D1066" s="4">
        <f>AVERAGE(D353:D364)</f>
        <v>33.235166666666665</v>
      </c>
      <c r="E1066" s="4">
        <f>AVERAGE(E353:E364)</f>
        <v>158.38294224368528</v>
      </c>
    </row>
    <row r="1067" spans="1:5" ht="15">
      <c r="A1067" s="3">
        <f t="shared" si="0"/>
        <v>2045</v>
      </c>
      <c r="B1067" s="4">
        <f>AVERAGE(B365:B376)</f>
        <v>28.023258333333331</v>
      </c>
      <c r="C1067" s="4">
        <f>AVERAGE(C365:C376)</f>
        <v>27.710758333333331</v>
      </c>
      <c r="D1067" s="4">
        <f>AVERAGE(D365:D376)</f>
        <v>34.030499999999989</v>
      </c>
      <c r="E1067" s="4">
        <f>AVERAGE(E365:E376)</f>
        <v>163.37200492436116</v>
      </c>
    </row>
    <row r="1068" spans="1:5" ht="15">
      <c r="A1068" s="3">
        <f t="shared" si="0"/>
        <v>2046</v>
      </c>
      <c r="B1068" s="4">
        <f>AVERAGE(B377:B388)</f>
        <v>28.925083333333333</v>
      </c>
      <c r="C1068" s="4">
        <f>AVERAGE(C377:C388)</f>
        <v>28.612583333333333</v>
      </c>
      <c r="D1068" s="4">
        <f>AVERAGE(D377:D388)</f>
        <v>34.845549999999996</v>
      </c>
      <c r="E1068" s="4">
        <f>AVERAGE(E377:E388)</f>
        <v>168.51822307947847</v>
      </c>
    </row>
    <row r="1069" spans="1:5" ht="15">
      <c r="A1069" s="3">
        <f t="shared" si="0"/>
        <v>2047</v>
      </c>
      <c r="B1069" s="4">
        <f>AVERAGE(B389:B400)</f>
        <v>29.858050000000002</v>
      </c>
      <c r="C1069" s="4">
        <f>AVERAGE(C389:C400)</f>
        <v>29.545550000000002</v>
      </c>
      <c r="D1069" s="4">
        <f>AVERAGE(D389:D400)</f>
        <v>35.680833333333339</v>
      </c>
      <c r="E1069" s="4">
        <f>AVERAGE(E389:E400)</f>
        <v>173.82654710648217</v>
      </c>
    </row>
    <row r="1070" spans="1:5" ht="15">
      <c r="A1070" s="3">
        <f t="shared" si="0"/>
        <v>2048</v>
      </c>
      <c r="B1070" s="4">
        <f>AVERAGE(B401:B412)</f>
        <v>30.823158333333335</v>
      </c>
      <c r="C1070" s="4">
        <f>AVERAGE(C401:C412)</f>
        <v>30.510658333333335</v>
      </c>
      <c r="D1070" s="4">
        <f>AVERAGE(D401:D412)</f>
        <v>36.536783333333339</v>
      </c>
      <c r="E1070" s="4">
        <f>AVERAGE(E401:E412)</f>
        <v>179.30208334033617</v>
      </c>
    </row>
    <row r="1071" spans="1:5" ht="15">
      <c r="A1071" s="3">
        <f t="shared" si="0"/>
        <v>2049</v>
      </c>
      <c r="B1071" s="4">
        <f>AVERAGE(B413:B424)</f>
        <v>31.821583333333336</v>
      </c>
      <c r="C1071" s="4">
        <f>AVERAGE(C413:C424)</f>
        <v>31.509083333333336</v>
      </c>
      <c r="D1071" s="4">
        <f>AVERAGE(D413:D424)</f>
        <v>37.414008333333328</v>
      </c>
      <c r="E1071" s="4">
        <f>AVERAGE(E413:E424)</f>
        <v>184.9500989655568</v>
      </c>
    </row>
    <row r="1072" spans="1:5" ht="15">
      <c r="A1072" s="3">
        <f t="shared" si="0"/>
        <v>2050</v>
      </c>
      <c r="B1072" s="4">
        <f>AVERAGE(B425:B436)</f>
        <v>32.854441666666666</v>
      </c>
      <c r="C1072" s="4">
        <f>AVERAGE(C425:C436)</f>
        <v>32.541941666666666</v>
      </c>
      <c r="D1072" s="4">
        <f>AVERAGE(D425:D436)</f>
        <v>38.312958333333334</v>
      </c>
      <c r="E1072" s="4">
        <f>AVERAGE(E425:E436)</f>
        <v>190.77602708297198</v>
      </c>
    </row>
    <row r="1073" spans="1:5" ht="15">
      <c r="A1073" s="3">
        <f t="shared" si="0"/>
        <v>2051</v>
      </c>
      <c r="B1073" s="4">
        <f>AVERAGE(B437:B448)</f>
        <v>33.922933333333333</v>
      </c>
      <c r="C1073" s="4">
        <f>AVERAGE(C437:C448)</f>
        <v>33.610433333333333</v>
      </c>
      <c r="D1073" s="4">
        <f>AVERAGE(D437:D448)</f>
        <v>39.234249999999996</v>
      </c>
      <c r="E1073" s="4">
        <f>AVERAGE(E437:E448)</f>
        <v>196.7854719360856</v>
      </c>
    </row>
    <row r="1074" spans="1:5" ht="15">
      <c r="A1074" s="3">
        <f t="shared" si="0"/>
        <v>2052</v>
      </c>
      <c r="B1074" s="4">
        <f>AVERAGE(B449:B460)</f>
        <v>35.028324999999995</v>
      </c>
      <c r="C1074" s="4">
        <f>AVERAGE(C449:C460)</f>
        <v>34.715824999999995</v>
      </c>
      <c r="D1074" s="4">
        <f>AVERAGE(D449:D460)</f>
        <v>40.178325000000008</v>
      </c>
      <c r="E1074" s="4">
        <f>AVERAGE(E449:E460)</f>
        <v>202.98421430207244</v>
      </c>
    </row>
    <row r="1075" spans="1:5" ht="15">
      <c r="A1075" s="3">
        <f t="shared" si="0"/>
        <v>2053</v>
      </c>
      <c r="B1075" s="4">
        <f>AVERAGE(B461:B472)</f>
        <v>36.171816666666665</v>
      </c>
      <c r="C1075" s="4">
        <f>AVERAGE(C461:C472)</f>
        <v>35.859316666666665</v>
      </c>
      <c r="D1075" s="4">
        <f>AVERAGE(D461:D472)</f>
        <v>41.145850000000003</v>
      </c>
      <c r="E1075" s="4">
        <f>AVERAGE(E461:E472)</f>
        <v>209.37821705258753</v>
      </c>
    </row>
    <row r="1076" spans="1:5" ht="15">
      <c r="A1076" s="3">
        <f t="shared" si="0"/>
        <v>2054</v>
      </c>
      <c r="B1076" s="4">
        <f>AVERAGE(B473:B484)</f>
        <v>37.354758333333344</v>
      </c>
      <c r="C1076" s="4">
        <f>AVERAGE(C473:C484)</f>
        <v>37.042258333333344</v>
      </c>
      <c r="D1076" s="4">
        <f>AVERAGE(D473:D484)</f>
        <v>42.137366666666672</v>
      </c>
      <c r="E1076" s="4">
        <f>AVERAGE(E473:E484)</f>
        <v>215.97363088974407</v>
      </c>
    </row>
    <row r="1077" spans="1:5" ht="15">
      <c r="A1077" s="3">
        <f t="shared" si="0"/>
        <v>2055</v>
      </c>
      <c r="B1077" s="4">
        <f>AVERAGE(B485:B496)</f>
        <v>38.578525000000006</v>
      </c>
      <c r="C1077" s="4">
        <f>AVERAGE(C485:C496)</f>
        <v>38.266025000000006</v>
      </c>
      <c r="D1077" s="4">
        <f>AVERAGE(D485:D496)</f>
        <v>43.153475000000007</v>
      </c>
      <c r="E1077" s="4">
        <f>AVERAGE(E485:E496)</f>
        <v>222.77680026277119</v>
      </c>
    </row>
    <row r="1078" spans="1:5" ht="15">
      <c r="A1078" s="3">
        <f t="shared" si="0"/>
        <v>2056</v>
      </c>
      <c r="B1078" s="4">
        <f>AVERAGE(B497:B508)</f>
        <v>39.844516666666664</v>
      </c>
      <c r="C1078" s="4">
        <f>AVERAGE(C497:C508)</f>
        <v>39.532016666666664</v>
      </c>
      <c r="D1078" s="4">
        <f>AVERAGE(D497:D508)</f>
        <v>44.194774999999993</v>
      </c>
      <c r="E1078" s="4">
        <f>AVERAGE(E497:E508)</f>
        <v>229.79426947104824</v>
      </c>
    </row>
    <row r="1079" spans="1:5" ht="15">
      <c r="A1079" s="3">
        <f t="shared" si="0"/>
        <v>2057</v>
      </c>
      <c r="B1079" s="4">
        <f>AVERAGE(B509:B520)</f>
        <v>41.154175000000002</v>
      </c>
      <c r="C1079" s="4">
        <f>AVERAGE(C509:C520)</f>
        <v>40.841675000000002</v>
      </c>
      <c r="D1079" s="4">
        <f>AVERAGE(D509:D520)</f>
        <v>45.261883333333337</v>
      </c>
      <c r="E1079" s="4">
        <f>AVERAGE(E509:E520)</f>
        <v>237.03278895938658</v>
      </c>
    </row>
    <row r="1080" spans="1:5" ht="15">
      <c r="A1080" s="3">
        <f t="shared" si="0"/>
        <v>2058</v>
      </c>
      <c r="B1080" s="4">
        <f>AVERAGE(B521:B532)</f>
        <v>42.509016666666668</v>
      </c>
      <c r="C1080" s="4">
        <f>AVERAGE(C521:C532)</f>
        <v>42.196516666666668</v>
      </c>
      <c r="D1080" s="4">
        <f>AVERAGE(D521:D532)</f>
        <v>46.355500000000006</v>
      </c>
      <c r="E1080" s="4">
        <f>AVERAGE(E521:E532)</f>
        <v>244.49932181160727</v>
      </c>
    </row>
    <row r="1081" spans="1:5" ht="15">
      <c r="A1081" s="3">
        <f t="shared" si="0"/>
        <v>2059</v>
      </c>
      <c r="B1081" s="4">
        <f>AVERAGE(B533:B544)</f>
        <v>43.910591666666676</v>
      </c>
      <c r="C1081" s="4">
        <f>AVERAGE(C533:C544)</f>
        <v>43.598091666666676</v>
      </c>
      <c r="D1081" s="4">
        <f>AVERAGE(D533:D544)</f>
        <v>47.476208333333325</v>
      </c>
      <c r="E1081" s="4">
        <f>AVERAGE(E533:E544)</f>
        <v>252.20105044867276</v>
      </c>
    </row>
    <row r="1082" spans="1:5" ht="15">
      <c r="A1082" s="3">
        <f t="shared" si="0"/>
        <v>2060</v>
      </c>
      <c r="B1082" s="4">
        <f>AVERAGE(B545:B556)</f>
        <v>45.360525000000003</v>
      </c>
      <c r="C1082" s="4">
        <f>AVERAGE(C545:C556)</f>
        <v>45.048025000000003</v>
      </c>
      <c r="D1082" s="4">
        <f>AVERAGE(D545:D556)</f>
        <v>48.624725000000012</v>
      </c>
      <c r="E1082" s="4">
        <f>AVERAGE(E545:E556)</f>
        <v>260.14538353780608</v>
      </c>
    </row>
    <row r="1083" spans="1:5" ht="15">
      <c r="A1083" s="3">
        <f t="shared" si="0"/>
        <v>2061</v>
      </c>
      <c r="B1083" s="4">
        <f>AVERAGE(B557:B568)</f>
        <v>46.860483333333342</v>
      </c>
      <c r="C1083" s="4">
        <f>AVERAGE(C557:C568)</f>
        <v>46.547983333333342</v>
      </c>
      <c r="D1083" s="4">
        <f>AVERAGE(D557:D568)</f>
        <v>49.801716666666664</v>
      </c>
      <c r="E1083" s="4">
        <f>AVERAGE(E557:E568)</f>
        <v>268.33996311924687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48.412191666666672</v>
      </c>
      <c r="C1084" s="4">
        <f t="shared" ca="1" si="1"/>
        <v>48.099691666666672</v>
      </c>
      <c r="D1084" s="4">
        <f t="shared" ca="1" si="1"/>
        <v>51.007899999999999</v>
      </c>
      <c r="E1084" s="4">
        <f t="shared" ca="1" si="1"/>
        <v>276.79267195750305</v>
      </c>
    </row>
    <row r="1085" spans="1:5" ht="15">
      <c r="A1085" s="3">
        <f t="shared" si="0"/>
        <v>2063</v>
      </c>
      <c r="B1085" s="4">
        <f t="shared" ca="1" si="1"/>
        <v>50.017441666666677</v>
      </c>
      <c r="C1085" s="4">
        <f t="shared" ca="1" si="1"/>
        <v>49.704941666666677</v>
      </c>
      <c r="D1085" s="4">
        <f t="shared" ca="1" si="1"/>
        <v>52.243975000000006</v>
      </c>
      <c r="E1085" s="4">
        <f t="shared" ca="1" si="1"/>
        <v>285.51164112416478</v>
      </c>
    </row>
    <row r="1086" spans="1:5" ht="15">
      <c r="A1086" s="3">
        <f t="shared" si="0"/>
        <v>2064</v>
      </c>
      <c r="B1086" s="4">
        <f t="shared" ca="1" si="1"/>
        <v>51.67808333333334</v>
      </c>
      <c r="C1086" s="4">
        <f t="shared" ca="1" si="1"/>
        <v>51.36558333333334</v>
      </c>
      <c r="D1086" s="4">
        <f t="shared" ca="1" si="1"/>
        <v>53.510725000000008</v>
      </c>
      <c r="E1086" s="4">
        <f t="shared" ca="1" si="1"/>
        <v>294.50525781957595</v>
      </c>
    </row>
    <row r="1087" spans="1:5" ht="15">
      <c r="A1087" s="3">
        <f t="shared" si="0"/>
        <v>2065</v>
      </c>
      <c r="B1087" s="4">
        <f t="shared" ca="1" si="1"/>
        <v>53.395966666666681</v>
      </c>
      <c r="C1087" s="4">
        <f t="shared" ca="1" si="1"/>
        <v>53.083466666666681</v>
      </c>
      <c r="D1087" s="4">
        <f t="shared" ca="1" si="1"/>
        <v>54.808875</v>
      </c>
      <c r="E1087" s="4">
        <f t="shared" ca="1" si="1"/>
        <v>303.78217344089256</v>
      </c>
    </row>
    <row r="1088" spans="1:5" ht="15">
      <c r="A1088" s="3">
        <f t="shared" si="0"/>
        <v>2066</v>
      </c>
      <c r="B1088" s="4">
        <f t="shared" ca="1" si="1"/>
        <v>55.173183333333327</v>
      </c>
      <c r="C1088" s="4">
        <f t="shared" ca="1" si="1"/>
        <v>54.860683333333327</v>
      </c>
      <c r="D1088" s="4">
        <f t="shared" ca="1" si="1"/>
        <v>56.139241666666663</v>
      </c>
      <c r="E1088" s="4">
        <f t="shared" ca="1" si="1"/>
        <v>313.35131190428064</v>
      </c>
    </row>
    <row r="1089" spans="1:5" ht="15">
      <c r="A1089" s="3">
        <f t="shared" si="0"/>
        <v>2067</v>
      </c>
      <c r="B1089" s="4">
        <f t="shared" ca="1" si="1"/>
        <v>57.011675000000004</v>
      </c>
      <c r="C1089" s="4">
        <f t="shared" ca="1" si="1"/>
        <v>56.699175000000004</v>
      </c>
      <c r="D1089" s="4">
        <f t="shared" ca="1" si="1"/>
        <v>57.502600000000001</v>
      </c>
      <c r="E1089" s="4">
        <f t="shared" ca="1" si="1"/>
        <v>323.2218782292656</v>
      </c>
    </row>
    <row r="1090" spans="1:5" ht="15">
      <c r="A1090" s="3">
        <f t="shared" si="0"/>
        <v>2068</v>
      </c>
      <c r="B1090" s="4">
        <f t="shared" ca="1" si="1"/>
        <v>58.913591666666662</v>
      </c>
      <c r="C1090" s="4">
        <f t="shared" ca="1" si="1"/>
        <v>58.601091666666662</v>
      </c>
      <c r="D1090" s="4">
        <f t="shared" ca="1" si="1"/>
        <v>58.899741666666671</v>
      </c>
      <c r="E1090" s="4">
        <f t="shared" ca="1" si="1"/>
        <v>333.40336739348754</v>
      </c>
    </row>
    <row r="1091" spans="1:5" ht="15">
      <c r="A1091" s="3">
        <f t="shared" si="0"/>
        <v>2069</v>
      </c>
      <c r="B1091" s="4">
        <f t="shared" ca="1" si="1"/>
        <v>60.881149999999991</v>
      </c>
      <c r="C1091" s="4">
        <f t="shared" ca="1" si="1"/>
        <v>60.568649999999991</v>
      </c>
      <c r="D1091" s="4">
        <f t="shared" ca="1" si="1"/>
        <v>60.331566666666667</v>
      </c>
      <c r="E1091" s="4">
        <f t="shared" ca="1" si="1"/>
        <v>343.90557346638224</v>
      </c>
    </row>
    <row r="1092" spans="1:5" ht="15">
      <c r="A1092" s="3">
        <f t="shared" ref="A1092:A1122" si="2">A1091+1</f>
        <v>2070</v>
      </c>
      <c r="B1092" s="4">
        <f t="shared" ca="1" si="1"/>
        <v>62.916558333333342</v>
      </c>
      <c r="C1092" s="4">
        <f t="shared" ca="1" si="1"/>
        <v>62.604058333333342</v>
      </c>
      <c r="D1092" s="4">
        <f t="shared" ca="1" si="1"/>
        <v>61.798883333333343</v>
      </c>
      <c r="E1092" s="4">
        <f t="shared" ca="1" si="1"/>
        <v>354.7385990305732</v>
      </c>
    </row>
    <row r="1093" spans="1:5" ht="15">
      <c r="A1093" s="3">
        <f t="shared" si="2"/>
        <v>2071</v>
      </c>
      <c r="B1093" s="4">
        <f t="shared" ca="1" si="1"/>
        <v>65.022216666666665</v>
      </c>
      <c r="C1093" s="4">
        <f t="shared" ca="1" si="1"/>
        <v>64.709716666666665</v>
      </c>
      <c r="D1093" s="4">
        <f t="shared" ca="1" si="1"/>
        <v>63.302591666666665</v>
      </c>
      <c r="E1093" s="4">
        <f t="shared" ca="1" si="1"/>
        <v>365.91286490003648</v>
      </c>
    </row>
    <row r="1094" spans="1:5" ht="15">
      <c r="A1094" s="3">
        <f t="shared" si="2"/>
        <v>2072</v>
      </c>
      <c r="B1094" s="4">
        <f t="shared" ca="1" si="1"/>
        <v>67.200508333333332</v>
      </c>
      <c r="C1094" s="4">
        <f t="shared" ca="1" si="1"/>
        <v>66.888008333333332</v>
      </c>
      <c r="D1094" s="4">
        <f t="shared" ca="1" si="1"/>
        <v>64.843599999999995</v>
      </c>
      <c r="E1094" s="4">
        <f t="shared" ca="1" si="1"/>
        <v>377.43912014438769</v>
      </c>
    </row>
    <row r="1095" spans="1:5" ht="15">
      <c r="A1095" s="3">
        <f t="shared" si="2"/>
        <v>2073</v>
      </c>
      <c r="B1095" s="4">
        <f t="shared" ca="1" si="1"/>
        <v>69.453924999999984</v>
      </c>
      <c r="C1095" s="4">
        <f t="shared" ca="1" si="1"/>
        <v>69.141424999999984</v>
      </c>
      <c r="D1095" s="4">
        <f t="shared" ca="1" si="1"/>
        <v>66.422808333333322</v>
      </c>
      <c r="E1095" s="4">
        <f t="shared" ca="1" si="1"/>
        <v>389.32845242893586</v>
      </c>
    </row>
    <row r="1096" spans="1:5" ht="15">
      <c r="A1096" s="3">
        <f t="shared" si="2"/>
        <v>2074</v>
      </c>
      <c r="B1096" s="4">
        <f t="shared" ca="1" si="1"/>
        <v>71.785133333333334</v>
      </c>
      <c r="C1096" s="4">
        <f t="shared" ca="1" si="1"/>
        <v>71.472633333333334</v>
      </c>
      <c r="D1096" s="4">
        <f t="shared" ca="1" si="1"/>
        <v>68.041200000000003</v>
      </c>
      <c r="E1096" s="4">
        <f t="shared" ca="1" si="1"/>
        <v>401.59229868044753</v>
      </c>
    </row>
    <row r="1097" spans="1:5" ht="15">
      <c r="A1097" s="3">
        <f t="shared" si="2"/>
        <v>2075</v>
      </c>
      <c r="B1097" s="4">
        <f t="shared" ca="1" si="1"/>
        <v>74.196733333333341</v>
      </c>
      <c r="C1097" s="4">
        <f t="shared" ca="1" si="1"/>
        <v>73.884233333333341</v>
      </c>
      <c r="D1097" s="4">
        <f t="shared" ca="1" si="1"/>
        <v>69.699725000000001</v>
      </c>
      <c r="E1097" s="4">
        <f t="shared" ca="1" si="1"/>
        <v>414.24245608888168</v>
      </c>
    </row>
    <row r="1098" spans="1:5" ht="15">
      <c r="A1098" s="3">
        <f t="shared" si="2"/>
        <v>2076</v>
      </c>
      <c r="B1098" s="4">
        <f t="shared" ca="1" si="1"/>
        <v>76.691541666666666</v>
      </c>
      <c r="C1098" s="4">
        <f t="shared" ca="1" si="1"/>
        <v>76.379041666666666</v>
      </c>
      <c r="D1098" s="4">
        <f t="shared" ca="1" si="1"/>
        <v>71.399366666666666</v>
      </c>
      <c r="E1098" s="4">
        <f t="shared" ca="1" si="1"/>
        <v>427.29109345568151</v>
      </c>
    </row>
    <row r="1099" spans="1:5" ht="15">
      <c r="A1099" s="3">
        <f t="shared" si="2"/>
        <v>2077</v>
      </c>
      <c r="B1099" s="4">
        <f t="shared" ca="1" si="1"/>
        <v>79.272416666666672</v>
      </c>
      <c r="C1099" s="4">
        <f t="shared" ca="1" si="1"/>
        <v>78.959916666666672</v>
      </c>
      <c r="D1099" s="4">
        <f t="shared" ca="1" si="1"/>
        <v>73.141166666666649</v>
      </c>
      <c r="E1099" s="4">
        <f t="shared" ca="1" si="1"/>
        <v>440.75076289953535</v>
      </c>
    </row>
    <row r="1100" spans="1:5" ht="15">
      <c r="A1100" s="3">
        <f t="shared" si="2"/>
        <v>2078</v>
      </c>
      <c r="B1100" s="4">
        <f t="shared" ca="1" si="1"/>
        <v>81.942358333333345</v>
      </c>
      <c r="C1100" s="4">
        <f t="shared" ca="1" si="1"/>
        <v>81.629858333333345</v>
      </c>
      <c r="D1100" s="4">
        <f t="shared" ca="1" si="1"/>
        <v>74.926175000000001</v>
      </c>
      <c r="E1100" s="4">
        <f t="shared" ca="1" si="1"/>
        <v>454.63441193087101</v>
      </c>
    </row>
    <row r="1101" spans="1:5" ht="15">
      <c r="A1101" s="3">
        <f t="shared" si="2"/>
        <v>2079</v>
      </c>
      <c r="B1101" s="4">
        <f t="shared" ca="1" si="1"/>
        <v>84.704383333333325</v>
      </c>
      <c r="C1101" s="4">
        <f t="shared" ca="1" si="1"/>
        <v>84.391883333333325</v>
      </c>
      <c r="D1101" s="4">
        <f t="shared" ca="1" si="1"/>
        <v>76.755424999999988</v>
      </c>
      <c r="E1101" s="4">
        <f t="shared" ca="1" si="1"/>
        <v>468.95539590669335</v>
      </c>
    </row>
    <row r="1102" spans="1:5" ht="15">
      <c r="A1102" s="3">
        <f t="shared" si="2"/>
        <v>2080</v>
      </c>
      <c r="B1102" s="4">
        <f t="shared" ca="1" si="1"/>
        <v>87.561708333333328</v>
      </c>
      <c r="C1102" s="4">
        <f t="shared" ca="1" si="1"/>
        <v>87.249208333333328</v>
      </c>
      <c r="D1102" s="4">
        <f t="shared" ca="1" si="1"/>
        <v>78.630066666666679</v>
      </c>
      <c r="E1102" s="4">
        <f t="shared" ca="1" si="1"/>
        <v>483.72749087775429</v>
      </c>
    </row>
    <row r="1103" spans="1:5" ht="15">
      <c r="A1103" s="3">
        <f t="shared" si="2"/>
        <v>2081</v>
      </c>
      <c r="B1103" s="4">
        <f t="shared" ca="1" si="1"/>
        <v>90.517616666666683</v>
      </c>
      <c r="C1103" s="4">
        <f t="shared" ca="1" si="1"/>
        <v>90.205116666666683</v>
      </c>
      <c r="D1103" s="4">
        <f t="shared" ca="1" si="1"/>
        <v>80.551191666666668</v>
      </c>
      <c r="E1103" s="4">
        <f t="shared" ca="1" si="1"/>
        <v>498.96490684040344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93.575499999999991</v>
      </c>
      <c r="C1104" s="4">
        <f t="shared" ca="1" si="3"/>
        <v>93.262999999999991</v>
      </c>
      <c r="D1104" s="4">
        <f t="shared" ca="1" si="3"/>
        <v>82.519941666666668</v>
      </c>
      <c r="E1104" s="4">
        <f t="shared" ca="1" si="3"/>
        <v>514.68230140587605</v>
      </c>
    </row>
    <row r="1105" spans="1:5" ht="15">
      <c r="A1105" s="3">
        <f t="shared" si="2"/>
        <v>2083</v>
      </c>
      <c r="B1105" s="4">
        <f t="shared" ca="1" si="3"/>
        <v>96.738875000000007</v>
      </c>
      <c r="C1105" s="4">
        <f t="shared" ca="1" si="3"/>
        <v>96.426375000000007</v>
      </c>
      <c r="D1105" s="4">
        <f t="shared" ca="1" si="3"/>
        <v>84.53755000000001</v>
      </c>
      <c r="E1105" s="4">
        <f t="shared" ca="1" si="3"/>
        <v>530.89479390016129</v>
      </c>
    </row>
    <row r="1106" spans="1:5" ht="15">
      <c r="A1106" s="3">
        <f t="shared" si="2"/>
        <v>2084</v>
      </c>
      <c r="B1106" s="4">
        <f t="shared" ca="1" si="3"/>
        <v>100.01139999999999</v>
      </c>
      <c r="C1106" s="4">
        <f t="shared" ca="1" si="3"/>
        <v>99.698899999999995</v>
      </c>
      <c r="D1106" s="4">
        <f t="shared" ca="1" si="3"/>
        <v>86.605191666666656</v>
      </c>
      <c r="E1106" s="4">
        <f t="shared" ca="1" si="3"/>
        <v>547.61797990801631</v>
      </c>
    </row>
    <row r="1107" spans="1:5" ht="15">
      <c r="A1107" s="3">
        <f t="shared" si="2"/>
        <v>2085</v>
      </c>
      <c r="B1107" s="4">
        <f t="shared" ca="1" si="3"/>
        <v>103.39679999999998</v>
      </c>
      <c r="C1107" s="4">
        <f t="shared" ca="1" si="3"/>
        <v>103.08429999999998</v>
      </c>
      <c r="D1107" s="4">
        <f t="shared" ca="1" si="3"/>
        <v>88.724075000000013</v>
      </c>
      <c r="E1107" s="4">
        <f t="shared" ca="1" si="3"/>
        <v>564.86794627511904</v>
      </c>
    </row>
    <row r="1108" spans="1:5" ht="15">
      <c r="A1108" s="3">
        <f t="shared" si="2"/>
        <v>2086</v>
      </c>
      <c r="B1108" s="4">
        <f t="shared" ca="1" si="3"/>
        <v>106.899</v>
      </c>
      <c r="C1108" s="4">
        <f t="shared" ca="1" si="3"/>
        <v>106.5865</v>
      </c>
      <c r="D1108" s="4">
        <f t="shared" ca="1" si="3"/>
        <v>90.895533333333333</v>
      </c>
      <c r="E1108" s="4">
        <f t="shared" ca="1" si="3"/>
        <v>582.66128658278535</v>
      </c>
    </row>
    <row r="1109" spans="1:5" ht="15">
      <c r="A1109" s="3">
        <f t="shared" si="2"/>
        <v>2087</v>
      </c>
      <c r="B1109" s="4">
        <f t="shared" ca="1" si="3"/>
        <v>110.52205833333335</v>
      </c>
      <c r="C1109" s="4">
        <f t="shared" ca="1" si="3"/>
        <v>110.20955833333335</v>
      </c>
      <c r="D1109" s="4">
        <f t="shared" ca="1" si="3"/>
        <v>93.120825000000011</v>
      </c>
      <c r="E1109" s="4">
        <f t="shared" ca="1" si="3"/>
        <v>601.01511711014325</v>
      </c>
    </row>
    <row r="1110" spans="1:5" ht="15">
      <c r="A1110" s="3">
        <f t="shared" si="2"/>
        <v>2088</v>
      </c>
      <c r="B1110" s="4">
        <f t="shared" ca="1" si="3"/>
        <v>114.27009166666666</v>
      </c>
      <c r="C1110" s="4">
        <f t="shared" ca="1" si="3"/>
        <v>113.95759166666666</v>
      </c>
      <c r="D1110" s="4">
        <f t="shared" ca="1" si="3"/>
        <v>95.401349999999994</v>
      </c>
      <c r="E1110" s="4">
        <f t="shared" ca="1" si="3"/>
        <v>619.94709329911279</v>
      </c>
    </row>
    <row r="1111" spans="1:5" ht="15">
      <c r="A1111" s="3">
        <f t="shared" si="2"/>
        <v>2089</v>
      </c>
      <c r="B1111" s="4">
        <f t="shared" ca="1" si="3"/>
        <v>118.147425</v>
      </c>
      <c r="C1111" s="4">
        <f t="shared" ca="1" si="3"/>
        <v>117.834925</v>
      </c>
      <c r="D1111" s="4">
        <f t="shared" ca="1" si="3"/>
        <v>97.738375000000019</v>
      </c>
      <c r="E1111" s="4">
        <f t="shared" ca="1" si="3"/>
        <v>639.47542673803491</v>
      </c>
    </row>
    <row r="1112" spans="1:5" ht="15">
      <c r="A1112" s="3">
        <f t="shared" si="2"/>
        <v>2090</v>
      </c>
      <c r="B1112" s="4">
        <f t="shared" ca="1" si="3"/>
        <v>122.15853333333332</v>
      </c>
      <c r="C1112" s="4">
        <f t="shared" ca="1" si="3"/>
        <v>121.84603333333332</v>
      </c>
      <c r="D1112" s="4">
        <f t="shared" ca="1" si="3"/>
        <v>100.13338333333336</v>
      </c>
      <c r="E1112" s="4">
        <f t="shared" ca="1" si="3"/>
        <v>659.61890268028299</v>
      </c>
    </row>
    <row r="1113" spans="1:5" ht="15">
      <c r="A1113" s="3">
        <f t="shared" si="2"/>
        <v>2091</v>
      </c>
      <c r="B1113" s="4">
        <f t="shared" ca="1" si="3"/>
        <v>126.30803333333331</v>
      </c>
      <c r="C1113" s="4">
        <f t="shared" ca="1" si="3"/>
        <v>125.99553333333331</v>
      </c>
      <c r="D1113" s="4">
        <f t="shared" ca="1" si="3"/>
        <v>102.58779166666666</v>
      </c>
      <c r="E1113" s="4">
        <f t="shared" ca="1" si="3"/>
        <v>680.39689811471192</v>
      </c>
    </row>
    <row r="1114" spans="1:5" ht="15">
      <c r="A1114" s="3">
        <f t="shared" si="2"/>
        <v>2092</v>
      </c>
      <c r="B1114" s="4">
        <f t="shared" ca="1" si="3"/>
        <v>130.60068333333336</v>
      </c>
      <c r="C1114" s="4">
        <f t="shared" ca="1" si="3"/>
        <v>130.28818333333336</v>
      </c>
      <c r="D1114" s="4">
        <f t="shared" ca="1" si="3"/>
        <v>105.10307499999999</v>
      </c>
      <c r="E1114" s="4">
        <f t="shared" ca="1" si="3"/>
        <v>701.82940040532537</v>
      </c>
    </row>
    <row r="1115" spans="1:5" ht="15">
      <c r="A1115" s="3">
        <f t="shared" si="2"/>
        <v>2093</v>
      </c>
      <c r="B1115" s="4">
        <f t="shared" ca="1" si="3"/>
        <v>135.04143333333334</v>
      </c>
      <c r="C1115" s="4">
        <f t="shared" ca="1" si="3"/>
        <v>134.72893333333334</v>
      </c>
      <c r="D1115" s="4">
        <f t="shared" ca="1" si="3"/>
        <v>107.68072499999998</v>
      </c>
      <c r="E1115" s="4">
        <f t="shared" ca="1" si="3"/>
        <v>723.93702651809326</v>
      </c>
    </row>
    <row r="1116" spans="1:5" ht="15">
      <c r="A1116" s="3">
        <f t="shared" si="2"/>
        <v>2094</v>
      </c>
      <c r="B1116" s="4">
        <f t="shared" ca="1" si="3"/>
        <v>139.63538333333332</v>
      </c>
      <c r="C1116" s="4">
        <f t="shared" ca="1" si="3"/>
        <v>139.32288333333332</v>
      </c>
      <c r="D1116" s="4">
        <f t="shared" ca="1" si="3"/>
        <v>110.3223</v>
      </c>
      <c r="E1116" s="4">
        <f t="shared" ca="1" si="3"/>
        <v>746.74104285341309</v>
      </c>
    </row>
    <row r="1117" spans="1:5" ht="15">
      <c r="A1117" s="3">
        <f t="shared" si="2"/>
        <v>2095</v>
      </c>
      <c r="B1117" s="4">
        <f t="shared" ca="1" si="3"/>
        <v>144.38783333333333</v>
      </c>
      <c r="C1117" s="4">
        <f t="shared" ca="1" si="3"/>
        <v>144.07533333333333</v>
      </c>
      <c r="D1117" s="4">
        <f t="shared" ca="1" si="3"/>
        <v>113.02939166666665</v>
      </c>
      <c r="E1117" s="4">
        <f t="shared" ca="1" si="3"/>
        <v>770.26338570329563</v>
      </c>
    </row>
    <row r="1118" spans="1:5" ht="15">
      <c r="A1118" s="3">
        <f t="shared" si="2"/>
        <v>2096</v>
      </c>
      <c r="B1118" s="4">
        <f t="shared" ca="1" si="3"/>
        <v>149.304225</v>
      </c>
      <c r="C1118" s="4">
        <f t="shared" ca="1" si="3"/>
        <v>148.991725</v>
      </c>
      <c r="D1118" s="4">
        <f t="shared" ca="1" si="3"/>
        <v>115.80360000000002</v>
      </c>
      <c r="E1118" s="4">
        <f t="shared" ca="1" si="3"/>
        <v>794.52668235294948</v>
      </c>
    </row>
    <row r="1119" spans="1:5" ht="15">
      <c r="A1119" s="3">
        <f t="shared" si="2"/>
        <v>2097</v>
      </c>
      <c r="B1119" s="4">
        <f t="shared" ca="1" si="3"/>
        <v>154.39023333333333</v>
      </c>
      <c r="C1119" s="4">
        <f t="shared" ca="1" si="3"/>
        <v>154.07773333333333</v>
      </c>
      <c r="D1119" s="4">
        <f t="shared" ca="1" si="3"/>
        <v>118.64664166666665</v>
      </c>
      <c r="E1119" s="4">
        <f t="shared" ca="1" si="3"/>
        <v>819.55427284706741</v>
      </c>
    </row>
    <row r="1120" spans="1:5" ht="15">
      <c r="A1120" s="3">
        <f t="shared" si="2"/>
        <v>2098</v>
      </c>
      <c r="B1120" s="4">
        <f t="shared" ca="1" si="3"/>
        <v>159.65173333333334</v>
      </c>
      <c r="C1120" s="4">
        <f t="shared" ca="1" si="3"/>
        <v>159.33923333333334</v>
      </c>
      <c r="D1120" s="4">
        <f t="shared" ca="1" si="3"/>
        <v>121.56018333333333</v>
      </c>
      <c r="E1120" s="4">
        <f t="shared" ca="1" si="3"/>
        <v>845.37023244175009</v>
      </c>
    </row>
    <row r="1121" spans="1:5" ht="15">
      <c r="A1121" s="3">
        <f t="shared" si="2"/>
        <v>2099</v>
      </c>
      <c r="B1121" s="4">
        <f t="shared" ca="1" si="3"/>
        <v>165.09472499999998</v>
      </c>
      <c r="C1121" s="4">
        <f t="shared" ca="1" si="3"/>
        <v>164.78222499999998</v>
      </c>
      <c r="D1121" s="4">
        <f t="shared" ca="1" si="3"/>
        <v>124.54595</v>
      </c>
      <c r="E1121" s="4">
        <f t="shared" ca="1" si="3"/>
        <v>871.99939476366524</v>
      </c>
    </row>
    <row r="1122" spans="1:5" ht="15">
      <c r="A1122" s="3">
        <f t="shared" si="2"/>
        <v>2100</v>
      </c>
      <c r="B1122" s="4">
        <f t="shared" ca="1" si="3"/>
        <v>170.72554166666669</v>
      </c>
      <c r="C1122" s="4">
        <f t="shared" ca="1" si="3"/>
        <v>170.41304166666669</v>
      </c>
      <c r="D1122" s="4">
        <f t="shared" ca="1" si="3"/>
        <v>127.60580833333336</v>
      </c>
      <c r="E1122" s="4">
        <f t="shared" ca="1" si="3"/>
        <v>899.4673756987205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workbookViewId="0">
      <pane xSplit="1" ySplit="16" topLeftCell="B17" activePane="bottomRight" state="frozen"/>
      <selection sqref="A1:A6"/>
      <selection pane="topRight" sqref="A1:A6"/>
      <selection pane="bottomLeft" sqref="A1:A6"/>
      <selection pane="bottomRight" activeCell="B17" sqref="B17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2.6078 * CHOOSE(CONTROL!$C$22, $C$13, 100%, $E$13)</f>
        <v>2.6078000000000001</v>
      </c>
      <c r="C17" s="60">
        <f>2.6078 * CHOOSE(CONTROL!$C$22, $C$13, 100%, $E$13)</f>
        <v>2.6078000000000001</v>
      </c>
      <c r="D17" s="60">
        <f>2.6203 * CHOOSE(CONTROL!$C$22, $C$13, 100%, $E$13)</f>
        <v>2.6202999999999999</v>
      </c>
      <c r="E17" s="61">
        <f>3.383 * CHOOSE(CONTROL!$C$22, $C$13, 100%, $E$13)</f>
        <v>3.383</v>
      </c>
      <c r="F17" s="61">
        <f>4.017 * CHOOSE(CONTROL!$C$22, $C$13, 100%, $E$13)</f>
        <v>4.0170000000000003</v>
      </c>
      <c r="G17" s="61">
        <f>4.0172 * CHOOSE(CONTROL!$C$22, $C$13, 100%, $E$13)</f>
        <v>4.0171999999999999</v>
      </c>
      <c r="H17" s="61">
        <f>5.731* CHOOSE(CONTROL!$C$22, $C$13, 100%, $E$13)</f>
        <v>5.7309999999999999</v>
      </c>
      <c r="I17" s="61">
        <f>5.7312 * CHOOSE(CONTROL!$C$22, $C$13, 100%, $E$13)</f>
        <v>5.7312000000000003</v>
      </c>
      <c r="J17" s="61">
        <f>3.383 * CHOOSE(CONTROL!$C$22, $C$13, 100%, $E$13)</f>
        <v>3.383</v>
      </c>
      <c r="K17" s="61">
        <f>3.3832 * CHOOSE(CONTROL!$C$22, $C$13, 100%, $E$13)</f>
        <v>3.3832</v>
      </c>
      <c r="L17" s="4"/>
      <c r="M17" s="61"/>
      <c r="N17" s="61"/>
    </row>
    <row r="18" spans="1:14" ht="15">
      <c r="A18" s="13">
        <v>42401</v>
      </c>
      <c r="B18" s="60">
        <f>2.6017 * CHOOSE(CONTROL!$C$22, $C$13, 100%, $E$13)</f>
        <v>2.6017000000000001</v>
      </c>
      <c r="C18" s="60">
        <f>2.6017 * CHOOSE(CONTROL!$C$22, $C$13, 100%, $E$13)</f>
        <v>2.6017000000000001</v>
      </c>
      <c r="D18" s="60">
        <f>2.6143 * CHOOSE(CONTROL!$C$22, $C$13, 100%, $E$13)</f>
        <v>2.6143000000000001</v>
      </c>
      <c r="E18" s="61">
        <f>3.3427 * CHOOSE(CONTROL!$C$22, $C$13, 100%, $E$13)</f>
        <v>3.3426999999999998</v>
      </c>
      <c r="F18" s="61">
        <f>4.035 * CHOOSE(CONTROL!$C$22, $C$13, 100%, $E$13)</f>
        <v>4.0350000000000001</v>
      </c>
      <c r="G18" s="61">
        <f>4.0352 * CHOOSE(CONTROL!$C$22, $C$13, 100%, $E$13)</f>
        <v>4.0351999999999997</v>
      </c>
      <c r="H18" s="61">
        <f>5.743* CHOOSE(CONTROL!$C$22, $C$13, 100%, $E$13)</f>
        <v>5.7430000000000003</v>
      </c>
      <c r="I18" s="61">
        <f>5.7432 * CHOOSE(CONTROL!$C$22, $C$13, 100%, $E$13)</f>
        <v>5.7431999999999999</v>
      </c>
      <c r="J18" s="61">
        <f>3.3427 * CHOOSE(CONTROL!$C$22, $C$13, 100%, $E$13)</f>
        <v>3.3426999999999998</v>
      </c>
      <c r="K18" s="61">
        <f>3.3429 * CHOOSE(CONTROL!$C$22, $C$13, 100%, $E$13)</f>
        <v>3.3429000000000002</v>
      </c>
      <c r="L18" s="4"/>
      <c r="M18" s="61"/>
      <c r="N18" s="61"/>
    </row>
    <row r="19" spans="1:14" ht="15">
      <c r="A19" s="13">
        <v>42430</v>
      </c>
      <c r="B19" s="60">
        <f>2.5956 * CHOOSE(CONTROL!$C$22, $C$13, 100%, $E$13)</f>
        <v>2.5956000000000001</v>
      </c>
      <c r="C19" s="60">
        <f>2.5956 * CHOOSE(CONTROL!$C$22, $C$13, 100%, $E$13)</f>
        <v>2.5956000000000001</v>
      </c>
      <c r="D19" s="60">
        <f>2.6082 * CHOOSE(CONTROL!$C$22, $C$13, 100%, $E$13)</f>
        <v>2.6082000000000001</v>
      </c>
      <c r="E19" s="61">
        <f>3.5819 * CHOOSE(CONTROL!$C$22, $C$13, 100%, $E$13)</f>
        <v>3.5819000000000001</v>
      </c>
      <c r="F19" s="61">
        <f>4.01 * CHOOSE(CONTROL!$C$22, $C$13, 100%, $E$13)</f>
        <v>4.01</v>
      </c>
      <c r="G19" s="61">
        <f>4.0102 * CHOOSE(CONTROL!$C$22, $C$13, 100%, $E$13)</f>
        <v>4.0102000000000002</v>
      </c>
      <c r="H19" s="61">
        <f>5.7549* CHOOSE(CONTROL!$C$22, $C$13, 100%, $E$13)</f>
        <v>5.7549000000000001</v>
      </c>
      <c r="I19" s="61">
        <f>5.7551 * CHOOSE(CONTROL!$C$22, $C$13, 100%, $E$13)</f>
        <v>5.7550999999999997</v>
      </c>
      <c r="J19" s="61">
        <f>3.5819 * CHOOSE(CONTROL!$C$22, $C$13, 100%, $E$13)</f>
        <v>3.5819000000000001</v>
      </c>
      <c r="K19" s="61">
        <f>3.5821 * CHOOSE(CONTROL!$C$22, $C$13, 100%, $E$13)</f>
        <v>3.5821000000000001</v>
      </c>
      <c r="L19" s="4"/>
      <c r="M19" s="61"/>
      <c r="N19" s="61"/>
    </row>
    <row r="20" spans="1:14" ht="15">
      <c r="A20" s="13">
        <v>42461</v>
      </c>
      <c r="B20" s="60">
        <f>2.6042 * CHOOSE(CONTROL!$C$22, $C$13, 100%, $E$13)</f>
        <v>2.6042000000000001</v>
      </c>
      <c r="C20" s="60">
        <f>2.6042 * CHOOSE(CONTROL!$C$22, $C$13, 100%, $E$13)</f>
        <v>2.6042000000000001</v>
      </c>
      <c r="D20" s="60">
        <f>2.6167 * CHOOSE(CONTROL!$C$22, $C$13, 100%, $E$13)</f>
        <v>2.6166999999999998</v>
      </c>
      <c r="E20" s="61">
        <f>3.3427 * CHOOSE(CONTROL!$C$22, $C$13, 100%, $E$13)</f>
        <v>3.3426999999999998</v>
      </c>
      <c r="F20" s="61">
        <f>4.035 * CHOOSE(CONTROL!$C$22, $C$13, 100%, $E$13)</f>
        <v>4.0350000000000001</v>
      </c>
      <c r="G20" s="61">
        <f>4.0352 * CHOOSE(CONTROL!$C$22, $C$13, 100%, $E$13)</f>
        <v>4.0351999999999997</v>
      </c>
      <c r="H20" s="61">
        <f>5.7669* CHOOSE(CONTROL!$C$22, $C$13, 100%, $E$13)</f>
        <v>5.7668999999999997</v>
      </c>
      <c r="I20" s="61">
        <f>5.7671 * CHOOSE(CONTROL!$C$22, $C$13, 100%, $E$13)</f>
        <v>5.7671000000000001</v>
      </c>
      <c r="J20" s="61">
        <f>3.3427 * CHOOSE(CONTROL!$C$22, $C$13, 100%, $E$13)</f>
        <v>3.3426999999999998</v>
      </c>
      <c r="K20" s="61">
        <f>3.3429 * CHOOSE(CONTROL!$C$22, $C$13, 100%, $E$13)</f>
        <v>3.3429000000000002</v>
      </c>
      <c r="L20" s="4"/>
      <c r="M20" s="61"/>
      <c r="N20" s="61"/>
    </row>
    <row r="21" spans="1:14" ht="15">
      <c r="A21" s="13">
        <v>42491</v>
      </c>
      <c r="B21" s="60">
        <f>2.6103 * CHOOSE(CONTROL!$C$22, $C$13, 100%, $E$13)</f>
        <v>2.6103000000000001</v>
      </c>
      <c r="C21" s="60">
        <f>2.6103 * CHOOSE(CONTROL!$C$22, $C$13, 100%, $E$13)</f>
        <v>2.6103000000000001</v>
      </c>
      <c r="D21" s="60">
        <f>2.6354 * CHOOSE(CONTROL!$C$22, $C$13, 100%, $E$13)</f>
        <v>2.6354000000000002</v>
      </c>
      <c r="E21" s="61">
        <f>3.3395 * CHOOSE(CONTROL!$C$22, $C$13, 100%, $E$13)</f>
        <v>3.3395000000000001</v>
      </c>
      <c r="F21" s="61">
        <f>4.005 * CHOOSE(CONTROL!$C$22, $C$13, 100%, $E$13)</f>
        <v>4.0049999999999999</v>
      </c>
      <c r="G21" s="61">
        <f>4.0066 * CHOOSE(CONTROL!$C$22, $C$13, 100%, $E$13)</f>
        <v>4.0065999999999997</v>
      </c>
      <c r="H21" s="61">
        <f>5.7789* CHOOSE(CONTROL!$C$22, $C$13, 100%, $E$13)</f>
        <v>5.7789000000000001</v>
      </c>
      <c r="I21" s="61">
        <f>5.7805 * CHOOSE(CONTROL!$C$22, $C$13, 100%, $E$13)</f>
        <v>5.7805</v>
      </c>
      <c r="J21" s="61">
        <f>3.3395 * CHOOSE(CONTROL!$C$22, $C$13, 100%, $E$13)</f>
        <v>3.3395000000000001</v>
      </c>
      <c r="K21" s="61">
        <f>3.3411 * CHOOSE(CONTROL!$C$22, $C$13, 100%, $E$13)</f>
        <v>3.3411</v>
      </c>
      <c r="L21" s="4"/>
      <c r="M21" s="61"/>
      <c r="N21" s="61"/>
    </row>
    <row r="22" spans="1:14" ht="15">
      <c r="A22" s="13">
        <v>42522</v>
      </c>
      <c r="B22" s="60">
        <f>2.6164 * CHOOSE(CONTROL!$C$22, $C$13, 100%, $E$13)</f>
        <v>2.6164000000000001</v>
      </c>
      <c r="C22" s="60">
        <f>2.6164 * CHOOSE(CONTROL!$C$22, $C$13, 100%, $E$13)</f>
        <v>2.6164000000000001</v>
      </c>
      <c r="D22" s="60">
        <f>2.6414 * CHOOSE(CONTROL!$C$22, $C$13, 100%, $E$13)</f>
        <v>2.6414</v>
      </c>
      <c r="E22" s="61">
        <f>3.1559 * CHOOSE(CONTROL!$C$22, $C$13, 100%, $E$13)</f>
        <v>3.1558999999999999</v>
      </c>
      <c r="F22" s="61">
        <f>4.017 * CHOOSE(CONTROL!$C$22, $C$13, 100%, $E$13)</f>
        <v>4.0170000000000003</v>
      </c>
      <c r="G22" s="61">
        <f>4.0186 * CHOOSE(CONTROL!$C$22, $C$13, 100%, $E$13)</f>
        <v>4.0186000000000002</v>
      </c>
      <c r="H22" s="61">
        <f>5.791* CHOOSE(CONTROL!$C$22, $C$13, 100%, $E$13)</f>
        <v>5.7910000000000004</v>
      </c>
      <c r="I22" s="61">
        <f>5.7926 * CHOOSE(CONTROL!$C$22, $C$13, 100%, $E$13)</f>
        <v>5.7926000000000002</v>
      </c>
      <c r="J22" s="61">
        <f>3.1559 * CHOOSE(CONTROL!$C$22, $C$13, 100%, $E$13)</f>
        <v>3.1558999999999999</v>
      </c>
      <c r="K22" s="61">
        <f>3.1575 * CHOOSE(CONTROL!$C$22, $C$13, 100%, $E$13)</f>
        <v>3.1575000000000002</v>
      </c>
      <c r="L22" s="4"/>
      <c r="M22" s="61"/>
      <c r="N22" s="61"/>
    </row>
    <row r="23" spans="1:14" ht="15">
      <c r="A23" s="13">
        <v>42552</v>
      </c>
      <c r="B23" s="60">
        <f>2.6506 * CHOOSE(CONTROL!$C$22, $C$13, 100%, $E$13)</f>
        <v>2.6505999999999998</v>
      </c>
      <c r="C23" s="60">
        <f>2.6506 * CHOOSE(CONTROL!$C$22, $C$13, 100%, $E$13)</f>
        <v>2.6505999999999998</v>
      </c>
      <c r="D23" s="60">
        <f>2.6757 * CHOOSE(CONTROL!$C$22, $C$13, 100%, $E$13)</f>
        <v>2.6757</v>
      </c>
      <c r="E23" s="61">
        <f>3.2732 * CHOOSE(CONTROL!$C$22, $C$13, 100%, $E$13)</f>
        <v>3.2732000000000001</v>
      </c>
      <c r="F23" s="61">
        <f>4.017 * CHOOSE(CONTROL!$C$22, $C$13, 100%, $E$13)</f>
        <v>4.0170000000000003</v>
      </c>
      <c r="G23" s="61">
        <f>4.0186 * CHOOSE(CONTROL!$C$22, $C$13, 100%, $E$13)</f>
        <v>4.0186000000000002</v>
      </c>
      <c r="H23" s="61">
        <f>5.8031* CHOOSE(CONTROL!$C$22, $C$13, 100%, $E$13)</f>
        <v>5.8030999999999997</v>
      </c>
      <c r="I23" s="61">
        <f>5.8047 * CHOOSE(CONTROL!$C$22, $C$13, 100%, $E$13)</f>
        <v>5.8047000000000004</v>
      </c>
      <c r="J23" s="61">
        <f>3.2732 * CHOOSE(CONTROL!$C$22, $C$13, 100%, $E$13)</f>
        <v>3.2732000000000001</v>
      </c>
      <c r="K23" s="61">
        <f>3.2748 * CHOOSE(CONTROL!$C$22, $C$13, 100%, $E$13)</f>
        <v>3.2747999999999999</v>
      </c>
      <c r="L23" s="4"/>
      <c r="M23" s="4"/>
      <c r="N23" s="4"/>
    </row>
    <row r="24" spans="1:14" ht="15">
      <c r="A24" s="13">
        <v>42583</v>
      </c>
      <c r="B24" s="60">
        <f>2.6658 * CHOOSE(CONTROL!$C$22, $C$13, 100%, $E$13)</f>
        <v>2.6657999999999999</v>
      </c>
      <c r="C24" s="60">
        <f>2.6658 * CHOOSE(CONTROL!$C$22, $C$13, 100%, $E$13)</f>
        <v>2.6657999999999999</v>
      </c>
      <c r="D24" s="60">
        <f>2.6909 * CHOOSE(CONTROL!$C$22, $C$13, 100%, $E$13)</f>
        <v>2.6909000000000001</v>
      </c>
      <c r="E24" s="61">
        <f>3.383 * CHOOSE(CONTROL!$C$22, $C$13, 100%, $E$13)</f>
        <v>3.383</v>
      </c>
      <c r="F24" s="61">
        <f>4.017 * CHOOSE(CONTROL!$C$22, $C$13, 100%, $E$13)</f>
        <v>4.0170000000000003</v>
      </c>
      <c r="G24" s="61">
        <f>4.0186 * CHOOSE(CONTROL!$C$22, $C$13, 100%, $E$13)</f>
        <v>4.0186000000000002</v>
      </c>
      <c r="H24" s="61">
        <f>5.8151* CHOOSE(CONTROL!$C$22, $C$13, 100%, $E$13)</f>
        <v>5.8151000000000002</v>
      </c>
      <c r="I24" s="61">
        <f>5.8167 * CHOOSE(CONTROL!$C$22, $C$13, 100%, $E$13)</f>
        <v>5.8167</v>
      </c>
      <c r="J24" s="61">
        <f>3.383 * CHOOSE(CONTROL!$C$22, $C$13, 100%, $E$13)</f>
        <v>3.383</v>
      </c>
      <c r="K24" s="61">
        <f>3.3846 * CHOOSE(CONTROL!$C$22, $C$13, 100%, $E$13)</f>
        <v>3.3845999999999998</v>
      </c>
      <c r="L24" s="4"/>
      <c r="M24" s="4"/>
      <c r="N24" s="4"/>
    </row>
    <row r="25" spans="1:14" ht="15">
      <c r="A25" s="13">
        <v>42614</v>
      </c>
      <c r="B25" s="60">
        <f>2.6597 * CHOOSE(CONTROL!$C$22, $C$13, 100%, $E$13)</f>
        <v>2.6597</v>
      </c>
      <c r="C25" s="60">
        <f>2.6597 * CHOOSE(CONTROL!$C$22, $C$13, 100%, $E$13)</f>
        <v>2.6597</v>
      </c>
      <c r="D25" s="60">
        <f>2.6848 * CHOOSE(CONTROL!$C$22, $C$13, 100%, $E$13)</f>
        <v>2.6848000000000001</v>
      </c>
      <c r="E25" s="61">
        <f>3.2732 * CHOOSE(CONTROL!$C$22, $C$13, 100%, $E$13)</f>
        <v>3.2732000000000001</v>
      </c>
      <c r="F25" s="61">
        <f>4.017 * CHOOSE(CONTROL!$C$22, $C$13, 100%, $E$13)</f>
        <v>4.0170000000000003</v>
      </c>
      <c r="G25" s="61">
        <f>4.0186 * CHOOSE(CONTROL!$C$22, $C$13, 100%, $E$13)</f>
        <v>4.0186000000000002</v>
      </c>
      <c r="H25" s="61">
        <f>5.8273* CHOOSE(CONTROL!$C$22, $C$13, 100%, $E$13)</f>
        <v>5.8273000000000001</v>
      </c>
      <c r="I25" s="61">
        <f>5.8289 * CHOOSE(CONTROL!$C$22, $C$13, 100%, $E$13)</f>
        <v>5.8289</v>
      </c>
      <c r="J25" s="61">
        <f>3.2732 * CHOOSE(CONTROL!$C$22, $C$13, 100%, $E$13)</f>
        <v>3.2732000000000001</v>
      </c>
      <c r="K25" s="61">
        <f>3.2748 * CHOOSE(CONTROL!$C$22, $C$13, 100%, $E$13)</f>
        <v>3.2747999999999999</v>
      </c>
      <c r="L25" s="4"/>
      <c r="M25" s="4"/>
      <c r="N25" s="4"/>
    </row>
    <row r="26" spans="1:14" ht="15">
      <c r="A26" s="13">
        <v>42644</v>
      </c>
      <c r="B26" s="60">
        <f>2.6898 * CHOOSE(CONTROL!$C$22, $C$13, 100%, $E$13)</f>
        <v>2.6898</v>
      </c>
      <c r="C26" s="60">
        <f>2.6898 * CHOOSE(CONTROL!$C$22, $C$13, 100%, $E$13)</f>
        <v>2.6898</v>
      </c>
      <c r="D26" s="60">
        <f>2.7023 * CHOOSE(CONTROL!$C$22, $C$13, 100%, $E$13)</f>
        <v>2.7023000000000001</v>
      </c>
      <c r="E26" s="61">
        <f>3.3427 * CHOOSE(CONTROL!$C$22, $C$13, 100%, $E$13)</f>
        <v>3.3426999999999998</v>
      </c>
      <c r="F26" s="61">
        <f>4.035 * CHOOSE(CONTROL!$C$22, $C$13, 100%, $E$13)</f>
        <v>4.0350000000000001</v>
      </c>
      <c r="G26" s="61">
        <f>4.0352 * CHOOSE(CONTROL!$C$22, $C$13, 100%, $E$13)</f>
        <v>4.0351999999999997</v>
      </c>
      <c r="H26" s="61">
        <f>5.8394* CHOOSE(CONTROL!$C$22, $C$13, 100%, $E$13)</f>
        <v>5.8394000000000004</v>
      </c>
      <c r="I26" s="61">
        <f>5.8396 * CHOOSE(CONTROL!$C$22, $C$13, 100%, $E$13)</f>
        <v>5.8395999999999999</v>
      </c>
      <c r="J26" s="61">
        <f>3.3427 * CHOOSE(CONTROL!$C$22, $C$13, 100%, $E$13)</f>
        <v>3.3426999999999998</v>
      </c>
      <c r="K26" s="61">
        <f>3.3429 * CHOOSE(CONTROL!$C$22, $C$13, 100%, $E$13)</f>
        <v>3.3429000000000002</v>
      </c>
      <c r="L26" s="4"/>
      <c r="M26" s="4"/>
      <c r="N26" s="4"/>
    </row>
    <row r="27" spans="1:14" ht="15">
      <c r="A27" s="13">
        <v>42675</v>
      </c>
      <c r="B27" s="60">
        <f>2.6928 * CHOOSE(CONTROL!$C$22, $C$13, 100%, $E$13)</f>
        <v>2.6928000000000001</v>
      </c>
      <c r="C27" s="60">
        <f>2.6928 * CHOOSE(CONTROL!$C$22, $C$13, 100%, $E$13)</f>
        <v>2.6928000000000001</v>
      </c>
      <c r="D27" s="60">
        <f>2.7054 * CHOOSE(CONTROL!$C$22, $C$13, 100%, $E$13)</f>
        <v>2.7054</v>
      </c>
      <c r="E27" s="61">
        <f>3.3427 * CHOOSE(CONTROL!$C$22, $C$13, 100%, $E$13)</f>
        <v>3.3426999999999998</v>
      </c>
      <c r="F27" s="61">
        <f>4.035 * CHOOSE(CONTROL!$C$22, $C$13, 100%, $E$13)</f>
        <v>4.0350000000000001</v>
      </c>
      <c r="G27" s="61">
        <f>4.0352 * CHOOSE(CONTROL!$C$22, $C$13, 100%, $E$13)</f>
        <v>4.0351999999999997</v>
      </c>
      <c r="H27" s="61">
        <f>5.8516* CHOOSE(CONTROL!$C$22, $C$13, 100%, $E$13)</f>
        <v>5.8516000000000004</v>
      </c>
      <c r="I27" s="61">
        <f>5.8517 * CHOOSE(CONTROL!$C$22, $C$13, 100%, $E$13)</f>
        <v>5.8517000000000001</v>
      </c>
      <c r="J27" s="61">
        <f>3.3427 * CHOOSE(CONTROL!$C$22, $C$13, 100%, $E$13)</f>
        <v>3.3426999999999998</v>
      </c>
      <c r="K27" s="61">
        <f>3.3429 * CHOOSE(CONTROL!$C$22, $C$13, 100%, $E$13)</f>
        <v>3.3429000000000002</v>
      </c>
      <c r="L27" s="4"/>
      <c r="M27" s="4"/>
      <c r="N27" s="4"/>
    </row>
    <row r="28" spans="1:14" ht="15">
      <c r="A28" s="13">
        <v>42705</v>
      </c>
      <c r="B28" s="60">
        <f>2.6959 * CHOOSE(CONTROL!$C$22, $C$13, 100%, $E$13)</f>
        <v>2.6959</v>
      </c>
      <c r="C28" s="60">
        <f>2.6959 * CHOOSE(CONTROL!$C$22, $C$13, 100%, $E$13)</f>
        <v>2.6959</v>
      </c>
      <c r="D28" s="60">
        <f>2.7084 * CHOOSE(CONTROL!$C$22, $C$13, 100%, $E$13)</f>
        <v>2.7084000000000001</v>
      </c>
      <c r="E28" s="61">
        <f>3.5831 * CHOOSE(CONTROL!$C$22, $C$13, 100%, $E$13)</f>
        <v>3.5831</v>
      </c>
      <c r="F28" s="61">
        <f>4.017 * CHOOSE(CONTROL!$C$22, $C$13, 100%, $E$13)</f>
        <v>4.0170000000000003</v>
      </c>
      <c r="G28" s="61">
        <f>4.0172 * CHOOSE(CONTROL!$C$22, $C$13, 100%, $E$13)</f>
        <v>4.0171999999999999</v>
      </c>
      <c r="H28" s="61">
        <f>5.8638* CHOOSE(CONTROL!$C$22, $C$13, 100%, $E$13)</f>
        <v>5.8638000000000003</v>
      </c>
      <c r="I28" s="61">
        <f>5.8639 * CHOOSE(CONTROL!$C$22, $C$13, 100%, $E$13)</f>
        <v>5.8639000000000001</v>
      </c>
      <c r="J28" s="61">
        <f>3.5831 * CHOOSE(CONTROL!$C$22, $C$13, 100%, $E$13)</f>
        <v>3.5831</v>
      </c>
      <c r="K28" s="61">
        <f>3.5833 * CHOOSE(CONTROL!$C$22, $C$13, 100%, $E$13)</f>
        <v>3.5832999999999999</v>
      </c>
      <c r="L28" s="4"/>
      <c r="M28" s="4"/>
      <c r="N28" s="4"/>
    </row>
    <row r="29" spans="1:14" ht="15">
      <c r="A29" s="13">
        <v>42736</v>
      </c>
      <c r="B29" s="60">
        <f>2.7015 * CHOOSE(CONTROL!$C$22, $C$13, 100%, $E$13)</f>
        <v>2.7014999999999998</v>
      </c>
      <c r="C29" s="60">
        <f>2.7015 * CHOOSE(CONTROL!$C$22, $C$13, 100%, $E$13)</f>
        <v>2.7014999999999998</v>
      </c>
      <c r="D29" s="60">
        <f>2.714 * CHOOSE(CONTROL!$C$22, $C$13, 100%, $E$13)</f>
        <v>2.714</v>
      </c>
      <c r="E29" s="61">
        <f>3.4856 * CHOOSE(CONTROL!$C$22, $C$13, 100%, $E$13)</f>
        <v>3.4855999999999998</v>
      </c>
      <c r="F29" s="61">
        <f>3.4856 * CHOOSE(CONTROL!$C$22, $C$13, 100%, $E$13)</f>
        <v>3.4855999999999998</v>
      </c>
      <c r="G29" s="61">
        <f>3.4858 * CHOOSE(CONTROL!$C$22, $C$13, 100%, $E$13)</f>
        <v>3.4857999999999998</v>
      </c>
      <c r="H29" s="61">
        <f>5.876* CHOOSE(CONTROL!$C$22, $C$13, 100%, $E$13)</f>
        <v>5.8760000000000003</v>
      </c>
      <c r="I29" s="61">
        <f>5.8761 * CHOOSE(CONTROL!$C$22, $C$13, 100%, $E$13)</f>
        <v>5.8761000000000001</v>
      </c>
      <c r="J29" s="61">
        <f>3.4856 * CHOOSE(CONTROL!$C$22, $C$13, 100%, $E$13)</f>
        <v>3.4855999999999998</v>
      </c>
      <c r="K29" s="61">
        <f>3.4858 * CHOOSE(CONTROL!$C$22, $C$13, 100%, $E$13)</f>
        <v>3.4857999999999998</v>
      </c>
      <c r="L29" s="4"/>
      <c r="M29" s="4"/>
      <c r="N29" s="4"/>
    </row>
    <row r="30" spans="1:14" ht="15">
      <c r="A30" s="13">
        <v>42767</v>
      </c>
      <c r="B30" s="60">
        <f>2.6954 * CHOOSE(CONTROL!$C$22, $C$13, 100%, $E$13)</f>
        <v>2.6953999999999998</v>
      </c>
      <c r="C30" s="60">
        <f>2.6954 * CHOOSE(CONTROL!$C$22, $C$13, 100%, $E$13)</f>
        <v>2.6953999999999998</v>
      </c>
      <c r="D30" s="60">
        <f>2.708 * CHOOSE(CONTROL!$C$22, $C$13, 100%, $E$13)</f>
        <v>2.7080000000000002</v>
      </c>
      <c r="E30" s="61">
        <f>3.3873 * CHOOSE(CONTROL!$C$22, $C$13, 100%, $E$13)</f>
        <v>3.3873000000000002</v>
      </c>
      <c r="F30" s="61">
        <f>3.3873 * CHOOSE(CONTROL!$C$22, $C$13, 100%, $E$13)</f>
        <v>3.3873000000000002</v>
      </c>
      <c r="G30" s="61">
        <f>3.3875 * CHOOSE(CONTROL!$C$22, $C$13, 100%, $E$13)</f>
        <v>3.3875000000000002</v>
      </c>
      <c r="H30" s="61">
        <f>5.8882* CHOOSE(CONTROL!$C$22, $C$13, 100%, $E$13)</f>
        <v>5.8882000000000003</v>
      </c>
      <c r="I30" s="61">
        <f>5.8884 * CHOOSE(CONTROL!$C$22, $C$13, 100%, $E$13)</f>
        <v>5.8883999999999999</v>
      </c>
      <c r="J30" s="61">
        <f>3.3873 * CHOOSE(CONTROL!$C$22, $C$13, 100%, $E$13)</f>
        <v>3.3873000000000002</v>
      </c>
      <c r="K30" s="61">
        <f>3.3875 * CHOOSE(CONTROL!$C$22,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2.6924 * CHOOSE(CONTROL!$C$22, $C$13, 100%, $E$13)</f>
        <v>2.6924000000000001</v>
      </c>
      <c r="C31" s="60">
        <f>2.6924 * CHOOSE(CONTROL!$C$22, $C$13, 100%, $E$13)</f>
        <v>2.6924000000000001</v>
      </c>
      <c r="D31" s="60">
        <f>2.7049 * CHOOSE(CONTROL!$C$22, $C$13, 100%, $E$13)</f>
        <v>2.7048999999999999</v>
      </c>
      <c r="E31" s="61">
        <f>3.4487 * CHOOSE(CONTROL!$C$22, $C$13, 100%, $E$13)</f>
        <v>3.4487000000000001</v>
      </c>
      <c r="F31" s="61">
        <f>3.4487 * CHOOSE(CONTROL!$C$22, $C$13, 100%, $E$13)</f>
        <v>3.4487000000000001</v>
      </c>
      <c r="G31" s="61">
        <f>3.4489 * CHOOSE(CONTROL!$C$22, $C$13, 100%, $E$13)</f>
        <v>3.4489000000000001</v>
      </c>
      <c r="H31" s="61">
        <f>5.9005* CHOOSE(CONTROL!$C$22, $C$13, 100%, $E$13)</f>
        <v>5.9005000000000001</v>
      </c>
      <c r="I31" s="61">
        <f>5.9007 * CHOOSE(CONTROL!$C$22, $C$13, 100%, $E$13)</f>
        <v>5.9006999999999996</v>
      </c>
      <c r="J31" s="61">
        <f>3.4487 * CHOOSE(CONTROL!$C$22, $C$13, 100%, $E$13)</f>
        <v>3.4487000000000001</v>
      </c>
      <c r="K31" s="61">
        <f>3.4489 * CHOOSE(CONTROL!$C$22, $C$13, 100%, $E$13)</f>
        <v>3.4489000000000001</v>
      </c>
      <c r="L31" s="4"/>
      <c r="M31" s="4"/>
      <c r="N31" s="4"/>
    </row>
    <row r="32" spans="1:14" ht="15">
      <c r="A32" s="13">
        <v>42826</v>
      </c>
      <c r="B32" s="60">
        <f>2.7147 * CHOOSE(CONTROL!$C$22, $C$13, 100%, $E$13)</f>
        <v>2.7147000000000001</v>
      </c>
      <c r="C32" s="60">
        <f>2.7147 * CHOOSE(CONTROL!$C$22, $C$13, 100%, $E$13)</f>
        <v>2.7147000000000001</v>
      </c>
      <c r="D32" s="60">
        <f>2.7272 * CHOOSE(CONTROL!$C$22, $C$13, 100%, $E$13)</f>
        <v>2.7271999999999998</v>
      </c>
      <c r="E32" s="61">
        <f>3.3873 * CHOOSE(CONTROL!$C$22, $C$13, 100%, $E$13)</f>
        <v>3.3873000000000002</v>
      </c>
      <c r="F32" s="61">
        <f>3.3873 * CHOOSE(CONTROL!$C$22, $C$13, 100%, $E$13)</f>
        <v>3.3873000000000002</v>
      </c>
      <c r="G32" s="61">
        <f>3.3875 * CHOOSE(CONTROL!$C$22, $C$13, 100%, $E$13)</f>
        <v>3.3875000000000002</v>
      </c>
      <c r="H32" s="61">
        <f>5.9128* CHOOSE(CONTROL!$C$22, $C$13, 100%, $E$13)</f>
        <v>5.9127999999999998</v>
      </c>
      <c r="I32" s="61">
        <f>5.9129 * CHOOSE(CONTROL!$C$22, $C$13, 100%, $E$13)</f>
        <v>5.9128999999999996</v>
      </c>
      <c r="J32" s="61">
        <f>3.3873 * CHOOSE(CONTROL!$C$22, $C$13, 100%, $E$13)</f>
        <v>3.3873000000000002</v>
      </c>
      <c r="K32" s="61">
        <f>3.3875 * CHOOSE(CONTROL!$C$22,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2.7117 * CHOOSE(CONTROL!$C$22, $C$13, 100%, $E$13)</f>
        <v>2.7117</v>
      </c>
      <c r="C33" s="60">
        <f>2.7117 * CHOOSE(CONTROL!$C$22, $C$13, 100%, $E$13)</f>
        <v>2.7117</v>
      </c>
      <c r="D33" s="60">
        <f>2.7367 * CHOOSE(CONTROL!$C$22, $C$13, 100%, $E$13)</f>
        <v>2.7366999999999999</v>
      </c>
      <c r="E33" s="61">
        <f>3.3873 * CHOOSE(CONTROL!$C$22, $C$13, 100%, $E$13)</f>
        <v>3.3873000000000002</v>
      </c>
      <c r="F33" s="61">
        <f>3.3873 * CHOOSE(CONTROL!$C$22, $C$13, 100%, $E$13)</f>
        <v>3.3873000000000002</v>
      </c>
      <c r="G33" s="61">
        <f>3.3889 * CHOOSE(CONTROL!$C$22, $C$13, 100%, $E$13)</f>
        <v>3.3889</v>
      </c>
      <c r="H33" s="61">
        <f>5.9251* CHOOSE(CONTROL!$C$22, $C$13, 100%, $E$13)</f>
        <v>5.9250999999999996</v>
      </c>
      <c r="I33" s="61">
        <f>5.9267 * CHOOSE(CONTROL!$C$22, $C$13, 100%, $E$13)</f>
        <v>5.9267000000000003</v>
      </c>
      <c r="J33" s="61">
        <f>3.3873 * CHOOSE(CONTROL!$C$22, $C$13, 100%, $E$13)</f>
        <v>3.3873000000000002</v>
      </c>
      <c r="K33" s="61">
        <f>3.3889 * CHOOSE(CONTROL!$C$22, $C$13, 100%, $E$13)</f>
        <v>3.3889</v>
      </c>
      <c r="L33" s="4"/>
      <c r="M33" s="4"/>
      <c r="N33" s="4"/>
    </row>
    <row r="34" spans="1:14" ht="15">
      <c r="A34" s="13">
        <v>42887</v>
      </c>
      <c r="B34" s="60">
        <f>2.7177 * CHOOSE(CONTROL!$C$22, $C$13, 100%, $E$13)</f>
        <v>2.7176999999999998</v>
      </c>
      <c r="C34" s="60">
        <f>2.7177 * CHOOSE(CONTROL!$C$22, $C$13, 100%, $E$13)</f>
        <v>2.7176999999999998</v>
      </c>
      <c r="D34" s="60">
        <f>2.7428 * CHOOSE(CONTROL!$C$22, $C$13, 100%, $E$13)</f>
        <v>2.7427999999999999</v>
      </c>
      <c r="E34" s="61">
        <f>3.2645 * CHOOSE(CONTROL!$C$22, $C$13, 100%, $E$13)</f>
        <v>3.2645</v>
      </c>
      <c r="F34" s="61">
        <f>3.2645 * CHOOSE(CONTROL!$C$22, $C$13, 100%, $E$13)</f>
        <v>3.2645</v>
      </c>
      <c r="G34" s="61">
        <f>3.2661 * CHOOSE(CONTROL!$C$22, $C$13, 100%, $E$13)</f>
        <v>3.2660999999999998</v>
      </c>
      <c r="H34" s="61">
        <f>5.9374* CHOOSE(CONTROL!$C$22, $C$13, 100%, $E$13)</f>
        <v>5.9374000000000002</v>
      </c>
      <c r="I34" s="61">
        <f>5.939 * CHOOSE(CONTROL!$C$22, $C$13, 100%, $E$13)</f>
        <v>5.9390000000000001</v>
      </c>
      <c r="J34" s="61">
        <f>3.2645 * CHOOSE(CONTROL!$C$22, $C$13, 100%, $E$13)</f>
        <v>3.2645</v>
      </c>
      <c r="K34" s="61">
        <f>3.2661 * CHOOSE(CONTROL!$C$22, $C$13, 100%, $E$13)</f>
        <v>3.2660999999999998</v>
      </c>
      <c r="L34" s="4"/>
      <c r="M34" s="4"/>
      <c r="N34" s="4"/>
    </row>
    <row r="35" spans="1:14" ht="15">
      <c r="A35" s="13">
        <v>42917</v>
      </c>
      <c r="B35" s="60">
        <f>2.7414 * CHOOSE(CONTROL!$C$22, $C$13, 100%, $E$13)</f>
        <v>2.7414000000000001</v>
      </c>
      <c r="C35" s="60">
        <f>2.7414 * CHOOSE(CONTROL!$C$22, $C$13, 100%, $E$13)</f>
        <v>2.7414000000000001</v>
      </c>
      <c r="D35" s="60">
        <f>2.7665 * CHOOSE(CONTROL!$C$22, $C$13, 100%, $E$13)</f>
        <v>2.7665000000000002</v>
      </c>
      <c r="E35" s="61">
        <f>3.633 * CHOOSE(CONTROL!$C$22, $C$13, 100%, $E$13)</f>
        <v>3.633</v>
      </c>
      <c r="F35" s="61">
        <f>3.633 * CHOOSE(CONTROL!$C$22, $C$13, 100%, $E$13)</f>
        <v>3.633</v>
      </c>
      <c r="G35" s="61">
        <f>3.6346 * CHOOSE(CONTROL!$C$22, $C$13, 100%, $E$13)</f>
        <v>3.6345999999999998</v>
      </c>
      <c r="H35" s="61">
        <f>5.9498* CHOOSE(CONTROL!$C$22, $C$13, 100%, $E$13)</f>
        <v>5.9497999999999998</v>
      </c>
      <c r="I35" s="61">
        <f>5.9514 * CHOOSE(CONTROL!$C$22, $C$13, 100%, $E$13)</f>
        <v>5.9513999999999996</v>
      </c>
      <c r="J35" s="61">
        <f>3.633 * CHOOSE(CONTROL!$C$22, $C$13, 100%, $E$13)</f>
        <v>3.633</v>
      </c>
      <c r="K35" s="61">
        <f>3.6346 * CHOOSE(CONTROL!$C$22, $C$13, 100%, $E$13)</f>
        <v>3.6345999999999998</v>
      </c>
      <c r="L35" s="4"/>
      <c r="M35" s="4"/>
      <c r="N35" s="4"/>
    </row>
    <row r="36" spans="1:14" ht="15">
      <c r="A36" s="13">
        <v>42948</v>
      </c>
      <c r="B36" s="60">
        <f>2.7566 * CHOOSE(CONTROL!$C$22, $C$13, 100%, $E$13)</f>
        <v>2.7566000000000002</v>
      </c>
      <c r="C36" s="60">
        <f>2.7566 * CHOOSE(CONTROL!$C$22, $C$13, 100%, $E$13)</f>
        <v>2.7566000000000002</v>
      </c>
      <c r="D36" s="60">
        <f>2.7817 * CHOOSE(CONTROL!$C$22, $C$13, 100%, $E$13)</f>
        <v>2.7816999999999998</v>
      </c>
      <c r="E36" s="61">
        <f>3.633 * CHOOSE(CONTROL!$C$22, $C$13, 100%, $E$13)</f>
        <v>3.633</v>
      </c>
      <c r="F36" s="61">
        <f>3.633 * CHOOSE(CONTROL!$C$22, $C$13, 100%, $E$13)</f>
        <v>3.633</v>
      </c>
      <c r="G36" s="61">
        <f>3.6346 * CHOOSE(CONTROL!$C$22, $C$13, 100%, $E$13)</f>
        <v>3.6345999999999998</v>
      </c>
      <c r="H36" s="61">
        <f>5.9622* CHOOSE(CONTROL!$C$22, $C$13, 100%, $E$13)</f>
        <v>5.9622000000000002</v>
      </c>
      <c r="I36" s="61">
        <f>5.9638 * CHOOSE(CONTROL!$C$22, $C$13, 100%, $E$13)</f>
        <v>5.9638</v>
      </c>
      <c r="J36" s="61">
        <f>3.633 * CHOOSE(CONTROL!$C$22, $C$13, 100%, $E$13)</f>
        <v>3.633</v>
      </c>
      <c r="K36" s="61">
        <f>3.6346 * CHOOSE(CONTROL!$C$22, $C$13, 100%, $E$13)</f>
        <v>3.6345999999999998</v>
      </c>
      <c r="L36" s="4"/>
      <c r="M36" s="4"/>
      <c r="N36" s="4"/>
    </row>
    <row r="37" spans="1:14" ht="15">
      <c r="A37" s="13">
        <v>42979</v>
      </c>
      <c r="B37" s="60">
        <f>2.7506 * CHOOSE(CONTROL!$C$22, $C$13, 100%, $E$13)</f>
        <v>2.7505999999999999</v>
      </c>
      <c r="C37" s="60">
        <f>2.7506 * CHOOSE(CONTROL!$C$22, $C$13, 100%, $E$13)</f>
        <v>2.7505999999999999</v>
      </c>
      <c r="D37" s="60">
        <f>2.7756 * CHOOSE(CONTROL!$C$22, $C$13, 100%, $E$13)</f>
        <v>2.7755999999999998</v>
      </c>
      <c r="E37" s="61">
        <f>3.633 * CHOOSE(CONTROL!$C$22, $C$13, 100%, $E$13)</f>
        <v>3.633</v>
      </c>
      <c r="F37" s="61">
        <f>3.633 * CHOOSE(CONTROL!$C$22, $C$13, 100%, $E$13)</f>
        <v>3.633</v>
      </c>
      <c r="G37" s="61">
        <f>3.6346 * CHOOSE(CONTROL!$C$22, $C$13, 100%, $E$13)</f>
        <v>3.6345999999999998</v>
      </c>
      <c r="H37" s="61">
        <f>5.9746* CHOOSE(CONTROL!$C$22, $C$13, 100%, $E$13)</f>
        <v>5.9745999999999997</v>
      </c>
      <c r="I37" s="61">
        <f>5.9762 * CHOOSE(CONTROL!$C$22, $C$13, 100%, $E$13)</f>
        <v>5.9762000000000004</v>
      </c>
      <c r="J37" s="61">
        <f>3.633 * CHOOSE(CONTROL!$C$22, $C$13, 100%, $E$13)</f>
        <v>3.633</v>
      </c>
      <c r="K37" s="61">
        <f>3.6346 * CHOOSE(CONTROL!$C$22, $C$13, 100%, $E$13)</f>
        <v>3.6345999999999998</v>
      </c>
      <c r="L37" s="4"/>
      <c r="M37" s="4"/>
      <c r="N37" s="4"/>
    </row>
    <row r="38" spans="1:14" ht="15">
      <c r="A38" s="13">
        <v>43009</v>
      </c>
      <c r="B38" s="60">
        <f>2.7682 * CHOOSE(CONTROL!$C$22, $C$13, 100%, $E$13)</f>
        <v>2.7682000000000002</v>
      </c>
      <c r="C38" s="60">
        <f>2.7682 * CHOOSE(CONTROL!$C$22, $C$13, 100%, $E$13)</f>
        <v>2.7682000000000002</v>
      </c>
      <c r="D38" s="60">
        <f>2.7808 * CHOOSE(CONTROL!$C$22, $C$13, 100%, $E$13)</f>
        <v>2.7808000000000002</v>
      </c>
      <c r="E38" s="61">
        <f>3.633 * CHOOSE(CONTROL!$C$22, $C$13, 100%, $E$13)</f>
        <v>3.633</v>
      </c>
      <c r="F38" s="61">
        <f>3.633 * CHOOSE(CONTROL!$C$22, $C$13, 100%, $E$13)</f>
        <v>3.633</v>
      </c>
      <c r="G38" s="61">
        <f>3.6332 * CHOOSE(CONTROL!$C$22, $C$13, 100%, $E$13)</f>
        <v>3.6332</v>
      </c>
      <c r="H38" s="61">
        <f>5.9871* CHOOSE(CONTROL!$C$22, $C$13, 100%, $E$13)</f>
        <v>5.9870999999999999</v>
      </c>
      <c r="I38" s="61">
        <f>5.9872 * CHOOSE(CONTROL!$C$22, $C$13, 100%, $E$13)</f>
        <v>5.9871999999999996</v>
      </c>
      <c r="J38" s="61">
        <f>3.633 * CHOOSE(CONTROL!$C$22, $C$13, 100%, $E$13)</f>
        <v>3.633</v>
      </c>
      <c r="K38" s="61">
        <f>3.6332 * CHOOSE(CONTROL!$C$22, $C$13, 100%, $E$13)</f>
        <v>3.6332</v>
      </c>
      <c r="L38" s="4"/>
      <c r="M38" s="4"/>
      <c r="N38" s="4"/>
    </row>
    <row r="39" spans="1:14" ht="15">
      <c r="A39" s="13">
        <v>43040</v>
      </c>
      <c r="B39" s="60">
        <f>2.7713 * CHOOSE(CONTROL!$C$22, $C$13, 100%, $E$13)</f>
        <v>2.7713000000000001</v>
      </c>
      <c r="C39" s="60">
        <f>2.7713 * CHOOSE(CONTROL!$C$22, $C$13, 100%, $E$13)</f>
        <v>2.7713000000000001</v>
      </c>
      <c r="D39" s="60">
        <f>2.7838 * CHOOSE(CONTROL!$C$22, $C$13, 100%, $E$13)</f>
        <v>2.7837999999999998</v>
      </c>
      <c r="E39" s="61">
        <f>3.633 * CHOOSE(CONTROL!$C$22, $C$13, 100%, $E$13)</f>
        <v>3.633</v>
      </c>
      <c r="F39" s="61">
        <f>3.633 * CHOOSE(CONTROL!$C$22, $C$13, 100%, $E$13)</f>
        <v>3.633</v>
      </c>
      <c r="G39" s="61">
        <f>3.6332 * CHOOSE(CONTROL!$C$22, $C$13, 100%, $E$13)</f>
        <v>3.6332</v>
      </c>
      <c r="H39" s="61">
        <f>5.9995* CHOOSE(CONTROL!$C$22, $C$13, 100%, $E$13)</f>
        <v>5.9995000000000003</v>
      </c>
      <c r="I39" s="61">
        <f>5.9997 * CHOOSE(CONTROL!$C$22, $C$13, 100%, $E$13)</f>
        <v>5.9996999999999998</v>
      </c>
      <c r="J39" s="61">
        <f>3.633 * CHOOSE(CONTROL!$C$22, $C$13, 100%, $E$13)</f>
        <v>3.633</v>
      </c>
      <c r="K39" s="61">
        <f>3.6332 * CHOOSE(CONTROL!$C$22, $C$13, 100%, $E$13)</f>
        <v>3.6332</v>
      </c>
      <c r="L39" s="4"/>
      <c r="M39" s="4"/>
      <c r="N39" s="4"/>
    </row>
    <row r="40" spans="1:14" ht="15">
      <c r="A40" s="13">
        <v>43070</v>
      </c>
      <c r="B40" s="60">
        <f>2.7743 * CHOOSE(CONTROL!$C$22, $C$13, 100%, $E$13)</f>
        <v>2.7743000000000002</v>
      </c>
      <c r="C40" s="60">
        <f>2.7743 * CHOOSE(CONTROL!$C$22, $C$13, 100%, $E$13)</f>
        <v>2.7743000000000002</v>
      </c>
      <c r="D40" s="60">
        <f>2.7868 * CHOOSE(CONTROL!$C$22, $C$13, 100%, $E$13)</f>
        <v>2.7867999999999999</v>
      </c>
      <c r="E40" s="61">
        <f>3.633 * CHOOSE(CONTROL!$C$22, $C$13, 100%, $E$13)</f>
        <v>3.633</v>
      </c>
      <c r="F40" s="61">
        <f>3.633 * CHOOSE(CONTROL!$C$22, $C$13, 100%, $E$13)</f>
        <v>3.633</v>
      </c>
      <c r="G40" s="61">
        <f>3.6332 * CHOOSE(CONTROL!$C$22, $C$13, 100%, $E$13)</f>
        <v>3.6332</v>
      </c>
      <c r="H40" s="61">
        <f>6.012* CHOOSE(CONTROL!$C$22, $C$13, 100%, $E$13)</f>
        <v>6.0119999999999996</v>
      </c>
      <c r="I40" s="61">
        <f>6.0122 * CHOOSE(CONTROL!$C$22, $C$13, 100%, $E$13)</f>
        <v>6.0122</v>
      </c>
      <c r="J40" s="61">
        <f>3.633 * CHOOSE(CONTROL!$C$22, $C$13, 100%, $E$13)</f>
        <v>3.633</v>
      </c>
      <c r="K40" s="61">
        <f>3.6332 * CHOOSE(CONTROL!$C$22, $C$13, 100%, $E$13)</f>
        <v>3.6332</v>
      </c>
      <c r="L40" s="4"/>
      <c r="M40" s="4"/>
      <c r="N40" s="4"/>
    </row>
    <row r="41" spans="1:14" ht="15">
      <c r="A41" s="13">
        <v>43101</v>
      </c>
      <c r="B41" s="60">
        <f>2.8174 * CHOOSE(CONTROL!$C$22, $C$13, 100%, $E$13)</f>
        <v>2.8174000000000001</v>
      </c>
      <c r="C41" s="60">
        <f>2.8174 * CHOOSE(CONTROL!$C$22, $C$13, 100%, $E$13)</f>
        <v>2.8174000000000001</v>
      </c>
      <c r="D41" s="60">
        <f>2.8299 * CHOOSE(CONTROL!$C$22, $C$13, 100%, $E$13)</f>
        <v>2.8298999999999999</v>
      </c>
      <c r="E41" s="61">
        <f>3.2609 * CHOOSE(CONTROL!$C$22, $C$13, 100%, $E$13)</f>
        <v>3.2608999999999999</v>
      </c>
      <c r="F41" s="61">
        <f>3.2609 * CHOOSE(CONTROL!$C$22, $C$13, 100%, $E$13)</f>
        <v>3.2608999999999999</v>
      </c>
      <c r="G41" s="61">
        <f>3.261 * CHOOSE(CONTROL!$C$22, $C$13, 100%, $E$13)</f>
        <v>3.2610000000000001</v>
      </c>
      <c r="H41" s="61">
        <f>6.0246* CHOOSE(CONTROL!$C$22, $C$13, 100%, $E$13)</f>
        <v>6.0246000000000004</v>
      </c>
      <c r="I41" s="61">
        <f>6.0247 * CHOOSE(CONTROL!$C$22, $C$13, 100%, $E$13)</f>
        <v>6.0247000000000002</v>
      </c>
      <c r="J41" s="61">
        <f>3.2609 * CHOOSE(CONTROL!$C$22, $C$13, 100%, $E$13)</f>
        <v>3.2608999999999999</v>
      </c>
      <c r="K41" s="61">
        <f>3.261 * CHOOSE(CONTROL!$C$22, $C$13, 100%, $E$13)</f>
        <v>3.2610000000000001</v>
      </c>
      <c r="L41" s="4"/>
      <c r="M41" s="4"/>
      <c r="N41" s="4"/>
    </row>
    <row r="42" spans="1:14" ht="15">
      <c r="A42" s="13">
        <v>43132</v>
      </c>
      <c r="B42" s="60">
        <f>2.8144 * CHOOSE(CONTROL!$C$22, $C$13, 100%, $E$13)</f>
        <v>2.8144</v>
      </c>
      <c r="C42" s="60">
        <f>2.8144 * CHOOSE(CONTROL!$C$22, $C$13, 100%, $E$13)</f>
        <v>2.8144</v>
      </c>
      <c r="D42" s="60">
        <f>2.8269 * CHOOSE(CONTROL!$C$22, $C$13, 100%, $E$13)</f>
        <v>2.8269000000000002</v>
      </c>
      <c r="E42" s="61">
        <f>3.2349 * CHOOSE(CONTROL!$C$22, $C$13, 100%, $E$13)</f>
        <v>3.2349000000000001</v>
      </c>
      <c r="F42" s="61">
        <f>3.2349 * CHOOSE(CONTROL!$C$22, $C$13, 100%, $E$13)</f>
        <v>3.2349000000000001</v>
      </c>
      <c r="G42" s="61">
        <f>3.2351 * CHOOSE(CONTROL!$C$22, $C$13, 100%, $E$13)</f>
        <v>3.2351000000000001</v>
      </c>
      <c r="H42" s="61">
        <f>6.0371* CHOOSE(CONTROL!$C$22, $C$13, 100%, $E$13)</f>
        <v>6.0370999999999997</v>
      </c>
      <c r="I42" s="61">
        <f>6.0373 * CHOOSE(CONTROL!$C$22, $C$13, 100%, $E$13)</f>
        <v>6.0373000000000001</v>
      </c>
      <c r="J42" s="61">
        <f>3.2349 * CHOOSE(CONTROL!$C$22, $C$13, 100%, $E$13)</f>
        <v>3.2349000000000001</v>
      </c>
      <c r="K42" s="61">
        <f>3.2351 * CHOOSE(CONTROL!$C$22, $C$13, 100%, $E$13)</f>
        <v>3.2351000000000001</v>
      </c>
      <c r="L42" s="4"/>
      <c r="M42" s="4"/>
      <c r="N42" s="4"/>
    </row>
    <row r="43" spans="1:14" ht="15">
      <c r="A43" s="13">
        <v>43160</v>
      </c>
      <c r="B43" s="60">
        <f>2.8113 * CHOOSE(CONTROL!$C$22, $C$13, 100%, $E$13)</f>
        <v>2.8113000000000001</v>
      </c>
      <c r="C43" s="60">
        <f>2.8113 * CHOOSE(CONTROL!$C$22, $C$13, 100%, $E$13)</f>
        <v>2.8113000000000001</v>
      </c>
      <c r="D43" s="60">
        <f>2.8239 * CHOOSE(CONTROL!$C$22, $C$13, 100%, $E$13)</f>
        <v>2.8239000000000001</v>
      </c>
      <c r="E43" s="61">
        <f>3.2516 * CHOOSE(CONTROL!$C$22, $C$13, 100%, $E$13)</f>
        <v>3.2515999999999998</v>
      </c>
      <c r="F43" s="61">
        <f>3.2516 * CHOOSE(CONTROL!$C$22, $C$13, 100%, $E$13)</f>
        <v>3.2515999999999998</v>
      </c>
      <c r="G43" s="61">
        <f>3.2518 * CHOOSE(CONTROL!$C$22, $C$13, 100%, $E$13)</f>
        <v>3.2517999999999998</v>
      </c>
      <c r="H43" s="61">
        <f>6.0497* CHOOSE(CONTROL!$C$22, $C$13, 100%, $E$13)</f>
        <v>6.0496999999999996</v>
      </c>
      <c r="I43" s="61">
        <f>6.0499 * CHOOSE(CONTROL!$C$22, $C$13, 100%, $E$13)</f>
        <v>6.0499000000000001</v>
      </c>
      <c r="J43" s="61">
        <f>3.2516 * CHOOSE(CONTROL!$C$22, $C$13, 100%, $E$13)</f>
        <v>3.2515999999999998</v>
      </c>
      <c r="K43" s="61">
        <f>3.2518 * CHOOSE(CONTROL!$C$22, $C$13, 100%, $E$13)</f>
        <v>3.2517999999999998</v>
      </c>
      <c r="L43" s="4"/>
      <c r="M43" s="4"/>
      <c r="N43" s="4"/>
    </row>
    <row r="44" spans="1:14" ht="15">
      <c r="A44" s="13">
        <v>43191</v>
      </c>
      <c r="B44" s="60">
        <f>2.8078 * CHOOSE(CONTROL!$C$22, $C$13, 100%, $E$13)</f>
        <v>2.8077999999999999</v>
      </c>
      <c r="C44" s="60">
        <f>2.8078 * CHOOSE(CONTROL!$C$22, $C$13, 100%, $E$13)</f>
        <v>2.8077999999999999</v>
      </c>
      <c r="D44" s="60">
        <f>2.8204 * CHOOSE(CONTROL!$C$22, $C$13, 100%, $E$13)</f>
        <v>2.8203999999999998</v>
      </c>
      <c r="E44" s="61">
        <f>3.2675 * CHOOSE(CONTROL!$C$22, $C$13, 100%, $E$13)</f>
        <v>3.2675000000000001</v>
      </c>
      <c r="F44" s="61">
        <f>3.2675 * CHOOSE(CONTROL!$C$22, $C$13, 100%, $E$13)</f>
        <v>3.2675000000000001</v>
      </c>
      <c r="G44" s="61">
        <f>3.2677 * CHOOSE(CONTROL!$C$22, $C$13, 100%, $E$13)</f>
        <v>3.2677</v>
      </c>
      <c r="H44" s="61">
        <f>6.0623* CHOOSE(CONTROL!$C$22, $C$13, 100%, $E$13)</f>
        <v>6.0622999999999996</v>
      </c>
      <c r="I44" s="61">
        <f>6.0625 * CHOOSE(CONTROL!$C$22, $C$13, 100%, $E$13)</f>
        <v>6.0625</v>
      </c>
      <c r="J44" s="61">
        <f>3.2675 * CHOOSE(CONTROL!$C$22, $C$13, 100%, $E$13)</f>
        <v>3.2675000000000001</v>
      </c>
      <c r="K44" s="61">
        <f>3.2677 * CHOOSE(CONTROL!$C$22, $C$13, 100%, $E$13)</f>
        <v>3.2677</v>
      </c>
      <c r="L44" s="4"/>
      <c r="M44" s="4"/>
      <c r="N44" s="4"/>
    </row>
    <row r="45" spans="1:14" ht="15">
      <c r="A45" s="13">
        <v>43221</v>
      </c>
      <c r="B45" s="60">
        <f>2.8078 * CHOOSE(CONTROL!$C$22, $C$13, 100%, $E$13)</f>
        <v>2.8077999999999999</v>
      </c>
      <c r="C45" s="60">
        <f>2.8078 * CHOOSE(CONTROL!$C$22, $C$13, 100%, $E$13)</f>
        <v>2.8077999999999999</v>
      </c>
      <c r="D45" s="60">
        <f>2.8329 * CHOOSE(CONTROL!$C$22, $C$13, 100%, $E$13)</f>
        <v>2.8329</v>
      </c>
      <c r="E45" s="61">
        <f>3.2751 * CHOOSE(CONTROL!$C$22, $C$13, 100%, $E$13)</f>
        <v>3.2751000000000001</v>
      </c>
      <c r="F45" s="61">
        <f>3.2751 * CHOOSE(CONTROL!$C$22, $C$13, 100%, $E$13)</f>
        <v>3.2751000000000001</v>
      </c>
      <c r="G45" s="61">
        <f>3.2767 * CHOOSE(CONTROL!$C$22, $C$13, 100%, $E$13)</f>
        <v>3.2766999999999999</v>
      </c>
      <c r="H45" s="61">
        <f>6.0749* CHOOSE(CONTROL!$C$22, $C$13, 100%, $E$13)</f>
        <v>6.0749000000000004</v>
      </c>
      <c r="I45" s="61">
        <f>6.0765 * CHOOSE(CONTROL!$C$22, $C$13, 100%, $E$13)</f>
        <v>6.0765000000000002</v>
      </c>
      <c r="J45" s="61">
        <f>3.2751 * CHOOSE(CONTROL!$C$22, $C$13, 100%, $E$13)</f>
        <v>3.2751000000000001</v>
      </c>
      <c r="K45" s="61">
        <f>3.2767 * CHOOSE(CONTROL!$C$22, $C$13, 100%, $E$13)</f>
        <v>3.2766999999999999</v>
      </c>
      <c r="L45" s="4"/>
      <c r="M45" s="4"/>
      <c r="N45" s="4"/>
    </row>
    <row r="46" spans="1:14" ht="15">
      <c r="A46" s="13">
        <v>43252</v>
      </c>
      <c r="B46" s="60">
        <f>2.8139 * CHOOSE(CONTROL!$C$22, $C$13, 100%, $E$13)</f>
        <v>2.8138999999999998</v>
      </c>
      <c r="C46" s="60">
        <f>2.8139 * CHOOSE(CONTROL!$C$22, $C$13, 100%, $E$13)</f>
        <v>2.8138999999999998</v>
      </c>
      <c r="D46" s="60">
        <f>2.839 * CHOOSE(CONTROL!$C$22, $C$13, 100%, $E$13)</f>
        <v>2.839</v>
      </c>
      <c r="E46" s="61">
        <f>3.2718 * CHOOSE(CONTROL!$C$22, $C$13, 100%, $E$13)</f>
        <v>3.2717999999999998</v>
      </c>
      <c r="F46" s="61">
        <f>3.2718 * CHOOSE(CONTROL!$C$22, $C$13, 100%, $E$13)</f>
        <v>3.2717999999999998</v>
      </c>
      <c r="G46" s="61">
        <f>3.2734 * CHOOSE(CONTROL!$C$22, $C$13, 100%, $E$13)</f>
        <v>3.2734000000000001</v>
      </c>
      <c r="H46" s="61">
        <f>6.0876* CHOOSE(CONTROL!$C$22, $C$13, 100%, $E$13)</f>
        <v>6.0876000000000001</v>
      </c>
      <c r="I46" s="61">
        <f>6.0892 * CHOOSE(CONTROL!$C$22, $C$13, 100%, $E$13)</f>
        <v>6.0891999999999999</v>
      </c>
      <c r="J46" s="61">
        <f>3.2718 * CHOOSE(CONTROL!$C$22, $C$13, 100%, $E$13)</f>
        <v>3.2717999999999998</v>
      </c>
      <c r="K46" s="61">
        <f>3.2734 * CHOOSE(CONTROL!$C$22, $C$13, 100%, $E$13)</f>
        <v>3.2734000000000001</v>
      </c>
      <c r="L46" s="4"/>
      <c r="M46" s="4"/>
      <c r="N46" s="4"/>
    </row>
    <row r="47" spans="1:14" ht="15">
      <c r="A47" s="13">
        <v>43282</v>
      </c>
      <c r="B47" s="60">
        <f>2.8974 * CHOOSE(CONTROL!$C$22, $C$13, 100%, $E$13)</f>
        <v>2.8974000000000002</v>
      </c>
      <c r="C47" s="60">
        <f>2.8974 * CHOOSE(CONTROL!$C$22, $C$13, 100%, $E$13)</f>
        <v>2.8974000000000002</v>
      </c>
      <c r="D47" s="60">
        <f>2.9224 * CHOOSE(CONTROL!$C$22, $C$13, 100%, $E$13)</f>
        <v>2.9224000000000001</v>
      </c>
      <c r="E47" s="61">
        <f>3.459 * CHOOSE(CONTROL!$C$22, $C$13, 100%, $E$13)</f>
        <v>3.4590000000000001</v>
      </c>
      <c r="F47" s="61">
        <f>3.459 * CHOOSE(CONTROL!$C$22, $C$13, 100%, $E$13)</f>
        <v>3.4590000000000001</v>
      </c>
      <c r="G47" s="61">
        <f>3.4606 * CHOOSE(CONTROL!$C$22, $C$13, 100%, $E$13)</f>
        <v>3.4605999999999999</v>
      </c>
      <c r="H47" s="61">
        <f>6.1003* CHOOSE(CONTROL!$C$22, $C$13, 100%, $E$13)</f>
        <v>6.1002999999999998</v>
      </c>
      <c r="I47" s="61">
        <f>6.1019 * CHOOSE(CONTROL!$C$22, $C$13, 100%, $E$13)</f>
        <v>6.1018999999999997</v>
      </c>
      <c r="J47" s="61">
        <f>3.459 * CHOOSE(CONTROL!$C$22, $C$13, 100%, $E$13)</f>
        <v>3.4590000000000001</v>
      </c>
      <c r="K47" s="61">
        <f>3.4606 * CHOOSE(CONTROL!$C$22, $C$13, 100%, $E$13)</f>
        <v>3.4605999999999999</v>
      </c>
      <c r="L47" s="4"/>
      <c r="M47" s="4"/>
      <c r="N47" s="4"/>
    </row>
    <row r="48" spans="1:14" ht="15">
      <c r="A48" s="13">
        <v>43313</v>
      </c>
      <c r="B48" s="60">
        <f>2.904 * CHOOSE(CONTROL!$C$22, $C$13, 100%, $E$13)</f>
        <v>2.9039999999999999</v>
      </c>
      <c r="C48" s="60">
        <f>2.904 * CHOOSE(CONTROL!$C$22, $C$13, 100%, $E$13)</f>
        <v>2.9039999999999999</v>
      </c>
      <c r="D48" s="60">
        <f>2.9291 * CHOOSE(CONTROL!$C$22, $C$13, 100%, $E$13)</f>
        <v>2.9291</v>
      </c>
      <c r="E48" s="61">
        <f>3.4409 * CHOOSE(CONTROL!$C$22, $C$13, 100%, $E$13)</f>
        <v>3.4409000000000001</v>
      </c>
      <c r="F48" s="61">
        <f>3.4409 * CHOOSE(CONTROL!$C$22, $C$13, 100%, $E$13)</f>
        <v>3.4409000000000001</v>
      </c>
      <c r="G48" s="61">
        <f>3.4425 * CHOOSE(CONTROL!$C$22, $C$13, 100%, $E$13)</f>
        <v>3.4424999999999999</v>
      </c>
      <c r="H48" s="61">
        <f>6.113* CHOOSE(CONTROL!$C$22, $C$13, 100%, $E$13)</f>
        <v>6.1130000000000004</v>
      </c>
      <c r="I48" s="61">
        <f>6.1146 * CHOOSE(CONTROL!$C$22, $C$13, 100%, $E$13)</f>
        <v>6.1146000000000003</v>
      </c>
      <c r="J48" s="61">
        <f>3.4409 * CHOOSE(CONTROL!$C$22, $C$13, 100%, $E$13)</f>
        <v>3.4409000000000001</v>
      </c>
      <c r="K48" s="61">
        <f>3.4425 * CHOOSE(CONTROL!$C$22, $C$13, 100%, $E$13)</f>
        <v>3.4424999999999999</v>
      </c>
      <c r="L48" s="4"/>
      <c r="M48" s="4"/>
      <c r="N48" s="4"/>
    </row>
    <row r="49" spans="1:14" ht="15">
      <c r="A49" s="13">
        <v>43344</v>
      </c>
      <c r="B49" s="60">
        <f>2.901 * CHOOSE(CONTROL!$C$22, $C$13, 100%, $E$13)</f>
        <v>2.9009999999999998</v>
      </c>
      <c r="C49" s="60">
        <f>2.901 * CHOOSE(CONTROL!$C$22, $C$13, 100%, $E$13)</f>
        <v>2.9009999999999998</v>
      </c>
      <c r="D49" s="60">
        <f>2.9261 * CHOOSE(CONTROL!$C$22, $C$13, 100%, $E$13)</f>
        <v>2.9260999999999999</v>
      </c>
      <c r="E49" s="61">
        <f>3.4363 * CHOOSE(CONTROL!$C$22, $C$13, 100%, $E$13)</f>
        <v>3.4363000000000001</v>
      </c>
      <c r="F49" s="61">
        <f>3.4363 * CHOOSE(CONTROL!$C$22, $C$13, 100%, $E$13)</f>
        <v>3.4363000000000001</v>
      </c>
      <c r="G49" s="61">
        <f>3.4379 * CHOOSE(CONTROL!$C$22, $C$13, 100%, $E$13)</f>
        <v>3.4379</v>
      </c>
      <c r="H49" s="61">
        <f>6.1257* CHOOSE(CONTROL!$C$22, $C$13, 100%, $E$13)</f>
        <v>6.1257000000000001</v>
      </c>
      <c r="I49" s="61">
        <f>6.1273 * CHOOSE(CONTROL!$C$22, $C$13, 100%, $E$13)</f>
        <v>6.1273</v>
      </c>
      <c r="J49" s="61">
        <f>3.4363 * CHOOSE(CONTROL!$C$22, $C$13, 100%, $E$13)</f>
        <v>3.4363000000000001</v>
      </c>
      <c r="K49" s="61">
        <f>3.4379 * CHOOSE(CONTROL!$C$22, $C$13, 100%, $E$13)</f>
        <v>3.4379</v>
      </c>
      <c r="L49" s="4"/>
      <c r="M49" s="4"/>
      <c r="N49" s="4"/>
    </row>
    <row r="50" spans="1:14" ht="15">
      <c r="A50" s="13">
        <v>43374</v>
      </c>
      <c r="B50" s="60">
        <f>2.8921 * CHOOSE(CONTROL!$C$22, $C$13, 100%, $E$13)</f>
        <v>2.8921000000000001</v>
      </c>
      <c r="C50" s="60">
        <f>2.8921 * CHOOSE(CONTROL!$C$22, $C$13, 100%, $E$13)</f>
        <v>2.8921000000000001</v>
      </c>
      <c r="D50" s="60">
        <f>2.9046 * CHOOSE(CONTROL!$C$22, $C$13, 100%, $E$13)</f>
        <v>2.9045999999999998</v>
      </c>
      <c r="E50" s="61">
        <f>3.433 * CHOOSE(CONTROL!$C$22, $C$13, 100%, $E$13)</f>
        <v>3.4329999999999998</v>
      </c>
      <c r="F50" s="61">
        <f>3.433 * CHOOSE(CONTROL!$C$22, $C$13, 100%, $E$13)</f>
        <v>3.4329999999999998</v>
      </c>
      <c r="G50" s="61">
        <f>3.4331 * CHOOSE(CONTROL!$C$22, $C$13, 100%, $E$13)</f>
        <v>3.4331</v>
      </c>
      <c r="H50" s="61">
        <f>6.1385* CHOOSE(CONTROL!$C$22, $C$13, 100%, $E$13)</f>
        <v>6.1384999999999996</v>
      </c>
      <c r="I50" s="61">
        <f>6.1386 * CHOOSE(CONTROL!$C$22, $C$13, 100%, $E$13)</f>
        <v>6.1386000000000003</v>
      </c>
      <c r="J50" s="61">
        <f>3.433 * CHOOSE(CONTROL!$C$22, $C$13, 100%, $E$13)</f>
        <v>3.4329999999999998</v>
      </c>
      <c r="K50" s="61">
        <f>3.4331 * CHOOSE(CONTROL!$C$22, $C$13, 100%, $E$13)</f>
        <v>3.4331</v>
      </c>
      <c r="L50" s="4"/>
      <c r="M50" s="4"/>
      <c r="N50" s="4"/>
    </row>
    <row r="51" spans="1:14" ht="15">
      <c r="A51" s="13">
        <v>43405</v>
      </c>
      <c r="B51" s="60">
        <f>2.8951 * CHOOSE(CONTROL!$C$22, $C$13, 100%, $E$13)</f>
        <v>2.8950999999999998</v>
      </c>
      <c r="C51" s="60">
        <f>2.8951 * CHOOSE(CONTROL!$C$22, $C$13, 100%, $E$13)</f>
        <v>2.8950999999999998</v>
      </c>
      <c r="D51" s="60">
        <f>2.9077 * CHOOSE(CONTROL!$C$22, $C$13, 100%, $E$13)</f>
        <v>2.9077000000000002</v>
      </c>
      <c r="E51" s="61">
        <f>3.4401 * CHOOSE(CONTROL!$C$22, $C$13, 100%, $E$13)</f>
        <v>3.4401000000000002</v>
      </c>
      <c r="F51" s="61">
        <f>3.4401 * CHOOSE(CONTROL!$C$22, $C$13, 100%, $E$13)</f>
        <v>3.4401000000000002</v>
      </c>
      <c r="G51" s="61">
        <f>3.4403 * CHOOSE(CONTROL!$C$22, $C$13, 100%, $E$13)</f>
        <v>3.4403000000000001</v>
      </c>
      <c r="H51" s="61">
        <f>6.1513* CHOOSE(CONTROL!$C$22, $C$13, 100%, $E$13)</f>
        <v>6.1513</v>
      </c>
      <c r="I51" s="61">
        <f>6.1514 * CHOOSE(CONTROL!$C$22, $C$13, 100%, $E$13)</f>
        <v>6.1513999999999998</v>
      </c>
      <c r="J51" s="61">
        <f>3.4401 * CHOOSE(CONTROL!$C$22, $C$13, 100%, $E$13)</f>
        <v>3.4401000000000002</v>
      </c>
      <c r="K51" s="61">
        <f>3.4403 * CHOOSE(CONTROL!$C$22, $C$13, 100%, $E$13)</f>
        <v>3.4403000000000001</v>
      </c>
      <c r="L51" s="4"/>
      <c r="M51" s="4"/>
      <c r="N51" s="4"/>
    </row>
    <row r="52" spans="1:14" ht="15">
      <c r="A52" s="13">
        <v>43435</v>
      </c>
      <c r="B52" s="60">
        <f>2.8951 * CHOOSE(CONTROL!$C$22, $C$13, 100%, $E$13)</f>
        <v>2.8950999999999998</v>
      </c>
      <c r="C52" s="60">
        <f>2.8951 * CHOOSE(CONTROL!$C$22, $C$13, 100%, $E$13)</f>
        <v>2.8950999999999998</v>
      </c>
      <c r="D52" s="60">
        <f>2.9077 * CHOOSE(CONTROL!$C$22, $C$13, 100%, $E$13)</f>
        <v>2.9077000000000002</v>
      </c>
      <c r="E52" s="61">
        <f>3.4275 * CHOOSE(CONTROL!$C$22, $C$13, 100%, $E$13)</f>
        <v>3.4275000000000002</v>
      </c>
      <c r="F52" s="61">
        <f>3.4275 * CHOOSE(CONTROL!$C$22, $C$13, 100%, $E$13)</f>
        <v>3.4275000000000002</v>
      </c>
      <c r="G52" s="61">
        <f>3.4277 * CHOOSE(CONTROL!$C$22, $C$13, 100%, $E$13)</f>
        <v>3.4277000000000002</v>
      </c>
      <c r="H52" s="61">
        <f>6.1641* CHOOSE(CONTROL!$C$22, $C$13, 100%, $E$13)</f>
        <v>6.1641000000000004</v>
      </c>
      <c r="I52" s="61">
        <f>6.1643 * CHOOSE(CONTROL!$C$22, $C$13, 100%, $E$13)</f>
        <v>6.1642999999999999</v>
      </c>
      <c r="J52" s="61">
        <f>3.4275 * CHOOSE(CONTROL!$C$22, $C$13, 100%, $E$13)</f>
        <v>3.4275000000000002</v>
      </c>
      <c r="K52" s="61">
        <f>3.4277 * CHOOSE(CONTROL!$C$22, $C$13, 100%, $E$13)</f>
        <v>3.4277000000000002</v>
      </c>
      <c r="L52" s="4"/>
      <c r="M52" s="4"/>
      <c r="N52" s="4"/>
    </row>
    <row r="53" spans="1:14" ht="15">
      <c r="A53" s="13">
        <v>43466</v>
      </c>
      <c r="B53" s="60">
        <f>2.9246 * CHOOSE(CONTROL!$C$22, $C$13, 100%, $E$13)</f>
        <v>2.9245999999999999</v>
      </c>
      <c r="C53" s="60">
        <f>2.9246 * CHOOSE(CONTROL!$C$22, $C$13, 100%, $E$13)</f>
        <v>2.9245999999999999</v>
      </c>
      <c r="D53" s="60">
        <f>2.9372 * CHOOSE(CONTROL!$C$22, $C$13, 100%, $E$13)</f>
        <v>2.9371999999999998</v>
      </c>
      <c r="E53" s="61">
        <f>3.4699 * CHOOSE(CONTROL!$C$22, $C$13, 100%, $E$13)</f>
        <v>3.4699</v>
      </c>
      <c r="F53" s="61">
        <f>3.4699 * CHOOSE(CONTROL!$C$22, $C$13, 100%, $E$13)</f>
        <v>3.4699</v>
      </c>
      <c r="G53" s="61">
        <f>3.4701 * CHOOSE(CONTROL!$C$22, $C$13, 100%, $E$13)</f>
        <v>3.4701</v>
      </c>
      <c r="H53" s="61">
        <f>6.1769* CHOOSE(CONTROL!$C$22, $C$13, 100%, $E$13)</f>
        <v>6.1768999999999998</v>
      </c>
      <c r="I53" s="61">
        <f>6.1771 * CHOOSE(CONTROL!$C$22, $C$13, 100%, $E$13)</f>
        <v>6.1771000000000003</v>
      </c>
      <c r="J53" s="61">
        <f>3.4699 * CHOOSE(CONTROL!$C$22, $C$13, 100%, $E$13)</f>
        <v>3.4699</v>
      </c>
      <c r="K53" s="61">
        <f>3.4701 * CHOOSE(CONTROL!$C$22, $C$13, 100%, $E$13)</f>
        <v>3.4701</v>
      </c>
      <c r="L53" s="4"/>
      <c r="M53" s="4"/>
      <c r="N53" s="4"/>
    </row>
    <row r="54" spans="1:14" ht="15">
      <c r="A54" s="13">
        <v>43497</v>
      </c>
      <c r="B54" s="60">
        <f>2.9216 * CHOOSE(CONTROL!$C$22, $C$13, 100%, $E$13)</f>
        <v>2.9216000000000002</v>
      </c>
      <c r="C54" s="60">
        <f>2.9216 * CHOOSE(CONTROL!$C$22, $C$13, 100%, $E$13)</f>
        <v>2.9216000000000002</v>
      </c>
      <c r="D54" s="60">
        <f>2.9341 * CHOOSE(CONTROL!$C$22, $C$13, 100%, $E$13)</f>
        <v>2.9340999999999999</v>
      </c>
      <c r="E54" s="61">
        <f>3.4392 * CHOOSE(CONTROL!$C$22, $C$13, 100%, $E$13)</f>
        <v>3.4392</v>
      </c>
      <c r="F54" s="61">
        <f>3.4392 * CHOOSE(CONTROL!$C$22, $C$13, 100%, $E$13)</f>
        <v>3.4392</v>
      </c>
      <c r="G54" s="61">
        <f>3.4394 * CHOOSE(CONTROL!$C$22, $C$13, 100%, $E$13)</f>
        <v>3.4394</v>
      </c>
      <c r="H54" s="61">
        <f>6.1898* CHOOSE(CONTROL!$C$22, $C$13, 100%, $E$13)</f>
        <v>6.1898</v>
      </c>
      <c r="I54" s="61">
        <f>6.19 * CHOOSE(CONTROL!$C$22, $C$13, 100%, $E$13)</f>
        <v>6.19</v>
      </c>
      <c r="J54" s="61">
        <f>3.4392 * CHOOSE(CONTROL!$C$22, $C$13, 100%, $E$13)</f>
        <v>3.4392</v>
      </c>
      <c r="K54" s="61">
        <f>3.4394 * CHOOSE(CONTROL!$C$22, $C$13, 100%, $E$13)</f>
        <v>3.4394</v>
      </c>
      <c r="L54" s="4"/>
      <c r="M54" s="4"/>
      <c r="N54" s="4"/>
    </row>
    <row r="55" spans="1:14" ht="15">
      <c r="A55" s="13">
        <v>43525</v>
      </c>
      <c r="B55" s="60">
        <f>2.9185 * CHOOSE(CONTROL!$C$22, $C$13, 100%, $E$13)</f>
        <v>2.9184999999999999</v>
      </c>
      <c r="C55" s="60">
        <f>2.9185 * CHOOSE(CONTROL!$C$22, $C$13, 100%, $E$13)</f>
        <v>2.9184999999999999</v>
      </c>
      <c r="D55" s="60">
        <f>2.9311 * CHOOSE(CONTROL!$C$22, $C$13, 100%, $E$13)</f>
        <v>2.9310999999999998</v>
      </c>
      <c r="E55" s="61">
        <f>3.4596 * CHOOSE(CONTROL!$C$22, $C$13, 100%, $E$13)</f>
        <v>3.4596</v>
      </c>
      <c r="F55" s="61">
        <f>3.4596 * CHOOSE(CONTROL!$C$22, $C$13, 100%, $E$13)</f>
        <v>3.4596</v>
      </c>
      <c r="G55" s="61">
        <f>3.4598 * CHOOSE(CONTROL!$C$22, $C$13, 100%, $E$13)</f>
        <v>3.4598</v>
      </c>
      <c r="H55" s="61">
        <f>6.2027* CHOOSE(CONTROL!$C$22, $C$13, 100%, $E$13)</f>
        <v>6.2027000000000001</v>
      </c>
      <c r="I55" s="61">
        <f>6.2029 * CHOOSE(CONTROL!$C$22, $C$13, 100%, $E$13)</f>
        <v>6.2028999999999996</v>
      </c>
      <c r="J55" s="61">
        <f>3.4596 * CHOOSE(CONTROL!$C$22, $C$13, 100%, $E$13)</f>
        <v>3.4596</v>
      </c>
      <c r="K55" s="61">
        <f>3.4598 * CHOOSE(CONTROL!$C$22, $C$13, 100%, $E$13)</f>
        <v>3.4598</v>
      </c>
      <c r="L55" s="4"/>
      <c r="M55" s="4"/>
      <c r="N55" s="4"/>
    </row>
    <row r="56" spans="1:14" ht="15">
      <c r="A56" s="13">
        <v>43556</v>
      </c>
      <c r="B56" s="60">
        <f>2.9152 * CHOOSE(CONTROL!$C$22, $C$13, 100%, $E$13)</f>
        <v>2.9152</v>
      </c>
      <c r="C56" s="60">
        <f>2.9152 * CHOOSE(CONTROL!$C$22, $C$13, 100%, $E$13)</f>
        <v>2.9152</v>
      </c>
      <c r="D56" s="60">
        <f>2.9277 * CHOOSE(CONTROL!$C$22, $C$13, 100%, $E$13)</f>
        <v>2.9277000000000002</v>
      </c>
      <c r="E56" s="61">
        <f>3.4796 * CHOOSE(CONTROL!$C$22, $C$13, 100%, $E$13)</f>
        <v>3.4796</v>
      </c>
      <c r="F56" s="61">
        <f>3.4796 * CHOOSE(CONTROL!$C$22, $C$13, 100%, $E$13)</f>
        <v>3.4796</v>
      </c>
      <c r="G56" s="61">
        <f>3.4798 * CHOOSE(CONTROL!$C$22, $C$13, 100%, $E$13)</f>
        <v>3.4798</v>
      </c>
      <c r="H56" s="61">
        <f>6.2156* CHOOSE(CONTROL!$C$22, $C$13, 100%, $E$13)</f>
        <v>6.2156000000000002</v>
      </c>
      <c r="I56" s="61">
        <f>6.2158 * CHOOSE(CONTROL!$C$22, $C$13, 100%, $E$13)</f>
        <v>6.2157999999999998</v>
      </c>
      <c r="J56" s="61">
        <f>3.4796 * CHOOSE(CONTROL!$C$22, $C$13, 100%, $E$13)</f>
        <v>3.4796</v>
      </c>
      <c r="K56" s="61">
        <f>3.4798 * CHOOSE(CONTROL!$C$22, $C$13, 100%, $E$13)</f>
        <v>3.4798</v>
      </c>
      <c r="L56" s="4"/>
      <c r="M56" s="4"/>
      <c r="N56" s="4"/>
    </row>
    <row r="57" spans="1:14" ht="15">
      <c r="A57" s="13">
        <v>43586</v>
      </c>
      <c r="B57" s="60">
        <f>2.9152 * CHOOSE(CONTROL!$C$22, $C$13, 100%, $E$13)</f>
        <v>2.9152</v>
      </c>
      <c r="C57" s="60">
        <f>2.9152 * CHOOSE(CONTROL!$C$22, $C$13, 100%, $E$13)</f>
        <v>2.9152</v>
      </c>
      <c r="D57" s="60">
        <f>2.9403 * CHOOSE(CONTROL!$C$22, $C$13, 100%, $E$13)</f>
        <v>2.9403000000000001</v>
      </c>
      <c r="E57" s="61">
        <f>3.4887 * CHOOSE(CONTROL!$C$22, $C$13, 100%, $E$13)</f>
        <v>3.4887000000000001</v>
      </c>
      <c r="F57" s="61">
        <f>3.4887 * CHOOSE(CONTROL!$C$22, $C$13, 100%, $E$13)</f>
        <v>3.4887000000000001</v>
      </c>
      <c r="G57" s="61">
        <f>3.4903 * CHOOSE(CONTROL!$C$22, $C$13, 100%, $E$13)</f>
        <v>3.4903</v>
      </c>
      <c r="H57" s="61">
        <f>6.2286* CHOOSE(CONTROL!$C$22, $C$13, 100%, $E$13)</f>
        <v>6.2286000000000001</v>
      </c>
      <c r="I57" s="61">
        <f>6.2302 * CHOOSE(CONTROL!$C$22, $C$13, 100%, $E$13)</f>
        <v>6.2302</v>
      </c>
      <c r="J57" s="61">
        <f>3.4887 * CHOOSE(CONTROL!$C$22, $C$13, 100%, $E$13)</f>
        <v>3.4887000000000001</v>
      </c>
      <c r="K57" s="61">
        <f>3.4903 * CHOOSE(CONTROL!$C$22, $C$13, 100%, $E$13)</f>
        <v>3.4903</v>
      </c>
      <c r="L57" s="4"/>
      <c r="M57" s="4"/>
      <c r="N57" s="4"/>
    </row>
    <row r="58" spans="1:14" ht="15">
      <c r="A58" s="13">
        <v>43617</v>
      </c>
      <c r="B58" s="60">
        <f>2.9213 * CHOOSE(CONTROL!$C$22, $C$13, 100%, $E$13)</f>
        <v>2.9213</v>
      </c>
      <c r="C58" s="60">
        <f>2.9213 * CHOOSE(CONTROL!$C$22, $C$13, 100%, $E$13)</f>
        <v>2.9213</v>
      </c>
      <c r="D58" s="60">
        <f>2.9463 * CHOOSE(CONTROL!$C$22, $C$13, 100%, $E$13)</f>
        <v>2.9462999999999999</v>
      </c>
      <c r="E58" s="61">
        <f>3.4839 * CHOOSE(CONTROL!$C$22, $C$13, 100%, $E$13)</f>
        <v>3.4839000000000002</v>
      </c>
      <c r="F58" s="61">
        <f>3.4839 * CHOOSE(CONTROL!$C$22, $C$13, 100%, $E$13)</f>
        <v>3.4839000000000002</v>
      </c>
      <c r="G58" s="61">
        <f>3.4855 * CHOOSE(CONTROL!$C$22, $C$13, 100%, $E$13)</f>
        <v>3.4855</v>
      </c>
      <c r="H58" s="61">
        <f>6.2415* CHOOSE(CONTROL!$C$22, $C$13, 100%, $E$13)</f>
        <v>6.2415000000000003</v>
      </c>
      <c r="I58" s="61">
        <f>6.2431 * CHOOSE(CONTROL!$C$22, $C$13, 100%, $E$13)</f>
        <v>6.2431000000000001</v>
      </c>
      <c r="J58" s="61">
        <f>3.4839 * CHOOSE(CONTROL!$C$22, $C$13, 100%, $E$13)</f>
        <v>3.4839000000000002</v>
      </c>
      <c r="K58" s="61">
        <f>3.4855 * CHOOSE(CONTROL!$C$22, $C$13, 100%, $E$13)</f>
        <v>3.4855</v>
      </c>
      <c r="L58" s="4"/>
      <c r="M58" s="4"/>
      <c r="N58" s="4"/>
    </row>
    <row r="59" spans="1:14" ht="15">
      <c r="A59" s="13">
        <v>43647</v>
      </c>
      <c r="B59" s="60">
        <f>2.9781 * CHOOSE(CONTROL!$C$22, $C$13, 100%, $E$13)</f>
        <v>2.9781</v>
      </c>
      <c r="C59" s="60">
        <f>2.9781 * CHOOSE(CONTROL!$C$22, $C$13, 100%, $E$13)</f>
        <v>2.9781</v>
      </c>
      <c r="D59" s="60">
        <f>3.0032 * CHOOSE(CONTROL!$C$22, $C$13, 100%, $E$13)</f>
        <v>3.0032000000000001</v>
      </c>
      <c r="E59" s="61">
        <f>3.4566 * CHOOSE(CONTROL!$C$22, $C$13, 100%, $E$13)</f>
        <v>3.4565999999999999</v>
      </c>
      <c r="F59" s="61">
        <f>3.4566 * CHOOSE(CONTROL!$C$22, $C$13, 100%, $E$13)</f>
        <v>3.4565999999999999</v>
      </c>
      <c r="G59" s="61">
        <f>3.4582 * CHOOSE(CONTROL!$C$22, $C$13, 100%, $E$13)</f>
        <v>3.4582000000000002</v>
      </c>
      <c r="H59" s="61">
        <f>6.2545* CHOOSE(CONTROL!$C$22, $C$13, 100%, $E$13)</f>
        <v>6.2545000000000002</v>
      </c>
      <c r="I59" s="61">
        <f>6.2561 * CHOOSE(CONTROL!$C$22, $C$13, 100%, $E$13)</f>
        <v>6.2561</v>
      </c>
      <c r="J59" s="61">
        <f>3.4566 * CHOOSE(CONTROL!$C$22, $C$13, 100%, $E$13)</f>
        <v>3.4565999999999999</v>
      </c>
      <c r="K59" s="61">
        <f>3.4582 * CHOOSE(CONTROL!$C$22, $C$13, 100%, $E$13)</f>
        <v>3.4582000000000002</v>
      </c>
      <c r="L59" s="4"/>
      <c r="M59" s="4"/>
      <c r="N59" s="4"/>
    </row>
    <row r="60" spans="1:14" ht="15">
      <c r="A60" s="13">
        <v>43678</v>
      </c>
      <c r="B60" s="60">
        <f>2.9848 * CHOOSE(CONTROL!$C$22, $C$13, 100%, $E$13)</f>
        <v>2.9847999999999999</v>
      </c>
      <c r="C60" s="60">
        <f>2.9848 * CHOOSE(CONTROL!$C$22, $C$13, 100%, $E$13)</f>
        <v>2.9847999999999999</v>
      </c>
      <c r="D60" s="60">
        <f>3.0099 * CHOOSE(CONTROL!$C$22, $C$13, 100%, $E$13)</f>
        <v>3.0099</v>
      </c>
      <c r="E60" s="61">
        <f>3.434 * CHOOSE(CONTROL!$C$22, $C$13, 100%, $E$13)</f>
        <v>3.4340000000000002</v>
      </c>
      <c r="F60" s="61">
        <f>3.434 * CHOOSE(CONTROL!$C$22, $C$13, 100%, $E$13)</f>
        <v>3.4340000000000002</v>
      </c>
      <c r="G60" s="61">
        <f>3.4356 * CHOOSE(CONTROL!$C$22, $C$13, 100%, $E$13)</f>
        <v>3.4356</v>
      </c>
      <c r="H60" s="61">
        <f>6.2676* CHOOSE(CONTROL!$C$22, $C$13, 100%, $E$13)</f>
        <v>6.2675999999999998</v>
      </c>
      <c r="I60" s="61">
        <f>6.2692 * CHOOSE(CONTROL!$C$22, $C$13, 100%, $E$13)</f>
        <v>6.2691999999999997</v>
      </c>
      <c r="J60" s="61">
        <f>3.434 * CHOOSE(CONTROL!$C$22, $C$13, 100%, $E$13)</f>
        <v>3.4340000000000002</v>
      </c>
      <c r="K60" s="61">
        <f>3.4356 * CHOOSE(CONTROL!$C$22, $C$13, 100%, $E$13)</f>
        <v>3.4356</v>
      </c>
      <c r="L60" s="4"/>
      <c r="M60" s="4"/>
      <c r="N60" s="4"/>
    </row>
    <row r="61" spans="1:14" ht="15">
      <c r="A61" s="13">
        <v>43709</v>
      </c>
      <c r="B61" s="60">
        <f>2.9818 * CHOOSE(CONTROL!$C$22, $C$13, 100%, $E$13)</f>
        <v>2.9817999999999998</v>
      </c>
      <c r="C61" s="60">
        <f>2.9818 * CHOOSE(CONTROL!$C$22, $C$13, 100%, $E$13)</f>
        <v>2.9817999999999998</v>
      </c>
      <c r="D61" s="60">
        <f>3.0069 * CHOOSE(CONTROL!$C$22, $C$13, 100%, $E$13)</f>
        <v>3.0068999999999999</v>
      </c>
      <c r="E61" s="61">
        <f>3.4288 * CHOOSE(CONTROL!$C$22, $C$13, 100%, $E$13)</f>
        <v>3.4287999999999998</v>
      </c>
      <c r="F61" s="61">
        <f>3.4288 * CHOOSE(CONTROL!$C$22, $C$13, 100%, $E$13)</f>
        <v>3.4287999999999998</v>
      </c>
      <c r="G61" s="61">
        <f>3.4304 * CHOOSE(CONTROL!$C$22, $C$13, 100%, $E$13)</f>
        <v>3.4304000000000001</v>
      </c>
      <c r="H61" s="61">
        <f>6.2806* CHOOSE(CONTROL!$C$22, $C$13, 100%, $E$13)</f>
        <v>6.2805999999999997</v>
      </c>
      <c r="I61" s="61">
        <f>6.2822 * CHOOSE(CONTROL!$C$22, $C$13, 100%, $E$13)</f>
        <v>6.2821999999999996</v>
      </c>
      <c r="J61" s="61">
        <f>3.4288 * CHOOSE(CONTROL!$C$22, $C$13, 100%, $E$13)</f>
        <v>3.4287999999999998</v>
      </c>
      <c r="K61" s="61">
        <f>3.4304 * CHOOSE(CONTROL!$C$22, $C$13, 100%, $E$13)</f>
        <v>3.4304000000000001</v>
      </c>
      <c r="L61" s="4"/>
      <c r="M61" s="4"/>
      <c r="N61" s="4"/>
    </row>
    <row r="62" spans="1:14" ht="15">
      <c r="A62" s="13">
        <v>43739</v>
      </c>
      <c r="B62" s="60">
        <f>2.9731 * CHOOSE(CONTROL!$C$22, $C$13, 100%, $E$13)</f>
        <v>2.9731000000000001</v>
      </c>
      <c r="C62" s="60">
        <f>2.9731 * CHOOSE(CONTROL!$C$22, $C$13, 100%, $E$13)</f>
        <v>2.9731000000000001</v>
      </c>
      <c r="D62" s="60">
        <f>2.9857 * CHOOSE(CONTROL!$C$22, $C$13, 100%, $E$13)</f>
        <v>2.9857</v>
      </c>
      <c r="E62" s="61">
        <f>3.4275 * CHOOSE(CONTROL!$C$22, $C$13, 100%, $E$13)</f>
        <v>3.4275000000000002</v>
      </c>
      <c r="F62" s="61">
        <f>3.4275 * CHOOSE(CONTROL!$C$22, $C$13, 100%, $E$13)</f>
        <v>3.4275000000000002</v>
      </c>
      <c r="G62" s="61">
        <f>3.4277 * CHOOSE(CONTROL!$C$22, $C$13, 100%, $E$13)</f>
        <v>3.4277000000000002</v>
      </c>
      <c r="H62" s="61">
        <f>6.2937* CHOOSE(CONTROL!$C$22, $C$13, 100%, $E$13)</f>
        <v>6.2937000000000003</v>
      </c>
      <c r="I62" s="61">
        <f>6.2939 * CHOOSE(CONTROL!$C$22, $C$13, 100%, $E$13)</f>
        <v>6.2938999999999998</v>
      </c>
      <c r="J62" s="61">
        <f>3.4275 * CHOOSE(CONTROL!$C$22, $C$13, 100%, $E$13)</f>
        <v>3.4275000000000002</v>
      </c>
      <c r="K62" s="61">
        <f>3.4277 * CHOOSE(CONTROL!$C$22, $C$13, 100%, $E$13)</f>
        <v>3.4277000000000002</v>
      </c>
      <c r="L62" s="4"/>
      <c r="M62" s="4"/>
      <c r="N62" s="4"/>
    </row>
    <row r="63" spans="1:14" ht="15">
      <c r="A63" s="13">
        <v>43770</v>
      </c>
      <c r="B63" s="60">
        <f>2.9762 * CHOOSE(CONTROL!$C$22, $C$13, 100%, $E$13)</f>
        <v>2.9762</v>
      </c>
      <c r="C63" s="60">
        <f>2.9762 * CHOOSE(CONTROL!$C$22, $C$13, 100%, $E$13)</f>
        <v>2.9762</v>
      </c>
      <c r="D63" s="60">
        <f>2.9887 * CHOOSE(CONTROL!$C$22, $C$13, 100%, $E$13)</f>
        <v>2.9887000000000001</v>
      </c>
      <c r="E63" s="61">
        <f>3.4357 * CHOOSE(CONTROL!$C$22, $C$13, 100%, $E$13)</f>
        <v>3.4357000000000002</v>
      </c>
      <c r="F63" s="61">
        <f>3.4357 * CHOOSE(CONTROL!$C$22, $C$13, 100%, $E$13)</f>
        <v>3.4357000000000002</v>
      </c>
      <c r="G63" s="61">
        <f>3.4359 * CHOOSE(CONTROL!$C$22, $C$13, 100%, $E$13)</f>
        <v>3.4359000000000002</v>
      </c>
      <c r="H63" s="61">
        <f>6.3068* CHOOSE(CONTROL!$C$22, $C$13, 100%, $E$13)</f>
        <v>6.3068</v>
      </c>
      <c r="I63" s="61">
        <f>6.307 * CHOOSE(CONTROL!$C$22, $C$13, 100%, $E$13)</f>
        <v>6.3070000000000004</v>
      </c>
      <c r="J63" s="61">
        <f>3.4357 * CHOOSE(CONTROL!$C$22, $C$13, 100%, $E$13)</f>
        <v>3.4357000000000002</v>
      </c>
      <c r="K63" s="61">
        <f>3.4359 * CHOOSE(CONTROL!$C$22, $C$13, 100%, $E$13)</f>
        <v>3.4359000000000002</v>
      </c>
      <c r="L63" s="4"/>
      <c r="M63" s="4"/>
      <c r="N63" s="4"/>
    </row>
    <row r="64" spans="1:14" ht="15">
      <c r="A64" s="13">
        <v>43800</v>
      </c>
      <c r="B64" s="60">
        <f>2.9762 * CHOOSE(CONTROL!$C$22, $C$13, 100%, $E$13)</f>
        <v>2.9762</v>
      </c>
      <c r="C64" s="60">
        <f>2.9762 * CHOOSE(CONTROL!$C$22, $C$13, 100%, $E$13)</f>
        <v>2.9762</v>
      </c>
      <c r="D64" s="60">
        <f>2.9887 * CHOOSE(CONTROL!$C$22, $C$13, 100%, $E$13)</f>
        <v>2.9887000000000001</v>
      </c>
      <c r="E64" s="61">
        <f>3.4206 * CHOOSE(CONTROL!$C$22, $C$13, 100%, $E$13)</f>
        <v>3.4205999999999999</v>
      </c>
      <c r="F64" s="61">
        <f>3.4206 * CHOOSE(CONTROL!$C$22, $C$13, 100%, $E$13)</f>
        <v>3.4205999999999999</v>
      </c>
      <c r="G64" s="61">
        <f>3.4207 * CHOOSE(CONTROL!$C$22, $C$13, 100%, $E$13)</f>
        <v>3.4207000000000001</v>
      </c>
      <c r="H64" s="61">
        <f>6.32* CHOOSE(CONTROL!$C$22, $C$13, 100%, $E$13)</f>
        <v>6.32</v>
      </c>
      <c r="I64" s="61">
        <f>6.3201 * CHOOSE(CONTROL!$C$22, $C$13, 100%, $E$13)</f>
        <v>6.3201000000000001</v>
      </c>
      <c r="J64" s="61">
        <f>3.4206 * CHOOSE(CONTROL!$C$22, $C$13, 100%, $E$13)</f>
        <v>3.4205999999999999</v>
      </c>
      <c r="K64" s="61">
        <f>3.4207 * CHOOSE(CONTROL!$C$22, $C$13, 100%, $E$13)</f>
        <v>3.4207000000000001</v>
      </c>
      <c r="L64" s="4"/>
      <c r="M64" s="4"/>
      <c r="N64" s="4"/>
    </row>
    <row r="65" spans="1:14" ht="15">
      <c r="A65" s="13">
        <v>43831</v>
      </c>
      <c r="B65" s="60">
        <f>3.0034 * CHOOSE(CONTROL!$C$22, $C$13, 100%, $E$13)</f>
        <v>3.0034000000000001</v>
      </c>
      <c r="C65" s="60">
        <f>3.0034 * CHOOSE(CONTROL!$C$22, $C$13, 100%, $E$13)</f>
        <v>3.0034000000000001</v>
      </c>
      <c r="D65" s="60">
        <f>3.0159 * CHOOSE(CONTROL!$C$22, $C$13, 100%, $E$13)</f>
        <v>3.0158999999999998</v>
      </c>
      <c r="E65" s="61">
        <f>3.5343 * CHOOSE(CONTROL!$C$22, $C$13, 100%, $E$13)</f>
        <v>3.5343</v>
      </c>
      <c r="F65" s="61">
        <f>3.5343 * CHOOSE(CONTROL!$C$22, $C$13, 100%, $E$13)</f>
        <v>3.5343</v>
      </c>
      <c r="G65" s="61">
        <f>3.5345 * CHOOSE(CONTROL!$C$22, $C$13, 100%, $E$13)</f>
        <v>3.5345</v>
      </c>
      <c r="H65" s="61">
        <f>6.3331* CHOOSE(CONTROL!$C$22, $C$13, 100%, $E$13)</f>
        <v>6.3331</v>
      </c>
      <c r="I65" s="61">
        <f>6.3333 * CHOOSE(CONTROL!$C$22, $C$13, 100%, $E$13)</f>
        <v>6.3333000000000004</v>
      </c>
      <c r="J65" s="61">
        <f>3.5343 * CHOOSE(CONTROL!$C$22, $C$13, 100%, $E$13)</f>
        <v>3.5343</v>
      </c>
      <c r="K65" s="61">
        <f>3.5345 * CHOOSE(CONTROL!$C$22, $C$13, 100%, $E$13)</f>
        <v>3.5345</v>
      </c>
      <c r="L65" s="4"/>
      <c r="M65" s="4"/>
      <c r="N65" s="4"/>
    </row>
    <row r="66" spans="1:14" ht="15">
      <c r="A66" s="13">
        <v>43862</v>
      </c>
      <c r="B66" s="60">
        <f>3.0003 * CHOOSE(CONTROL!$C$22, $C$13, 100%, $E$13)</f>
        <v>3.0003000000000002</v>
      </c>
      <c r="C66" s="60">
        <f>3.0003 * CHOOSE(CONTROL!$C$22, $C$13, 100%, $E$13)</f>
        <v>3.0003000000000002</v>
      </c>
      <c r="D66" s="60">
        <f>3.0129 * CHOOSE(CONTROL!$C$22, $C$13, 100%, $E$13)</f>
        <v>3.0129000000000001</v>
      </c>
      <c r="E66" s="61">
        <f>3.4967 * CHOOSE(CONTROL!$C$22, $C$13, 100%, $E$13)</f>
        <v>3.4967000000000001</v>
      </c>
      <c r="F66" s="61">
        <f>3.4967 * CHOOSE(CONTROL!$C$22, $C$13, 100%, $E$13)</f>
        <v>3.4967000000000001</v>
      </c>
      <c r="G66" s="61">
        <f>3.4969 * CHOOSE(CONTROL!$C$22, $C$13, 100%, $E$13)</f>
        <v>3.4969000000000001</v>
      </c>
      <c r="H66" s="61">
        <f>6.3463* CHOOSE(CONTROL!$C$22, $C$13, 100%, $E$13)</f>
        <v>6.3463000000000003</v>
      </c>
      <c r="I66" s="61">
        <f>6.3465 * CHOOSE(CONTROL!$C$22, $C$13, 100%, $E$13)</f>
        <v>6.3464999999999998</v>
      </c>
      <c r="J66" s="61">
        <f>3.4967 * CHOOSE(CONTROL!$C$22, $C$13, 100%, $E$13)</f>
        <v>3.4967000000000001</v>
      </c>
      <c r="K66" s="61">
        <f>3.4969 * CHOOSE(CONTROL!$C$22, $C$13, 100%, $E$13)</f>
        <v>3.4969000000000001</v>
      </c>
      <c r="L66" s="4"/>
      <c r="M66" s="4"/>
      <c r="N66" s="4"/>
    </row>
    <row r="67" spans="1:14" ht="15">
      <c r="A67" s="13">
        <v>43891</v>
      </c>
      <c r="B67" s="60">
        <f>2.9973 * CHOOSE(CONTROL!$C$22, $C$13, 100%, $E$13)</f>
        <v>2.9973000000000001</v>
      </c>
      <c r="C67" s="60">
        <f>2.9973 * CHOOSE(CONTROL!$C$22, $C$13, 100%, $E$13)</f>
        <v>2.9973000000000001</v>
      </c>
      <c r="D67" s="60">
        <f>3.0098 * CHOOSE(CONTROL!$C$22, $C$13, 100%, $E$13)</f>
        <v>3.0097999999999998</v>
      </c>
      <c r="E67" s="61">
        <f>3.5226 * CHOOSE(CONTROL!$C$22, $C$13, 100%, $E$13)</f>
        <v>3.5226000000000002</v>
      </c>
      <c r="F67" s="61">
        <f>3.5226 * CHOOSE(CONTROL!$C$22, $C$13, 100%, $E$13)</f>
        <v>3.5226000000000002</v>
      </c>
      <c r="G67" s="61">
        <f>3.5228 * CHOOSE(CONTROL!$C$22, $C$13, 100%, $E$13)</f>
        <v>3.5228000000000002</v>
      </c>
      <c r="H67" s="61">
        <f>6.3595* CHOOSE(CONTROL!$C$22, $C$13, 100%, $E$13)</f>
        <v>6.3594999999999997</v>
      </c>
      <c r="I67" s="61">
        <f>6.3597 * CHOOSE(CONTROL!$C$22, $C$13, 100%, $E$13)</f>
        <v>6.3597000000000001</v>
      </c>
      <c r="J67" s="61">
        <f>3.5226 * CHOOSE(CONTROL!$C$22, $C$13, 100%, $E$13)</f>
        <v>3.5226000000000002</v>
      </c>
      <c r="K67" s="61">
        <f>3.5228 * CHOOSE(CONTROL!$C$22, $C$13, 100%, $E$13)</f>
        <v>3.5228000000000002</v>
      </c>
      <c r="L67" s="4"/>
      <c r="M67" s="4"/>
      <c r="N67" s="4"/>
    </row>
    <row r="68" spans="1:14" ht="15">
      <c r="A68" s="13">
        <v>43922</v>
      </c>
      <c r="B68" s="60">
        <f>2.994 * CHOOSE(CONTROL!$C$22, $C$13, 100%, $E$13)</f>
        <v>2.9940000000000002</v>
      </c>
      <c r="C68" s="60">
        <f>2.994 * CHOOSE(CONTROL!$C$22, $C$13, 100%, $E$13)</f>
        <v>2.9940000000000002</v>
      </c>
      <c r="D68" s="60">
        <f>3.0065 * CHOOSE(CONTROL!$C$22, $C$13, 100%, $E$13)</f>
        <v>3.0065</v>
      </c>
      <c r="E68" s="61">
        <f>3.5484 * CHOOSE(CONTROL!$C$22, $C$13, 100%, $E$13)</f>
        <v>3.5484</v>
      </c>
      <c r="F68" s="61">
        <f>3.5484 * CHOOSE(CONTROL!$C$22, $C$13, 100%, $E$13)</f>
        <v>3.5484</v>
      </c>
      <c r="G68" s="61">
        <f>3.5486 * CHOOSE(CONTROL!$C$22, $C$13, 100%, $E$13)</f>
        <v>3.5486</v>
      </c>
      <c r="H68" s="61">
        <f>6.3728* CHOOSE(CONTROL!$C$22, $C$13, 100%, $E$13)</f>
        <v>6.3727999999999998</v>
      </c>
      <c r="I68" s="61">
        <f>6.373 * CHOOSE(CONTROL!$C$22, $C$13, 100%, $E$13)</f>
        <v>6.3730000000000002</v>
      </c>
      <c r="J68" s="61">
        <f>3.5484 * CHOOSE(CONTROL!$C$22, $C$13, 100%, $E$13)</f>
        <v>3.5484</v>
      </c>
      <c r="K68" s="61">
        <f>3.5486 * CHOOSE(CONTROL!$C$22, $C$13, 100%, $E$13)</f>
        <v>3.5486</v>
      </c>
      <c r="L68" s="4"/>
      <c r="M68" s="4"/>
      <c r="N68" s="4"/>
    </row>
    <row r="69" spans="1:14" ht="15">
      <c r="A69" s="13">
        <v>43952</v>
      </c>
      <c r="B69" s="60">
        <f>2.994 * CHOOSE(CONTROL!$C$22, $C$13, 100%, $E$13)</f>
        <v>2.9940000000000002</v>
      </c>
      <c r="C69" s="60">
        <f>2.994 * CHOOSE(CONTROL!$C$22, $C$13, 100%, $E$13)</f>
        <v>2.9940000000000002</v>
      </c>
      <c r="D69" s="60">
        <f>3.0191 * CHOOSE(CONTROL!$C$22, $C$13, 100%, $E$13)</f>
        <v>3.0190999999999999</v>
      </c>
      <c r="E69" s="61">
        <f>3.5597 * CHOOSE(CONTROL!$C$22, $C$13, 100%, $E$13)</f>
        <v>3.5596999999999999</v>
      </c>
      <c r="F69" s="61">
        <f>3.5597 * CHOOSE(CONTROL!$C$22, $C$13, 100%, $E$13)</f>
        <v>3.5596999999999999</v>
      </c>
      <c r="G69" s="61">
        <f>3.5613 * CHOOSE(CONTROL!$C$22, $C$13, 100%, $E$13)</f>
        <v>3.5613000000000001</v>
      </c>
      <c r="H69" s="61">
        <f>6.3861* CHOOSE(CONTROL!$C$22, $C$13, 100%, $E$13)</f>
        <v>6.3860999999999999</v>
      </c>
      <c r="I69" s="61">
        <f>6.3877 * CHOOSE(CONTROL!$C$22, $C$13, 100%, $E$13)</f>
        <v>6.3876999999999997</v>
      </c>
      <c r="J69" s="61">
        <f>3.5597 * CHOOSE(CONTROL!$C$22, $C$13, 100%, $E$13)</f>
        <v>3.5596999999999999</v>
      </c>
      <c r="K69" s="61">
        <f>3.5613 * CHOOSE(CONTROL!$C$22, $C$13, 100%, $E$13)</f>
        <v>3.5613000000000001</v>
      </c>
      <c r="L69" s="4"/>
      <c r="M69" s="4"/>
      <c r="N69" s="4"/>
    </row>
    <row r="70" spans="1:14" ht="15">
      <c r="A70" s="13">
        <v>43983</v>
      </c>
      <c r="B70" s="60">
        <f>3.0001 * CHOOSE(CONTROL!$C$22, $C$13, 100%, $E$13)</f>
        <v>3.0001000000000002</v>
      </c>
      <c r="C70" s="60">
        <f>3.0001 * CHOOSE(CONTROL!$C$22, $C$13, 100%, $E$13)</f>
        <v>3.0001000000000002</v>
      </c>
      <c r="D70" s="60">
        <f>3.0252 * CHOOSE(CONTROL!$C$22, $C$13, 100%, $E$13)</f>
        <v>3.0251999999999999</v>
      </c>
      <c r="E70" s="61">
        <f>3.5526 * CHOOSE(CONTROL!$C$22, $C$13, 100%, $E$13)</f>
        <v>3.5526</v>
      </c>
      <c r="F70" s="61">
        <f>3.5526 * CHOOSE(CONTROL!$C$22, $C$13, 100%, $E$13)</f>
        <v>3.5526</v>
      </c>
      <c r="G70" s="61">
        <f>3.5542 * CHOOSE(CONTROL!$C$22, $C$13, 100%, $E$13)</f>
        <v>3.5541999999999998</v>
      </c>
      <c r="H70" s="61">
        <f>6.3994* CHOOSE(CONTROL!$C$22, $C$13, 100%, $E$13)</f>
        <v>6.3994</v>
      </c>
      <c r="I70" s="61">
        <f>6.401 * CHOOSE(CONTROL!$C$22, $C$13, 100%, $E$13)</f>
        <v>6.4009999999999998</v>
      </c>
      <c r="J70" s="61">
        <f>3.5526 * CHOOSE(CONTROL!$C$22, $C$13, 100%, $E$13)</f>
        <v>3.5526</v>
      </c>
      <c r="K70" s="61">
        <f>3.5542 * CHOOSE(CONTROL!$C$22, $C$13, 100%, $E$13)</f>
        <v>3.5541999999999998</v>
      </c>
      <c r="L70" s="4"/>
      <c r="M70" s="4"/>
      <c r="N70" s="4"/>
    </row>
    <row r="71" spans="1:14" ht="15">
      <c r="A71" s="13">
        <v>44013</v>
      </c>
      <c r="B71" s="60">
        <f>3.0509 * CHOOSE(CONTROL!$C$22, $C$13, 100%, $E$13)</f>
        <v>3.0508999999999999</v>
      </c>
      <c r="C71" s="60">
        <f>3.0509 * CHOOSE(CONTROL!$C$22, $C$13, 100%, $E$13)</f>
        <v>3.0508999999999999</v>
      </c>
      <c r="D71" s="60">
        <f>3.076 * CHOOSE(CONTROL!$C$22, $C$13, 100%, $E$13)</f>
        <v>3.0760000000000001</v>
      </c>
      <c r="E71" s="61">
        <f>3.6456 * CHOOSE(CONTROL!$C$22, $C$13, 100%, $E$13)</f>
        <v>3.6456</v>
      </c>
      <c r="F71" s="61">
        <f>3.6456 * CHOOSE(CONTROL!$C$22, $C$13, 100%, $E$13)</f>
        <v>3.6456</v>
      </c>
      <c r="G71" s="61">
        <f>3.6472 * CHOOSE(CONTROL!$C$22, $C$13, 100%, $E$13)</f>
        <v>3.6472000000000002</v>
      </c>
      <c r="H71" s="61">
        <f>6.4127* CHOOSE(CONTROL!$C$22, $C$13, 100%, $E$13)</f>
        <v>6.4127000000000001</v>
      </c>
      <c r="I71" s="61">
        <f>6.4143 * CHOOSE(CONTROL!$C$22, $C$13, 100%, $E$13)</f>
        <v>6.4142999999999999</v>
      </c>
      <c r="J71" s="61">
        <f>3.6456 * CHOOSE(CONTROL!$C$22, $C$13, 100%, $E$13)</f>
        <v>3.6456</v>
      </c>
      <c r="K71" s="61">
        <f>3.6472 * CHOOSE(CONTROL!$C$22, $C$13, 100%, $E$13)</f>
        <v>3.6472000000000002</v>
      </c>
      <c r="L71" s="4"/>
      <c r="M71" s="4"/>
      <c r="N71" s="4"/>
    </row>
    <row r="72" spans="1:14" ht="15">
      <c r="A72" s="13">
        <v>44044</v>
      </c>
      <c r="B72" s="60">
        <f>3.0576 * CHOOSE(CONTROL!$C$22, $C$13, 100%, $E$13)</f>
        <v>3.0575999999999999</v>
      </c>
      <c r="C72" s="60">
        <f>3.0576 * CHOOSE(CONTROL!$C$22, $C$13, 100%, $E$13)</f>
        <v>3.0575999999999999</v>
      </c>
      <c r="D72" s="60">
        <f>3.0827 * CHOOSE(CONTROL!$C$22, $C$13, 100%, $E$13)</f>
        <v>3.0827</v>
      </c>
      <c r="E72" s="61">
        <f>3.6165 * CHOOSE(CONTROL!$C$22, $C$13, 100%, $E$13)</f>
        <v>3.6164999999999998</v>
      </c>
      <c r="F72" s="61">
        <f>3.6165 * CHOOSE(CONTROL!$C$22, $C$13, 100%, $E$13)</f>
        <v>3.6164999999999998</v>
      </c>
      <c r="G72" s="61">
        <f>3.6181 * CHOOSE(CONTROL!$C$22, $C$13, 100%, $E$13)</f>
        <v>3.6181000000000001</v>
      </c>
      <c r="H72" s="61">
        <f>6.4261* CHOOSE(CONTROL!$C$22, $C$13, 100%, $E$13)</f>
        <v>6.4260999999999999</v>
      </c>
      <c r="I72" s="61">
        <f>6.4277 * CHOOSE(CONTROL!$C$22, $C$13, 100%, $E$13)</f>
        <v>6.4276999999999997</v>
      </c>
      <c r="J72" s="61">
        <f>3.6165 * CHOOSE(CONTROL!$C$22, $C$13, 100%, $E$13)</f>
        <v>3.6164999999999998</v>
      </c>
      <c r="K72" s="61">
        <f>3.6181 * CHOOSE(CONTROL!$C$22, $C$13, 100%, $E$13)</f>
        <v>3.6181000000000001</v>
      </c>
      <c r="L72" s="4"/>
      <c r="M72" s="4"/>
      <c r="N72" s="4"/>
    </row>
    <row r="73" spans="1:14" ht="15">
      <c r="A73" s="13">
        <v>44075</v>
      </c>
      <c r="B73" s="60">
        <f>3.0545 * CHOOSE(CONTROL!$C$22, $C$13, 100%, $E$13)</f>
        <v>3.0545</v>
      </c>
      <c r="C73" s="60">
        <f>3.0545 * CHOOSE(CONTROL!$C$22, $C$13, 100%, $E$13)</f>
        <v>3.0545</v>
      </c>
      <c r="D73" s="60">
        <f>3.0796 * CHOOSE(CONTROL!$C$22, $C$13, 100%, $E$13)</f>
        <v>3.0796000000000001</v>
      </c>
      <c r="E73" s="61">
        <f>3.6106 * CHOOSE(CONTROL!$C$22, $C$13, 100%, $E$13)</f>
        <v>3.6105999999999998</v>
      </c>
      <c r="F73" s="61">
        <f>3.6106 * CHOOSE(CONTROL!$C$22, $C$13, 100%, $E$13)</f>
        <v>3.6105999999999998</v>
      </c>
      <c r="G73" s="61">
        <f>3.6122 * CHOOSE(CONTROL!$C$22, $C$13, 100%, $E$13)</f>
        <v>3.6122000000000001</v>
      </c>
      <c r="H73" s="61">
        <f>6.4394* CHOOSE(CONTROL!$C$22, $C$13, 100%, $E$13)</f>
        <v>6.4394</v>
      </c>
      <c r="I73" s="61">
        <f>6.441 * CHOOSE(CONTROL!$C$22, $C$13, 100%, $E$13)</f>
        <v>6.4409999999999998</v>
      </c>
      <c r="J73" s="61">
        <f>3.6106 * CHOOSE(CONTROL!$C$22, $C$13, 100%, $E$13)</f>
        <v>3.6105999999999998</v>
      </c>
      <c r="K73" s="61">
        <f>3.6122 * CHOOSE(CONTROL!$C$22, $C$13, 100%, $E$13)</f>
        <v>3.6122000000000001</v>
      </c>
      <c r="L73" s="4"/>
      <c r="M73" s="4"/>
      <c r="N73" s="4"/>
    </row>
    <row r="74" spans="1:14" ht="15">
      <c r="A74" s="13">
        <v>44105</v>
      </c>
      <c r="B74" s="60">
        <f>3.0462 * CHOOSE(CONTROL!$C$22, $C$13, 100%, $E$13)</f>
        <v>3.0461999999999998</v>
      </c>
      <c r="C74" s="60">
        <f>3.0462 * CHOOSE(CONTROL!$C$22, $C$13, 100%, $E$13)</f>
        <v>3.0461999999999998</v>
      </c>
      <c r="D74" s="60">
        <f>3.0588 * CHOOSE(CONTROL!$C$22, $C$13, 100%, $E$13)</f>
        <v>3.0588000000000002</v>
      </c>
      <c r="E74" s="61">
        <f>3.6122 * CHOOSE(CONTROL!$C$22, $C$13, 100%, $E$13)</f>
        <v>3.6122000000000001</v>
      </c>
      <c r="F74" s="61">
        <f>3.6122 * CHOOSE(CONTROL!$C$22, $C$13, 100%, $E$13)</f>
        <v>3.6122000000000001</v>
      </c>
      <c r="G74" s="61">
        <f>3.6124 * CHOOSE(CONTROL!$C$22, $C$13, 100%, $E$13)</f>
        <v>3.6124000000000001</v>
      </c>
      <c r="H74" s="61">
        <f>6.4529* CHOOSE(CONTROL!$C$22, $C$13, 100%, $E$13)</f>
        <v>6.4528999999999996</v>
      </c>
      <c r="I74" s="61">
        <f>6.453 * CHOOSE(CONTROL!$C$22, $C$13, 100%, $E$13)</f>
        <v>6.4530000000000003</v>
      </c>
      <c r="J74" s="61">
        <f>3.6122 * CHOOSE(CONTROL!$C$22, $C$13, 100%, $E$13)</f>
        <v>3.6122000000000001</v>
      </c>
      <c r="K74" s="61">
        <f>3.6124 * CHOOSE(CONTROL!$C$22, $C$13, 100%, $E$13)</f>
        <v>3.6124000000000001</v>
      </c>
      <c r="L74" s="4"/>
      <c r="M74" s="4"/>
      <c r="N74" s="4"/>
    </row>
    <row r="75" spans="1:14" ht="15">
      <c r="A75" s="13">
        <v>44136</v>
      </c>
      <c r="B75" s="60">
        <f>3.0493 * CHOOSE(CONTROL!$C$22, $C$13, 100%, $E$13)</f>
        <v>3.0493000000000001</v>
      </c>
      <c r="C75" s="60">
        <f>3.0493 * CHOOSE(CONTROL!$C$22, $C$13, 100%, $E$13)</f>
        <v>3.0493000000000001</v>
      </c>
      <c r="D75" s="60">
        <f>3.0618 * CHOOSE(CONTROL!$C$22, $C$13, 100%, $E$13)</f>
        <v>3.0617999999999999</v>
      </c>
      <c r="E75" s="61">
        <f>3.6219 * CHOOSE(CONTROL!$C$22, $C$13, 100%, $E$13)</f>
        <v>3.6219000000000001</v>
      </c>
      <c r="F75" s="61">
        <f>3.6219 * CHOOSE(CONTROL!$C$22, $C$13, 100%, $E$13)</f>
        <v>3.6219000000000001</v>
      </c>
      <c r="G75" s="61">
        <f>3.622 * CHOOSE(CONTROL!$C$22, $C$13, 100%, $E$13)</f>
        <v>3.6219999999999999</v>
      </c>
      <c r="H75" s="61">
        <f>6.4663* CHOOSE(CONTROL!$C$22, $C$13, 100%, $E$13)</f>
        <v>6.4663000000000004</v>
      </c>
      <c r="I75" s="61">
        <f>6.4665 * CHOOSE(CONTROL!$C$22, $C$13, 100%, $E$13)</f>
        <v>6.4664999999999999</v>
      </c>
      <c r="J75" s="61">
        <f>3.6219 * CHOOSE(CONTROL!$C$22, $C$13, 100%, $E$13)</f>
        <v>3.6219000000000001</v>
      </c>
      <c r="K75" s="61">
        <f>3.622 * CHOOSE(CONTROL!$C$22, $C$13, 100%, $E$13)</f>
        <v>3.6219999999999999</v>
      </c>
      <c r="L75" s="4"/>
      <c r="M75" s="4"/>
      <c r="N75" s="4"/>
    </row>
    <row r="76" spans="1:14" ht="15">
      <c r="A76" s="13">
        <v>44166</v>
      </c>
      <c r="B76" s="60">
        <f>3.0493 * CHOOSE(CONTROL!$C$22, $C$13, 100%, $E$13)</f>
        <v>3.0493000000000001</v>
      </c>
      <c r="C76" s="60">
        <f>3.0493 * CHOOSE(CONTROL!$C$22, $C$13, 100%, $E$13)</f>
        <v>3.0493000000000001</v>
      </c>
      <c r="D76" s="60">
        <f>3.0618 * CHOOSE(CONTROL!$C$22, $C$13, 100%, $E$13)</f>
        <v>3.0617999999999999</v>
      </c>
      <c r="E76" s="61">
        <f>3.6031 * CHOOSE(CONTROL!$C$22, $C$13, 100%, $E$13)</f>
        <v>3.6031</v>
      </c>
      <c r="F76" s="61">
        <f>3.6031 * CHOOSE(CONTROL!$C$22, $C$13, 100%, $E$13)</f>
        <v>3.6031</v>
      </c>
      <c r="G76" s="61">
        <f>3.6033 * CHOOSE(CONTROL!$C$22, $C$13, 100%, $E$13)</f>
        <v>3.6032999999999999</v>
      </c>
      <c r="H76" s="61">
        <f>6.4798* CHOOSE(CONTROL!$C$22, $C$13, 100%, $E$13)</f>
        <v>6.4798</v>
      </c>
      <c r="I76" s="61">
        <f>6.48 * CHOOSE(CONTROL!$C$22, $C$13, 100%, $E$13)</f>
        <v>6.48</v>
      </c>
      <c r="J76" s="61">
        <f>3.6031 * CHOOSE(CONTROL!$C$22, $C$13, 100%, $E$13)</f>
        <v>3.6031</v>
      </c>
      <c r="K76" s="61">
        <f>3.6033 * CHOOSE(CONTROL!$C$22, $C$13, 100%, $E$13)</f>
        <v>3.6032999999999999</v>
      </c>
      <c r="L76" s="4"/>
      <c r="M76" s="4"/>
      <c r="N76" s="4"/>
    </row>
    <row r="77" spans="1:14" ht="15">
      <c r="A77" s="13">
        <v>44197</v>
      </c>
      <c r="B77" s="60">
        <f>3.0805 * CHOOSE(CONTROL!$C$22, $C$13, 100%, $E$13)</f>
        <v>3.0804999999999998</v>
      </c>
      <c r="C77" s="60">
        <f>3.0805 * CHOOSE(CONTROL!$C$22, $C$13, 100%, $E$13)</f>
        <v>3.0804999999999998</v>
      </c>
      <c r="D77" s="60">
        <f>3.0931 * CHOOSE(CONTROL!$C$22, $C$13, 100%, $E$13)</f>
        <v>3.0931000000000002</v>
      </c>
      <c r="E77" s="61">
        <f>3.649 * CHOOSE(CONTROL!$C$22, $C$13, 100%, $E$13)</f>
        <v>3.649</v>
      </c>
      <c r="F77" s="61">
        <f>3.649 * CHOOSE(CONTROL!$C$22, $C$13, 100%, $E$13)</f>
        <v>3.649</v>
      </c>
      <c r="G77" s="61">
        <f>3.6492 * CHOOSE(CONTROL!$C$22, $C$13, 100%, $E$13)</f>
        <v>3.6492</v>
      </c>
      <c r="H77" s="61">
        <f>6.4933* CHOOSE(CONTROL!$C$22, $C$13, 100%, $E$13)</f>
        <v>6.4932999999999996</v>
      </c>
      <c r="I77" s="61">
        <f>6.4935 * CHOOSE(CONTROL!$C$22, $C$13, 100%, $E$13)</f>
        <v>6.4935</v>
      </c>
      <c r="J77" s="61">
        <f>3.649 * CHOOSE(CONTROL!$C$22, $C$13, 100%, $E$13)</f>
        <v>3.649</v>
      </c>
      <c r="K77" s="61">
        <f>3.6492 * CHOOSE(CONTROL!$C$22, $C$13, 100%, $E$13)</f>
        <v>3.6492</v>
      </c>
      <c r="L77" s="4"/>
      <c r="M77" s="4"/>
      <c r="N77" s="4"/>
    </row>
    <row r="78" spans="1:14" ht="15">
      <c r="A78" s="13">
        <v>44228</v>
      </c>
      <c r="B78" s="60">
        <f>3.0775 * CHOOSE(CONTROL!$C$22, $C$13, 100%, $E$13)</f>
        <v>3.0775000000000001</v>
      </c>
      <c r="C78" s="60">
        <f>3.0775 * CHOOSE(CONTROL!$C$22, $C$13, 100%, $E$13)</f>
        <v>3.0775000000000001</v>
      </c>
      <c r="D78" s="60">
        <f>3.09 * CHOOSE(CONTROL!$C$22, $C$13, 100%, $E$13)</f>
        <v>3.09</v>
      </c>
      <c r="E78" s="61">
        <f>3.6087 * CHOOSE(CONTROL!$C$22, $C$13, 100%, $E$13)</f>
        <v>3.6086999999999998</v>
      </c>
      <c r="F78" s="61">
        <f>3.6087 * CHOOSE(CONTROL!$C$22, $C$13, 100%, $E$13)</f>
        <v>3.6086999999999998</v>
      </c>
      <c r="G78" s="61">
        <f>3.6088 * CHOOSE(CONTROL!$C$22, $C$13, 100%, $E$13)</f>
        <v>3.6088</v>
      </c>
      <c r="H78" s="61">
        <f>6.5068* CHOOSE(CONTROL!$C$22, $C$13, 100%, $E$13)</f>
        <v>6.5068000000000001</v>
      </c>
      <c r="I78" s="61">
        <f>6.507 * CHOOSE(CONTROL!$C$22, $C$13, 100%, $E$13)</f>
        <v>6.5069999999999997</v>
      </c>
      <c r="J78" s="61">
        <f>3.6087 * CHOOSE(CONTROL!$C$22, $C$13, 100%, $E$13)</f>
        <v>3.6086999999999998</v>
      </c>
      <c r="K78" s="61">
        <f>3.6088 * CHOOSE(CONTROL!$C$22, $C$13, 100%, $E$13)</f>
        <v>3.6088</v>
      </c>
      <c r="L78" s="4"/>
      <c r="M78" s="4"/>
      <c r="N78" s="4"/>
    </row>
    <row r="79" spans="1:14" ht="15">
      <c r="A79" s="13">
        <v>44256</v>
      </c>
      <c r="B79" s="60">
        <f>3.0744 * CHOOSE(CONTROL!$C$22, $C$13, 100%, $E$13)</f>
        <v>3.0743999999999998</v>
      </c>
      <c r="C79" s="60">
        <f>3.0744 * CHOOSE(CONTROL!$C$22, $C$13, 100%, $E$13)</f>
        <v>3.0743999999999998</v>
      </c>
      <c r="D79" s="60">
        <f>3.087 * CHOOSE(CONTROL!$C$22, $C$13, 100%, $E$13)</f>
        <v>3.0870000000000002</v>
      </c>
      <c r="E79" s="61">
        <f>3.6367 * CHOOSE(CONTROL!$C$22, $C$13, 100%, $E$13)</f>
        <v>3.6366999999999998</v>
      </c>
      <c r="F79" s="61">
        <f>3.6367 * CHOOSE(CONTROL!$C$22, $C$13, 100%, $E$13)</f>
        <v>3.6366999999999998</v>
      </c>
      <c r="G79" s="61">
        <f>3.6369 * CHOOSE(CONTROL!$C$22, $C$13, 100%, $E$13)</f>
        <v>3.6368999999999998</v>
      </c>
      <c r="H79" s="61">
        <f>6.5204* CHOOSE(CONTROL!$C$22, $C$13, 100%, $E$13)</f>
        <v>6.5204000000000004</v>
      </c>
      <c r="I79" s="61">
        <f>6.5205 * CHOOSE(CONTROL!$C$22, $C$13, 100%, $E$13)</f>
        <v>6.5205000000000002</v>
      </c>
      <c r="J79" s="61">
        <f>3.6367 * CHOOSE(CONTROL!$C$22, $C$13, 100%, $E$13)</f>
        <v>3.6366999999999998</v>
      </c>
      <c r="K79" s="61">
        <f>3.6369 * CHOOSE(CONTROL!$C$22, $C$13, 100%, $E$13)</f>
        <v>3.6368999999999998</v>
      </c>
      <c r="L79" s="4"/>
      <c r="M79" s="4"/>
      <c r="N79" s="4"/>
    </row>
    <row r="80" spans="1:14" ht="15">
      <c r="A80" s="13">
        <v>44287</v>
      </c>
      <c r="B80" s="60">
        <f>3.0712 * CHOOSE(CONTROL!$C$22, $C$13, 100%, $E$13)</f>
        <v>3.0712000000000002</v>
      </c>
      <c r="C80" s="60">
        <f>3.0712 * CHOOSE(CONTROL!$C$22, $C$13, 100%, $E$13)</f>
        <v>3.0712000000000002</v>
      </c>
      <c r="D80" s="60">
        <f>3.0838 * CHOOSE(CONTROL!$C$22, $C$13, 100%, $E$13)</f>
        <v>3.0838000000000001</v>
      </c>
      <c r="E80" s="61">
        <f>3.6649 * CHOOSE(CONTROL!$C$22, $C$13, 100%, $E$13)</f>
        <v>3.6648999999999998</v>
      </c>
      <c r="F80" s="61">
        <f>3.6649 * CHOOSE(CONTROL!$C$22, $C$13, 100%, $E$13)</f>
        <v>3.6648999999999998</v>
      </c>
      <c r="G80" s="61">
        <f>3.665 * CHOOSE(CONTROL!$C$22, $C$13, 100%, $E$13)</f>
        <v>3.665</v>
      </c>
      <c r="H80" s="61">
        <f>6.5339* CHOOSE(CONTROL!$C$22, $C$13, 100%, $E$13)</f>
        <v>6.5339</v>
      </c>
      <c r="I80" s="61">
        <f>6.5341 * CHOOSE(CONTROL!$C$22, $C$13, 100%, $E$13)</f>
        <v>6.5340999999999996</v>
      </c>
      <c r="J80" s="61">
        <f>3.6649 * CHOOSE(CONTROL!$C$22, $C$13, 100%, $E$13)</f>
        <v>3.6648999999999998</v>
      </c>
      <c r="K80" s="61">
        <f>3.665 * CHOOSE(CONTROL!$C$22, $C$13, 100%, $E$13)</f>
        <v>3.665</v>
      </c>
      <c r="L80" s="4"/>
      <c r="M80" s="4"/>
      <c r="N80" s="4"/>
    </row>
    <row r="81" spans="1:14" ht="15">
      <c r="A81" s="13">
        <v>44317</v>
      </c>
      <c r="B81" s="60">
        <f>3.0712 * CHOOSE(CONTROL!$C$22, $C$13, 100%, $E$13)</f>
        <v>3.0712000000000002</v>
      </c>
      <c r="C81" s="60">
        <f>3.0712 * CHOOSE(CONTROL!$C$22, $C$13, 100%, $E$13)</f>
        <v>3.0712000000000002</v>
      </c>
      <c r="D81" s="60">
        <f>3.0963 * CHOOSE(CONTROL!$C$22, $C$13, 100%, $E$13)</f>
        <v>3.0962999999999998</v>
      </c>
      <c r="E81" s="61">
        <f>3.677 * CHOOSE(CONTROL!$C$22, $C$13, 100%, $E$13)</f>
        <v>3.677</v>
      </c>
      <c r="F81" s="61">
        <f>3.677 * CHOOSE(CONTROL!$C$22, $C$13, 100%, $E$13)</f>
        <v>3.677</v>
      </c>
      <c r="G81" s="61">
        <f>3.6786 * CHOOSE(CONTROL!$C$22, $C$13, 100%, $E$13)</f>
        <v>3.6785999999999999</v>
      </c>
      <c r="H81" s="61">
        <f>6.5476* CHOOSE(CONTROL!$C$22, $C$13, 100%, $E$13)</f>
        <v>6.5476000000000001</v>
      </c>
      <c r="I81" s="61">
        <f>6.5492 * CHOOSE(CONTROL!$C$22, $C$13, 100%, $E$13)</f>
        <v>6.5491999999999999</v>
      </c>
      <c r="J81" s="61">
        <f>3.677 * CHOOSE(CONTROL!$C$22, $C$13, 100%, $E$13)</f>
        <v>3.677</v>
      </c>
      <c r="K81" s="61">
        <f>3.6786 * CHOOSE(CONTROL!$C$22, $C$13, 100%, $E$13)</f>
        <v>3.6785999999999999</v>
      </c>
      <c r="L81" s="4"/>
      <c r="M81" s="4"/>
      <c r="N81" s="4"/>
    </row>
    <row r="82" spans="1:14" ht="15">
      <c r="A82" s="13">
        <v>44348</v>
      </c>
      <c r="B82" s="60">
        <f>3.0773 * CHOOSE(CONTROL!$C$22, $C$13, 100%, $E$13)</f>
        <v>3.0773000000000001</v>
      </c>
      <c r="C82" s="60">
        <f>3.0773 * CHOOSE(CONTROL!$C$22, $C$13, 100%, $E$13)</f>
        <v>3.0773000000000001</v>
      </c>
      <c r="D82" s="60">
        <f>3.1024 * CHOOSE(CONTROL!$C$22, $C$13, 100%, $E$13)</f>
        <v>3.1023999999999998</v>
      </c>
      <c r="E82" s="61">
        <f>3.6691 * CHOOSE(CONTROL!$C$22, $C$13, 100%, $E$13)</f>
        <v>3.6690999999999998</v>
      </c>
      <c r="F82" s="61">
        <f>3.6691 * CHOOSE(CONTROL!$C$22, $C$13, 100%, $E$13)</f>
        <v>3.6690999999999998</v>
      </c>
      <c r="G82" s="61">
        <f>3.6707 * CHOOSE(CONTROL!$C$22, $C$13, 100%, $E$13)</f>
        <v>3.6707000000000001</v>
      </c>
      <c r="H82" s="61">
        <f>6.5612* CHOOSE(CONTROL!$C$22, $C$13, 100%, $E$13)</f>
        <v>6.5612000000000004</v>
      </c>
      <c r="I82" s="61">
        <f>6.5628 * CHOOSE(CONTROL!$C$22, $C$13, 100%, $E$13)</f>
        <v>6.5628000000000002</v>
      </c>
      <c r="J82" s="61">
        <f>3.6691 * CHOOSE(CONTROL!$C$22, $C$13, 100%, $E$13)</f>
        <v>3.6690999999999998</v>
      </c>
      <c r="K82" s="61">
        <f>3.6707 * CHOOSE(CONTROL!$C$22, $C$13, 100%, $E$13)</f>
        <v>3.6707000000000001</v>
      </c>
      <c r="L82" s="4"/>
      <c r="M82" s="4"/>
      <c r="N82" s="4"/>
    </row>
    <row r="83" spans="1:14" ht="15">
      <c r="A83" s="13">
        <v>44378</v>
      </c>
      <c r="B83" s="60">
        <f>3.137 * CHOOSE(CONTROL!$C$22, $C$13, 100%, $E$13)</f>
        <v>3.137</v>
      </c>
      <c r="C83" s="60">
        <f>3.137 * CHOOSE(CONTROL!$C$22, $C$13, 100%, $E$13)</f>
        <v>3.137</v>
      </c>
      <c r="D83" s="60">
        <f>3.162 * CHOOSE(CONTROL!$C$22, $C$13, 100%, $E$13)</f>
        <v>3.1619999999999999</v>
      </c>
      <c r="E83" s="61">
        <f>3.6976 * CHOOSE(CONTROL!$C$22, $C$13, 100%, $E$13)</f>
        <v>3.6976</v>
      </c>
      <c r="F83" s="61">
        <f>3.6976 * CHOOSE(CONTROL!$C$22, $C$13, 100%, $E$13)</f>
        <v>3.6976</v>
      </c>
      <c r="G83" s="61">
        <f>3.6992 * CHOOSE(CONTROL!$C$22, $C$13, 100%, $E$13)</f>
        <v>3.6991999999999998</v>
      </c>
      <c r="H83" s="61">
        <f>6.5749* CHOOSE(CONTROL!$C$22, $C$13, 100%, $E$13)</f>
        <v>6.5749000000000004</v>
      </c>
      <c r="I83" s="61">
        <f>6.5765 * CHOOSE(CONTROL!$C$22, $C$13, 100%, $E$13)</f>
        <v>6.5765000000000002</v>
      </c>
      <c r="J83" s="61">
        <f>3.6976 * CHOOSE(CONTROL!$C$22, $C$13, 100%, $E$13)</f>
        <v>3.6976</v>
      </c>
      <c r="K83" s="61">
        <f>3.6992 * CHOOSE(CONTROL!$C$22, $C$13, 100%, $E$13)</f>
        <v>3.6991999999999998</v>
      </c>
      <c r="L83" s="4"/>
      <c r="M83" s="4"/>
      <c r="N83" s="4"/>
    </row>
    <row r="84" spans="1:14" ht="15">
      <c r="A84" s="13">
        <v>44409</v>
      </c>
      <c r="B84" s="60">
        <f>3.1436 * CHOOSE(CONTROL!$C$22, $C$13, 100%, $E$13)</f>
        <v>3.1436000000000002</v>
      </c>
      <c r="C84" s="60">
        <f>3.1436 * CHOOSE(CONTROL!$C$22, $C$13, 100%, $E$13)</f>
        <v>3.1436000000000002</v>
      </c>
      <c r="D84" s="60">
        <f>3.1687 * CHOOSE(CONTROL!$C$22, $C$13, 100%, $E$13)</f>
        <v>3.1686999999999999</v>
      </c>
      <c r="E84" s="61">
        <f>3.6658 * CHOOSE(CONTROL!$C$22, $C$13, 100%, $E$13)</f>
        <v>3.6657999999999999</v>
      </c>
      <c r="F84" s="61">
        <f>3.6658 * CHOOSE(CONTROL!$C$22, $C$13, 100%, $E$13)</f>
        <v>3.6657999999999999</v>
      </c>
      <c r="G84" s="61">
        <f>3.6674 * CHOOSE(CONTROL!$C$22, $C$13, 100%, $E$13)</f>
        <v>3.6674000000000002</v>
      </c>
      <c r="H84" s="61">
        <f>6.5886* CHOOSE(CONTROL!$C$22, $C$13, 100%, $E$13)</f>
        <v>6.5885999999999996</v>
      </c>
      <c r="I84" s="61">
        <f>6.5902 * CHOOSE(CONTROL!$C$22, $C$13, 100%, $E$13)</f>
        <v>6.5902000000000003</v>
      </c>
      <c r="J84" s="61">
        <f>3.6658 * CHOOSE(CONTROL!$C$22, $C$13, 100%, $E$13)</f>
        <v>3.6657999999999999</v>
      </c>
      <c r="K84" s="61">
        <f>3.6674 * CHOOSE(CONTROL!$C$22, $C$13, 100%, $E$13)</f>
        <v>3.6674000000000002</v>
      </c>
      <c r="L84" s="4"/>
      <c r="M84" s="4"/>
      <c r="N84" s="4"/>
    </row>
    <row r="85" spans="1:14" ht="15">
      <c r="A85" s="13">
        <v>44440</v>
      </c>
      <c r="B85" s="60">
        <f>3.1406 * CHOOSE(CONTROL!$C$22, $C$13, 100%, $E$13)</f>
        <v>3.1406000000000001</v>
      </c>
      <c r="C85" s="60">
        <f>3.1406 * CHOOSE(CONTROL!$C$22, $C$13, 100%, $E$13)</f>
        <v>3.1406000000000001</v>
      </c>
      <c r="D85" s="60">
        <f>3.1657 * CHOOSE(CONTROL!$C$22, $C$13, 100%, $E$13)</f>
        <v>3.1657000000000002</v>
      </c>
      <c r="E85" s="61">
        <f>3.6597 * CHOOSE(CONTROL!$C$22, $C$13, 100%, $E$13)</f>
        <v>3.6597</v>
      </c>
      <c r="F85" s="61">
        <f>3.6597 * CHOOSE(CONTROL!$C$22, $C$13, 100%, $E$13)</f>
        <v>3.6597</v>
      </c>
      <c r="G85" s="61">
        <f>3.6613 * CHOOSE(CONTROL!$C$22, $C$13, 100%, $E$13)</f>
        <v>3.6613000000000002</v>
      </c>
      <c r="H85" s="61">
        <f>6.6023* CHOOSE(CONTROL!$C$22, $C$13, 100%, $E$13)</f>
        <v>6.6022999999999996</v>
      </c>
      <c r="I85" s="61">
        <f>6.6039 * CHOOSE(CONTROL!$C$22, $C$13, 100%, $E$13)</f>
        <v>6.6039000000000003</v>
      </c>
      <c r="J85" s="61">
        <f>3.6597 * CHOOSE(CONTROL!$C$22, $C$13, 100%, $E$13)</f>
        <v>3.6597</v>
      </c>
      <c r="K85" s="61">
        <f>3.6613 * CHOOSE(CONTROL!$C$22, $C$13, 100%, $E$13)</f>
        <v>3.6613000000000002</v>
      </c>
      <c r="L85" s="4"/>
      <c r="M85" s="4"/>
      <c r="N85" s="4"/>
    </row>
    <row r="86" spans="1:14" ht="15">
      <c r="A86" s="13">
        <v>44470</v>
      </c>
      <c r="B86" s="60">
        <f>3.1326 * CHOOSE(CONTROL!$C$22, $C$13, 100%, $E$13)</f>
        <v>3.1326000000000001</v>
      </c>
      <c r="C86" s="60">
        <f>3.1326 * CHOOSE(CONTROL!$C$22, $C$13, 100%, $E$13)</f>
        <v>3.1326000000000001</v>
      </c>
      <c r="D86" s="60">
        <f>3.1451 * CHOOSE(CONTROL!$C$22, $C$13, 100%, $E$13)</f>
        <v>3.1450999999999998</v>
      </c>
      <c r="E86" s="61">
        <f>3.6625 * CHOOSE(CONTROL!$C$22, $C$13, 100%, $E$13)</f>
        <v>3.6625000000000001</v>
      </c>
      <c r="F86" s="61">
        <f>3.6625 * CHOOSE(CONTROL!$C$22, $C$13, 100%, $E$13)</f>
        <v>3.6625000000000001</v>
      </c>
      <c r="G86" s="61">
        <f>3.6626 * CHOOSE(CONTROL!$C$22, $C$13, 100%, $E$13)</f>
        <v>3.6625999999999999</v>
      </c>
      <c r="H86" s="61">
        <f>6.616* CHOOSE(CONTROL!$C$22, $C$13, 100%, $E$13)</f>
        <v>6.6159999999999997</v>
      </c>
      <c r="I86" s="61">
        <f>6.6162 * CHOOSE(CONTROL!$C$22, $C$13, 100%, $E$13)</f>
        <v>6.6162000000000001</v>
      </c>
      <c r="J86" s="61">
        <f>3.6625 * CHOOSE(CONTROL!$C$22, $C$13, 100%, $E$13)</f>
        <v>3.6625000000000001</v>
      </c>
      <c r="K86" s="61">
        <f>3.6626 * CHOOSE(CONTROL!$C$22, $C$13, 100%, $E$13)</f>
        <v>3.6625999999999999</v>
      </c>
      <c r="L86" s="4"/>
      <c r="M86" s="4"/>
      <c r="N86" s="4"/>
    </row>
    <row r="87" spans="1:14" ht="15">
      <c r="A87" s="13">
        <v>44501</v>
      </c>
      <c r="B87" s="60">
        <f>3.1356 * CHOOSE(CONTROL!$C$22, $C$13, 100%, $E$13)</f>
        <v>3.1356000000000002</v>
      </c>
      <c r="C87" s="60">
        <f>3.1356 * CHOOSE(CONTROL!$C$22, $C$13, 100%, $E$13)</f>
        <v>3.1356000000000002</v>
      </c>
      <c r="D87" s="60">
        <f>3.1482 * CHOOSE(CONTROL!$C$22, $C$13, 100%, $E$13)</f>
        <v>3.1482000000000001</v>
      </c>
      <c r="E87" s="61">
        <f>3.6727 * CHOOSE(CONTROL!$C$22, $C$13, 100%, $E$13)</f>
        <v>3.6726999999999999</v>
      </c>
      <c r="F87" s="61">
        <f>3.6727 * CHOOSE(CONTROL!$C$22, $C$13, 100%, $E$13)</f>
        <v>3.6726999999999999</v>
      </c>
      <c r="G87" s="61">
        <f>3.6728 * CHOOSE(CONTROL!$C$22, $C$13, 100%, $E$13)</f>
        <v>3.6728000000000001</v>
      </c>
      <c r="H87" s="61">
        <f>6.6298* CHOOSE(CONTROL!$C$22, $C$13, 100%, $E$13)</f>
        <v>6.6298000000000004</v>
      </c>
      <c r="I87" s="61">
        <f>6.63 * CHOOSE(CONTROL!$C$22, $C$13, 100%, $E$13)</f>
        <v>6.63</v>
      </c>
      <c r="J87" s="61">
        <f>3.6727 * CHOOSE(CONTROL!$C$22, $C$13, 100%, $E$13)</f>
        <v>3.6726999999999999</v>
      </c>
      <c r="K87" s="61">
        <f>3.6728 * CHOOSE(CONTROL!$C$22, $C$13, 100%, $E$13)</f>
        <v>3.6728000000000001</v>
      </c>
      <c r="L87" s="4"/>
      <c r="M87" s="4"/>
      <c r="N87" s="4"/>
    </row>
    <row r="88" spans="1:14" ht="15">
      <c r="A88" s="13">
        <v>44531</v>
      </c>
      <c r="B88" s="60">
        <f>3.1356 * CHOOSE(CONTROL!$C$22, $C$13, 100%, $E$13)</f>
        <v>3.1356000000000002</v>
      </c>
      <c r="C88" s="60">
        <f>3.1356 * CHOOSE(CONTROL!$C$22, $C$13, 100%, $E$13)</f>
        <v>3.1356000000000002</v>
      </c>
      <c r="D88" s="60">
        <f>3.1482 * CHOOSE(CONTROL!$C$22, $C$13, 100%, $E$13)</f>
        <v>3.1482000000000001</v>
      </c>
      <c r="E88" s="61">
        <f>3.6524 * CHOOSE(CONTROL!$C$22, $C$13, 100%, $E$13)</f>
        <v>3.6524000000000001</v>
      </c>
      <c r="F88" s="61">
        <f>3.6524 * CHOOSE(CONTROL!$C$22, $C$13, 100%, $E$13)</f>
        <v>3.6524000000000001</v>
      </c>
      <c r="G88" s="61">
        <f>3.6526 * CHOOSE(CONTROL!$C$22, $C$13, 100%, $E$13)</f>
        <v>3.6526000000000001</v>
      </c>
      <c r="H88" s="61">
        <f>6.6436* CHOOSE(CONTROL!$C$22, $C$13, 100%, $E$13)</f>
        <v>6.6436000000000002</v>
      </c>
      <c r="I88" s="61">
        <f>6.6438 * CHOOSE(CONTROL!$C$22, $C$13, 100%, $E$13)</f>
        <v>6.6437999999999997</v>
      </c>
      <c r="J88" s="61">
        <f>3.6524 * CHOOSE(CONTROL!$C$22, $C$13, 100%, $E$13)</f>
        <v>3.6524000000000001</v>
      </c>
      <c r="K88" s="61">
        <f>3.6526 * CHOOSE(CONTROL!$C$22, $C$13, 100%, $E$13)</f>
        <v>3.6526000000000001</v>
      </c>
      <c r="L88" s="4"/>
      <c r="M88" s="4"/>
      <c r="N88" s="4"/>
    </row>
    <row r="89" spans="1:14" ht="15">
      <c r="A89" s="13">
        <v>44562</v>
      </c>
      <c r="B89" s="60">
        <f>3.1653 * CHOOSE(CONTROL!$C$22, $C$13, 100%, $E$13)</f>
        <v>3.1652999999999998</v>
      </c>
      <c r="C89" s="60">
        <f>3.1653 * CHOOSE(CONTROL!$C$22, $C$13, 100%, $E$13)</f>
        <v>3.1652999999999998</v>
      </c>
      <c r="D89" s="60">
        <f>3.1779 * CHOOSE(CONTROL!$C$22, $C$13, 100%, $E$13)</f>
        <v>3.1779000000000002</v>
      </c>
      <c r="E89" s="61">
        <f>3.7076 * CHOOSE(CONTROL!$C$22, $C$13, 100%, $E$13)</f>
        <v>3.7075999999999998</v>
      </c>
      <c r="F89" s="61">
        <f>3.7076 * CHOOSE(CONTROL!$C$22, $C$13, 100%, $E$13)</f>
        <v>3.7075999999999998</v>
      </c>
      <c r="G89" s="61">
        <f>3.7078 * CHOOSE(CONTROL!$C$22, $C$13, 100%, $E$13)</f>
        <v>3.7078000000000002</v>
      </c>
      <c r="H89" s="61">
        <f>6.6575* CHOOSE(CONTROL!$C$22, $C$13, 100%, $E$13)</f>
        <v>6.6574999999999998</v>
      </c>
      <c r="I89" s="61">
        <f>6.6577 * CHOOSE(CONTROL!$C$22, $C$13, 100%, $E$13)</f>
        <v>6.6577000000000002</v>
      </c>
      <c r="J89" s="61">
        <f>3.7076 * CHOOSE(CONTROL!$C$22, $C$13, 100%, $E$13)</f>
        <v>3.7075999999999998</v>
      </c>
      <c r="K89" s="61">
        <f>3.7078 * CHOOSE(CONTROL!$C$22, $C$13, 100%, $E$13)</f>
        <v>3.7078000000000002</v>
      </c>
      <c r="L89" s="4"/>
      <c r="M89" s="4"/>
      <c r="N89" s="4"/>
    </row>
    <row r="90" spans="1:14" ht="15">
      <c r="A90" s="13">
        <v>44593</v>
      </c>
      <c r="B90" s="60">
        <f>3.1623 * CHOOSE(CONTROL!$C$22, $C$13, 100%, $E$13)</f>
        <v>3.1623000000000001</v>
      </c>
      <c r="C90" s="60">
        <f>3.1623 * CHOOSE(CONTROL!$C$22, $C$13, 100%, $E$13)</f>
        <v>3.1623000000000001</v>
      </c>
      <c r="D90" s="60">
        <f>3.1748 * CHOOSE(CONTROL!$C$22, $C$13, 100%, $E$13)</f>
        <v>3.1747999999999998</v>
      </c>
      <c r="E90" s="61">
        <f>3.6651 * CHOOSE(CONTROL!$C$22, $C$13, 100%, $E$13)</f>
        <v>3.6650999999999998</v>
      </c>
      <c r="F90" s="61">
        <f>3.6651 * CHOOSE(CONTROL!$C$22, $C$13, 100%, $E$13)</f>
        <v>3.6650999999999998</v>
      </c>
      <c r="G90" s="61">
        <f>3.6653 * CHOOSE(CONTROL!$C$22, $C$13, 100%, $E$13)</f>
        <v>3.6652999999999998</v>
      </c>
      <c r="H90" s="61">
        <f>6.6713* CHOOSE(CONTROL!$C$22, $C$13, 100%, $E$13)</f>
        <v>6.6712999999999996</v>
      </c>
      <c r="I90" s="61">
        <f>6.6715 * CHOOSE(CONTROL!$C$22, $C$13, 100%, $E$13)</f>
        <v>6.6715</v>
      </c>
      <c r="J90" s="61">
        <f>3.6651 * CHOOSE(CONTROL!$C$22, $C$13, 100%, $E$13)</f>
        <v>3.6650999999999998</v>
      </c>
      <c r="K90" s="61">
        <f>3.6653 * CHOOSE(CONTROL!$C$22, $C$13, 100%, $E$13)</f>
        <v>3.6652999999999998</v>
      </c>
      <c r="L90" s="4"/>
      <c r="M90" s="4"/>
      <c r="N90" s="4"/>
    </row>
    <row r="91" spans="1:14" ht="15">
      <c r="A91" s="13">
        <v>44621</v>
      </c>
      <c r="B91" s="60">
        <f>3.1593 * CHOOSE(CONTROL!$C$22, $C$13, 100%, $E$13)</f>
        <v>3.1593</v>
      </c>
      <c r="C91" s="60">
        <f>3.1593 * CHOOSE(CONTROL!$C$22, $C$13, 100%, $E$13)</f>
        <v>3.1593</v>
      </c>
      <c r="D91" s="60">
        <f>3.1718 * CHOOSE(CONTROL!$C$22, $C$13, 100%, $E$13)</f>
        <v>3.1718000000000002</v>
      </c>
      <c r="E91" s="61">
        <f>3.6948 * CHOOSE(CONTROL!$C$22, $C$13, 100%, $E$13)</f>
        <v>3.6947999999999999</v>
      </c>
      <c r="F91" s="61">
        <f>3.6948 * CHOOSE(CONTROL!$C$22, $C$13, 100%, $E$13)</f>
        <v>3.6947999999999999</v>
      </c>
      <c r="G91" s="61">
        <f>3.695 * CHOOSE(CONTROL!$C$22, $C$13, 100%, $E$13)</f>
        <v>3.6949999999999998</v>
      </c>
      <c r="H91" s="61">
        <f>6.6852* CHOOSE(CONTROL!$C$22, $C$13, 100%, $E$13)</f>
        <v>6.6852</v>
      </c>
      <c r="I91" s="61">
        <f>6.6854 * CHOOSE(CONTROL!$C$22, $C$13, 100%, $E$13)</f>
        <v>6.6853999999999996</v>
      </c>
      <c r="J91" s="61">
        <f>3.6948 * CHOOSE(CONTROL!$C$22, $C$13, 100%, $E$13)</f>
        <v>3.6947999999999999</v>
      </c>
      <c r="K91" s="61">
        <f>3.695 * CHOOSE(CONTROL!$C$22, $C$13, 100%, $E$13)</f>
        <v>3.6949999999999998</v>
      </c>
      <c r="L91" s="4"/>
      <c r="M91" s="4"/>
      <c r="N91" s="4"/>
    </row>
    <row r="92" spans="1:14" ht="15">
      <c r="A92" s="13">
        <v>44652</v>
      </c>
      <c r="B92" s="60">
        <f>3.1561 * CHOOSE(CONTROL!$C$22, $C$13, 100%, $E$13)</f>
        <v>3.1560999999999999</v>
      </c>
      <c r="C92" s="60">
        <f>3.1561 * CHOOSE(CONTROL!$C$22, $C$13, 100%, $E$13)</f>
        <v>3.1560999999999999</v>
      </c>
      <c r="D92" s="60">
        <f>3.1687 * CHOOSE(CONTROL!$C$22, $C$13, 100%, $E$13)</f>
        <v>3.1686999999999999</v>
      </c>
      <c r="E92" s="61">
        <f>3.7248 * CHOOSE(CONTROL!$C$22, $C$13, 100%, $E$13)</f>
        <v>3.7248000000000001</v>
      </c>
      <c r="F92" s="61">
        <f>3.7248 * CHOOSE(CONTROL!$C$22, $C$13, 100%, $E$13)</f>
        <v>3.7248000000000001</v>
      </c>
      <c r="G92" s="61">
        <f>3.7249 * CHOOSE(CONTROL!$C$22, $C$13, 100%, $E$13)</f>
        <v>3.7248999999999999</v>
      </c>
      <c r="H92" s="61">
        <f>6.6992* CHOOSE(CONTROL!$C$22, $C$13, 100%, $E$13)</f>
        <v>6.6992000000000003</v>
      </c>
      <c r="I92" s="61">
        <f>6.6994 * CHOOSE(CONTROL!$C$22, $C$13, 100%, $E$13)</f>
        <v>6.6993999999999998</v>
      </c>
      <c r="J92" s="61">
        <f>3.7248 * CHOOSE(CONTROL!$C$22, $C$13, 100%, $E$13)</f>
        <v>3.7248000000000001</v>
      </c>
      <c r="K92" s="61">
        <f>3.7249 * CHOOSE(CONTROL!$C$22, $C$13, 100%, $E$13)</f>
        <v>3.7248999999999999</v>
      </c>
      <c r="L92" s="4"/>
      <c r="M92" s="4"/>
      <c r="N92" s="4"/>
    </row>
    <row r="93" spans="1:14" ht="15">
      <c r="A93" s="13">
        <v>44682</v>
      </c>
      <c r="B93" s="60">
        <f>3.1561 * CHOOSE(CONTROL!$C$22, $C$13, 100%, $E$13)</f>
        <v>3.1560999999999999</v>
      </c>
      <c r="C93" s="60">
        <f>3.1561 * CHOOSE(CONTROL!$C$22, $C$13, 100%, $E$13)</f>
        <v>3.1560999999999999</v>
      </c>
      <c r="D93" s="60">
        <f>3.1812 * CHOOSE(CONTROL!$C$22, $C$13, 100%, $E$13)</f>
        <v>3.1812</v>
      </c>
      <c r="E93" s="61">
        <f>3.7376 * CHOOSE(CONTROL!$C$22, $C$13, 100%, $E$13)</f>
        <v>3.7376</v>
      </c>
      <c r="F93" s="61">
        <f>3.7376 * CHOOSE(CONTROL!$C$22, $C$13, 100%, $E$13)</f>
        <v>3.7376</v>
      </c>
      <c r="G93" s="61">
        <f>3.7392 * CHOOSE(CONTROL!$C$22, $C$13, 100%, $E$13)</f>
        <v>3.7391999999999999</v>
      </c>
      <c r="H93" s="61">
        <f>6.7131* CHOOSE(CONTROL!$C$22, $C$13, 100%, $E$13)</f>
        <v>6.7130999999999998</v>
      </c>
      <c r="I93" s="61">
        <f>6.7147 * CHOOSE(CONTROL!$C$22, $C$13, 100%, $E$13)</f>
        <v>6.7146999999999997</v>
      </c>
      <c r="J93" s="61">
        <f>3.7376 * CHOOSE(CONTROL!$C$22, $C$13, 100%, $E$13)</f>
        <v>3.7376</v>
      </c>
      <c r="K93" s="61">
        <f>3.7392 * CHOOSE(CONTROL!$C$22, $C$13, 100%, $E$13)</f>
        <v>3.7391999999999999</v>
      </c>
      <c r="L93" s="4"/>
      <c r="M93" s="4"/>
      <c r="N93" s="4"/>
    </row>
    <row r="94" spans="1:14" ht="15">
      <c r="A94" s="13">
        <v>44713</v>
      </c>
      <c r="B94" s="60">
        <f>3.1622 * CHOOSE(CONTROL!$C$22, $C$13, 100%, $E$13)</f>
        <v>3.1621999999999999</v>
      </c>
      <c r="C94" s="60">
        <f>3.1622 * CHOOSE(CONTROL!$C$22, $C$13, 100%, $E$13)</f>
        <v>3.1621999999999999</v>
      </c>
      <c r="D94" s="60">
        <f>3.1873 * CHOOSE(CONTROL!$C$22, $C$13, 100%, $E$13)</f>
        <v>3.1873</v>
      </c>
      <c r="E94" s="61">
        <f>3.729 * CHOOSE(CONTROL!$C$22, $C$13, 100%, $E$13)</f>
        <v>3.7290000000000001</v>
      </c>
      <c r="F94" s="61">
        <f>3.729 * CHOOSE(CONTROL!$C$22, $C$13, 100%, $E$13)</f>
        <v>3.7290000000000001</v>
      </c>
      <c r="G94" s="61">
        <f>3.7306 * CHOOSE(CONTROL!$C$22, $C$13, 100%, $E$13)</f>
        <v>3.7305999999999999</v>
      </c>
      <c r="H94" s="61">
        <f>6.7271* CHOOSE(CONTROL!$C$22, $C$13, 100%, $E$13)</f>
        <v>6.7271000000000001</v>
      </c>
      <c r="I94" s="61">
        <f>6.7287 * CHOOSE(CONTROL!$C$22, $C$13, 100%, $E$13)</f>
        <v>6.7286999999999999</v>
      </c>
      <c r="J94" s="61">
        <f>3.729 * CHOOSE(CONTROL!$C$22, $C$13, 100%, $E$13)</f>
        <v>3.7290000000000001</v>
      </c>
      <c r="K94" s="61">
        <f>3.7306 * CHOOSE(CONTROL!$C$22, $C$13, 100%, $E$13)</f>
        <v>3.7305999999999999</v>
      </c>
      <c r="L94" s="4"/>
      <c r="M94" s="4"/>
      <c r="N94" s="4"/>
    </row>
    <row r="95" spans="1:14" ht="15">
      <c r="A95" s="13">
        <v>44743</v>
      </c>
      <c r="B95" s="60">
        <f>3.2179 * CHOOSE(CONTROL!$C$22, $C$13, 100%, $E$13)</f>
        <v>3.2179000000000002</v>
      </c>
      <c r="C95" s="60">
        <f>3.2179 * CHOOSE(CONTROL!$C$22, $C$13, 100%, $E$13)</f>
        <v>3.2179000000000002</v>
      </c>
      <c r="D95" s="60">
        <f>3.2429 * CHOOSE(CONTROL!$C$22, $C$13, 100%, $E$13)</f>
        <v>3.2429000000000001</v>
      </c>
      <c r="E95" s="61">
        <f>3.796 * CHOOSE(CONTROL!$C$22, $C$13, 100%, $E$13)</f>
        <v>3.7959999999999998</v>
      </c>
      <c r="F95" s="61">
        <f>3.796 * CHOOSE(CONTROL!$C$22, $C$13, 100%, $E$13)</f>
        <v>3.7959999999999998</v>
      </c>
      <c r="G95" s="61">
        <f>3.7976 * CHOOSE(CONTROL!$C$22, $C$13, 100%, $E$13)</f>
        <v>3.7976000000000001</v>
      </c>
      <c r="H95" s="61">
        <f>6.7411* CHOOSE(CONTROL!$C$22, $C$13, 100%, $E$13)</f>
        <v>6.7411000000000003</v>
      </c>
      <c r="I95" s="61">
        <f>6.7427 * CHOOSE(CONTROL!$C$22, $C$13, 100%, $E$13)</f>
        <v>6.7427000000000001</v>
      </c>
      <c r="J95" s="61">
        <f>3.796 * CHOOSE(CONTROL!$C$22, $C$13, 100%, $E$13)</f>
        <v>3.7959999999999998</v>
      </c>
      <c r="K95" s="61">
        <f>3.7976 * CHOOSE(CONTROL!$C$22, $C$13, 100%, $E$13)</f>
        <v>3.7976000000000001</v>
      </c>
      <c r="L95" s="4"/>
      <c r="M95" s="4"/>
      <c r="N95" s="4"/>
    </row>
    <row r="96" spans="1:14" ht="15">
      <c r="A96" s="13">
        <v>44774</v>
      </c>
      <c r="B96" s="60">
        <f>3.2245 * CHOOSE(CONTROL!$C$22, $C$13, 100%, $E$13)</f>
        <v>3.2244999999999999</v>
      </c>
      <c r="C96" s="60">
        <f>3.2245 * CHOOSE(CONTROL!$C$22, $C$13, 100%, $E$13)</f>
        <v>3.2244999999999999</v>
      </c>
      <c r="D96" s="60">
        <f>3.2496 * CHOOSE(CONTROL!$C$22, $C$13, 100%, $E$13)</f>
        <v>3.2496</v>
      </c>
      <c r="E96" s="61">
        <f>3.7622 * CHOOSE(CONTROL!$C$22, $C$13, 100%, $E$13)</f>
        <v>3.7622</v>
      </c>
      <c r="F96" s="61">
        <f>3.7622 * CHOOSE(CONTROL!$C$22, $C$13, 100%, $E$13)</f>
        <v>3.7622</v>
      </c>
      <c r="G96" s="61">
        <f>3.7638 * CHOOSE(CONTROL!$C$22, $C$13, 100%, $E$13)</f>
        <v>3.7637999999999998</v>
      </c>
      <c r="H96" s="61">
        <f>6.7552* CHOOSE(CONTROL!$C$22, $C$13, 100%, $E$13)</f>
        <v>6.7552000000000003</v>
      </c>
      <c r="I96" s="61">
        <f>6.7568 * CHOOSE(CONTROL!$C$22, $C$13, 100%, $E$13)</f>
        <v>6.7568000000000001</v>
      </c>
      <c r="J96" s="61">
        <f>3.7622 * CHOOSE(CONTROL!$C$22, $C$13, 100%, $E$13)</f>
        <v>3.7622</v>
      </c>
      <c r="K96" s="61">
        <f>3.7638 * CHOOSE(CONTROL!$C$22, $C$13, 100%, $E$13)</f>
        <v>3.7637999999999998</v>
      </c>
      <c r="L96" s="4"/>
      <c r="M96" s="4"/>
      <c r="N96" s="4"/>
    </row>
    <row r="97" spans="1:14" ht="15">
      <c r="A97" s="13">
        <v>44805</v>
      </c>
      <c r="B97" s="60">
        <f>3.2215 * CHOOSE(CONTROL!$C$22, $C$13, 100%, $E$13)</f>
        <v>3.2214999999999998</v>
      </c>
      <c r="C97" s="60">
        <f>3.2215 * CHOOSE(CONTROL!$C$22, $C$13, 100%, $E$13)</f>
        <v>3.2214999999999998</v>
      </c>
      <c r="D97" s="60">
        <f>3.2466 * CHOOSE(CONTROL!$C$22, $C$13, 100%, $E$13)</f>
        <v>3.2465999999999999</v>
      </c>
      <c r="E97" s="61">
        <f>3.7558 * CHOOSE(CONTROL!$C$22, $C$13, 100%, $E$13)</f>
        <v>3.7557999999999998</v>
      </c>
      <c r="F97" s="61">
        <f>3.7558 * CHOOSE(CONTROL!$C$22, $C$13, 100%, $E$13)</f>
        <v>3.7557999999999998</v>
      </c>
      <c r="G97" s="61">
        <f>3.7574 * CHOOSE(CONTROL!$C$22, $C$13, 100%, $E$13)</f>
        <v>3.7574000000000001</v>
      </c>
      <c r="H97" s="61">
        <f>6.7692* CHOOSE(CONTROL!$C$22, $C$13, 100%, $E$13)</f>
        <v>6.7691999999999997</v>
      </c>
      <c r="I97" s="61">
        <f>6.7709 * CHOOSE(CONTROL!$C$22, $C$13, 100%, $E$13)</f>
        <v>6.7709000000000001</v>
      </c>
      <c r="J97" s="61">
        <f>3.7558 * CHOOSE(CONTROL!$C$22, $C$13, 100%, $E$13)</f>
        <v>3.7557999999999998</v>
      </c>
      <c r="K97" s="61">
        <f>3.7574 * CHOOSE(CONTROL!$C$22, $C$13, 100%, $E$13)</f>
        <v>3.7574000000000001</v>
      </c>
      <c r="L97" s="4"/>
      <c r="M97" s="4"/>
      <c r="N97" s="4"/>
    </row>
    <row r="98" spans="1:14" ht="15">
      <c r="A98" s="13">
        <v>44835</v>
      </c>
      <c r="B98" s="60">
        <f>3.2138 * CHOOSE(CONTROL!$C$22, $C$13, 100%, $E$13)</f>
        <v>3.2138</v>
      </c>
      <c r="C98" s="60">
        <f>3.2138 * CHOOSE(CONTROL!$C$22, $C$13, 100%, $E$13)</f>
        <v>3.2138</v>
      </c>
      <c r="D98" s="60">
        <f>3.2264 * CHOOSE(CONTROL!$C$22, $C$13, 100%, $E$13)</f>
        <v>3.2263999999999999</v>
      </c>
      <c r="E98" s="61">
        <f>3.7595 * CHOOSE(CONTROL!$C$22, $C$13, 100%, $E$13)</f>
        <v>3.7595000000000001</v>
      </c>
      <c r="F98" s="61">
        <f>3.7595 * CHOOSE(CONTROL!$C$22, $C$13, 100%, $E$13)</f>
        <v>3.7595000000000001</v>
      </c>
      <c r="G98" s="61">
        <f>3.7597 * CHOOSE(CONTROL!$C$22, $C$13, 100%, $E$13)</f>
        <v>3.7597</v>
      </c>
      <c r="H98" s="61">
        <f>6.7834* CHOOSE(CONTROL!$C$22, $C$13, 100%, $E$13)</f>
        <v>6.7834000000000003</v>
      </c>
      <c r="I98" s="61">
        <f>6.7835 * CHOOSE(CONTROL!$C$22, $C$13, 100%, $E$13)</f>
        <v>6.7835000000000001</v>
      </c>
      <c r="J98" s="61">
        <f>3.7595 * CHOOSE(CONTROL!$C$22, $C$13, 100%, $E$13)</f>
        <v>3.7595000000000001</v>
      </c>
      <c r="K98" s="61">
        <f>3.7597 * CHOOSE(CONTROL!$C$22, $C$13, 100%, $E$13)</f>
        <v>3.7597</v>
      </c>
      <c r="L98" s="4"/>
      <c r="M98" s="4"/>
      <c r="N98" s="4"/>
    </row>
    <row r="99" spans="1:14" ht="15">
      <c r="A99" s="13">
        <v>44866</v>
      </c>
      <c r="B99" s="60">
        <f>3.2169 * CHOOSE(CONTROL!$C$22, $C$13, 100%, $E$13)</f>
        <v>3.2168999999999999</v>
      </c>
      <c r="C99" s="60">
        <f>3.2169 * CHOOSE(CONTROL!$C$22, $C$13, 100%, $E$13)</f>
        <v>3.2168999999999999</v>
      </c>
      <c r="D99" s="60">
        <f>3.2294 * CHOOSE(CONTROL!$C$22, $C$13, 100%, $E$13)</f>
        <v>3.2294</v>
      </c>
      <c r="E99" s="61">
        <f>3.7702 * CHOOSE(CONTROL!$C$22, $C$13, 100%, $E$13)</f>
        <v>3.7702</v>
      </c>
      <c r="F99" s="61">
        <f>3.7702 * CHOOSE(CONTROL!$C$22, $C$13, 100%, $E$13)</f>
        <v>3.7702</v>
      </c>
      <c r="G99" s="61">
        <f>3.7703 * CHOOSE(CONTROL!$C$22, $C$13, 100%, $E$13)</f>
        <v>3.7703000000000002</v>
      </c>
      <c r="H99" s="61">
        <f>6.7975* CHOOSE(CONTROL!$C$22, $C$13, 100%, $E$13)</f>
        <v>6.7975000000000003</v>
      </c>
      <c r="I99" s="61">
        <f>6.7977 * CHOOSE(CONTROL!$C$22, $C$13, 100%, $E$13)</f>
        <v>6.7976999999999999</v>
      </c>
      <c r="J99" s="61">
        <f>3.7702 * CHOOSE(CONTROL!$C$22, $C$13, 100%, $E$13)</f>
        <v>3.7702</v>
      </c>
      <c r="K99" s="61">
        <f>3.7703 * CHOOSE(CONTROL!$C$22, $C$13, 100%, $E$13)</f>
        <v>3.7703000000000002</v>
      </c>
      <c r="L99" s="4"/>
      <c r="M99" s="4"/>
      <c r="N99" s="4"/>
    </row>
    <row r="100" spans="1:14" ht="15">
      <c r="A100" s="13">
        <v>44896</v>
      </c>
      <c r="B100" s="60">
        <f>3.2169 * CHOOSE(CONTROL!$C$22, $C$13, 100%, $E$13)</f>
        <v>3.2168999999999999</v>
      </c>
      <c r="C100" s="60">
        <f>3.2169 * CHOOSE(CONTROL!$C$22, $C$13, 100%, $E$13)</f>
        <v>3.2168999999999999</v>
      </c>
      <c r="D100" s="60">
        <f>3.2294 * CHOOSE(CONTROL!$C$22, $C$13, 100%, $E$13)</f>
        <v>3.2294</v>
      </c>
      <c r="E100" s="61">
        <f>3.7488 * CHOOSE(CONTROL!$C$22, $C$13, 100%, $E$13)</f>
        <v>3.7488000000000001</v>
      </c>
      <c r="F100" s="61">
        <f>3.7488 * CHOOSE(CONTROL!$C$22, $C$13, 100%, $E$13)</f>
        <v>3.7488000000000001</v>
      </c>
      <c r="G100" s="61">
        <f>3.749 * CHOOSE(CONTROL!$C$22, $C$13, 100%, $E$13)</f>
        <v>3.7490000000000001</v>
      </c>
      <c r="H100" s="61">
        <f>6.8116* CHOOSE(CONTROL!$C$22, $C$13, 100%, $E$13)</f>
        <v>6.8116000000000003</v>
      </c>
      <c r="I100" s="61">
        <f>6.8118 * CHOOSE(CONTROL!$C$22, $C$13, 100%, $E$13)</f>
        <v>6.8117999999999999</v>
      </c>
      <c r="J100" s="61">
        <f>3.7488 * CHOOSE(CONTROL!$C$22, $C$13, 100%, $E$13)</f>
        <v>3.7488000000000001</v>
      </c>
      <c r="K100" s="61">
        <f>3.749 * CHOOSE(CONTROL!$C$22, $C$13, 100%, $E$13)</f>
        <v>3.7490000000000001</v>
      </c>
      <c r="L100" s="4"/>
      <c r="M100" s="4"/>
      <c r="N100" s="4"/>
    </row>
    <row r="101" spans="1:14" ht="15">
      <c r="A101" s="13">
        <v>44927</v>
      </c>
      <c r="B101" s="60">
        <f>3.2478 * CHOOSE(CONTROL!$C$22, $C$13, 100%, $E$13)</f>
        <v>3.2477999999999998</v>
      </c>
      <c r="C101" s="60">
        <f>3.2478 * CHOOSE(CONTROL!$C$22, $C$13, 100%, $E$13)</f>
        <v>3.2477999999999998</v>
      </c>
      <c r="D101" s="60">
        <f>3.2604 * CHOOSE(CONTROL!$C$22, $C$13, 100%, $E$13)</f>
        <v>3.2604000000000002</v>
      </c>
      <c r="E101" s="61">
        <f>3.7975 * CHOOSE(CONTROL!$C$22, $C$13, 100%, $E$13)</f>
        <v>3.7974999999999999</v>
      </c>
      <c r="F101" s="61">
        <f>3.7975 * CHOOSE(CONTROL!$C$22, $C$13, 100%, $E$13)</f>
        <v>3.7974999999999999</v>
      </c>
      <c r="G101" s="61">
        <f>3.7977 * CHOOSE(CONTROL!$C$22, $C$13, 100%, $E$13)</f>
        <v>3.7976999999999999</v>
      </c>
      <c r="H101" s="61">
        <f>6.8258* CHOOSE(CONTROL!$C$22, $C$13, 100%, $E$13)</f>
        <v>6.8258000000000001</v>
      </c>
      <c r="I101" s="61">
        <f>6.826 * CHOOSE(CONTROL!$C$22, $C$13, 100%, $E$13)</f>
        <v>6.8259999999999996</v>
      </c>
      <c r="J101" s="61">
        <f>3.7975 * CHOOSE(CONTROL!$C$22, $C$13, 100%, $E$13)</f>
        <v>3.7974999999999999</v>
      </c>
      <c r="K101" s="61">
        <f>3.7977 * CHOOSE(CONTROL!$C$22, $C$13, 100%, $E$13)</f>
        <v>3.7976999999999999</v>
      </c>
      <c r="L101" s="4"/>
      <c r="M101" s="4"/>
      <c r="N101" s="4"/>
    </row>
    <row r="102" spans="1:14" ht="15">
      <c r="A102" s="13">
        <v>44958</v>
      </c>
      <c r="B102" s="60">
        <f>3.2448 * CHOOSE(CONTROL!$C$22, $C$13, 100%, $E$13)</f>
        <v>3.2448000000000001</v>
      </c>
      <c r="C102" s="60">
        <f>3.2448 * CHOOSE(CONTROL!$C$22, $C$13, 100%, $E$13)</f>
        <v>3.2448000000000001</v>
      </c>
      <c r="D102" s="60">
        <f>3.2573 * CHOOSE(CONTROL!$C$22, $C$13, 100%, $E$13)</f>
        <v>3.2572999999999999</v>
      </c>
      <c r="E102" s="61">
        <f>3.7528 * CHOOSE(CONTROL!$C$22, $C$13, 100%, $E$13)</f>
        <v>3.7528000000000001</v>
      </c>
      <c r="F102" s="61">
        <f>3.7528 * CHOOSE(CONTROL!$C$22, $C$13, 100%, $E$13)</f>
        <v>3.7528000000000001</v>
      </c>
      <c r="G102" s="61">
        <f>3.753 * CHOOSE(CONTROL!$C$22, $C$13, 100%, $E$13)</f>
        <v>3.7530000000000001</v>
      </c>
      <c r="H102" s="61">
        <f>6.8401* CHOOSE(CONTROL!$C$22, $C$13, 100%, $E$13)</f>
        <v>6.8400999999999996</v>
      </c>
      <c r="I102" s="61">
        <f>6.8402 * CHOOSE(CONTROL!$C$22, $C$13, 100%, $E$13)</f>
        <v>6.8402000000000003</v>
      </c>
      <c r="J102" s="61">
        <f>3.7528 * CHOOSE(CONTROL!$C$22, $C$13, 100%, $E$13)</f>
        <v>3.7528000000000001</v>
      </c>
      <c r="K102" s="61">
        <f>3.753 * CHOOSE(CONTROL!$C$22, $C$13, 100%, $E$13)</f>
        <v>3.7530000000000001</v>
      </c>
      <c r="L102" s="4"/>
      <c r="M102" s="4"/>
      <c r="N102" s="4"/>
    </row>
    <row r="103" spans="1:14" ht="15">
      <c r="A103" s="13">
        <v>44986</v>
      </c>
      <c r="B103" s="60">
        <f>3.2417 * CHOOSE(CONTROL!$C$22, $C$13, 100%, $E$13)</f>
        <v>3.2416999999999998</v>
      </c>
      <c r="C103" s="60">
        <f>3.2417 * CHOOSE(CONTROL!$C$22, $C$13, 100%, $E$13)</f>
        <v>3.2416999999999998</v>
      </c>
      <c r="D103" s="60">
        <f>3.2543 * CHOOSE(CONTROL!$C$22, $C$13, 100%, $E$13)</f>
        <v>3.2543000000000002</v>
      </c>
      <c r="E103" s="61">
        <f>3.7843 * CHOOSE(CONTROL!$C$22, $C$13, 100%, $E$13)</f>
        <v>3.7843</v>
      </c>
      <c r="F103" s="61">
        <f>3.7843 * CHOOSE(CONTROL!$C$22, $C$13, 100%, $E$13)</f>
        <v>3.7843</v>
      </c>
      <c r="G103" s="61">
        <f>3.7844 * CHOOSE(CONTROL!$C$22, $C$13, 100%, $E$13)</f>
        <v>3.7844000000000002</v>
      </c>
      <c r="H103" s="61">
        <f>6.8543* CHOOSE(CONTROL!$C$22, $C$13, 100%, $E$13)</f>
        <v>6.8543000000000003</v>
      </c>
      <c r="I103" s="61">
        <f>6.8545 * CHOOSE(CONTROL!$C$22, $C$13, 100%, $E$13)</f>
        <v>6.8544999999999998</v>
      </c>
      <c r="J103" s="61">
        <f>3.7843 * CHOOSE(CONTROL!$C$22, $C$13, 100%, $E$13)</f>
        <v>3.7843</v>
      </c>
      <c r="K103" s="61">
        <f>3.7844 * CHOOSE(CONTROL!$C$22, $C$13, 100%, $E$13)</f>
        <v>3.7844000000000002</v>
      </c>
      <c r="L103" s="4"/>
      <c r="M103" s="4"/>
      <c r="N103" s="4"/>
    </row>
    <row r="104" spans="1:14" ht="15">
      <c r="A104" s="13">
        <v>45017</v>
      </c>
      <c r="B104" s="60">
        <f>3.2387 * CHOOSE(CONTROL!$C$22, $C$13, 100%, $E$13)</f>
        <v>3.2387000000000001</v>
      </c>
      <c r="C104" s="60">
        <f>3.2387 * CHOOSE(CONTROL!$C$22, $C$13, 100%, $E$13)</f>
        <v>3.2387000000000001</v>
      </c>
      <c r="D104" s="60">
        <f>3.2512 * CHOOSE(CONTROL!$C$22, $C$13, 100%, $E$13)</f>
        <v>3.2511999999999999</v>
      </c>
      <c r="E104" s="61">
        <f>3.816 * CHOOSE(CONTROL!$C$22, $C$13, 100%, $E$13)</f>
        <v>3.8159999999999998</v>
      </c>
      <c r="F104" s="61">
        <f>3.816 * CHOOSE(CONTROL!$C$22, $C$13, 100%, $E$13)</f>
        <v>3.8159999999999998</v>
      </c>
      <c r="G104" s="61">
        <f>3.8162 * CHOOSE(CONTROL!$C$22, $C$13, 100%, $E$13)</f>
        <v>3.8161999999999998</v>
      </c>
      <c r="H104" s="61">
        <f>6.8686* CHOOSE(CONTROL!$C$22, $C$13, 100%, $E$13)</f>
        <v>6.8685999999999998</v>
      </c>
      <c r="I104" s="61">
        <f>6.8688 * CHOOSE(CONTROL!$C$22, $C$13, 100%, $E$13)</f>
        <v>6.8688000000000002</v>
      </c>
      <c r="J104" s="61">
        <f>3.816 * CHOOSE(CONTROL!$C$22, $C$13, 100%, $E$13)</f>
        <v>3.8159999999999998</v>
      </c>
      <c r="K104" s="61">
        <f>3.8162 * CHOOSE(CONTROL!$C$22, $C$13, 100%, $E$13)</f>
        <v>3.8161999999999998</v>
      </c>
      <c r="L104" s="4"/>
      <c r="M104" s="4"/>
      <c r="N104" s="4"/>
    </row>
    <row r="105" spans="1:14" ht="15">
      <c r="A105" s="13">
        <v>45047</v>
      </c>
      <c r="B105" s="60">
        <f>3.2387 * CHOOSE(CONTROL!$C$22, $C$13, 100%, $E$13)</f>
        <v>3.2387000000000001</v>
      </c>
      <c r="C105" s="60">
        <f>3.2387 * CHOOSE(CONTROL!$C$22, $C$13, 100%, $E$13)</f>
        <v>3.2387000000000001</v>
      </c>
      <c r="D105" s="60">
        <f>3.2638 * CHOOSE(CONTROL!$C$22, $C$13, 100%, $E$13)</f>
        <v>3.2637999999999998</v>
      </c>
      <c r="E105" s="61">
        <f>3.8295 * CHOOSE(CONTROL!$C$22, $C$13, 100%, $E$13)</f>
        <v>3.8294999999999999</v>
      </c>
      <c r="F105" s="61">
        <f>3.8295 * CHOOSE(CONTROL!$C$22, $C$13, 100%, $E$13)</f>
        <v>3.8294999999999999</v>
      </c>
      <c r="G105" s="61">
        <f>3.8311 * CHOOSE(CONTROL!$C$22, $C$13, 100%, $E$13)</f>
        <v>3.8311000000000002</v>
      </c>
      <c r="H105" s="61">
        <f>6.8829* CHOOSE(CONTROL!$C$22, $C$13, 100%, $E$13)</f>
        <v>6.8829000000000002</v>
      </c>
      <c r="I105" s="61">
        <f>6.8845 * CHOOSE(CONTROL!$C$22, $C$13, 100%, $E$13)</f>
        <v>6.8845000000000001</v>
      </c>
      <c r="J105" s="61">
        <f>3.8295 * CHOOSE(CONTROL!$C$22, $C$13, 100%, $E$13)</f>
        <v>3.8294999999999999</v>
      </c>
      <c r="K105" s="61">
        <f>3.8311 * CHOOSE(CONTROL!$C$22, $C$13, 100%, $E$13)</f>
        <v>3.8311000000000002</v>
      </c>
      <c r="L105" s="4"/>
      <c r="M105" s="4"/>
      <c r="N105" s="4"/>
    </row>
    <row r="106" spans="1:14" ht="15">
      <c r="A106" s="13">
        <v>45078</v>
      </c>
      <c r="B106" s="60">
        <f>3.2448 * CHOOSE(CONTROL!$C$22, $C$13, 100%, $E$13)</f>
        <v>3.2448000000000001</v>
      </c>
      <c r="C106" s="60">
        <f>3.2448 * CHOOSE(CONTROL!$C$22, $C$13, 100%, $E$13)</f>
        <v>3.2448000000000001</v>
      </c>
      <c r="D106" s="60">
        <f>3.2699 * CHOOSE(CONTROL!$C$22, $C$13, 100%, $E$13)</f>
        <v>3.2698999999999998</v>
      </c>
      <c r="E106" s="61">
        <f>3.8203 * CHOOSE(CONTROL!$C$22, $C$13, 100%, $E$13)</f>
        <v>3.8203</v>
      </c>
      <c r="F106" s="61">
        <f>3.8203 * CHOOSE(CONTROL!$C$22, $C$13, 100%, $E$13)</f>
        <v>3.8203</v>
      </c>
      <c r="G106" s="61">
        <f>3.8219 * CHOOSE(CONTROL!$C$22, $C$13, 100%, $E$13)</f>
        <v>3.8218999999999999</v>
      </c>
      <c r="H106" s="61">
        <f>6.8972* CHOOSE(CONTROL!$C$22, $C$13, 100%, $E$13)</f>
        <v>6.8971999999999998</v>
      </c>
      <c r="I106" s="61">
        <f>6.8988 * CHOOSE(CONTROL!$C$22, $C$13, 100%, $E$13)</f>
        <v>6.8987999999999996</v>
      </c>
      <c r="J106" s="61">
        <f>3.8203 * CHOOSE(CONTROL!$C$22, $C$13, 100%, $E$13)</f>
        <v>3.8203</v>
      </c>
      <c r="K106" s="61">
        <f>3.8219 * CHOOSE(CONTROL!$C$22, $C$13, 100%, $E$13)</f>
        <v>3.8218999999999999</v>
      </c>
      <c r="L106" s="4"/>
      <c r="M106" s="4"/>
      <c r="N106" s="4"/>
    </row>
    <row r="107" spans="1:14" ht="15">
      <c r="A107" s="13">
        <v>45108</v>
      </c>
      <c r="B107" s="60">
        <f>3.3031 * CHOOSE(CONTROL!$C$22, $C$13, 100%, $E$13)</f>
        <v>3.3031000000000001</v>
      </c>
      <c r="C107" s="60">
        <f>3.3031 * CHOOSE(CONTROL!$C$22, $C$13, 100%, $E$13)</f>
        <v>3.3031000000000001</v>
      </c>
      <c r="D107" s="60">
        <f>3.3282 * CHOOSE(CONTROL!$C$22, $C$13, 100%, $E$13)</f>
        <v>3.3281999999999998</v>
      </c>
      <c r="E107" s="61">
        <f>3.8691 * CHOOSE(CONTROL!$C$22, $C$13, 100%, $E$13)</f>
        <v>3.8691</v>
      </c>
      <c r="F107" s="61">
        <f>3.8691 * CHOOSE(CONTROL!$C$22, $C$13, 100%, $E$13)</f>
        <v>3.8691</v>
      </c>
      <c r="G107" s="61">
        <f>3.8707 * CHOOSE(CONTROL!$C$22, $C$13, 100%, $E$13)</f>
        <v>3.8706999999999998</v>
      </c>
      <c r="H107" s="61">
        <f>6.9116* CHOOSE(CONTROL!$C$22, $C$13, 100%, $E$13)</f>
        <v>6.9116</v>
      </c>
      <c r="I107" s="61">
        <f>6.9132 * CHOOSE(CONTROL!$C$22, $C$13, 100%, $E$13)</f>
        <v>6.9131999999999998</v>
      </c>
      <c r="J107" s="61">
        <f>3.8691 * CHOOSE(CONTROL!$C$22, $C$13, 100%, $E$13)</f>
        <v>3.8691</v>
      </c>
      <c r="K107" s="61">
        <f>3.8707 * CHOOSE(CONTROL!$C$22, $C$13, 100%, $E$13)</f>
        <v>3.8706999999999998</v>
      </c>
      <c r="L107" s="4"/>
      <c r="M107" s="4"/>
      <c r="N107" s="4"/>
    </row>
    <row r="108" spans="1:14" ht="15">
      <c r="A108" s="13">
        <v>45139</v>
      </c>
      <c r="B108" s="60">
        <f>3.3098 * CHOOSE(CONTROL!$C$22, $C$13, 100%, $E$13)</f>
        <v>3.3098000000000001</v>
      </c>
      <c r="C108" s="60">
        <f>3.3098 * CHOOSE(CONTROL!$C$22, $C$13, 100%, $E$13)</f>
        <v>3.3098000000000001</v>
      </c>
      <c r="D108" s="60">
        <f>3.3349 * CHOOSE(CONTROL!$C$22, $C$13, 100%, $E$13)</f>
        <v>3.3349000000000002</v>
      </c>
      <c r="E108" s="61">
        <f>3.8332 * CHOOSE(CONTROL!$C$22, $C$13, 100%, $E$13)</f>
        <v>3.8332000000000002</v>
      </c>
      <c r="F108" s="61">
        <f>3.8332 * CHOOSE(CONTROL!$C$22, $C$13, 100%, $E$13)</f>
        <v>3.8332000000000002</v>
      </c>
      <c r="G108" s="61">
        <f>3.8348 * CHOOSE(CONTROL!$C$22, $C$13, 100%, $E$13)</f>
        <v>3.8348</v>
      </c>
      <c r="H108" s="61">
        <f>6.926* CHOOSE(CONTROL!$C$22, $C$13, 100%, $E$13)</f>
        <v>6.9260000000000002</v>
      </c>
      <c r="I108" s="61">
        <f>6.9276 * CHOOSE(CONTROL!$C$22, $C$13, 100%, $E$13)</f>
        <v>6.9276</v>
      </c>
      <c r="J108" s="61">
        <f>3.8332 * CHOOSE(CONTROL!$C$22, $C$13, 100%, $E$13)</f>
        <v>3.8332000000000002</v>
      </c>
      <c r="K108" s="61">
        <f>3.8348 * CHOOSE(CONTROL!$C$22, $C$13, 100%, $E$13)</f>
        <v>3.8348</v>
      </c>
      <c r="L108" s="4"/>
      <c r="M108" s="4"/>
      <c r="N108" s="4"/>
    </row>
    <row r="109" spans="1:14" ht="15">
      <c r="A109" s="13">
        <v>45170</v>
      </c>
      <c r="B109" s="60">
        <f>3.3067 * CHOOSE(CONTROL!$C$22, $C$13, 100%, $E$13)</f>
        <v>3.3067000000000002</v>
      </c>
      <c r="C109" s="60">
        <f>3.3067 * CHOOSE(CONTROL!$C$22, $C$13, 100%, $E$13)</f>
        <v>3.3067000000000002</v>
      </c>
      <c r="D109" s="60">
        <f>3.3318 * CHOOSE(CONTROL!$C$22, $C$13, 100%, $E$13)</f>
        <v>3.3317999999999999</v>
      </c>
      <c r="E109" s="61">
        <f>3.8266 * CHOOSE(CONTROL!$C$22, $C$13, 100%, $E$13)</f>
        <v>3.8266</v>
      </c>
      <c r="F109" s="61">
        <f>3.8266 * CHOOSE(CONTROL!$C$22, $C$13, 100%, $E$13)</f>
        <v>3.8266</v>
      </c>
      <c r="G109" s="61">
        <f>3.8282 * CHOOSE(CONTROL!$C$22, $C$13, 100%, $E$13)</f>
        <v>3.8281999999999998</v>
      </c>
      <c r="H109" s="61">
        <f>6.9404* CHOOSE(CONTROL!$C$22, $C$13, 100%, $E$13)</f>
        <v>6.9404000000000003</v>
      </c>
      <c r="I109" s="61">
        <f>6.942 * CHOOSE(CONTROL!$C$22, $C$13, 100%, $E$13)</f>
        <v>6.9420000000000002</v>
      </c>
      <c r="J109" s="61">
        <f>3.8266 * CHOOSE(CONTROL!$C$22, $C$13, 100%, $E$13)</f>
        <v>3.8266</v>
      </c>
      <c r="K109" s="61">
        <f>3.8282 * CHOOSE(CONTROL!$C$22, $C$13, 100%, $E$13)</f>
        <v>3.8281999999999998</v>
      </c>
      <c r="L109" s="4"/>
      <c r="M109" s="4"/>
      <c r="N109" s="4"/>
    </row>
    <row r="110" spans="1:14" ht="15">
      <c r="A110" s="13">
        <v>45200</v>
      </c>
      <c r="B110" s="60">
        <f>3.2994 * CHOOSE(CONTROL!$C$22, $C$13, 100%, $E$13)</f>
        <v>3.2993999999999999</v>
      </c>
      <c r="C110" s="60">
        <f>3.2994 * CHOOSE(CONTROL!$C$22, $C$13, 100%, $E$13)</f>
        <v>3.2993999999999999</v>
      </c>
      <c r="D110" s="60">
        <f>3.3119 * CHOOSE(CONTROL!$C$22, $C$13, 100%, $E$13)</f>
        <v>3.3119000000000001</v>
      </c>
      <c r="E110" s="61">
        <f>3.8312 * CHOOSE(CONTROL!$C$22, $C$13, 100%, $E$13)</f>
        <v>3.8311999999999999</v>
      </c>
      <c r="F110" s="61">
        <f>3.8312 * CHOOSE(CONTROL!$C$22, $C$13, 100%, $E$13)</f>
        <v>3.8311999999999999</v>
      </c>
      <c r="G110" s="61">
        <f>3.8314 * CHOOSE(CONTROL!$C$22, $C$13, 100%, $E$13)</f>
        <v>3.8313999999999999</v>
      </c>
      <c r="H110" s="61">
        <f>6.9549* CHOOSE(CONTROL!$C$22, $C$13, 100%, $E$13)</f>
        <v>6.9549000000000003</v>
      </c>
      <c r="I110" s="61">
        <f>6.9551 * CHOOSE(CONTROL!$C$22, $C$13, 100%, $E$13)</f>
        <v>6.9550999999999998</v>
      </c>
      <c r="J110" s="61">
        <f>3.8312 * CHOOSE(CONTROL!$C$22, $C$13, 100%, $E$13)</f>
        <v>3.8311999999999999</v>
      </c>
      <c r="K110" s="61">
        <f>3.8314 * CHOOSE(CONTROL!$C$22, $C$13, 100%, $E$13)</f>
        <v>3.8313999999999999</v>
      </c>
      <c r="L110" s="4"/>
      <c r="M110" s="4"/>
      <c r="N110" s="4"/>
    </row>
    <row r="111" spans="1:14" ht="15">
      <c r="A111" s="13">
        <v>45231</v>
      </c>
      <c r="B111" s="60">
        <f>3.3024 * CHOOSE(CONTROL!$C$22, $C$13, 100%, $E$13)</f>
        <v>3.3024</v>
      </c>
      <c r="C111" s="60">
        <f>3.3024 * CHOOSE(CONTROL!$C$22, $C$13, 100%, $E$13)</f>
        <v>3.3024</v>
      </c>
      <c r="D111" s="60">
        <f>3.315 * CHOOSE(CONTROL!$C$22, $C$13, 100%, $E$13)</f>
        <v>3.3149999999999999</v>
      </c>
      <c r="E111" s="61">
        <f>3.8423 * CHOOSE(CONTROL!$C$22, $C$13, 100%, $E$13)</f>
        <v>3.8422999999999998</v>
      </c>
      <c r="F111" s="61">
        <f>3.8423 * CHOOSE(CONTROL!$C$22, $C$13, 100%, $E$13)</f>
        <v>3.8422999999999998</v>
      </c>
      <c r="G111" s="61">
        <f>3.8425 * CHOOSE(CONTROL!$C$22, $C$13, 100%, $E$13)</f>
        <v>3.8424999999999998</v>
      </c>
      <c r="H111" s="61">
        <f>6.9694* CHOOSE(CONTROL!$C$22, $C$13, 100%, $E$13)</f>
        <v>6.9694000000000003</v>
      </c>
      <c r="I111" s="61">
        <f>6.9696 * CHOOSE(CONTROL!$C$22, $C$13, 100%, $E$13)</f>
        <v>6.9695999999999998</v>
      </c>
      <c r="J111" s="61">
        <f>3.8423 * CHOOSE(CONTROL!$C$22, $C$13, 100%, $E$13)</f>
        <v>3.8422999999999998</v>
      </c>
      <c r="K111" s="61">
        <f>3.8425 * CHOOSE(CONTROL!$C$22, $C$13, 100%, $E$13)</f>
        <v>3.8424999999999998</v>
      </c>
      <c r="L111" s="4"/>
      <c r="M111" s="4"/>
      <c r="N111" s="4"/>
    </row>
    <row r="112" spans="1:14" ht="15">
      <c r="A112" s="13">
        <v>45261</v>
      </c>
      <c r="B112" s="60">
        <f>3.3024 * CHOOSE(CONTROL!$C$22, $C$13, 100%, $E$13)</f>
        <v>3.3024</v>
      </c>
      <c r="C112" s="60">
        <f>3.3024 * CHOOSE(CONTROL!$C$22, $C$13, 100%, $E$13)</f>
        <v>3.3024</v>
      </c>
      <c r="D112" s="60">
        <f>3.315 * CHOOSE(CONTROL!$C$22, $C$13, 100%, $E$13)</f>
        <v>3.3149999999999999</v>
      </c>
      <c r="E112" s="61">
        <f>3.8198 * CHOOSE(CONTROL!$C$22, $C$13, 100%, $E$13)</f>
        <v>3.8197999999999999</v>
      </c>
      <c r="F112" s="61">
        <f>3.8198 * CHOOSE(CONTROL!$C$22, $C$13, 100%, $E$13)</f>
        <v>3.8197999999999999</v>
      </c>
      <c r="G112" s="61">
        <f>3.82 * CHOOSE(CONTROL!$C$22, $C$13, 100%, $E$13)</f>
        <v>3.82</v>
      </c>
      <c r="H112" s="61">
        <f>6.9839* CHOOSE(CONTROL!$C$22, $C$13, 100%, $E$13)</f>
        <v>6.9839000000000002</v>
      </c>
      <c r="I112" s="61">
        <f>6.9841 * CHOOSE(CONTROL!$C$22, $C$13, 100%, $E$13)</f>
        <v>6.9840999999999998</v>
      </c>
      <c r="J112" s="61">
        <f>3.8198 * CHOOSE(CONTROL!$C$22, $C$13, 100%, $E$13)</f>
        <v>3.8197999999999999</v>
      </c>
      <c r="K112" s="61">
        <f>3.82 * CHOOSE(CONTROL!$C$22, $C$13, 100%, $E$13)</f>
        <v>3.82</v>
      </c>
      <c r="L112" s="4"/>
      <c r="M112" s="4"/>
      <c r="N112" s="4"/>
    </row>
    <row r="113" spans="1:14" ht="15">
      <c r="A113" s="13">
        <v>45292</v>
      </c>
      <c r="B113" s="60">
        <f>3.3324 * CHOOSE(CONTROL!$C$22, $C$13, 100%, $E$13)</f>
        <v>3.3323999999999998</v>
      </c>
      <c r="C113" s="60">
        <f>3.3324 * CHOOSE(CONTROL!$C$22, $C$13, 100%, $E$13)</f>
        <v>3.3323999999999998</v>
      </c>
      <c r="D113" s="60">
        <f>3.3449 * CHOOSE(CONTROL!$C$22, $C$13, 100%, $E$13)</f>
        <v>3.3449</v>
      </c>
      <c r="E113" s="61">
        <f>3.8554 * CHOOSE(CONTROL!$C$22, $C$13, 100%, $E$13)</f>
        <v>3.8553999999999999</v>
      </c>
      <c r="F113" s="61">
        <f>3.8554 * CHOOSE(CONTROL!$C$22, $C$13, 100%, $E$13)</f>
        <v>3.8553999999999999</v>
      </c>
      <c r="G113" s="61">
        <f>3.8555 * CHOOSE(CONTROL!$C$22, $C$13, 100%, $E$13)</f>
        <v>3.8555000000000001</v>
      </c>
      <c r="H113" s="61">
        <f>6.9985* CHOOSE(CONTROL!$C$22, $C$13, 100%, $E$13)</f>
        <v>6.9984999999999999</v>
      </c>
      <c r="I113" s="61">
        <f>6.9986 * CHOOSE(CONTROL!$C$22, $C$13, 100%, $E$13)</f>
        <v>6.9985999999999997</v>
      </c>
      <c r="J113" s="61">
        <f>3.8554 * CHOOSE(CONTROL!$C$22, $C$13, 100%, $E$13)</f>
        <v>3.8553999999999999</v>
      </c>
      <c r="K113" s="61">
        <f>3.8555 * CHOOSE(CONTROL!$C$22, $C$13, 100%, $E$13)</f>
        <v>3.8555000000000001</v>
      </c>
      <c r="L113" s="4"/>
      <c r="M113" s="4"/>
      <c r="N113" s="4"/>
    </row>
    <row r="114" spans="1:14" ht="15">
      <c r="A114" s="13">
        <v>45323</v>
      </c>
      <c r="B114" s="60">
        <f>3.3294 * CHOOSE(CONTROL!$C$22, $C$13, 100%, $E$13)</f>
        <v>3.3294000000000001</v>
      </c>
      <c r="C114" s="60">
        <f>3.3294 * CHOOSE(CONTROL!$C$22, $C$13, 100%, $E$13)</f>
        <v>3.3294000000000001</v>
      </c>
      <c r="D114" s="60">
        <f>3.3419 * CHOOSE(CONTROL!$C$22, $C$13, 100%, $E$13)</f>
        <v>3.3418999999999999</v>
      </c>
      <c r="E114" s="61">
        <f>3.8103 * CHOOSE(CONTROL!$C$22, $C$13, 100%, $E$13)</f>
        <v>3.8102999999999998</v>
      </c>
      <c r="F114" s="61">
        <f>3.8103 * CHOOSE(CONTROL!$C$22, $C$13, 100%, $E$13)</f>
        <v>3.8102999999999998</v>
      </c>
      <c r="G114" s="61">
        <f>3.8105 * CHOOSE(CONTROL!$C$22, $C$13, 100%, $E$13)</f>
        <v>3.8105000000000002</v>
      </c>
      <c r="H114" s="61">
        <f>7.013* CHOOSE(CONTROL!$C$22, $C$13, 100%, $E$13)</f>
        <v>7.0129999999999999</v>
      </c>
      <c r="I114" s="61">
        <f>7.0132 * CHOOSE(CONTROL!$C$22, $C$13, 100%, $E$13)</f>
        <v>7.0132000000000003</v>
      </c>
      <c r="J114" s="61">
        <f>3.8103 * CHOOSE(CONTROL!$C$22, $C$13, 100%, $E$13)</f>
        <v>3.8102999999999998</v>
      </c>
      <c r="K114" s="61">
        <f>3.8105 * CHOOSE(CONTROL!$C$22, $C$13, 100%, $E$13)</f>
        <v>3.8105000000000002</v>
      </c>
      <c r="L114" s="4"/>
      <c r="M114" s="4"/>
      <c r="N114" s="4"/>
    </row>
    <row r="115" spans="1:14" ht="15">
      <c r="A115" s="13">
        <v>45352</v>
      </c>
      <c r="B115" s="60">
        <f>3.3263 * CHOOSE(CONTROL!$C$22, $C$13, 100%, $E$13)</f>
        <v>3.3262999999999998</v>
      </c>
      <c r="C115" s="60">
        <f>3.3263 * CHOOSE(CONTROL!$C$22, $C$13, 100%, $E$13)</f>
        <v>3.3262999999999998</v>
      </c>
      <c r="D115" s="60">
        <f>3.3389 * CHOOSE(CONTROL!$C$22, $C$13, 100%, $E$13)</f>
        <v>3.3389000000000002</v>
      </c>
      <c r="E115" s="61">
        <f>3.842 * CHOOSE(CONTROL!$C$22, $C$13, 100%, $E$13)</f>
        <v>3.8420000000000001</v>
      </c>
      <c r="F115" s="61">
        <f>3.842 * CHOOSE(CONTROL!$C$22, $C$13, 100%, $E$13)</f>
        <v>3.8420000000000001</v>
      </c>
      <c r="G115" s="61">
        <f>3.8422 * CHOOSE(CONTROL!$C$22, $C$13, 100%, $E$13)</f>
        <v>3.8422000000000001</v>
      </c>
      <c r="H115" s="61">
        <f>7.0276* CHOOSE(CONTROL!$C$22, $C$13, 100%, $E$13)</f>
        <v>7.0275999999999996</v>
      </c>
      <c r="I115" s="61">
        <f>7.0278 * CHOOSE(CONTROL!$C$22, $C$13, 100%, $E$13)</f>
        <v>7.0278</v>
      </c>
      <c r="J115" s="61">
        <f>3.842 * CHOOSE(CONTROL!$C$22, $C$13, 100%, $E$13)</f>
        <v>3.8420000000000001</v>
      </c>
      <c r="K115" s="61">
        <f>3.8422 * CHOOSE(CONTROL!$C$22, $C$13, 100%, $E$13)</f>
        <v>3.8422000000000001</v>
      </c>
      <c r="L115" s="4"/>
      <c r="M115" s="4"/>
      <c r="N115" s="4"/>
    </row>
    <row r="116" spans="1:14" ht="15">
      <c r="A116" s="13">
        <v>45383</v>
      </c>
      <c r="B116" s="60">
        <f>3.3234 * CHOOSE(CONTROL!$C$22, $C$13, 100%, $E$13)</f>
        <v>3.3233999999999999</v>
      </c>
      <c r="C116" s="60">
        <f>3.3234 * CHOOSE(CONTROL!$C$22, $C$13, 100%, $E$13)</f>
        <v>3.3233999999999999</v>
      </c>
      <c r="D116" s="60">
        <f>3.3359 * CHOOSE(CONTROL!$C$22, $C$13, 100%, $E$13)</f>
        <v>3.3359000000000001</v>
      </c>
      <c r="E116" s="61">
        <f>3.8741 * CHOOSE(CONTROL!$C$22, $C$13, 100%, $E$13)</f>
        <v>3.8740999999999999</v>
      </c>
      <c r="F116" s="61">
        <f>3.8741 * CHOOSE(CONTROL!$C$22, $C$13, 100%, $E$13)</f>
        <v>3.8740999999999999</v>
      </c>
      <c r="G116" s="61">
        <f>3.8743 * CHOOSE(CONTROL!$C$22, $C$13, 100%, $E$13)</f>
        <v>3.8742999999999999</v>
      </c>
      <c r="H116" s="61">
        <f>7.0423* CHOOSE(CONTROL!$C$22, $C$13, 100%, $E$13)</f>
        <v>7.0423</v>
      </c>
      <c r="I116" s="61">
        <f>7.0425 * CHOOSE(CONTROL!$C$22, $C$13, 100%, $E$13)</f>
        <v>7.0425000000000004</v>
      </c>
      <c r="J116" s="61">
        <f>3.8741 * CHOOSE(CONTROL!$C$22, $C$13, 100%, $E$13)</f>
        <v>3.8740999999999999</v>
      </c>
      <c r="K116" s="61">
        <f>3.8743 * CHOOSE(CONTROL!$C$22, $C$13, 100%, $E$13)</f>
        <v>3.8742999999999999</v>
      </c>
      <c r="L116" s="4"/>
      <c r="M116" s="4"/>
      <c r="N116" s="4"/>
    </row>
    <row r="117" spans="1:14" ht="15">
      <c r="A117" s="13">
        <v>45413</v>
      </c>
      <c r="B117" s="60">
        <f>3.3234 * CHOOSE(CONTROL!$C$22, $C$13, 100%, $E$13)</f>
        <v>3.3233999999999999</v>
      </c>
      <c r="C117" s="60">
        <f>3.3234 * CHOOSE(CONTROL!$C$22, $C$13, 100%, $E$13)</f>
        <v>3.3233999999999999</v>
      </c>
      <c r="D117" s="60">
        <f>3.3485 * CHOOSE(CONTROL!$C$22, $C$13, 100%, $E$13)</f>
        <v>3.3485</v>
      </c>
      <c r="E117" s="61">
        <f>3.8877 * CHOOSE(CONTROL!$C$22, $C$13, 100%, $E$13)</f>
        <v>3.8877000000000002</v>
      </c>
      <c r="F117" s="61">
        <f>3.8877 * CHOOSE(CONTROL!$C$22, $C$13, 100%, $E$13)</f>
        <v>3.8877000000000002</v>
      </c>
      <c r="G117" s="61">
        <f>3.8893 * CHOOSE(CONTROL!$C$22, $C$13, 100%, $E$13)</f>
        <v>3.8893</v>
      </c>
      <c r="H117" s="61">
        <f>7.057* CHOOSE(CONTROL!$C$22, $C$13, 100%, $E$13)</f>
        <v>7.0570000000000004</v>
      </c>
      <c r="I117" s="61">
        <f>7.0586 * CHOOSE(CONTROL!$C$22, $C$13, 100%, $E$13)</f>
        <v>7.0586000000000002</v>
      </c>
      <c r="J117" s="61">
        <f>3.8877 * CHOOSE(CONTROL!$C$22, $C$13, 100%, $E$13)</f>
        <v>3.8877000000000002</v>
      </c>
      <c r="K117" s="61">
        <f>3.8893 * CHOOSE(CONTROL!$C$22, $C$13, 100%, $E$13)</f>
        <v>3.8893</v>
      </c>
      <c r="L117" s="4"/>
      <c r="M117" s="4"/>
      <c r="N117" s="4"/>
    </row>
    <row r="118" spans="1:14" ht="15">
      <c r="A118" s="13">
        <v>45444</v>
      </c>
      <c r="B118" s="60">
        <f>3.3294 * CHOOSE(CONTROL!$C$22, $C$13, 100%, $E$13)</f>
        <v>3.3294000000000001</v>
      </c>
      <c r="C118" s="60">
        <f>3.3294 * CHOOSE(CONTROL!$C$22, $C$13, 100%, $E$13)</f>
        <v>3.3294000000000001</v>
      </c>
      <c r="D118" s="60">
        <f>3.3545 * CHOOSE(CONTROL!$C$22, $C$13, 100%, $E$13)</f>
        <v>3.3544999999999998</v>
      </c>
      <c r="E118" s="61">
        <f>3.8784 * CHOOSE(CONTROL!$C$22, $C$13, 100%, $E$13)</f>
        <v>3.8784000000000001</v>
      </c>
      <c r="F118" s="61">
        <f>3.8784 * CHOOSE(CONTROL!$C$22, $C$13, 100%, $E$13)</f>
        <v>3.8784000000000001</v>
      </c>
      <c r="G118" s="61">
        <f>3.88 * CHOOSE(CONTROL!$C$22, $C$13, 100%, $E$13)</f>
        <v>3.88</v>
      </c>
      <c r="H118" s="61">
        <f>7.0717* CHOOSE(CONTROL!$C$22, $C$13, 100%, $E$13)</f>
        <v>7.0716999999999999</v>
      </c>
      <c r="I118" s="61">
        <f>7.0733 * CHOOSE(CONTROL!$C$22, $C$13, 100%, $E$13)</f>
        <v>7.0732999999999997</v>
      </c>
      <c r="J118" s="61">
        <f>3.8784 * CHOOSE(CONTROL!$C$22, $C$13, 100%, $E$13)</f>
        <v>3.8784000000000001</v>
      </c>
      <c r="K118" s="61">
        <f>3.88 * CHOOSE(CONTROL!$C$22, $C$13, 100%, $E$13)</f>
        <v>3.88</v>
      </c>
      <c r="L118" s="4"/>
      <c r="M118" s="4"/>
      <c r="N118" s="4"/>
    </row>
    <row r="119" spans="1:14" ht="15">
      <c r="A119" s="13">
        <v>45474</v>
      </c>
      <c r="B119" s="60">
        <f>3.3849 * CHOOSE(CONTROL!$C$22, $C$13, 100%, $E$13)</f>
        <v>3.3849</v>
      </c>
      <c r="C119" s="60">
        <f>3.3849 * CHOOSE(CONTROL!$C$22, $C$13, 100%, $E$13)</f>
        <v>3.3849</v>
      </c>
      <c r="D119" s="60">
        <f>3.4099 * CHOOSE(CONTROL!$C$22, $C$13, 100%, $E$13)</f>
        <v>3.4098999999999999</v>
      </c>
      <c r="E119" s="61">
        <f>3.9401 * CHOOSE(CONTROL!$C$22, $C$13, 100%, $E$13)</f>
        <v>3.9401000000000002</v>
      </c>
      <c r="F119" s="61">
        <f>3.9401 * CHOOSE(CONTROL!$C$22, $C$13, 100%, $E$13)</f>
        <v>3.9401000000000002</v>
      </c>
      <c r="G119" s="61">
        <f>3.9417 * CHOOSE(CONTROL!$C$22, $C$13, 100%, $E$13)</f>
        <v>3.9417</v>
      </c>
      <c r="H119" s="61">
        <f>7.0864* CHOOSE(CONTROL!$C$22, $C$13, 100%, $E$13)</f>
        <v>7.0864000000000003</v>
      </c>
      <c r="I119" s="61">
        <f>7.088 * CHOOSE(CONTROL!$C$22, $C$13, 100%, $E$13)</f>
        <v>7.0880000000000001</v>
      </c>
      <c r="J119" s="61">
        <f>3.9401 * CHOOSE(CONTROL!$C$22, $C$13, 100%, $E$13)</f>
        <v>3.9401000000000002</v>
      </c>
      <c r="K119" s="61">
        <f>3.9417 * CHOOSE(CONTROL!$C$22, $C$13, 100%, $E$13)</f>
        <v>3.9417</v>
      </c>
      <c r="L119" s="4"/>
      <c r="M119" s="4"/>
      <c r="N119" s="4"/>
    </row>
    <row r="120" spans="1:14" ht="15">
      <c r="A120" s="13">
        <v>45505</v>
      </c>
      <c r="B120" s="60">
        <f>3.3915 * CHOOSE(CONTROL!$C$22, $C$13, 100%, $E$13)</f>
        <v>3.3915000000000002</v>
      </c>
      <c r="C120" s="60">
        <f>3.3915 * CHOOSE(CONTROL!$C$22, $C$13, 100%, $E$13)</f>
        <v>3.3915000000000002</v>
      </c>
      <c r="D120" s="60">
        <f>3.4166 * CHOOSE(CONTROL!$C$22, $C$13, 100%, $E$13)</f>
        <v>3.4165999999999999</v>
      </c>
      <c r="E120" s="61">
        <f>3.9039 * CHOOSE(CONTROL!$C$22, $C$13, 100%, $E$13)</f>
        <v>3.9039000000000001</v>
      </c>
      <c r="F120" s="61">
        <f>3.9039 * CHOOSE(CONTROL!$C$22, $C$13, 100%, $E$13)</f>
        <v>3.9039000000000001</v>
      </c>
      <c r="G120" s="61">
        <f>3.9055 * CHOOSE(CONTROL!$C$22, $C$13, 100%, $E$13)</f>
        <v>3.9055</v>
      </c>
      <c r="H120" s="61">
        <f>7.1012* CHOOSE(CONTROL!$C$22, $C$13, 100%, $E$13)</f>
        <v>7.1012000000000004</v>
      </c>
      <c r="I120" s="61">
        <f>7.1028 * CHOOSE(CONTROL!$C$22, $C$13, 100%, $E$13)</f>
        <v>7.1028000000000002</v>
      </c>
      <c r="J120" s="61">
        <f>3.9039 * CHOOSE(CONTROL!$C$22, $C$13, 100%, $E$13)</f>
        <v>3.9039000000000001</v>
      </c>
      <c r="K120" s="61">
        <f>3.9055 * CHOOSE(CONTROL!$C$22, $C$13, 100%, $E$13)</f>
        <v>3.9055</v>
      </c>
      <c r="L120" s="4"/>
      <c r="M120" s="4"/>
      <c r="N120" s="4"/>
    </row>
    <row r="121" spans="1:14" ht="15">
      <c r="A121" s="13">
        <v>45536</v>
      </c>
      <c r="B121" s="60">
        <f>3.3885 * CHOOSE(CONTROL!$C$22, $C$13, 100%, $E$13)</f>
        <v>3.3885000000000001</v>
      </c>
      <c r="C121" s="60">
        <f>3.3885 * CHOOSE(CONTROL!$C$22, $C$13, 100%, $E$13)</f>
        <v>3.3885000000000001</v>
      </c>
      <c r="D121" s="60">
        <f>3.4136 * CHOOSE(CONTROL!$C$22, $C$13, 100%, $E$13)</f>
        <v>3.4136000000000002</v>
      </c>
      <c r="E121" s="61">
        <f>3.8972 * CHOOSE(CONTROL!$C$22, $C$13, 100%, $E$13)</f>
        <v>3.8972000000000002</v>
      </c>
      <c r="F121" s="61">
        <f>3.8972 * CHOOSE(CONTROL!$C$22, $C$13, 100%, $E$13)</f>
        <v>3.8972000000000002</v>
      </c>
      <c r="G121" s="61">
        <f>3.8988 * CHOOSE(CONTROL!$C$22, $C$13, 100%, $E$13)</f>
        <v>3.8988</v>
      </c>
      <c r="H121" s="61">
        <f>7.1159* CHOOSE(CONTROL!$C$22, $C$13, 100%, $E$13)</f>
        <v>7.1158999999999999</v>
      </c>
      <c r="I121" s="61">
        <f>7.1175 * CHOOSE(CONTROL!$C$22, $C$13, 100%, $E$13)</f>
        <v>7.1174999999999997</v>
      </c>
      <c r="J121" s="61">
        <f>3.8972 * CHOOSE(CONTROL!$C$22, $C$13, 100%, $E$13)</f>
        <v>3.8972000000000002</v>
      </c>
      <c r="K121" s="61">
        <f>3.8988 * CHOOSE(CONTROL!$C$22, $C$13, 100%, $E$13)</f>
        <v>3.8988</v>
      </c>
      <c r="L121" s="4"/>
      <c r="M121" s="4"/>
      <c r="N121" s="4"/>
    </row>
    <row r="122" spans="1:14" ht="15">
      <c r="A122" s="13">
        <v>45566</v>
      </c>
      <c r="B122" s="60">
        <f>3.3815 * CHOOSE(CONTROL!$C$22, $C$13, 100%, $E$13)</f>
        <v>3.3815</v>
      </c>
      <c r="C122" s="60">
        <f>3.3815 * CHOOSE(CONTROL!$C$22, $C$13, 100%, $E$13)</f>
        <v>3.3815</v>
      </c>
      <c r="D122" s="60">
        <f>3.394 * CHOOSE(CONTROL!$C$22, $C$13, 100%, $E$13)</f>
        <v>3.3940000000000001</v>
      </c>
      <c r="E122" s="61">
        <f>3.9019 * CHOOSE(CONTROL!$C$22, $C$13, 100%, $E$13)</f>
        <v>3.9018999999999999</v>
      </c>
      <c r="F122" s="61">
        <f>3.9019 * CHOOSE(CONTROL!$C$22, $C$13, 100%, $E$13)</f>
        <v>3.9018999999999999</v>
      </c>
      <c r="G122" s="61">
        <f>3.9021 * CHOOSE(CONTROL!$C$22, $C$13, 100%, $E$13)</f>
        <v>3.9020999999999999</v>
      </c>
      <c r="H122" s="61">
        <f>7.1308* CHOOSE(CONTROL!$C$22, $C$13, 100%, $E$13)</f>
        <v>7.1307999999999998</v>
      </c>
      <c r="I122" s="61">
        <f>7.1309 * CHOOSE(CONTROL!$C$22, $C$13, 100%, $E$13)</f>
        <v>7.1308999999999996</v>
      </c>
      <c r="J122" s="61">
        <f>3.9019 * CHOOSE(CONTROL!$C$22, $C$13, 100%, $E$13)</f>
        <v>3.9018999999999999</v>
      </c>
      <c r="K122" s="61">
        <f>3.9021 * CHOOSE(CONTROL!$C$22, $C$13, 100%, $E$13)</f>
        <v>3.9020999999999999</v>
      </c>
      <c r="L122" s="4"/>
      <c r="M122" s="4"/>
      <c r="N122" s="4"/>
    </row>
    <row r="123" spans="1:14" ht="15">
      <c r="A123" s="13">
        <v>45597</v>
      </c>
      <c r="B123" s="60">
        <f>3.3845 * CHOOSE(CONTROL!$C$22, $C$13, 100%, $E$13)</f>
        <v>3.3845000000000001</v>
      </c>
      <c r="C123" s="60">
        <f>3.3845 * CHOOSE(CONTROL!$C$22, $C$13, 100%, $E$13)</f>
        <v>3.3845000000000001</v>
      </c>
      <c r="D123" s="60">
        <f>3.3971 * CHOOSE(CONTROL!$C$22, $C$13, 100%, $E$13)</f>
        <v>3.3971</v>
      </c>
      <c r="E123" s="61">
        <f>3.9131 * CHOOSE(CONTROL!$C$22, $C$13, 100%, $E$13)</f>
        <v>3.9131</v>
      </c>
      <c r="F123" s="61">
        <f>3.9131 * CHOOSE(CONTROL!$C$22, $C$13, 100%, $E$13)</f>
        <v>3.9131</v>
      </c>
      <c r="G123" s="61">
        <f>3.9133 * CHOOSE(CONTROL!$C$22, $C$13, 100%, $E$13)</f>
        <v>3.9133</v>
      </c>
      <c r="H123" s="61">
        <f>7.1456* CHOOSE(CONTROL!$C$22, $C$13, 100%, $E$13)</f>
        <v>7.1456</v>
      </c>
      <c r="I123" s="61">
        <f>7.1458 * CHOOSE(CONTROL!$C$22, $C$13, 100%, $E$13)</f>
        <v>7.1458000000000004</v>
      </c>
      <c r="J123" s="61">
        <f>3.9131 * CHOOSE(CONTROL!$C$22, $C$13, 100%, $E$13)</f>
        <v>3.9131</v>
      </c>
      <c r="K123" s="61">
        <f>3.9133 * CHOOSE(CONTROL!$C$22, $C$13, 100%, $E$13)</f>
        <v>3.9133</v>
      </c>
      <c r="L123" s="4"/>
      <c r="M123" s="4"/>
      <c r="N123" s="4"/>
    </row>
    <row r="124" spans="1:14" ht="15">
      <c r="A124" s="13">
        <v>45627</v>
      </c>
      <c r="B124" s="60">
        <f>3.3845 * CHOOSE(CONTROL!$C$22, $C$13, 100%, $E$13)</f>
        <v>3.3845000000000001</v>
      </c>
      <c r="C124" s="60">
        <f>3.3845 * CHOOSE(CONTROL!$C$22, $C$13, 100%, $E$13)</f>
        <v>3.3845000000000001</v>
      </c>
      <c r="D124" s="60">
        <f>3.3971 * CHOOSE(CONTROL!$C$22, $C$13, 100%, $E$13)</f>
        <v>3.3971</v>
      </c>
      <c r="E124" s="61">
        <f>3.8904 * CHOOSE(CONTROL!$C$22, $C$13, 100%, $E$13)</f>
        <v>3.8904000000000001</v>
      </c>
      <c r="F124" s="61">
        <f>3.8904 * CHOOSE(CONTROL!$C$22, $C$13, 100%, $E$13)</f>
        <v>3.8904000000000001</v>
      </c>
      <c r="G124" s="61">
        <f>3.8906 * CHOOSE(CONTROL!$C$22, $C$13, 100%, $E$13)</f>
        <v>3.8906000000000001</v>
      </c>
      <c r="H124" s="61">
        <f>7.1605* CHOOSE(CONTROL!$C$22, $C$13, 100%, $E$13)</f>
        <v>7.1604999999999999</v>
      </c>
      <c r="I124" s="61">
        <f>7.1607 * CHOOSE(CONTROL!$C$22, $C$13, 100%, $E$13)</f>
        <v>7.1607000000000003</v>
      </c>
      <c r="J124" s="61">
        <f>3.8904 * CHOOSE(CONTROL!$C$22, $C$13, 100%, $E$13)</f>
        <v>3.8904000000000001</v>
      </c>
      <c r="K124" s="61">
        <f>3.8906 * CHOOSE(CONTROL!$C$22, $C$13, 100%, $E$13)</f>
        <v>3.8906000000000001</v>
      </c>
      <c r="L124" s="4"/>
      <c r="M124" s="4"/>
      <c r="N124" s="4"/>
    </row>
    <row r="125" spans="1:14" ht="15">
      <c r="A125" s="13">
        <v>45658</v>
      </c>
      <c r="B125" s="60">
        <f>3.4166 * CHOOSE(CONTROL!$C$22, $C$13, 100%, $E$13)</f>
        <v>3.4165999999999999</v>
      </c>
      <c r="C125" s="60">
        <f>3.4166 * CHOOSE(CONTROL!$C$22, $C$13, 100%, $E$13)</f>
        <v>3.4165999999999999</v>
      </c>
      <c r="D125" s="60">
        <f>3.4291 * CHOOSE(CONTROL!$C$22, $C$13, 100%, $E$13)</f>
        <v>3.4291</v>
      </c>
      <c r="E125" s="61">
        <f>3.9232 * CHOOSE(CONTROL!$C$22, $C$13, 100%, $E$13)</f>
        <v>3.9232</v>
      </c>
      <c r="F125" s="61">
        <f>3.9232 * CHOOSE(CONTROL!$C$22, $C$13, 100%, $E$13)</f>
        <v>3.9232</v>
      </c>
      <c r="G125" s="61">
        <f>3.9234 * CHOOSE(CONTROL!$C$22, $C$13, 100%, $E$13)</f>
        <v>3.9234</v>
      </c>
      <c r="H125" s="61">
        <f>7.1754* CHOOSE(CONTROL!$C$22, $C$13, 100%, $E$13)</f>
        <v>7.1753999999999998</v>
      </c>
      <c r="I125" s="61">
        <f>7.1756 * CHOOSE(CONTROL!$C$22, $C$13, 100%, $E$13)</f>
        <v>7.1756000000000002</v>
      </c>
      <c r="J125" s="61">
        <f>3.9232 * CHOOSE(CONTROL!$C$22, $C$13, 100%, $E$13)</f>
        <v>3.9232</v>
      </c>
      <c r="K125" s="61">
        <f>3.9234 * CHOOSE(CONTROL!$C$22, $C$13, 100%, $E$13)</f>
        <v>3.9234</v>
      </c>
      <c r="L125" s="4"/>
      <c r="M125" s="4"/>
      <c r="N125" s="4"/>
    </row>
    <row r="126" spans="1:14" ht="15">
      <c r="A126" s="13">
        <v>45689</v>
      </c>
      <c r="B126" s="60">
        <f>3.4136 * CHOOSE(CONTROL!$C$22, $C$13, 100%, $E$13)</f>
        <v>3.4136000000000002</v>
      </c>
      <c r="C126" s="60">
        <f>3.4136 * CHOOSE(CONTROL!$C$22, $C$13, 100%, $E$13)</f>
        <v>3.4136000000000002</v>
      </c>
      <c r="D126" s="60">
        <f>3.4261 * CHOOSE(CONTROL!$C$22, $C$13, 100%, $E$13)</f>
        <v>3.4260999999999999</v>
      </c>
      <c r="E126" s="61">
        <f>3.8779 * CHOOSE(CONTROL!$C$22, $C$13, 100%, $E$13)</f>
        <v>3.8778999999999999</v>
      </c>
      <c r="F126" s="61">
        <f>3.8779 * CHOOSE(CONTROL!$C$22, $C$13, 100%, $E$13)</f>
        <v>3.8778999999999999</v>
      </c>
      <c r="G126" s="61">
        <f>3.8781 * CHOOSE(CONTROL!$C$22, $C$13, 100%, $E$13)</f>
        <v>3.8780999999999999</v>
      </c>
      <c r="H126" s="61">
        <f>7.1904* CHOOSE(CONTROL!$C$22, $C$13, 100%, $E$13)</f>
        <v>7.1904000000000003</v>
      </c>
      <c r="I126" s="61">
        <f>7.1906 * CHOOSE(CONTROL!$C$22, $C$13, 100%, $E$13)</f>
        <v>7.1905999999999999</v>
      </c>
      <c r="J126" s="61">
        <f>3.8779 * CHOOSE(CONTROL!$C$22, $C$13, 100%, $E$13)</f>
        <v>3.8778999999999999</v>
      </c>
      <c r="K126" s="61">
        <f>3.8781 * CHOOSE(CONTROL!$C$22, $C$13, 100%, $E$13)</f>
        <v>3.8780999999999999</v>
      </c>
      <c r="L126" s="4"/>
      <c r="M126" s="4"/>
      <c r="N126" s="4"/>
    </row>
    <row r="127" spans="1:14" ht="15">
      <c r="A127" s="13">
        <v>45717</v>
      </c>
      <c r="B127" s="60">
        <f>3.4105 * CHOOSE(CONTROL!$C$22, $C$13, 100%, $E$13)</f>
        <v>3.4104999999999999</v>
      </c>
      <c r="C127" s="60">
        <f>3.4105 * CHOOSE(CONTROL!$C$22, $C$13, 100%, $E$13)</f>
        <v>3.4104999999999999</v>
      </c>
      <c r="D127" s="60">
        <f>3.4231 * CHOOSE(CONTROL!$C$22, $C$13, 100%, $E$13)</f>
        <v>3.4230999999999998</v>
      </c>
      <c r="E127" s="61">
        <f>3.9098 * CHOOSE(CONTROL!$C$22, $C$13, 100%, $E$13)</f>
        <v>3.9098000000000002</v>
      </c>
      <c r="F127" s="61">
        <f>3.9098 * CHOOSE(CONTROL!$C$22, $C$13, 100%, $E$13)</f>
        <v>3.9098000000000002</v>
      </c>
      <c r="G127" s="61">
        <f>3.91 * CHOOSE(CONTROL!$C$22, $C$13, 100%, $E$13)</f>
        <v>3.91</v>
      </c>
      <c r="H127" s="61">
        <f>7.2054* CHOOSE(CONTROL!$C$22, $C$13, 100%, $E$13)</f>
        <v>7.2054</v>
      </c>
      <c r="I127" s="61">
        <f>7.2055 * CHOOSE(CONTROL!$C$22, $C$13, 100%, $E$13)</f>
        <v>7.2054999999999998</v>
      </c>
      <c r="J127" s="61">
        <f>3.9098 * CHOOSE(CONTROL!$C$22, $C$13, 100%, $E$13)</f>
        <v>3.9098000000000002</v>
      </c>
      <c r="K127" s="61">
        <f>3.91 * CHOOSE(CONTROL!$C$22, $C$13, 100%, $E$13)</f>
        <v>3.91</v>
      </c>
      <c r="L127" s="4"/>
      <c r="M127" s="4"/>
      <c r="N127" s="4"/>
    </row>
    <row r="128" spans="1:14" ht="15">
      <c r="A128" s="13">
        <v>45748</v>
      </c>
      <c r="B128" s="60">
        <f>3.4077 * CHOOSE(CONTROL!$C$22, $C$13, 100%, $E$13)</f>
        <v>3.4077000000000002</v>
      </c>
      <c r="C128" s="60">
        <f>3.4077 * CHOOSE(CONTROL!$C$22, $C$13, 100%, $E$13)</f>
        <v>3.4077000000000002</v>
      </c>
      <c r="D128" s="60">
        <f>3.4202 * CHOOSE(CONTROL!$C$22, $C$13, 100%, $E$13)</f>
        <v>3.4201999999999999</v>
      </c>
      <c r="E128" s="61">
        <f>3.9422 * CHOOSE(CONTROL!$C$22, $C$13, 100%, $E$13)</f>
        <v>3.9422000000000001</v>
      </c>
      <c r="F128" s="61">
        <f>3.9422 * CHOOSE(CONTROL!$C$22, $C$13, 100%, $E$13)</f>
        <v>3.9422000000000001</v>
      </c>
      <c r="G128" s="61">
        <f>3.9424 * CHOOSE(CONTROL!$C$22, $C$13, 100%, $E$13)</f>
        <v>3.9424000000000001</v>
      </c>
      <c r="H128" s="61">
        <f>7.2204* CHOOSE(CONTROL!$C$22, $C$13, 100%, $E$13)</f>
        <v>7.2203999999999997</v>
      </c>
      <c r="I128" s="61">
        <f>7.2205 * CHOOSE(CONTROL!$C$22, $C$13, 100%, $E$13)</f>
        <v>7.2205000000000004</v>
      </c>
      <c r="J128" s="61">
        <f>3.9422 * CHOOSE(CONTROL!$C$22, $C$13, 100%, $E$13)</f>
        <v>3.9422000000000001</v>
      </c>
      <c r="K128" s="61">
        <f>3.9424 * CHOOSE(CONTROL!$C$22, $C$13, 100%, $E$13)</f>
        <v>3.9424000000000001</v>
      </c>
      <c r="L128" s="4"/>
      <c r="M128" s="4"/>
      <c r="N128" s="4"/>
    </row>
    <row r="129" spans="1:14" ht="15">
      <c r="A129" s="13">
        <v>45778</v>
      </c>
      <c r="B129" s="60">
        <f>3.4077 * CHOOSE(CONTROL!$C$22, $C$13, 100%, $E$13)</f>
        <v>3.4077000000000002</v>
      </c>
      <c r="C129" s="60">
        <f>3.4077 * CHOOSE(CONTROL!$C$22, $C$13, 100%, $E$13)</f>
        <v>3.4077000000000002</v>
      </c>
      <c r="D129" s="60">
        <f>3.4327 * CHOOSE(CONTROL!$C$22, $C$13, 100%, $E$13)</f>
        <v>3.4327000000000001</v>
      </c>
      <c r="E129" s="61">
        <f>3.9559 * CHOOSE(CONTROL!$C$22, $C$13, 100%, $E$13)</f>
        <v>3.9559000000000002</v>
      </c>
      <c r="F129" s="61">
        <f>3.9559 * CHOOSE(CONTROL!$C$22, $C$13, 100%, $E$13)</f>
        <v>3.9559000000000002</v>
      </c>
      <c r="G129" s="61">
        <f>3.9575 * CHOOSE(CONTROL!$C$22, $C$13, 100%, $E$13)</f>
        <v>3.9575</v>
      </c>
      <c r="H129" s="61">
        <f>7.2354* CHOOSE(CONTROL!$C$22, $C$13, 100%, $E$13)</f>
        <v>7.2354000000000003</v>
      </c>
      <c r="I129" s="61">
        <f>7.237 * CHOOSE(CONTROL!$C$22, $C$13, 100%, $E$13)</f>
        <v>7.2370000000000001</v>
      </c>
      <c r="J129" s="61">
        <f>3.9559 * CHOOSE(CONTROL!$C$22, $C$13, 100%, $E$13)</f>
        <v>3.9559000000000002</v>
      </c>
      <c r="K129" s="61">
        <f>3.9575 * CHOOSE(CONTROL!$C$22, $C$13, 100%, $E$13)</f>
        <v>3.9575</v>
      </c>
      <c r="L129" s="4"/>
      <c r="M129" s="4"/>
      <c r="N129" s="4"/>
    </row>
    <row r="130" spans="1:14" ht="15">
      <c r="A130" s="13">
        <v>45809</v>
      </c>
      <c r="B130" s="60">
        <f>3.4137 * CHOOSE(CONTROL!$C$22, $C$13, 100%, $E$13)</f>
        <v>3.4137</v>
      </c>
      <c r="C130" s="60">
        <f>3.4137 * CHOOSE(CONTROL!$C$22, $C$13, 100%, $E$13)</f>
        <v>3.4137</v>
      </c>
      <c r="D130" s="60">
        <f>3.4388 * CHOOSE(CONTROL!$C$22, $C$13, 100%, $E$13)</f>
        <v>3.4388000000000001</v>
      </c>
      <c r="E130" s="61">
        <f>3.9464 * CHOOSE(CONTROL!$C$22, $C$13, 100%, $E$13)</f>
        <v>3.9464000000000001</v>
      </c>
      <c r="F130" s="61">
        <f>3.9464 * CHOOSE(CONTROL!$C$22, $C$13, 100%, $E$13)</f>
        <v>3.9464000000000001</v>
      </c>
      <c r="G130" s="61">
        <f>3.948 * CHOOSE(CONTROL!$C$22, $C$13, 100%, $E$13)</f>
        <v>3.948</v>
      </c>
      <c r="H130" s="61">
        <f>7.2505* CHOOSE(CONTROL!$C$22, $C$13, 100%, $E$13)</f>
        <v>7.2504999999999997</v>
      </c>
      <c r="I130" s="61">
        <f>7.2521 * CHOOSE(CONTROL!$C$22, $C$13, 100%, $E$13)</f>
        <v>7.2521000000000004</v>
      </c>
      <c r="J130" s="61">
        <f>3.9464 * CHOOSE(CONTROL!$C$22, $C$13, 100%, $E$13)</f>
        <v>3.9464000000000001</v>
      </c>
      <c r="K130" s="61">
        <f>3.948 * CHOOSE(CONTROL!$C$22, $C$13, 100%, $E$13)</f>
        <v>3.948</v>
      </c>
      <c r="L130" s="4"/>
      <c r="M130" s="4"/>
      <c r="N130" s="4"/>
    </row>
    <row r="131" spans="1:14" ht="15">
      <c r="A131" s="13">
        <v>45839</v>
      </c>
      <c r="B131" s="60">
        <f>3.4735 * CHOOSE(CONTROL!$C$22, $C$13, 100%, $E$13)</f>
        <v>3.4735</v>
      </c>
      <c r="C131" s="60">
        <f>3.4735 * CHOOSE(CONTROL!$C$22, $C$13, 100%, $E$13)</f>
        <v>3.4735</v>
      </c>
      <c r="D131" s="60">
        <f>3.4986 * CHOOSE(CONTROL!$C$22, $C$13, 100%, $E$13)</f>
        <v>3.4986000000000002</v>
      </c>
      <c r="E131" s="61">
        <f>4.0021 * CHOOSE(CONTROL!$C$22, $C$13, 100%, $E$13)</f>
        <v>4.0021000000000004</v>
      </c>
      <c r="F131" s="61">
        <f>4.0021 * CHOOSE(CONTROL!$C$22, $C$13, 100%, $E$13)</f>
        <v>4.0021000000000004</v>
      </c>
      <c r="G131" s="61">
        <f>4.0037 * CHOOSE(CONTROL!$C$22, $C$13, 100%, $E$13)</f>
        <v>4.0037000000000003</v>
      </c>
      <c r="H131" s="61">
        <f>7.2656* CHOOSE(CONTROL!$C$22, $C$13, 100%, $E$13)</f>
        <v>7.2656000000000001</v>
      </c>
      <c r="I131" s="61">
        <f>7.2672 * CHOOSE(CONTROL!$C$22, $C$13, 100%, $E$13)</f>
        <v>7.2671999999999999</v>
      </c>
      <c r="J131" s="61">
        <f>4.0021 * CHOOSE(CONTROL!$C$22, $C$13, 100%, $E$13)</f>
        <v>4.0021000000000004</v>
      </c>
      <c r="K131" s="61">
        <f>4.0037 * CHOOSE(CONTROL!$C$22, $C$13, 100%, $E$13)</f>
        <v>4.0037000000000003</v>
      </c>
      <c r="L131" s="4"/>
      <c r="M131" s="4"/>
      <c r="N131" s="4"/>
    </row>
    <row r="132" spans="1:14" ht="15">
      <c r="A132" s="13">
        <v>45870</v>
      </c>
      <c r="B132" s="60">
        <f>3.4802 * CHOOSE(CONTROL!$C$22, $C$13, 100%, $E$13)</f>
        <v>3.4802</v>
      </c>
      <c r="C132" s="60">
        <f>3.4802 * CHOOSE(CONTROL!$C$22, $C$13, 100%, $E$13)</f>
        <v>3.4802</v>
      </c>
      <c r="D132" s="60">
        <f>3.5053 * CHOOSE(CONTROL!$C$22, $C$13, 100%, $E$13)</f>
        <v>3.5053000000000001</v>
      </c>
      <c r="E132" s="61">
        <f>3.9656 * CHOOSE(CONTROL!$C$22, $C$13, 100%, $E$13)</f>
        <v>3.9655999999999998</v>
      </c>
      <c r="F132" s="61">
        <f>3.9656 * CHOOSE(CONTROL!$C$22, $C$13, 100%, $E$13)</f>
        <v>3.9655999999999998</v>
      </c>
      <c r="G132" s="61">
        <f>3.9672 * CHOOSE(CONTROL!$C$22, $C$13, 100%, $E$13)</f>
        <v>3.9672000000000001</v>
      </c>
      <c r="H132" s="61">
        <f>7.2807* CHOOSE(CONTROL!$C$22, $C$13, 100%, $E$13)</f>
        <v>7.2807000000000004</v>
      </c>
      <c r="I132" s="61">
        <f>7.2823 * CHOOSE(CONTROL!$C$22, $C$13, 100%, $E$13)</f>
        <v>7.2823000000000002</v>
      </c>
      <c r="J132" s="61">
        <f>3.9656 * CHOOSE(CONTROL!$C$22, $C$13, 100%, $E$13)</f>
        <v>3.9655999999999998</v>
      </c>
      <c r="K132" s="61">
        <f>3.9672 * CHOOSE(CONTROL!$C$22, $C$13, 100%, $E$13)</f>
        <v>3.9672000000000001</v>
      </c>
      <c r="L132" s="4"/>
      <c r="M132" s="4"/>
      <c r="N132" s="4"/>
    </row>
    <row r="133" spans="1:14" ht="15">
      <c r="A133" s="13">
        <v>45901</v>
      </c>
      <c r="B133" s="60">
        <f>3.4772 * CHOOSE(CONTROL!$C$22, $C$13, 100%, $E$13)</f>
        <v>3.4771999999999998</v>
      </c>
      <c r="C133" s="60">
        <f>3.4772 * CHOOSE(CONTROL!$C$22, $C$13, 100%, $E$13)</f>
        <v>3.4771999999999998</v>
      </c>
      <c r="D133" s="60">
        <f>3.5022 * CHOOSE(CONTROL!$C$22, $C$13, 100%, $E$13)</f>
        <v>3.5022000000000002</v>
      </c>
      <c r="E133" s="61">
        <f>3.959 * CHOOSE(CONTROL!$C$22, $C$13, 100%, $E$13)</f>
        <v>3.9590000000000001</v>
      </c>
      <c r="F133" s="61">
        <f>3.959 * CHOOSE(CONTROL!$C$22, $C$13, 100%, $E$13)</f>
        <v>3.9590000000000001</v>
      </c>
      <c r="G133" s="61">
        <f>3.9606 * CHOOSE(CONTROL!$C$22, $C$13, 100%, $E$13)</f>
        <v>3.9605999999999999</v>
      </c>
      <c r="H133" s="61">
        <f>7.2959* CHOOSE(CONTROL!$C$22, $C$13, 100%, $E$13)</f>
        <v>7.2958999999999996</v>
      </c>
      <c r="I133" s="61">
        <f>7.2975 * CHOOSE(CONTROL!$C$22, $C$13, 100%, $E$13)</f>
        <v>7.2975000000000003</v>
      </c>
      <c r="J133" s="61">
        <f>3.959 * CHOOSE(CONTROL!$C$22, $C$13, 100%, $E$13)</f>
        <v>3.9590000000000001</v>
      </c>
      <c r="K133" s="61">
        <f>3.9606 * CHOOSE(CONTROL!$C$22, $C$13, 100%, $E$13)</f>
        <v>3.9605999999999999</v>
      </c>
      <c r="L133" s="4"/>
      <c r="M133" s="4"/>
      <c r="N133" s="4"/>
    </row>
    <row r="134" spans="1:14" ht="15">
      <c r="A134" s="13">
        <v>45931</v>
      </c>
      <c r="B134" s="60">
        <f>3.4705 * CHOOSE(CONTROL!$C$22, $C$13, 100%, $E$13)</f>
        <v>3.4704999999999999</v>
      </c>
      <c r="C134" s="60">
        <f>3.4705 * CHOOSE(CONTROL!$C$22, $C$13, 100%, $E$13)</f>
        <v>3.4704999999999999</v>
      </c>
      <c r="D134" s="60">
        <f>3.483 * CHOOSE(CONTROL!$C$22, $C$13, 100%, $E$13)</f>
        <v>3.4830000000000001</v>
      </c>
      <c r="E134" s="61">
        <f>3.9638 * CHOOSE(CONTROL!$C$22, $C$13, 100%, $E$13)</f>
        <v>3.9638</v>
      </c>
      <c r="F134" s="61">
        <f>3.9638 * CHOOSE(CONTROL!$C$22, $C$13, 100%, $E$13)</f>
        <v>3.9638</v>
      </c>
      <c r="G134" s="61">
        <f>3.964 * CHOOSE(CONTROL!$C$22, $C$13, 100%, $E$13)</f>
        <v>3.964</v>
      </c>
      <c r="H134" s="61">
        <f>7.3111* CHOOSE(CONTROL!$C$22, $C$13, 100%, $E$13)</f>
        <v>7.3110999999999997</v>
      </c>
      <c r="I134" s="61">
        <f>7.3113 * CHOOSE(CONTROL!$C$22, $C$13, 100%, $E$13)</f>
        <v>7.3113000000000001</v>
      </c>
      <c r="J134" s="61">
        <f>3.9638 * CHOOSE(CONTROL!$C$22, $C$13, 100%, $E$13)</f>
        <v>3.9638</v>
      </c>
      <c r="K134" s="61">
        <f>3.964 * CHOOSE(CONTROL!$C$22, $C$13, 100%, $E$13)</f>
        <v>3.964</v>
      </c>
      <c r="L134" s="4"/>
      <c r="M134" s="4"/>
      <c r="N134" s="4"/>
    </row>
    <row r="135" spans="1:14" ht="15">
      <c r="A135" s="13">
        <v>45962</v>
      </c>
      <c r="B135" s="60">
        <f>3.4735 * CHOOSE(CONTROL!$C$22, $C$13, 100%, $E$13)</f>
        <v>3.4735</v>
      </c>
      <c r="C135" s="60">
        <f>3.4735 * CHOOSE(CONTROL!$C$22, $C$13, 100%, $E$13)</f>
        <v>3.4735</v>
      </c>
      <c r="D135" s="60">
        <f>3.4861 * CHOOSE(CONTROL!$C$22, $C$13, 100%, $E$13)</f>
        <v>3.4861</v>
      </c>
      <c r="E135" s="61">
        <f>3.9751 * CHOOSE(CONTROL!$C$22, $C$13, 100%, $E$13)</f>
        <v>3.9750999999999999</v>
      </c>
      <c r="F135" s="61">
        <f>3.9751 * CHOOSE(CONTROL!$C$22, $C$13, 100%, $E$13)</f>
        <v>3.9750999999999999</v>
      </c>
      <c r="G135" s="61">
        <f>3.9753 * CHOOSE(CONTROL!$C$22, $C$13, 100%, $E$13)</f>
        <v>3.9752999999999998</v>
      </c>
      <c r="H135" s="61">
        <f>7.3263* CHOOSE(CONTROL!$C$22, $C$13, 100%, $E$13)</f>
        <v>7.3262999999999998</v>
      </c>
      <c r="I135" s="61">
        <f>7.3265 * CHOOSE(CONTROL!$C$22, $C$13, 100%, $E$13)</f>
        <v>7.3265000000000002</v>
      </c>
      <c r="J135" s="61">
        <f>3.9751 * CHOOSE(CONTROL!$C$22, $C$13, 100%, $E$13)</f>
        <v>3.9750999999999999</v>
      </c>
      <c r="K135" s="61">
        <f>3.9753 * CHOOSE(CONTROL!$C$22, $C$13, 100%, $E$13)</f>
        <v>3.9752999999999998</v>
      </c>
    </row>
    <row r="136" spans="1:14" ht="15">
      <c r="A136" s="13">
        <v>45992</v>
      </c>
      <c r="B136" s="60">
        <f>3.4735 * CHOOSE(CONTROL!$C$22, $C$13, 100%, $E$13)</f>
        <v>3.4735</v>
      </c>
      <c r="C136" s="60">
        <f>3.4735 * CHOOSE(CONTROL!$C$22, $C$13, 100%, $E$13)</f>
        <v>3.4735</v>
      </c>
      <c r="D136" s="60">
        <f>3.4861 * CHOOSE(CONTROL!$C$22, $C$13, 100%, $E$13)</f>
        <v>3.4861</v>
      </c>
      <c r="E136" s="61">
        <f>3.9522 * CHOOSE(CONTROL!$C$22, $C$13, 100%, $E$13)</f>
        <v>3.9521999999999999</v>
      </c>
      <c r="F136" s="61">
        <f>3.9522 * CHOOSE(CONTROL!$C$22, $C$13, 100%, $E$13)</f>
        <v>3.9521999999999999</v>
      </c>
      <c r="G136" s="61">
        <f>3.9524 * CHOOSE(CONTROL!$C$22, $C$13, 100%, $E$13)</f>
        <v>3.9523999999999999</v>
      </c>
      <c r="H136" s="61">
        <f>7.3416* CHOOSE(CONTROL!$C$22, $C$13, 100%, $E$13)</f>
        <v>7.3415999999999997</v>
      </c>
      <c r="I136" s="61">
        <f>7.3418 * CHOOSE(CONTROL!$C$22, $C$13, 100%, $E$13)</f>
        <v>7.3418000000000001</v>
      </c>
      <c r="J136" s="61">
        <f>3.9522 * CHOOSE(CONTROL!$C$22, $C$13, 100%, $E$13)</f>
        <v>3.9521999999999999</v>
      </c>
      <c r="K136" s="61">
        <f>3.9524 * CHOOSE(CONTROL!$C$22, $C$13, 100%, $E$13)</f>
        <v>3.9523999999999999</v>
      </c>
    </row>
    <row r="137" spans="1:14" ht="15">
      <c r="A137" s="13">
        <v>46023</v>
      </c>
      <c r="B137" s="60">
        <f>3.4998 * CHOOSE(CONTROL!$C$22, $C$13, 100%, $E$13)</f>
        <v>3.4998</v>
      </c>
      <c r="C137" s="60">
        <f>3.4998 * CHOOSE(CONTROL!$C$22, $C$13, 100%, $E$13)</f>
        <v>3.4998</v>
      </c>
      <c r="D137" s="60">
        <f>3.5124 * CHOOSE(CONTROL!$C$22, $C$13, 100%, $E$13)</f>
        <v>3.5124</v>
      </c>
      <c r="E137" s="61">
        <f>3.9948 * CHOOSE(CONTROL!$C$22, $C$13, 100%, $E$13)</f>
        <v>3.9948000000000001</v>
      </c>
      <c r="F137" s="61">
        <f>3.9948 * CHOOSE(CONTROL!$C$22, $C$13, 100%, $E$13)</f>
        <v>3.9948000000000001</v>
      </c>
      <c r="G137" s="61">
        <f>3.995 * CHOOSE(CONTROL!$C$22, $C$13, 100%, $E$13)</f>
        <v>3.9950000000000001</v>
      </c>
      <c r="H137" s="61">
        <f>7.3569* CHOOSE(CONTROL!$C$22, $C$13, 100%, $E$13)</f>
        <v>7.3569000000000004</v>
      </c>
      <c r="I137" s="61">
        <f>7.3571 * CHOOSE(CONTROL!$C$22, $C$13, 100%, $E$13)</f>
        <v>7.3571</v>
      </c>
      <c r="J137" s="61">
        <f>3.9948 * CHOOSE(CONTROL!$C$22, $C$13, 100%, $E$13)</f>
        <v>3.9948000000000001</v>
      </c>
      <c r="K137" s="61">
        <f>3.995 * CHOOSE(CONTROL!$C$22, $C$13, 100%, $E$13)</f>
        <v>3.9950000000000001</v>
      </c>
    </row>
    <row r="138" spans="1:14" ht="15">
      <c r="A138" s="13">
        <v>46054</v>
      </c>
      <c r="B138" s="60">
        <f>3.4968 * CHOOSE(CONTROL!$C$22, $C$13, 100%, $E$13)</f>
        <v>3.4967999999999999</v>
      </c>
      <c r="C138" s="60">
        <f>3.4968 * CHOOSE(CONTROL!$C$22, $C$13, 100%, $E$13)</f>
        <v>3.4967999999999999</v>
      </c>
      <c r="D138" s="60">
        <f>3.5093 * CHOOSE(CONTROL!$C$22, $C$13, 100%, $E$13)</f>
        <v>3.5093000000000001</v>
      </c>
      <c r="E138" s="61">
        <f>3.9484 * CHOOSE(CONTROL!$C$22, $C$13, 100%, $E$13)</f>
        <v>3.9483999999999999</v>
      </c>
      <c r="F138" s="61">
        <f>3.9484 * CHOOSE(CONTROL!$C$22, $C$13, 100%, $E$13)</f>
        <v>3.9483999999999999</v>
      </c>
      <c r="G138" s="61">
        <f>3.9486 * CHOOSE(CONTROL!$C$22, $C$13, 100%, $E$13)</f>
        <v>3.9485999999999999</v>
      </c>
      <c r="H138" s="61">
        <f>7.3722* CHOOSE(CONTROL!$C$22, $C$13, 100%, $E$13)</f>
        <v>7.3722000000000003</v>
      </c>
      <c r="I138" s="61">
        <f>7.3724 * CHOOSE(CONTROL!$C$22, $C$13, 100%, $E$13)</f>
        <v>7.3723999999999998</v>
      </c>
      <c r="J138" s="61">
        <f>3.9484 * CHOOSE(CONTROL!$C$22, $C$13, 100%, $E$13)</f>
        <v>3.9483999999999999</v>
      </c>
      <c r="K138" s="61">
        <f>3.9486 * CHOOSE(CONTROL!$C$22, $C$13, 100%, $E$13)</f>
        <v>3.9485999999999999</v>
      </c>
    </row>
    <row r="139" spans="1:14" ht="15">
      <c r="A139" s="13">
        <v>46082</v>
      </c>
      <c r="B139" s="60">
        <f>3.4937 * CHOOSE(CONTROL!$C$22, $C$13, 100%, $E$13)</f>
        <v>3.4937</v>
      </c>
      <c r="C139" s="60">
        <f>3.4937 * CHOOSE(CONTROL!$C$22, $C$13, 100%, $E$13)</f>
        <v>3.4937</v>
      </c>
      <c r="D139" s="60">
        <f>3.5063 * CHOOSE(CONTROL!$C$22, $C$13, 100%, $E$13)</f>
        <v>3.5063</v>
      </c>
      <c r="E139" s="61">
        <f>3.9812 * CHOOSE(CONTROL!$C$22, $C$13, 100%, $E$13)</f>
        <v>3.9811999999999999</v>
      </c>
      <c r="F139" s="61">
        <f>3.9812 * CHOOSE(CONTROL!$C$22, $C$13, 100%, $E$13)</f>
        <v>3.9811999999999999</v>
      </c>
      <c r="G139" s="61">
        <f>3.9814 * CHOOSE(CONTROL!$C$22, $C$13, 100%, $E$13)</f>
        <v>3.9813999999999998</v>
      </c>
      <c r="H139" s="61">
        <f>7.3876* CHOOSE(CONTROL!$C$22, $C$13, 100%, $E$13)</f>
        <v>7.3875999999999999</v>
      </c>
      <c r="I139" s="61">
        <f>7.3877 * CHOOSE(CONTROL!$C$22, $C$13, 100%, $E$13)</f>
        <v>7.3876999999999997</v>
      </c>
      <c r="J139" s="61">
        <f>3.9812 * CHOOSE(CONTROL!$C$22, $C$13, 100%, $E$13)</f>
        <v>3.9811999999999999</v>
      </c>
      <c r="K139" s="61">
        <f>3.9814 * CHOOSE(CONTROL!$C$22, $C$13, 100%, $E$13)</f>
        <v>3.9813999999999998</v>
      </c>
    </row>
    <row r="140" spans="1:14" ht="15">
      <c r="A140" s="13">
        <v>46113</v>
      </c>
      <c r="B140" s="60">
        <f>3.491 * CHOOSE(CONTROL!$C$22, $C$13, 100%, $E$13)</f>
        <v>3.4910000000000001</v>
      </c>
      <c r="C140" s="60">
        <f>3.491 * CHOOSE(CONTROL!$C$22, $C$13, 100%, $E$13)</f>
        <v>3.4910000000000001</v>
      </c>
      <c r="D140" s="60">
        <f>3.5035 * CHOOSE(CONTROL!$C$22, $C$13, 100%, $E$13)</f>
        <v>3.5034999999999998</v>
      </c>
      <c r="E140" s="61">
        <f>4.0145 * CHOOSE(CONTROL!$C$22, $C$13, 100%, $E$13)</f>
        <v>4.0145</v>
      </c>
      <c r="F140" s="61">
        <f>4.0145 * CHOOSE(CONTROL!$C$22, $C$13, 100%, $E$13)</f>
        <v>4.0145</v>
      </c>
      <c r="G140" s="61">
        <f>4.0147 * CHOOSE(CONTROL!$C$22, $C$13, 100%, $E$13)</f>
        <v>4.0147000000000004</v>
      </c>
      <c r="H140" s="61">
        <f>7.403* CHOOSE(CONTROL!$C$22, $C$13, 100%, $E$13)</f>
        <v>7.4029999999999996</v>
      </c>
      <c r="I140" s="61">
        <f>7.4031 * CHOOSE(CONTROL!$C$22, $C$13, 100%, $E$13)</f>
        <v>7.4031000000000002</v>
      </c>
      <c r="J140" s="61">
        <f>4.0145 * CHOOSE(CONTROL!$C$22, $C$13, 100%, $E$13)</f>
        <v>4.0145</v>
      </c>
      <c r="K140" s="61">
        <f>4.0147 * CHOOSE(CONTROL!$C$22, $C$13, 100%, $E$13)</f>
        <v>4.0147000000000004</v>
      </c>
    </row>
    <row r="141" spans="1:14" ht="15">
      <c r="A141" s="13">
        <v>46143</v>
      </c>
      <c r="B141" s="60">
        <f>3.491 * CHOOSE(CONTROL!$C$22, $C$13, 100%, $E$13)</f>
        <v>3.4910000000000001</v>
      </c>
      <c r="C141" s="60">
        <f>3.491 * CHOOSE(CONTROL!$C$22, $C$13, 100%, $E$13)</f>
        <v>3.4910000000000001</v>
      </c>
      <c r="D141" s="60">
        <f>3.516 * CHOOSE(CONTROL!$C$22, $C$13, 100%, $E$13)</f>
        <v>3.516</v>
      </c>
      <c r="E141" s="61">
        <f>4.0285 * CHOOSE(CONTROL!$C$22, $C$13, 100%, $E$13)</f>
        <v>4.0285000000000002</v>
      </c>
      <c r="F141" s="61">
        <f>4.0285 * CHOOSE(CONTROL!$C$22, $C$13, 100%, $E$13)</f>
        <v>4.0285000000000002</v>
      </c>
      <c r="G141" s="61">
        <f>4.0301 * CHOOSE(CONTROL!$C$22, $C$13, 100%, $E$13)</f>
        <v>4.0301</v>
      </c>
      <c r="H141" s="61">
        <f>7.4184* CHOOSE(CONTROL!$C$22, $C$13, 100%, $E$13)</f>
        <v>7.4184000000000001</v>
      </c>
      <c r="I141" s="61">
        <f>7.42 * CHOOSE(CONTROL!$C$22, $C$13, 100%, $E$13)</f>
        <v>7.42</v>
      </c>
      <c r="J141" s="61">
        <f>4.0285 * CHOOSE(CONTROL!$C$22, $C$13, 100%, $E$13)</f>
        <v>4.0285000000000002</v>
      </c>
      <c r="K141" s="61">
        <f>4.0301 * CHOOSE(CONTROL!$C$22, $C$13, 100%, $E$13)</f>
        <v>4.0301</v>
      </c>
    </row>
    <row r="142" spans="1:14" ht="15">
      <c r="A142" s="13">
        <v>46174</v>
      </c>
      <c r="B142" s="60">
        <f>3.497 * CHOOSE(CONTROL!$C$22, $C$13, 100%, $E$13)</f>
        <v>3.4969999999999999</v>
      </c>
      <c r="C142" s="60">
        <f>3.497 * CHOOSE(CONTROL!$C$22, $C$13, 100%, $E$13)</f>
        <v>3.4969999999999999</v>
      </c>
      <c r="D142" s="60">
        <f>3.5221 * CHOOSE(CONTROL!$C$22, $C$13, 100%, $E$13)</f>
        <v>3.5221</v>
      </c>
      <c r="E142" s="61">
        <f>4.0187 * CHOOSE(CONTROL!$C$22, $C$13, 100%, $E$13)</f>
        <v>4.0186999999999999</v>
      </c>
      <c r="F142" s="61">
        <f>4.0187 * CHOOSE(CONTROL!$C$22, $C$13, 100%, $E$13)</f>
        <v>4.0186999999999999</v>
      </c>
      <c r="G142" s="61">
        <f>4.0203 * CHOOSE(CONTROL!$C$22, $C$13, 100%, $E$13)</f>
        <v>4.0202999999999998</v>
      </c>
      <c r="H142" s="61">
        <f>7.4338* CHOOSE(CONTROL!$C$22, $C$13, 100%, $E$13)</f>
        <v>7.4337999999999997</v>
      </c>
      <c r="I142" s="61">
        <f>7.4354 * CHOOSE(CONTROL!$C$22, $C$13, 100%, $E$13)</f>
        <v>7.4353999999999996</v>
      </c>
      <c r="J142" s="61">
        <f>4.0187 * CHOOSE(CONTROL!$C$22, $C$13, 100%, $E$13)</f>
        <v>4.0186999999999999</v>
      </c>
      <c r="K142" s="61">
        <f>4.0203 * CHOOSE(CONTROL!$C$22, $C$13, 100%, $E$13)</f>
        <v>4.0202999999999998</v>
      </c>
    </row>
    <row r="143" spans="1:14" ht="15">
      <c r="A143" s="13">
        <v>46204</v>
      </c>
      <c r="B143" s="60">
        <f>3.5437 * CHOOSE(CONTROL!$C$22, $C$13, 100%, $E$13)</f>
        <v>3.5436999999999999</v>
      </c>
      <c r="C143" s="60">
        <f>3.5437 * CHOOSE(CONTROL!$C$22, $C$13, 100%, $E$13)</f>
        <v>3.5436999999999999</v>
      </c>
      <c r="D143" s="60">
        <f>3.5688 * CHOOSE(CONTROL!$C$22, $C$13, 100%, $E$13)</f>
        <v>3.5688</v>
      </c>
      <c r="E143" s="61">
        <f>4.0789 * CHOOSE(CONTROL!$C$22, $C$13, 100%, $E$13)</f>
        <v>4.0789</v>
      </c>
      <c r="F143" s="61">
        <f>4.0789 * CHOOSE(CONTROL!$C$22, $C$13, 100%, $E$13)</f>
        <v>4.0789</v>
      </c>
      <c r="G143" s="61">
        <f>4.0805 * CHOOSE(CONTROL!$C$22, $C$13, 100%, $E$13)</f>
        <v>4.0804999999999998</v>
      </c>
      <c r="H143" s="61">
        <f>7.4493* CHOOSE(CONTROL!$C$22, $C$13, 100%, $E$13)</f>
        <v>7.4493</v>
      </c>
      <c r="I143" s="61">
        <f>7.4509 * CHOOSE(CONTROL!$C$22, $C$13, 100%, $E$13)</f>
        <v>7.4508999999999999</v>
      </c>
      <c r="J143" s="61">
        <f>4.0789 * CHOOSE(CONTROL!$C$22, $C$13, 100%, $E$13)</f>
        <v>4.0789</v>
      </c>
      <c r="K143" s="61">
        <f>4.0805 * CHOOSE(CONTROL!$C$22, $C$13, 100%, $E$13)</f>
        <v>4.0804999999999998</v>
      </c>
    </row>
    <row r="144" spans="1:14" ht="15">
      <c r="A144" s="13">
        <v>46235</v>
      </c>
      <c r="B144" s="60">
        <f>3.5504 * CHOOSE(CONTROL!$C$22, $C$13, 100%, $E$13)</f>
        <v>3.5503999999999998</v>
      </c>
      <c r="C144" s="60">
        <f>3.5504 * CHOOSE(CONTROL!$C$22, $C$13, 100%, $E$13)</f>
        <v>3.5503999999999998</v>
      </c>
      <c r="D144" s="60">
        <f>3.5754 * CHOOSE(CONTROL!$C$22, $C$13, 100%, $E$13)</f>
        <v>3.5754000000000001</v>
      </c>
      <c r="E144" s="61">
        <f>4.0414 * CHOOSE(CONTROL!$C$22, $C$13, 100%, $E$13)</f>
        <v>4.0414000000000003</v>
      </c>
      <c r="F144" s="61">
        <f>4.0414 * CHOOSE(CONTROL!$C$22, $C$13, 100%, $E$13)</f>
        <v>4.0414000000000003</v>
      </c>
      <c r="G144" s="61">
        <f>4.043 * CHOOSE(CONTROL!$C$22, $C$13, 100%, $E$13)</f>
        <v>4.0430000000000001</v>
      </c>
      <c r="H144" s="61">
        <f>7.4648* CHOOSE(CONTROL!$C$22, $C$13, 100%, $E$13)</f>
        <v>7.4648000000000003</v>
      </c>
      <c r="I144" s="61">
        <f>7.4665 * CHOOSE(CONTROL!$C$22, $C$13, 100%, $E$13)</f>
        <v>7.4664999999999999</v>
      </c>
      <c r="J144" s="61">
        <f>4.0414 * CHOOSE(CONTROL!$C$22, $C$13, 100%, $E$13)</f>
        <v>4.0414000000000003</v>
      </c>
      <c r="K144" s="61">
        <f>4.043 * CHOOSE(CONTROL!$C$22, $C$13, 100%, $E$13)</f>
        <v>4.0430000000000001</v>
      </c>
    </row>
    <row r="145" spans="1:11" ht="15">
      <c r="A145" s="13">
        <v>46266</v>
      </c>
      <c r="B145" s="60">
        <f>3.5473 * CHOOSE(CONTROL!$C$22, $C$13, 100%, $E$13)</f>
        <v>3.5472999999999999</v>
      </c>
      <c r="C145" s="60">
        <f>3.5473 * CHOOSE(CONTROL!$C$22, $C$13, 100%, $E$13)</f>
        <v>3.5472999999999999</v>
      </c>
      <c r="D145" s="60">
        <f>3.5724 * CHOOSE(CONTROL!$C$22, $C$13, 100%, $E$13)</f>
        <v>3.5724</v>
      </c>
      <c r="E145" s="61">
        <f>4.0346 * CHOOSE(CONTROL!$C$22, $C$13, 100%, $E$13)</f>
        <v>4.0346000000000002</v>
      </c>
      <c r="F145" s="61">
        <f>4.0346 * CHOOSE(CONTROL!$C$22, $C$13, 100%, $E$13)</f>
        <v>4.0346000000000002</v>
      </c>
      <c r="G145" s="61">
        <f>4.0362 * CHOOSE(CONTROL!$C$22, $C$13, 100%, $E$13)</f>
        <v>4.0362</v>
      </c>
      <c r="H145" s="61">
        <f>7.4804* CHOOSE(CONTROL!$C$22, $C$13, 100%, $E$13)</f>
        <v>7.4804000000000004</v>
      </c>
      <c r="I145" s="61">
        <f>7.482 * CHOOSE(CONTROL!$C$22, $C$13, 100%, $E$13)</f>
        <v>7.4820000000000002</v>
      </c>
      <c r="J145" s="61">
        <f>4.0346 * CHOOSE(CONTROL!$C$22, $C$13, 100%, $E$13)</f>
        <v>4.0346000000000002</v>
      </c>
      <c r="K145" s="61">
        <f>4.0362 * CHOOSE(CONTROL!$C$22, $C$13, 100%, $E$13)</f>
        <v>4.0362</v>
      </c>
    </row>
    <row r="146" spans="1:11" ht="15">
      <c r="A146" s="13">
        <v>46296</v>
      </c>
      <c r="B146" s="60">
        <f>3.541 * CHOOSE(CONTROL!$C$22, $C$13, 100%, $E$13)</f>
        <v>3.5409999999999999</v>
      </c>
      <c r="C146" s="60">
        <f>3.541 * CHOOSE(CONTROL!$C$22, $C$13, 100%, $E$13)</f>
        <v>3.5409999999999999</v>
      </c>
      <c r="D146" s="60">
        <f>3.5535 * CHOOSE(CONTROL!$C$22, $C$13, 100%, $E$13)</f>
        <v>3.5535000000000001</v>
      </c>
      <c r="E146" s="61">
        <f>4.0399 * CHOOSE(CONTROL!$C$22, $C$13, 100%, $E$13)</f>
        <v>4.0399000000000003</v>
      </c>
      <c r="F146" s="61">
        <f>4.0399 * CHOOSE(CONTROL!$C$22, $C$13, 100%, $E$13)</f>
        <v>4.0399000000000003</v>
      </c>
      <c r="G146" s="61">
        <f>4.0401 * CHOOSE(CONTROL!$C$22, $C$13, 100%, $E$13)</f>
        <v>4.0400999999999998</v>
      </c>
      <c r="H146" s="61">
        <f>7.496* CHOOSE(CONTROL!$C$22, $C$13, 100%, $E$13)</f>
        <v>7.4960000000000004</v>
      </c>
      <c r="I146" s="61">
        <f>7.4962 * CHOOSE(CONTROL!$C$22, $C$13, 100%, $E$13)</f>
        <v>7.4962</v>
      </c>
      <c r="J146" s="61">
        <f>4.0399 * CHOOSE(CONTROL!$C$22, $C$13, 100%, $E$13)</f>
        <v>4.0399000000000003</v>
      </c>
      <c r="K146" s="61">
        <f>4.0401 * CHOOSE(CONTROL!$C$22, $C$13, 100%, $E$13)</f>
        <v>4.0400999999999998</v>
      </c>
    </row>
    <row r="147" spans="1:11" ht="15">
      <c r="A147" s="13">
        <v>46327</v>
      </c>
      <c r="B147" s="60">
        <f>3.544 * CHOOSE(CONTROL!$C$22, $C$13, 100%, $E$13)</f>
        <v>3.544</v>
      </c>
      <c r="C147" s="60">
        <f>3.544 * CHOOSE(CONTROL!$C$22, $C$13, 100%, $E$13)</f>
        <v>3.544</v>
      </c>
      <c r="D147" s="60">
        <f>3.5565 * CHOOSE(CONTROL!$C$22, $C$13, 100%, $E$13)</f>
        <v>3.5565000000000002</v>
      </c>
      <c r="E147" s="61">
        <f>4.0514 * CHOOSE(CONTROL!$C$22, $C$13, 100%, $E$13)</f>
        <v>4.0514000000000001</v>
      </c>
      <c r="F147" s="61">
        <f>4.0514 * CHOOSE(CONTROL!$C$22, $C$13, 100%, $E$13)</f>
        <v>4.0514000000000001</v>
      </c>
      <c r="G147" s="61">
        <f>4.0516 * CHOOSE(CONTROL!$C$22, $C$13, 100%, $E$13)</f>
        <v>4.0515999999999996</v>
      </c>
      <c r="H147" s="61">
        <f>7.5116* CHOOSE(CONTROL!$C$22, $C$13, 100%, $E$13)</f>
        <v>7.5115999999999996</v>
      </c>
      <c r="I147" s="61">
        <f>7.5118 * CHOOSE(CONTROL!$C$22, $C$13, 100%, $E$13)</f>
        <v>7.5118</v>
      </c>
      <c r="J147" s="61">
        <f>4.0514 * CHOOSE(CONTROL!$C$22, $C$13, 100%, $E$13)</f>
        <v>4.0514000000000001</v>
      </c>
      <c r="K147" s="61">
        <f>4.0516 * CHOOSE(CONTROL!$C$22, $C$13, 100%, $E$13)</f>
        <v>4.0515999999999996</v>
      </c>
    </row>
    <row r="148" spans="1:11" ht="15">
      <c r="A148" s="13">
        <v>46357</v>
      </c>
      <c r="B148" s="60">
        <f>3.544 * CHOOSE(CONTROL!$C$22, $C$13, 100%, $E$13)</f>
        <v>3.544</v>
      </c>
      <c r="C148" s="60">
        <f>3.544 * CHOOSE(CONTROL!$C$22, $C$13, 100%, $E$13)</f>
        <v>3.544</v>
      </c>
      <c r="D148" s="60">
        <f>3.5565 * CHOOSE(CONTROL!$C$22, $C$13, 100%, $E$13)</f>
        <v>3.5565000000000002</v>
      </c>
      <c r="E148" s="61">
        <f>4.028 * CHOOSE(CONTROL!$C$22, $C$13, 100%, $E$13)</f>
        <v>4.0279999999999996</v>
      </c>
      <c r="F148" s="61">
        <f>4.028 * CHOOSE(CONTROL!$C$22, $C$13, 100%, $E$13)</f>
        <v>4.0279999999999996</v>
      </c>
      <c r="G148" s="61">
        <f>4.0282 * CHOOSE(CONTROL!$C$22, $C$13, 100%, $E$13)</f>
        <v>4.0282</v>
      </c>
      <c r="H148" s="61">
        <f>7.5273* CHOOSE(CONTROL!$C$22, $C$13, 100%, $E$13)</f>
        <v>7.5273000000000003</v>
      </c>
      <c r="I148" s="61">
        <f>7.5274 * CHOOSE(CONTROL!$C$22, $C$13, 100%, $E$13)</f>
        <v>7.5274000000000001</v>
      </c>
      <c r="J148" s="61">
        <f>4.028 * CHOOSE(CONTROL!$C$22, $C$13, 100%, $E$13)</f>
        <v>4.0279999999999996</v>
      </c>
      <c r="K148" s="61">
        <f>4.0282 * CHOOSE(CONTROL!$C$22, $C$13, 100%, $E$13)</f>
        <v>4.0282</v>
      </c>
    </row>
    <row r="149" spans="1:11" ht="15">
      <c r="A149" s="13">
        <v>46388</v>
      </c>
      <c r="B149" s="60">
        <f>3.5723 * CHOOSE(CONTROL!$C$22, $C$13, 100%, $E$13)</f>
        <v>3.5722999999999998</v>
      </c>
      <c r="C149" s="60">
        <f>3.5723 * CHOOSE(CONTROL!$C$22, $C$13, 100%, $E$13)</f>
        <v>3.5722999999999998</v>
      </c>
      <c r="D149" s="60">
        <f>3.5849 * CHOOSE(CONTROL!$C$22, $C$13, 100%, $E$13)</f>
        <v>3.5849000000000002</v>
      </c>
      <c r="E149" s="61">
        <f>4.0707 * CHOOSE(CONTROL!$C$22, $C$13, 100%, $E$13)</f>
        <v>4.0707000000000004</v>
      </c>
      <c r="F149" s="61">
        <f>4.0707 * CHOOSE(CONTROL!$C$22, $C$13, 100%, $E$13)</f>
        <v>4.0707000000000004</v>
      </c>
      <c r="G149" s="61">
        <f>4.0708 * CHOOSE(CONTROL!$C$22, $C$13, 100%, $E$13)</f>
        <v>4.0708000000000002</v>
      </c>
      <c r="H149" s="61">
        <f>7.5429* CHOOSE(CONTROL!$C$22, $C$13, 100%, $E$13)</f>
        <v>7.5429000000000004</v>
      </c>
      <c r="I149" s="61">
        <f>7.5431 * CHOOSE(CONTROL!$C$22, $C$13, 100%, $E$13)</f>
        <v>7.5430999999999999</v>
      </c>
      <c r="J149" s="61">
        <f>4.0707 * CHOOSE(CONTROL!$C$22, $C$13, 100%, $E$13)</f>
        <v>4.0707000000000004</v>
      </c>
      <c r="K149" s="61">
        <f>4.0708 * CHOOSE(CONTROL!$C$22, $C$13, 100%, $E$13)</f>
        <v>4.0708000000000002</v>
      </c>
    </row>
    <row r="150" spans="1:11" ht="15">
      <c r="A150" s="13">
        <v>46419</v>
      </c>
      <c r="B150" s="60">
        <f>3.5693 * CHOOSE(CONTROL!$C$22, $C$13, 100%, $E$13)</f>
        <v>3.5693000000000001</v>
      </c>
      <c r="C150" s="60">
        <f>3.5693 * CHOOSE(CONTROL!$C$22, $C$13, 100%, $E$13)</f>
        <v>3.5693000000000001</v>
      </c>
      <c r="D150" s="60">
        <f>3.5818 * CHOOSE(CONTROL!$C$22, $C$13, 100%, $E$13)</f>
        <v>3.5817999999999999</v>
      </c>
      <c r="E150" s="61">
        <f>4.0231 * CHOOSE(CONTROL!$C$22, $C$13, 100%, $E$13)</f>
        <v>4.0231000000000003</v>
      </c>
      <c r="F150" s="61">
        <f>4.0231 * CHOOSE(CONTROL!$C$22, $C$13, 100%, $E$13)</f>
        <v>4.0231000000000003</v>
      </c>
      <c r="G150" s="61">
        <f>4.0233 * CHOOSE(CONTROL!$C$22, $C$13, 100%, $E$13)</f>
        <v>4.0232999999999999</v>
      </c>
      <c r="H150" s="61">
        <f>7.5586* CHOOSE(CONTROL!$C$22, $C$13, 100%, $E$13)</f>
        <v>7.5586000000000002</v>
      </c>
      <c r="I150" s="61">
        <f>7.5588 * CHOOSE(CONTROL!$C$22, $C$13, 100%, $E$13)</f>
        <v>7.5587999999999997</v>
      </c>
      <c r="J150" s="61">
        <f>4.0231 * CHOOSE(CONTROL!$C$22, $C$13, 100%, $E$13)</f>
        <v>4.0231000000000003</v>
      </c>
      <c r="K150" s="61">
        <f>4.0233 * CHOOSE(CONTROL!$C$22, $C$13, 100%, $E$13)</f>
        <v>4.0232999999999999</v>
      </c>
    </row>
    <row r="151" spans="1:11" ht="15">
      <c r="A151" s="13">
        <v>46447</v>
      </c>
      <c r="B151" s="60">
        <f>3.5662 * CHOOSE(CONTROL!$C$22, $C$13, 100%, $E$13)</f>
        <v>3.5661999999999998</v>
      </c>
      <c r="C151" s="60">
        <f>3.5662 * CHOOSE(CONTROL!$C$22, $C$13, 100%, $E$13)</f>
        <v>3.5661999999999998</v>
      </c>
      <c r="D151" s="60">
        <f>3.5788 * CHOOSE(CONTROL!$C$22, $C$13, 100%, $E$13)</f>
        <v>3.5788000000000002</v>
      </c>
      <c r="E151" s="61">
        <f>4.0568 * CHOOSE(CONTROL!$C$22, $C$13, 100%, $E$13)</f>
        <v>4.0568</v>
      </c>
      <c r="F151" s="61">
        <f>4.0568 * CHOOSE(CONTROL!$C$22, $C$13, 100%, $E$13)</f>
        <v>4.0568</v>
      </c>
      <c r="G151" s="61">
        <f>4.057 * CHOOSE(CONTROL!$C$22, $C$13, 100%, $E$13)</f>
        <v>4.0570000000000004</v>
      </c>
      <c r="H151" s="61">
        <f>7.5744* CHOOSE(CONTROL!$C$22, $C$13, 100%, $E$13)</f>
        <v>7.5743999999999998</v>
      </c>
      <c r="I151" s="61">
        <f>7.5746 * CHOOSE(CONTROL!$C$22, $C$13, 100%, $E$13)</f>
        <v>7.5746000000000002</v>
      </c>
      <c r="J151" s="61">
        <f>4.0568 * CHOOSE(CONTROL!$C$22, $C$13, 100%, $E$13)</f>
        <v>4.0568</v>
      </c>
      <c r="K151" s="61">
        <f>4.057 * CHOOSE(CONTROL!$C$22, $C$13, 100%, $E$13)</f>
        <v>4.0570000000000004</v>
      </c>
    </row>
    <row r="152" spans="1:11" ht="15">
      <c r="A152" s="13">
        <v>46478</v>
      </c>
      <c r="B152" s="60">
        <f>3.5635 * CHOOSE(CONTROL!$C$22, $C$13, 100%, $E$13)</f>
        <v>3.5634999999999999</v>
      </c>
      <c r="C152" s="60">
        <f>3.5635 * CHOOSE(CONTROL!$C$22, $C$13, 100%, $E$13)</f>
        <v>3.5634999999999999</v>
      </c>
      <c r="D152" s="60">
        <f>3.5761 * CHOOSE(CONTROL!$C$22, $C$13, 100%, $E$13)</f>
        <v>3.5760999999999998</v>
      </c>
      <c r="E152" s="61">
        <f>4.091 * CHOOSE(CONTROL!$C$22, $C$13, 100%, $E$13)</f>
        <v>4.0910000000000002</v>
      </c>
      <c r="F152" s="61">
        <f>4.091 * CHOOSE(CONTROL!$C$22, $C$13, 100%, $E$13)</f>
        <v>4.0910000000000002</v>
      </c>
      <c r="G152" s="61">
        <f>4.0912 * CHOOSE(CONTROL!$C$22, $C$13, 100%, $E$13)</f>
        <v>4.0911999999999997</v>
      </c>
      <c r="H152" s="61">
        <f>7.5902* CHOOSE(CONTROL!$C$22, $C$13, 100%, $E$13)</f>
        <v>7.5902000000000003</v>
      </c>
      <c r="I152" s="61">
        <f>7.5904 * CHOOSE(CONTROL!$C$22, $C$13, 100%, $E$13)</f>
        <v>7.5903999999999998</v>
      </c>
      <c r="J152" s="61">
        <f>4.091 * CHOOSE(CONTROL!$C$22, $C$13, 100%, $E$13)</f>
        <v>4.0910000000000002</v>
      </c>
      <c r="K152" s="61">
        <f>4.0912 * CHOOSE(CONTROL!$C$22, $C$13, 100%, $E$13)</f>
        <v>4.0911999999999997</v>
      </c>
    </row>
    <row r="153" spans="1:11" ht="15">
      <c r="A153" s="13">
        <v>46508</v>
      </c>
      <c r="B153" s="60">
        <f>3.5635 * CHOOSE(CONTROL!$C$22, $C$13, 100%, $E$13)</f>
        <v>3.5634999999999999</v>
      </c>
      <c r="C153" s="60">
        <f>3.5635 * CHOOSE(CONTROL!$C$22, $C$13, 100%, $E$13)</f>
        <v>3.5634999999999999</v>
      </c>
      <c r="D153" s="60">
        <f>3.5886 * CHOOSE(CONTROL!$C$22, $C$13, 100%, $E$13)</f>
        <v>3.5886</v>
      </c>
      <c r="E153" s="61">
        <f>4.1054 * CHOOSE(CONTROL!$C$22, $C$13, 100%, $E$13)</f>
        <v>4.1054000000000004</v>
      </c>
      <c r="F153" s="61">
        <f>4.1054 * CHOOSE(CONTROL!$C$22, $C$13, 100%, $E$13)</f>
        <v>4.1054000000000004</v>
      </c>
      <c r="G153" s="61">
        <f>4.107 * CHOOSE(CONTROL!$C$22, $C$13, 100%, $E$13)</f>
        <v>4.1070000000000002</v>
      </c>
      <c r="H153" s="61">
        <f>7.606* CHOOSE(CONTROL!$C$22, $C$13, 100%, $E$13)</f>
        <v>7.6059999999999999</v>
      </c>
      <c r="I153" s="61">
        <f>7.6076 * CHOOSE(CONTROL!$C$22, $C$13, 100%, $E$13)</f>
        <v>7.6075999999999997</v>
      </c>
      <c r="J153" s="61">
        <f>4.1054 * CHOOSE(CONTROL!$C$22, $C$13, 100%, $E$13)</f>
        <v>4.1054000000000004</v>
      </c>
      <c r="K153" s="61">
        <f>4.107 * CHOOSE(CONTROL!$C$22, $C$13, 100%, $E$13)</f>
        <v>4.1070000000000002</v>
      </c>
    </row>
    <row r="154" spans="1:11" ht="15">
      <c r="A154" s="13">
        <v>46539</v>
      </c>
      <c r="B154" s="60">
        <f>3.5696 * CHOOSE(CONTROL!$C$22, $C$13, 100%, $E$13)</f>
        <v>3.5695999999999999</v>
      </c>
      <c r="C154" s="60">
        <f>3.5696 * CHOOSE(CONTROL!$C$22, $C$13, 100%, $E$13)</f>
        <v>3.5695999999999999</v>
      </c>
      <c r="D154" s="60">
        <f>3.5947 * CHOOSE(CONTROL!$C$22, $C$13, 100%, $E$13)</f>
        <v>3.5947</v>
      </c>
      <c r="E154" s="61">
        <f>4.0953 * CHOOSE(CONTROL!$C$22, $C$13, 100%, $E$13)</f>
        <v>4.0952999999999999</v>
      </c>
      <c r="F154" s="61">
        <f>4.0953 * CHOOSE(CONTROL!$C$22, $C$13, 100%, $E$13)</f>
        <v>4.0952999999999999</v>
      </c>
      <c r="G154" s="61">
        <f>4.0969 * CHOOSE(CONTROL!$C$22, $C$13, 100%, $E$13)</f>
        <v>4.0968999999999998</v>
      </c>
      <c r="H154" s="61">
        <f>7.6218* CHOOSE(CONTROL!$C$22, $C$13, 100%, $E$13)</f>
        <v>7.6218000000000004</v>
      </c>
      <c r="I154" s="61">
        <f>7.6234 * CHOOSE(CONTROL!$C$22, $C$13, 100%, $E$13)</f>
        <v>7.6234000000000002</v>
      </c>
      <c r="J154" s="61">
        <f>4.0953 * CHOOSE(CONTROL!$C$22, $C$13, 100%, $E$13)</f>
        <v>4.0952999999999999</v>
      </c>
      <c r="K154" s="61">
        <f>4.0969 * CHOOSE(CONTROL!$C$22, $C$13, 100%, $E$13)</f>
        <v>4.0968999999999998</v>
      </c>
    </row>
    <row r="155" spans="1:11" ht="15">
      <c r="A155" s="13">
        <v>46569</v>
      </c>
      <c r="B155" s="60">
        <f>3.6201 * CHOOSE(CONTROL!$C$22, $C$13, 100%, $E$13)</f>
        <v>3.6200999999999999</v>
      </c>
      <c r="C155" s="60">
        <f>3.6201 * CHOOSE(CONTROL!$C$22, $C$13, 100%, $E$13)</f>
        <v>3.6200999999999999</v>
      </c>
      <c r="D155" s="60">
        <f>3.6452 * CHOOSE(CONTROL!$C$22, $C$13, 100%, $E$13)</f>
        <v>3.6452</v>
      </c>
      <c r="E155" s="61">
        <f>4.1543 * CHOOSE(CONTROL!$C$22, $C$13, 100%, $E$13)</f>
        <v>4.1543000000000001</v>
      </c>
      <c r="F155" s="61">
        <f>4.1543 * CHOOSE(CONTROL!$C$22, $C$13, 100%, $E$13)</f>
        <v>4.1543000000000001</v>
      </c>
      <c r="G155" s="61">
        <f>4.1559 * CHOOSE(CONTROL!$C$22, $C$13, 100%, $E$13)</f>
        <v>4.1558999999999999</v>
      </c>
      <c r="H155" s="61">
        <f>7.6377* CHOOSE(CONTROL!$C$22, $C$13, 100%, $E$13)</f>
        <v>7.6376999999999997</v>
      </c>
      <c r="I155" s="61">
        <f>7.6393 * CHOOSE(CONTROL!$C$22, $C$13, 100%, $E$13)</f>
        <v>7.6393000000000004</v>
      </c>
      <c r="J155" s="61">
        <f>4.1543 * CHOOSE(CONTROL!$C$22, $C$13, 100%, $E$13)</f>
        <v>4.1543000000000001</v>
      </c>
      <c r="K155" s="61">
        <f>4.1559 * CHOOSE(CONTROL!$C$22, $C$13, 100%, $E$13)</f>
        <v>4.1558999999999999</v>
      </c>
    </row>
    <row r="156" spans="1:11" ht="15">
      <c r="A156" s="13">
        <v>46600</v>
      </c>
      <c r="B156" s="60">
        <f>3.6268 * CHOOSE(CONTROL!$C$22, $C$13, 100%, $E$13)</f>
        <v>3.6267999999999998</v>
      </c>
      <c r="C156" s="60">
        <f>3.6268 * CHOOSE(CONTROL!$C$22, $C$13, 100%, $E$13)</f>
        <v>3.6267999999999998</v>
      </c>
      <c r="D156" s="60">
        <f>3.6518 * CHOOSE(CONTROL!$C$22, $C$13, 100%, $E$13)</f>
        <v>3.6518000000000002</v>
      </c>
      <c r="E156" s="61">
        <f>4.1157 * CHOOSE(CONTROL!$C$22, $C$13, 100%, $E$13)</f>
        <v>4.1157000000000004</v>
      </c>
      <c r="F156" s="61">
        <f>4.1157 * CHOOSE(CONTROL!$C$22, $C$13, 100%, $E$13)</f>
        <v>4.1157000000000004</v>
      </c>
      <c r="G156" s="61">
        <f>4.1173 * CHOOSE(CONTROL!$C$22, $C$13, 100%, $E$13)</f>
        <v>4.1173000000000002</v>
      </c>
      <c r="H156" s="61">
        <f>7.6536* CHOOSE(CONTROL!$C$22, $C$13, 100%, $E$13)</f>
        <v>7.6536</v>
      </c>
      <c r="I156" s="61">
        <f>7.6552 * CHOOSE(CONTROL!$C$22, $C$13, 100%, $E$13)</f>
        <v>7.6551999999999998</v>
      </c>
      <c r="J156" s="61">
        <f>4.1157 * CHOOSE(CONTROL!$C$22, $C$13, 100%, $E$13)</f>
        <v>4.1157000000000004</v>
      </c>
      <c r="K156" s="61">
        <f>4.1173 * CHOOSE(CONTROL!$C$22, $C$13, 100%, $E$13)</f>
        <v>4.1173000000000002</v>
      </c>
    </row>
    <row r="157" spans="1:11" ht="15">
      <c r="A157" s="13">
        <v>46631</v>
      </c>
      <c r="B157" s="60">
        <f>3.6237 * CHOOSE(CONTROL!$C$22, $C$13, 100%, $E$13)</f>
        <v>3.6236999999999999</v>
      </c>
      <c r="C157" s="60">
        <f>3.6237 * CHOOSE(CONTROL!$C$22, $C$13, 100%, $E$13)</f>
        <v>3.6236999999999999</v>
      </c>
      <c r="D157" s="60">
        <f>3.6488 * CHOOSE(CONTROL!$C$22, $C$13, 100%, $E$13)</f>
        <v>3.6488</v>
      </c>
      <c r="E157" s="61">
        <f>4.1088 * CHOOSE(CONTROL!$C$22, $C$13, 100%, $E$13)</f>
        <v>4.1087999999999996</v>
      </c>
      <c r="F157" s="61">
        <f>4.1088 * CHOOSE(CONTROL!$C$22, $C$13, 100%, $E$13)</f>
        <v>4.1087999999999996</v>
      </c>
      <c r="G157" s="61">
        <f>4.1104 * CHOOSE(CONTROL!$C$22, $C$13, 100%, $E$13)</f>
        <v>4.1104000000000003</v>
      </c>
      <c r="H157" s="61">
        <f>7.6696* CHOOSE(CONTROL!$C$22, $C$13, 100%, $E$13)</f>
        <v>7.6696</v>
      </c>
      <c r="I157" s="61">
        <f>7.6712 * CHOOSE(CONTROL!$C$22, $C$13, 100%, $E$13)</f>
        <v>7.6711999999999998</v>
      </c>
      <c r="J157" s="61">
        <f>4.1088 * CHOOSE(CONTROL!$C$22, $C$13, 100%, $E$13)</f>
        <v>4.1087999999999996</v>
      </c>
      <c r="K157" s="61">
        <f>4.1104 * CHOOSE(CONTROL!$C$22, $C$13, 100%, $E$13)</f>
        <v>4.1104000000000003</v>
      </c>
    </row>
    <row r="158" spans="1:11" ht="15">
      <c r="A158" s="13">
        <v>46661</v>
      </c>
      <c r="B158" s="60">
        <f>3.6177 * CHOOSE(CONTROL!$C$22, $C$13, 100%, $E$13)</f>
        <v>3.6177000000000001</v>
      </c>
      <c r="C158" s="60">
        <f>3.6177 * CHOOSE(CONTROL!$C$22, $C$13, 100%, $E$13)</f>
        <v>3.6177000000000001</v>
      </c>
      <c r="D158" s="60">
        <f>3.6302 * CHOOSE(CONTROL!$C$22, $C$13, 100%, $E$13)</f>
        <v>3.6301999999999999</v>
      </c>
      <c r="E158" s="61">
        <f>4.1146 * CHOOSE(CONTROL!$C$22, $C$13, 100%, $E$13)</f>
        <v>4.1146000000000003</v>
      </c>
      <c r="F158" s="61">
        <f>4.1146 * CHOOSE(CONTROL!$C$22, $C$13, 100%, $E$13)</f>
        <v>4.1146000000000003</v>
      </c>
      <c r="G158" s="61">
        <f>4.1148 * CHOOSE(CONTROL!$C$22, $C$13, 100%, $E$13)</f>
        <v>4.1147999999999998</v>
      </c>
      <c r="H158" s="61">
        <f>7.6855* CHOOSE(CONTROL!$C$22, $C$13, 100%, $E$13)</f>
        <v>7.6855000000000002</v>
      </c>
      <c r="I158" s="61">
        <f>7.6857 * CHOOSE(CONTROL!$C$22, $C$13, 100%, $E$13)</f>
        <v>7.6856999999999998</v>
      </c>
      <c r="J158" s="61">
        <f>4.1146 * CHOOSE(CONTROL!$C$22, $C$13, 100%, $E$13)</f>
        <v>4.1146000000000003</v>
      </c>
      <c r="K158" s="61">
        <f>4.1148 * CHOOSE(CONTROL!$C$22, $C$13, 100%, $E$13)</f>
        <v>4.1147999999999998</v>
      </c>
    </row>
    <row r="159" spans="1:11" ht="15">
      <c r="A159" s="13">
        <v>46692</v>
      </c>
      <c r="B159" s="60">
        <f>3.6207 * CHOOSE(CONTROL!$C$22, $C$13, 100%, $E$13)</f>
        <v>3.6206999999999998</v>
      </c>
      <c r="C159" s="60">
        <f>3.6207 * CHOOSE(CONTROL!$C$22, $C$13, 100%, $E$13)</f>
        <v>3.6206999999999998</v>
      </c>
      <c r="D159" s="60">
        <f>3.6333 * CHOOSE(CONTROL!$C$22, $C$13, 100%, $E$13)</f>
        <v>3.6333000000000002</v>
      </c>
      <c r="E159" s="61">
        <f>4.1263 * CHOOSE(CONTROL!$C$22, $C$13, 100%, $E$13)</f>
        <v>4.1262999999999996</v>
      </c>
      <c r="F159" s="61">
        <f>4.1263 * CHOOSE(CONTROL!$C$22, $C$13, 100%, $E$13)</f>
        <v>4.1262999999999996</v>
      </c>
      <c r="G159" s="61">
        <f>4.1265 * CHOOSE(CONTROL!$C$22, $C$13, 100%, $E$13)</f>
        <v>4.1265000000000001</v>
      </c>
      <c r="H159" s="61">
        <f>7.7016* CHOOSE(CONTROL!$C$22, $C$13, 100%, $E$13)</f>
        <v>7.7016</v>
      </c>
      <c r="I159" s="61">
        <f>7.7017 * CHOOSE(CONTROL!$C$22, $C$13, 100%, $E$13)</f>
        <v>7.7016999999999998</v>
      </c>
      <c r="J159" s="61">
        <f>4.1263 * CHOOSE(CONTROL!$C$22, $C$13, 100%, $E$13)</f>
        <v>4.1262999999999996</v>
      </c>
      <c r="K159" s="61">
        <f>4.1265 * CHOOSE(CONTROL!$C$22, $C$13, 100%, $E$13)</f>
        <v>4.1265000000000001</v>
      </c>
    </row>
    <row r="160" spans="1:11" ht="15">
      <c r="A160" s="13">
        <v>46722</v>
      </c>
      <c r="B160" s="60">
        <f>3.6207 * CHOOSE(CONTROL!$C$22, $C$13, 100%, $E$13)</f>
        <v>3.6206999999999998</v>
      </c>
      <c r="C160" s="60">
        <f>3.6207 * CHOOSE(CONTROL!$C$22, $C$13, 100%, $E$13)</f>
        <v>3.6206999999999998</v>
      </c>
      <c r="D160" s="60">
        <f>3.6333 * CHOOSE(CONTROL!$C$22, $C$13, 100%, $E$13)</f>
        <v>3.6333000000000002</v>
      </c>
      <c r="E160" s="61">
        <f>4.1023 * CHOOSE(CONTROL!$C$22, $C$13, 100%, $E$13)</f>
        <v>4.1022999999999996</v>
      </c>
      <c r="F160" s="61">
        <f>4.1023 * CHOOSE(CONTROL!$C$22, $C$13, 100%, $E$13)</f>
        <v>4.1022999999999996</v>
      </c>
      <c r="G160" s="61">
        <f>4.1024 * CHOOSE(CONTROL!$C$22, $C$13, 100%, $E$13)</f>
        <v>4.1024000000000003</v>
      </c>
      <c r="H160" s="61">
        <f>7.7176* CHOOSE(CONTROL!$C$22, $C$13, 100%, $E$13)</f>
        <v>7.7176</v>
      </c>
      <c r="I160" s="61">
        <f>7.7178 * CHOOSE(CONTROL!$C$22, $C$13, 100%, $E$13)</f>
        <v>7.7178000000000004</v>
      </c>
      <c r="J160" s="61">
        <f>4.1023 * CHOOSE(CONTROL!$C$22, $C$13, 100%, $E$13)</f>
        <v>4.1022999999999996</v>
      </c>
      <c r="K160" s="61">
        <f>4.1024 * CHOOSE(CONTROL!$C$22, $C$13, 100%, $E$13)</f>
        <v>4.1024000000000003</v>
      </c>
    </row>
    <row r="161" spans="1:11" ht="15">
      <c r="A161" s="13">
        <v>46753</v>
      </c>
      <c r="B161" s="60">
        <f>3.656 * CHOOSE(CONTROL!$C$22, $C$13, 100%, $E$13)</f>
        <v>3.6560000000000001</v>
      </c>
      <c r="C161" s="60">
        <f>3.656 * CHOOSE(CONTROL!$C$22, $C$13, 100%, $E$13)</f>
        <v>3.6560000000000001</v>
      </c>
      <c r="D161" s="60">
        <f>3.6685 * CHOOSE(CONTROL!$C$22, $C$13, 100%, $E$13)</f>
        <v>3.6684999999999999</v>
      </c>
      <c r="E161" s="61">
        <f>4.1535 * CHOOSE(CONTROL!$C$22, $C$13, 100%, $E$13)</f>
        <v>4.1535000000000002</v>
      </c>
      <c r="F161" s="61">
        <f>4.1535 * CHOOSE(CONTROL!$C$22, $C$13, 100%, $E$13)</f>
        <v>4.1535000000000002</v>
      </c>
      <c r="G161" s="61">
        <f>4.1537 * CHOOSE(CONTROL!$C$22, $C$13, 100%, $E$13)</f>
        <v>4.1536999999999997</v>
      </c>
      <c r="H161" s="61">
        <f>7.7337* CHOOSE(CONTROL!$C$22, $C$13, 100%, $E$13)</f>
        <v>7.7336999999999998</v>
      </c>
      <c r="I161" s="61">
        <f>7.7339 * CHOOSE(CONTROL!$C$22, $C$13, 100%, $E$13)</f>
        <v>7.7339000000000002</v>
      </c>
      <c r="J161" s="61">
        <f>4.1535 * CHOOSE(CONTROL!$C$22, $C$13, 100%, $E$13)</f>
        <v>4.1535000000000002</v>
      </c>
      <c r="K161" s="61">
        <f>4.1537 * CHOOSE(CONTROL!$C$22, $C$13, 100%, $E$13)</f>
        <v>4.1536999999999997</v>
      </c>
    </row>
    <row r="162" spans="1:11" ht="15">
      <c r="A162" s="13">
        <v>46784</v>
      </c>
      <c r="B162" s="60">
        <f>3.6529 * CHOOSE(CONTROL!$C$22, $C$13, 100%, $E$13)</f>
        <v>3.6528999999999998</v>
      </c>
      <c r="C162" s="60">
        <f>3.6529 * CHOOSE(CONTROL!$C$22, $C$13, 100%, $E$13)</f>
        <v>3.6528999999999998</v>
      </c>
      <c r="D162" s="60">
        <f>3.6655 * CHOOSE(CONTROL!$C$22, $C$13, 100%, $E$13)</f>
        <v>3.6655000000000002</v>
      </c>
      <c r="E162" s="61">
        <f>4.1048 * CHOOSE(CONTROL!$C$22, $C$13, 100%, $E$13)</f>
        <v>4.1048</v>
      </c>
      <c r="F162" s="61">
        <f>4.1048 * CHOOSE(CONTROL!$C$22, $C$13, 100%, $E$13)</f>
        <v>4.1048</v>
      </c>
      <c r="G162" s="61">
        <f>4.105 * CHOOSE(CONTROL!$C$22, $C$13, 100%, $E$13)</f>
        <v>4.1050000000000004</v>
      </c>
      <c r="H162" s="61">
        <f>7.7498* CHOOSE(CONTROL!$C$22, $C$13, 100%, $E$13)</f>
        <v>7.7497999999999996</v>
      </c>
      <c r="I162" s="61">
        <f>7.75 * CHOOSE(CONTROL!$C$22, $C$13, 100%, $E$13)</f>
        <v>7.75</v>
      </c>
      <c r="J162" s="61">
        <f>4.1048 * CHOOSE(CONTROL!$C$22, $C$13, 100%, $E$13)</f>
        <v>4.1048</v>
      </c>
      <c r="K162" s="61">
        <f>4.105 * CHOOSE(CONTROL!$C$22, $C$13, 100%, $E$13)</f>
        <v>4.1050000000000004</v>
      </c>
    </row>
    <row r="163" spans="1:11" ht="15">
      <c r="A163" s="13">
        <v>46813</v>
      </c>
      <c r="B163" s="60">
        <f>3.6499 * CHOOSE(CONTROL!$C$22, $C$13, 100%, $E$13)</f>
        <v>3.6499000000000001</v>
      </c>
      <c r="C163" s="60">
        <f>3.6499 * CHOOSE(CONTROL!$C$22, $C$13, 100%, $E$13)</f>
        <v>3.6499000000000001</v>
      </c>
      <c r="D163" s="60">
        <f>3.6624 * CHOOSE(CONTROL!$C$22, $C$13, 100%, $E$13)</f>
        <v>3.6623999999999999</v>
      </c>
      <c r="E163" s="61">
        <f>4.1394 * CHOOSE(CONTROL!$C$22, $C$13, 100%, $E$13)</f>
        <v>4.1394000000000002</v>
      </c>
      <c r="F163" s="61">
        <f>4.1394 * CHOOSE(CONTROL!$C$22, $C$13, 100%, $E$13)</f>
        <v>4.1394000000000002</v>
      </c>
      <c r="G163" s="61">
        <f>4.1396 * CHOOSE(CONTROL!$C$22, $C$13, 100%, $E$13)</f>
        <v>4.1395999999999997</v>
      </c>
      <c r="H163" s="61">
        <f>7.7659* CHOOSE(CONTROL!$C$22, $C$13, 100%, $E$13)</f>
        <v>7.7659000000000002</v>
      </c>
      <c r="I163" s="61">
        <f>7.7661 * CHOOSE(CONTROL!$C$22, $C$13, 100%, $E$13)</f>
        <v>7.7660999999999998</v>
      </c>
      <c r="J163" s="61">
        <f>4.1394 * CHOOSE(CONTROL!$C$22, $C$13, 100%, $E$13)</f>
        <v>4.1394000000000002</v>
      </c>
      <c r="K163" s="61">
        <f>4.1396 * CHOOSE(CONTROL!$C$22, $C$13, 100%, $E$13)</f>
        <v>4.1395999999999997</v>
      </c>
    </row>
    <row r="164" spans="1:11" ht="15">
      <c r="A164" s="13">
        <v>46844</v>
      </c>
      <c r="B164" s="60">
        <f>3.6473 * CHOOSE(CONTROL!$C$22, $C$13, 100%, $E$13)</f>
        <v>3.6473</v>
      </c>
      <c r="C164" s="60">
        <f>3.6473 * CHOOSE(CONTROL!$C$22, $C$13, 100%, $E$13)</f>
        <v>3.6473</v>
      </c>
      <c r="D164" s="60">
        <f>3.6598 * CHOOSE(CONTROL!$C$22, $C$13, 100%, $E$13)</f>
        <v>3.6598000000000002</v>
      </c>
      <c r="E164" s="61">
        <f>4.1746 * CHOOSE(CONTROL!$C$22, $C$13, 100%, $E$13)</f>
        <v>4.1745999999999999</v>
      </c>
      <c r="F164" s="61">
        <f>4.1746 * CHOOSE(CONTROL!$C$22, $C$13, 100%, $E$13)</f>
        <v>4.1745999999999999</v>
      </c>
      <c r="G164" s="61">
        <f>4.1748 * CHOOSE(CONTROL!$C$22, $C$13, 100%, $E$13)</f>
        <v>4.1748000000000003</v>
      </c>
      <c r="H164" s="61">
        <f>7.7821* CHOOSE(CONTROL!$C$22, $C$13, 100%, $E$13)</f>
        <v>7.7820999999999998</v>
      </c>
      <c r="I164" s="61">
        <f>7.7823 * CHOOSE(CONTROL!$C$22, $C$13, 100%, $E$13)</f>
        <v>7.7823000000000002</v>
      </c>
      <c r="J164" s="61">
        <f>4.1746 * CHOOSE(CONTROL!$C$22, $C$13, 100%, $E$13)</f>
        <v>4.1745999999999999</v>
      </c>
      <c r="K164" s="61">
        <f>4.1748 * CHOOSE(CONTROL!$C$22, $C$13, 100%, $E$13)</f>
        <v>4.1748000000000003</v>
      </c>
    </row>
    <row r="165" spans="1:11" ht="15">
      <c r="A165" s="13">
        <v>46874</v>
      </c>
      <c r="B165" s="60">
        <f>3.6473 * CHOOSE(CONTROL!$C$22, $C$13, 100%, $E$13)</f>
        <v>3.6473</v>
      </c>
      <c r="C165" s="60">
        <f>3.6473 * CHOOSE(CONTROL!$C$22, $C$13, 100%, $E$13)</f>
        <v>3.6473</v>
      </c>
      <c r="D165" s="60">
        <f>3.6724 * CHOOSE(CONTROL!$C$22, $C$13, 100%, $E$13)</f>
        <v>3.6724000000000001</v>
      </c>
      <c r="E165" s="61">
        <f>4.1894 * CHOOSE(CONTROL!$C$22, $C$13, 100%, $E$13)</f>
        <v>4.1894</v>
      </c>
      <c r="F165" s="61">
        <f>4.1894 * CHOOSE(CONTROL!$C$22, $C$13, 100%, $E$13)</f>
        <v>4.1894</v>
      </c>
      <c r="G165" s="61">
        <f>4.191 * CHOOSE(CONTROL!$C$22, $C$13, 100%, $E$13)</f>
        <v>4.1909999999999998</v>
      </c>
      <c r="H165" s="61">
        <f>7.7983* CHOOSE(CONTROL!$C$22, $C$13, 100%, $E$13)</f>
        <v>7.7983000000000002</v>
      </c>
      <c r="I165" s="61">
        <f>7.7999 * CHOOSE(CONTROL!$C$22, $C$13, 100%, $E$13)</f>
        <v>7.7999000000000001</v>
      </c>
      <c r="J165" s="61">
        <f>4.1894 * CHOOSE(CONTROL!$C$22, $C$13, 100%, $E$13)</f>
        <v>4.1894</v>
      </c>
      <c r="K165" s="61">
        <f>4.191 * CHOOSE(CONTROL!$C$22, $C$13, 100%, $E$13)</f>
        <v>4.1909999999999998</v>
      </c>
    </row>
    <row r="166" spans="1:11" ht="15">
      <c r="A166" s="13">
        <v>46905</v>
      </c>
      <c r="B166" s="60">
        <f>3.6534 * CHOOSE(CONTROL!$C$22, $C$13, 100%, $E$13)</f>
        <v>3.6534</v>
      </c>
      <c r="C166" s="60">
        <f>3.6534 * CHOOSE(CONTROL!$C$22, $C$13, 100%, $E$13)</f>
        <v>3.6534</v>
      </c>
      <c r="D166" s="60">
        <f>3.6784 * CHOOSE(CONTROL!$C$22, $C$13, 100%, $E$13)</f>
        <v>3.6783999999999999</v>
      </c>
      <c r="E166" s="61">
        <f>4.1788 * CHOOSE(CONTROL!$C$22, $C$13, 100%, $E$13)</f>
        <v>4.1787999999999998</v>
      </c>
      <c r="F166" s="61">
        <f>4.1788 * CHOOSE(CONTROL!$C$22, $C$13, 100%, $E$13)</f>
        <v>4.1787999999999998</v>
      </c>
      <c r="G166" s="61">
        <f>4.1805 * CHOOSE(CONTROL!$C$22, $C$13, 100%, $E$13)</f>
        <v>4.1805000000000003</v>
      </c>
      <c r="H166" s="61">
        <f>7.8146* CHOOSE(CONTROL!$C$22, $C$13, 100%, $E$13)</f>
        <v>7.8146000000000004</v>
      </c>
      <c r="I166" s="61">
        <f>7.8162 * CHOOSE(CONTROL!$C$22, $C$13, 100%, $E$13)</f>
        <v>7.8162000000000003</v>
      </c>
      <c r="J166" s="61">
        <f>4.1788 * CHOOSE(CONTROL!$C$22, $C$13, 100%, $E$13)</f>
        <v>4.1787999999999998</v>
      </c>
      <c r="K166" s="61">
        <f>4.1805 * CHOOSE(CONTROL!$C$22, $C$13, 100%, $E$13)</f>
        <v>4.1805000000000003</v>
      </c>
    </row>
    <row r="167" spans="1:11" ht="15">
      <c r="A167" s="13">
        <v>46935</v>
      </c>
      <c r="B167" s="60">
        <f>3.7202 * CHOOSE(CONTROL!$C$22, $C$13, 100%, $E$13)</f>
        <v>3.7202000000000002</v>
      </c>
      <c r="C167" s="60">
        <f>3.7202 * CHOOSE(CONTROL!$C$22, $C$13, 100%, $E$13)</f>
        <v>3.7202000000000002</v>
      </c>
      <c r="D167" s="60">
        <f>3.7453 * CHOOSE(CONTROL!$C$22, $C$13, 100%, $E$13)</f>
        <v>3.7452999999999999</v>
      </c>
      <c r="E167" s="61">
        <f>4.2571 * CHOOSE(CONTROL!$C$22, $C$13, 100%, $E$13)</f>
        <v>4.2571000000000003</v>
      </c>
      <c r="F167" s="61">
        <f>4.2571 * CHOOSE(CONTROL!$C$22, $C$13, 100%, $E$13)</f>
        <v>4.2571000000000003</v>
      </c>
      <c r="G167" s="61">
        <f>4.2587 * CHOOSE(CONTROL!$C$22, $C$13, 100%, $E$13)</f>
        <v>4.2587000000000002</v>
      </c>
      <c r="H167" s="61">
        <f>7.8309* CHOOSE(CONTROL!$C$22, $C$13, 100%, $E$13)</f>
        <v>7.8308999999999997</v>
      </c>
      <c r="I167" s="61">
        <f>7.8325 * CHOOSE(CONTROL!$C$22, $C$13, 100%, $E$13)</f>
        <v>7.8324999999999996</v>
      </c>
      <c r="J167" s="61">
        <f>4.2571 * CHOOSE(CONTROL!$C$22, $C$13, 100%, $E$13)</f>
        <v>4.2571000000000003</v>
      </c>
      <c r="K167" s="61">
        <f>4.2587 * CHOOSE(CONTROL!$C$22, $C$13, 100%, $E$13)</f>
        <v>4.2587000000000002</v>
      </c>
    </row>
    <row r="168" spans="1:11" ht="15">
      <c r="A168" s="13">
        <v>46966</v>
      </c>
      <c r="B168" s="60">
        <f>3.7269 * CHOOSE(CONTROL!$C$22, $C$13, 100%, $E$13)</f>
        <v>3.7269000000000001</v>
      </c>
      <c r="C168" s="60">
        <f>3.7269 * CHOOSE(CONTROL!$C$22, $C$13, 100%, $E$13)</f>
        <v>3.7269000000000001</v>
      </c>
      <c r="D168" s="60">
        <f>3.752 * CHOOSE(CONTROL!$C$22, $C$13, 100%, $E$13)</f>
        <v>3.7519999999999998</v>
      </c>
      <c r="E168" s="61">
        <f>4.2174 * CHOOSE(CONTROL!$C$22, $C$13, 100%, $E$13)</f>
        <v>4.2173999999999996</v>
      </c>
      <c r="F168" s="61">
        <f>4.2174 * CHOOSE(CONTROL!$C$22, $C$13, 100%, $E$13)</f>
        <v>4.2173999999999996</v>
      </c>
      <c r="G168" s="61">
        <f>4.219 * CHOOSE(CONTROL!$C$22, $C$13, 100%, $E$13)</f>
        <v>4.2190000000000003</v>
      </c>
      <c r="H168" s="61">
        <f>7.8472* CHOOSE(CONTROL!$C$22, $C$13, 100%, $E$13)</f>
        <v>7.8472</v>
      </c>
      <c r="I168" s="61">
        <f>7.8488 * CHOOSE(CONTROL!$C$22, $C$13, 100%, $E$13)</f>
        <v>7.8487999999999998</v>
      </c>
      <c r="J168" s="61">
        <f>4.2174 * CHOOSE(CONTROL!$C$22, $C$13, 100%, $E$13)</f>
        <v>4.2173999999999996</v>
      </c>
      <c r="K168" s="61">
        <f>4.219 * CHOOSE(CONTROL!$C$22, $C$13, 100%, $E$13)</f>
        <v>4.2190000000000003</v>
      </c>
    </row>
    <row r="169" spans="1:11" ht="15">
      <c r="A169" s="13">
        <v>46997</v>
      </c>
      <c r="B169" s="60">
        <f>3.7239 * CHOOSE(CONTROL!$C$22, $C$13, 100%, $E$13)</f>
        <v>3.7239</v>
      </c>
      <c r="C169" s="60">
        <f>3.7239 * CHOOSE(CONTROL!$C$22, $C$13, 100%, $E$13)</f>
        <v>3.7239</v>
      </c>
      <c r="D169" s="60">
        <f>3.7489 * CHOOSE(CONTROL!$C$22, $C$13, 100%, $E$13)</f>
        <v>3.7488999999999999</v>
      </c>
      <c r="E169" s="61">
        <f>4.2103 * CHOOSE(CONTROL!$C$22, $C$13, 100%, $E$13)</f>
        <v>4.2103000000000002</v>
      </c>
      <c r="F169" s="61">
        <f>4.2103 * CHOOSE(CONTROL!$C$22, $C$13, 100%, $E$13)</f>
        <v>4.2103000000000002</v>
      </c>
      <c r="G169" s="61">
        <f>4.2119 * CHOOSE(CONTROL!$C$22, $C$13, 100%, $E$13)</f>
        <v>4.2119</v>
      </c>
      <c r="H169" s="61">
        <f>7.8635* CHOOSE(CONTROL!$C$22, $C$13, 100%, $E$13)</f>
        <v>7.8635000000000002</v>
      </c>
      <c r="I169" s="61">
        <f>7.8651 * CHOOSE(CONTROL!$C$22, $C$13, 100%, $E$13)</f>
        <v>7.8651</v>
      </c>
      <c r="J169" s="61">
        <f>4.2103 * CHOOSE(CONTROL!$C$22, $C$13, 100%, $E$13)</f>
        <v>4.2103000000000002</v>
      </c>
      <c r="K169" s="61">
        <f>4.2119 * CHOOSE(CONTROL!$C$22, $C$13, 100%, $E$13)</f>
        <v>4.2119</v>
      </c>
    </row>
    <row r="170" spans="1:11" ht="15">
      <c r="A170" s="13">
        <v>47027</v>
      </c>
      <c r="B170" s="60">
        <f>3.7182 * CHOOSE(CONTROL!$C$22, $C$13, 100%, $E$13)</f>
        <v>3.7181999999999999</v>
      </c>
      <c r="C170" s="60">
        <f>3.7182 * CHOOSE(CONTROL!$C$22, $C$13, 100%, $E$13)</f>
        <v>3.7181999999999999</v>
      </c>
      <c r="D170" s="60">
        <f>3.7307 * CHOOSE(CONTROL!$C$22, $C$13, 100%, $E$13)</f>
        <v>3.7307000000000001</v>
      </c>
      <c r="E170" s="61">
        <f>4.2166 * CHOOSE(CONTROL!$C$22, $C$13, 100%, $E$13)</f>
        <v>4.2165999999999997</v>
      </c>
      <c r="F170" s="61">
        <f>4.2166 * CHOOSE(CONTROL!$C$22, $C$13, 100%, $E$13)</f>
        <v>4.2165999999999997</v>
      </c>
      <c r="G170" s="61">
        <f>4.2168 * CHOOSE(CONTROL!$C$22, $C$13, 100%, $E$13)</f>
        <v>4.2168000000000001</v>
      </c>
      <c r="H170" s="61">
        <f>7.8799* CHOOSE(CONTROL!$C$22, $C$13, 100%, $E$13)</f>
        <v>7.8799000000000001</v>
      </c>
      <c r="I170" s="61">
        <f>7.8801 * CHOOSE(CONTROL!$C$22, $C$13, 100%, $E$13)</f>
        <v>7.8800999999999997</v>
      </c>
      <c r="J170" s="61">
        <f>4.2166 * CHOOSE(CONTROL!$C$22, $C$13, 100%, $E$13)</f>
        <v>4.2165999999999997</v>
      </c>
      <c r="K170" s="61">
        <f>4.2168 * CHOOSE(CONTROL!$C$22, $C$13, 100%, $E$13)</f>
        <v>4.2168000000000001</v>
      </c>
    </row>
    <row r="171" spans="1:11" ht="15">
      <c r="A171" s="13">
        <v>47058</v>
      </c>
      <c r="B171" s="60">
        <f>3.7212 * CHOOSE(CONTROL!$C$22, $C$13, 100%, $E$13)</f>
        <v>3.7212000000000001</v>
      </c>
      <c r="C171" s="60">
        <f>3.7212 * CHOOSE(CONTROL!$C$22, $C$13, 100%, $E$13)</f>
        <v>3.7212000000000001</v>
      </c>
      <c r="D171" s="60">
        <f>3.7338 * CHOOSE(CONTROL!$C$22, $C$13, 100%, $E$13)</f>
        <v>3.7338</v>
      </c>
      <c r="E171" s="61">
        <f>4.2286 * CHOOSE(CONTROL!$C$22, $C$13, 100%, $E$13)</f>
        <v>4.2286000000000001</v>
      </c>
      <c r="F171" s="61">
        <f>4.2286 * CHOOSE(CONTROL!$C$22, $C$13, 100%, $E$13)</f>
        <v>4.2286000000000001</v>
      </c>
      <c r="G171" s="61">
        <f>4.2288 * CHOOSE(CONTROL!$C$22, $C$13, 100%, $E$13)</f>
        <v>4.2287999999999997</v>
      </c>
      <c r="H171" s="61">
        <f>7.8963* CHOOSE(CONTROL!$C$22, $C$13, 100%, $E$13)</f>
        <v>7.8963000000000001</v>
      </c>
      <c r="I171" s="61">
        <f>7.8965 * CHOOSE(CONTROL!$C$22, $C$13, 100%, $E$13)</f>
        <v>7.8964999999999996</v>
      </c>
      <c r="J171" s="61">
        <f>4.2286 * CHOOSE(CONTROL!$C$22, $C$13, 100%, $E$13)</f>
        <v>4.2286000000000001</v>
      </c>
      <c r="K171" s="61">
        <f>4.2288 * CHOOSE(CONTROL!$C$22, $C$13, 100%, $E$13)</f>
        <v>4.2287999999999997</v>
      </c>
    </row>
    <row r="172" spans="1:11" ht="15">
      <c r="A172" s="13">
        <v>47088</v>
      </c>
      <c r="B172" s="60">
        <f>3.7212 * CHOOSE(CONTROL!$C$22, $C$13, 100%, $E$13)</f>
        <v>3.7212000000000001</v>
      </c>
      <c r="C172" s="60">
        <f>3.7212 * CHOOSE(CONTROL!$C$22, $C$13, 100%, $E$13)</f>
        <v>3.7212000000000001</v>
      </c>
      <c r="D172" s="60">
        <f>3.7338 * CHOOSE(CONTROL!$C$22, $C$13, 100%, $E$13)</f>
        <v>3.7338</v>
      </c>
      <c r="E172" s="61">
        <f>4.2039 * CHOOSE(CONTROL!$C$22, $C$13, 100%, $E$13)</f>
        <v>4.2039</v>
      </c>
      <c r="F172" s="61">
        <f>4.2039 * CHOOSE(CONTROL!$C$22, $C$13, 100%, $E$13)</f>
        <v>4.2039</v>
      </c>
      <c r="G172" s="61">
        <f>4.2041 * CHOOSE(CONTROL!$C$22, $C$13, 100%, $E$13)</f>
        <v>4.2041000000000004</v>
      </c>
      <c r="H172" s="61">
        <f>7.9128* CHOOSE(CONTROL!$C$22, $C$13, 100%, $E$13)</f>
        <v>7.9127999999999998</v>
      </c>
      <c r="I172" s="61">
        <f>7.9129 * CHOOSE(CONTROL!$C$22, $C$13, 100%, $E$13)</f>
        <v>7.9128999999999996</v>
      </c>
      <c r="J172" s="61">
        <f>4.2039 * CHOOSE(CONTROL!$C$22, $C$13, 100%, $E$13)</f>
        <v>4.2039</v>
      </c>
      <c r="K172" s="61">
        <f>4.2041 * CHOOSE(CONTROL!$C$22, $C$13, 100%, $E$13)</f>
        <v>4.2041000000000004</v>
      </c>
    </row>
    <row r="173" spans="1:11" ht="15">
      <c r="A173" s="13">
        <v>47119</v>
      </c>
      <c r="B173" s="60">
        <f>3.7543 * CHOOSE(CONTROL!$C$22, $C$13, 100%, $E$13)</f>
        <v>3.7543000000000002</v>
      </c>
      <c r="C173" s="60">
        <f>3.7543 * CHOOSE(CONTROL!$C$22, $C$13, 100%, $E$13)</f>
        <v>3.7543000000000002</v>
      </c>
      <c r="D173" s="60">
        <f>3.7669 * CHOOSE(CONTROL!$C$22, $C$13, 100%, $E$13)</f>
        <v>3.7669000000000001</v>
      </c>
      <c r="E173" s="61">
        <f>4.2617 * CHOOSE(CONTROL!$C$22, $C$13, 100%, $E$13)</f>
        <v>4.2617000000000003</v>
      </c>
      <c r="F173" s="61">
        <f>4.2617 * CHOOSE(CONTROL!$C$22, $C$13, 100%, $E$13)</f>
        <v>4.2617000000000003</v>
      </c>
      <c r="G173" s="61">
        <f>4.2619 * CHOOSE(CONTROL!$C$22, $C$13, 100%, $E$13)</f>
        <v>4.2618999999999998</v>
      </c>
      <c r="H173" s="61">
        <f>7.9293* CHOOSE(CONTROL!$C$22, $C$13, 100%, $E$13)</f>
        <v>7.9292999999999996</v>
      </c>
      <c r="I173" s="61">
        <f>7.9294 * CHOOSE(CONTROL!$C$22, $C$13, 100%, $E$13)</f>
        <v>7.9294000000000002</v>
      </c>
      <c r="J173" s="61">
        <f>4.2617 * CHOOSE(CONTROL!$C$22, $C$13, 100%, $E$13)</f>
        <v>4.2617000000000003</v>
      </c>
      <c r="K173" s="61">
        <f>4.2619 * CHOOSE(CONTROL!$C$22, $C$13, 100%, $E$13)</f>
        <v>4.2618999999999998</v>
      </c>
    </row>
    <row r="174" spans="1:11" ht="15">
      <c r="A174" s="13">
        <v>47150</v>
      </c>
      <c r="B174" s="60">
        <f>3.7513 * CHOOSE(CONTROL!$C$22, $C$13, 100%, $E$13)</f>
        <v>3.7513000000000001</v>
      </c>
      <c r="C174" s="60">
        <f>3.7513 * CHOOSE(CONTROL!$C$22, $C$13, 100%, $E$13)</f>
        <v>3.7513000000000001</v>
      </c>
      <c r="D174" s="60">
        <f>3.7638 * CHOOSE(CONTROL!$C$22, $C$13, 100%, $E$13)</f>
        <v>3.7637999999999998</v>
      </c>
      <c r="E174" s="61">
        <f>4.2118 * CHOOSE(CONTROL!$C$22, $C$13, 100%, $E$13)</f>
        <v>4.2118000000000002</v>
      </c>
      <c r="F174" s="61">
        <f>4.2118 * CHOOSE(CONTROL!$C$22, $C$13, 100%, $E$13)</f>
        <v>4.2118000000000002</v>
      </c>
      <c r="G174" s="61">
        <f>4.212 * CHOOSE(CONTROL!$C$22, $C$13, 100%, $E$13)</f>
        <v>4.2119999999999997</v>
      </c>
      <c r="H174" s="61">
        <f>7.9458* CHOOSE(CONTROL!$C$22, $C$13, 100%, $E$13)</f>
        <v>7.9458000000000002</v>
      </c>
      <c r="I174" s="61">
        <f>7.9459 * CHOOSE(CONTROL!$C$22, $C$13, 100%, $E$13)</f>
        <v>7.9459</v>
      </c>
      <c r="J174" s="61">
        <f>4.2118 * CHOOSE(CONTROL!$C$22, $C$13, 100%, $E$13)</f>
        <v>4.2118000000000002</v>
      </c>
      <c r="K174" s="61">
        <f>4.212 * CHOOSE(CONTROL!$C$22, $C$13, 100%, $E$13)</f>
        <v>4.2119999999999997</v>
      </c>
    </row>
    <row r="175" spans="1:11" ht="15">
      <c r="A175" s="13">
        <v>47178</v>
      </c>
      <c r="B175" s="60">
        <f>3.7482 * CHOOSE(CONTROL!$C$22, $C$13, 100%, $E$13)</f>
        <v>3.7482000000000002</v>
      </c>
      <c r="C175" s="60">
        <f>3.7482 * CHOOSE(CONTROL!$C$22, $C$13, 100%, $E$13)</f>
        <v>3.7482000000000002</v>
      </c>
      <c r="D175" s="60">
        <f>3.7608 * CHOOSE(CONTROL!$C$22, $C$13, 100%, $E$13)</f>
        <v>3.7608000000000001</v>
      </c>
      <c r="E175" s="61">
        <f>4.2474 * CHOOSE(CONTROL!$C$22, $C$13, 100%, $E$13)</f>
        <v>4.2473999999999998</v>
      </c>
      <c r="F175" s="61">
        <f>4.2474 * CHOOSE(CONTROL!$C$22, $C$13, 100%, $E$13)</f>
        <v>4.2473999999999998</v>
      </c>
      <c r="G175" s="61">
        <f>4.2476 * CHOOSE(CONTROL!$C$22, $C$13, 100%, $E$13)</f>
        <v>4.2476000000000003</v>
      </c>
      <c r="H175" s="61">
        <f>7.9623* CHOOSE(CONTROL!$C$22, $C$13, 100%, $E$13)</f>
        <v>7.9622999999999999</v>
      </c>
      <c r="I175" s="61">
        <f>7.9625 * CHOOSE(CONTROL!$C$22, $C$13, 100%, $E$13)</f>
        <v>7.9625000000000004</v>
      </c>
      <c r="J175" s="61">
        <f>4.2474 * CHOOSE(CONTROL!$C$22, $C$13, 100%, $E$13)</f>
        <v>4.2473999999999998</v>
      </c>
      <c r="K175" s="61">
        <f>4.2476 * CHOOSE(CONTROL!$C$22, $C$13, 100%, $E$13)</f>
        <v>4.2476000000000003</v>
      </c>
    </row>
    <row r="176" spans="1:11" ht="15">
      <c r="A176" s="13">
        <v>47209</v>
      </c>
      <c r="B176" s="60">
        <f>3.7457 * CHOOSE(CONTROL!$C$22, $C$13, 100%, $E$13)</f>
        <v>3.7456999999999998</v>
      </c>
      <c r="C176" s="60">
        <f>3.7457 * CHOOSE(CONTROL!$C$22, $C$13, 100%, $E$13)</f>
        <v>3.7456999999999998</v>
      </c>
      <c r="D176" s="60">
        <f>3.7583 * CHOOSE(CONTROL!$C$22, $C$13, 100%, $E$13)</f>
        <v>3.7583000000000002</v>
      </c>
      <c r="E176" s="61">
        <f>4.2836 * CHOOSE(CONTROL!$C$22, $C$13, 100%, $E$13)</f>
        <v>4.2835999999999999</v>
      </c>
      <c r="F176" s="61">
        <f>4.2836 * CHOOSE(CONTROL!$C$22, $C$13, 100%, $E$13)</f>
        <v>4.2835999999999999</v>
      </c>
      <c r="G176" s="61">
        <f>4.2838 * CHOOSE(CONTROL!$C$22, $C$13, 100%, $E$13)</f>
        <v>4.2838000000000003</v>
      </c>
      <c r="H176" s="61">
        <f>7.9789* CHOOSE(CONTROL!$C$22, $C$13, 100%, $E$13)</f>
        <v>7.9789000000000003</v>
      </c>
      <c r="I176" s="61">
        <f>7.9791 * CHOOSE(CONTROL!$C$22, $C$13, 100%, $E$13)</f>
        <v>7.9790999999999999</v>
      </c>
      <c r="J176" s="61">
        <f>4.2836 * CHOOSE(CONTROL!$C$22, $C$13, 100%, $E$13)</f>
        <v>4.2835999999999999</v>
      </c>
      <c r="K176" s="61">
        <f>4.2838 * CHOOSE(CONTROL!$C$22, $C$13, 100%, $E$13)</f>
        <v>4.2838000000000003</v>
      </c>
    </row>
    <row r="177" spans="1:11" ht="15">
      <c r="A177" s="13">
        <v>47239</v>
      </c>
      <c r="B177" s="60">
        <f>3.7457 * CHOOSE(CONTROL!$C$22, $C$13, 100%, $E$13)</f>
        <v>3.7456999999999998</v>
      </c>
      <c r="C177" s="60">
        <f>3.7457 * CHOOSE(CONTROL!$C$22, $C$13, 100%, $E$13)</f>
        <v>3.7456999999999998</v>
      </c>
      <c r="D177" s="60">
        <f>3.7708 * CHOOSE(CONTROL!$C$22, $C$13, 100%, $E$13)</f>
        <v>3.7707999999999999</v>
      </c>
      <c r="E177" s="61">
        <f>4.2988 * CHOOSE(CONTROL!$C$22, $C$13, 100%, $E$13)</f>
        <v>4.2988</v>
      </c>
      <c r="F177" s="61">
        <f>4.2988 * CHOOSE(CONTROL!$C$22, $C$13, 100%, $E$13)</f>
        <v>4.2988</v>
      </c>
      <c r="G177" s="61">
        <f>4.3004 * CHOOSE(CONTROL!$C$22, $C$13, 100%, $E$13)</f>
        <v>4.3003999999999998</v>
      </c>
      <c r="H177" s="61">
        <f>7.9955* CHOOSE(CONTROL!$C$22, $C$13, 100%, $E$13)</f>
        <v>7.9954999999999998</v>
      </c>
      <c r="I177" s="61">
        <f>7.9971 * CHOOSE(CONTROL!$C$22, $C$13, 100%, $E$13)</f>
        <v>7.9970999999999997</v>
      </c>
      <c r="J177" s="61">
        <f>4.2988 * CHOOSE(CONTROL!$C$22, $C$13, 100%, $E$13)</f>
        <v>4.2988</v>
      </c>
      <c r="K177" s="61">
        <f>4.3004 * CHOOSE(CONTROL!$C$22, $C$13, 100%, $E$13)</f>
        <v>4.3003999999999998</v>
      </c>
    </row>
    <row r="178" spans="1:11" ht="15">
      <c r="A178" s="13">
        <v>47270</v>
      </c>
      <c r="B178" s="60">
        <f>3.7518 * CHOOSE(CONTROL!$C$22, $C$13, 100%, $E$13)</f>
        <v>3.7517999999999998</v>
      </c>
      <c r="C178" s="60">
        <f>3.7518 * CHOOSE(CONTROL!$C$22, $C$13, 100%, $E$13)</f>
        <v>3.7517999999999998</v>
      </c>
      <c r="D178" s="60">
        <f>3.7769 * CHOOSE(CONTROL!$C$22, $C$13, 100%, $E$13)</f>
        <v>3.7768999999999999</v>
      </c>
      <c r="E178" s="61">
        <f>4.2878 * CHOOSE(CONTROL!$C$22, $C$13, 100%, $E$13)</f>
        <v>4.2877999999999998</v>
      </c>
      <c r="F178" s="61">
        <f>4.2878 * CHOOSE(CONTROL!$C$22, $C$13, 100%, $E$13)</f>
        <v>4.2877999999999998</v>
      </c>
      <c r="G178" s="61">
        <f>4.2894 * CHOOSE(CONTROL!$C$22, $C$13, 100%, $E$13)</f>
        <v>4.2893999999999997</v>
      </c>
      <c r="H178" s="61">
        <f>8.0122* CHOOSE(CONTROL!$C$22, $C$13, 100%, $E$13)</f>
        <v>8.0122</v>
      </c>
      <c r="I178" s="61">
        <f>8.0138 * CHOOSE(CONTROL!$C$22, $C$13, 100%, $E$13)</f>
        <v>8.0137999999999998</v>
      </c>
      <c r="J178" s="61">
        <f>4.2878 * CHOOSE(CONTROL!$C$22, $C$13, 100%, $E$13)</f>
        <v>4.2877999999999998</v>
      </c>
      <c r="K178" s="61">
        <f>4.2894 * CHOOSE(CONTROL!$C$22, $C$13, 100%, $E$13)</f>
        <v>4.2893999999999997</v>
      </c>
    </row>
    <row r="179" spans="1:11" ht="15">
      <c r="A179" s="13">
        <v>47300</v>
      </c>
      <c r="B179" s="60">
        <f>3.8127 * CHOOSE(CONTROL!$C$22, $C$13, 100%, $E$13)</f>
        <v>3.8127</v>
      </c>
      <c r="C179" s="60">
        <f>3.8127 * CHOOSE(CONTROL!$C$22, $C$13, 100%, $E$13)</f>
        <v>3.8127</v>
      </c>
      <c r="D179" s="60">
        <f>3.8378 * CHOOSE(CONTROL!$C$22, $C$13, 100%, $E$13)</f>
        <v>3.8378000000000001</v>
      </c>
      <c r="E179" s="61">
        <f>4.3812 * CHOOSE(CONTROL!$C$22, $C$13, 100%, $E$13)</f>
        <v>4.3811999999999998</v>
      </c>
      <c r="F179" s="61">
        <f>4.3812 * CHOOSE(CONTROL!$C$22, $C$13, 100%, $E$13)</f>
        <v>4.3811999999999998</v>
      </c>
      <c r="G179" s="61">
        <f>4.3828 * CHOOSE(CONTROL!$C$22, $C$13, 100%, $E$13)</f>
        <v>4.3827999999999996</v>
      </c>
      <c r="H179" s="61">
        <f>8.0289* CHOOSE(CONTROL!$C$22, $C$13, 100%, $E$13)</f>
        <v>8.0289000000000001</v>
      </c>
      <c r="I179" s="61">
        <f>8.0305 * CHOOSE(CONTROL!$C$22, $C$13, 100%, $E$13)</f>
        <v>8.0305</v>
      </c>
      <c r="J179" s="61">
        <f>4.3812 * CHOOSE(CONTROL!$C$22, $C$13, 100%, $E$13)</f>
        <v>4.3811999999999998</v>
      </c>
      <c r="K179" s="61">
        <f>4.3828 * CHOOSE(CONTROL!$C$22, $C$13, 100%, $E$13)</f>
        <v>4.3827999999999996</v>
      </c>
    </row>
    <row r="180" spans="1:11" ht="15">
      <c r="A180" s="13">
        <v>47331</v>
      </c>
      <c r="B180" s="60">
        <f>3.8194 * CHOOSE(CONTROL!$C$22, $C$13, 100%, $E$13)</f>
        <v>3.8193999999999999</v>
      </c>
      <c r="C180" s="60">
        <f>3.8194 * CHOOSE(CONTROL!$C$22, $C$13, 100%, $E$13)</f>
        <v>3.8193999999999999</v>
      </c>
      <c r="D180" s="60">
        <f>3.8445 * CHOOSE(CONTROL!$C$22, $C$13, 100%, $E$13)</f>
        <v>3.8445</v>
      </c>
      <c r="E180" s="61">
        <f>4.3404 * CHOOSE(CONTROL!$C$22, $C$13, 100%, $E$13)</f>
        <v>4.3403999999999998</v>
      </c>
      <c r="F180" s="61">
        <f>4.3404 * CHOOSE(CONTROL!$C$22, $C$13, 100%, $E$13)</f>
        <v>4.3403999999999998</v>
      </c>
      <c r="G180" s="61">
        <f>4.342 * CHOOSE(CONTROL!$C$22, $C$13, 100%, $E$13)</f>
        <v>4.3419999999999996</v>
      </c>
      <c r="H180" s="61">
        <f>8.0456* CHOOSE(CONTROL!$C$22, $C$13, 100%, $E$13)</f>
        <v>8.0456000000000003</v>
      </c>
      <c r="I180" s="61">
        <f>8.0472 * CHOOSE(CONTROL!$C$22, $C$13, 100%, $E$13)</f>
        <v>8.0472000000000001</v>
      </c>
      <c r="J180" s="61">
        <f>4.3404 * CHOOSE(CONTROL!$C$22, $C$13, 100%, $E$13)</f>
        <v>4.3403999999999998</v>
      </c>
      <c r="K180" s="61">
        <f>4.342 * CHOOSE(CONTROL!$C$22, $C$13, 100%, $E$13)</f>
        <v>4.3419999999999996</v>
      </c>
    </row>
    <row r="181" spans="1:11" ht="15">
      <c r="A181" s="13">
        <v>47362</v>
      </c>
      <c r="B181" s="60">
        <f>3.8164 * CHOOSE(CONTROL!$C$22, $C$13, 100%, $E$13)</f>
        <v>3.8163999999999998</v>
      </c>
      <c r="C181" s="60">
        <f>3.8164 * CHOOSE(CONTROL!$C$22, $C$13, 100%, $E$13)</f>
        <v>3.8163999999999998</v>
      </c>
      <c r="D181" s="60">
        <f>3.8414 * CHOOSE(CONTROL!$C$22, $C$13, 100%, $E$13)</f>
        <v>3.8414000000000001</v>
      </c>
      <c r="E181" s="61">
        <f>4.3332 * CHOOSE(CONTROL!$C$22, $C$13, 100%, $E$13)</f>
        <v>4.3331999999999997</v>
      </c>
      <c r="F181" s="61">
        <f>4.3332 * CHOOSE(CONTROL!$C$22, $C$13, 100%, $E$13)</f>
        <v>4.3331999999999997</v>
      </c>
      <c r="G181" s="61">
        <f>4.3348 * CHOOSE(CONTROL!$C$22, $C$13, 100%, $E$13)</f>
        <v>4.3348000000000004</v>
      </c>
      <c r="H181" s="61">
        <f>8.0624* CHOOSE(CONTROL!$C$22, $C$13, 100%, $E$13)</f>
        <v>8.0624000000000002</v>
      </c>
      <c r="I181" s="61">
        <f>8.064 * CHOOSE(CONTROL!$C$22, $C$13, 100%, $E$13)</f>
        <v>8.0640000000000001</v>
      </c>
      <c r="J181" s="61">
        <f>4.3332 * CHOOSE(CONTROL!$C$22, $C$13, 100%, $E$13)</f>
        <v>4.3331999999999997</v>
      </c>
      <c r="K181" s="61">
        <f>4.3348 * CHOOSE(CONTROL!$C$22, $C$13, 100%, $E$13)</f>
        <v>4.3348000000000004</v>
      </c>
    </row>
    <row r="182" spans="1:11" ht="15">
      <c r="A182" s="13">
        <v>47392</v>
      </c>
      <c r="B182" s="60">
        <f>3.811 * CHOOSE(CONTROL!$C$22, $C$13, 100%, $E$13)</f>
        <v>3.8109999999999999</v>
      </c>
      <c r="C182" s="60">
        <f>3.811 * CHOOSE(CONTROL!$C$22, $C$13, 100%, $E$13)</f>
        <v>3.8109999999999999</v>
      </c>
      <c r="D182" s="60">
        <f>3.8236 * CHOOSE(CONTROL!$C$22, $C$13, 100%, $E$13)</f>
        <v>3.8235999999999999</v>
      </c>
      <c r="E182" s="61">
        <f>4.34 * CHOOSE(CONTROL!$C$22, $C$13, 100%, $E$13)</f>
        <v>4.34</v>
      </c>
      <c r="F182" s="61">
        <f>4.34 * CHOOSE(CONTROL!$C$22, $C$13, 100%, $E$13)</f>
        <v>4.34</v>
      </c>
      <c r="G182" s="61">
        <f>4.3402 * CHOOSE(CONTROL!$C$22, $C$13, 100%, $E$13)</f>
        <v>4.3402000000000003</v>
      </c>
      <c r="H182" s="61">
        <f>8.0792* CHOOSE(CONTROL!$C$22, $C$13, 100%, $E$13)</f>
        <v>8.0792000000000002</v>
      </c>
      <c r="I182" s="61">
        <f>8.0793 * CHOOSE(CONTROL!$C$22, $C$13, 100%, $E$13)</f>
        <v>8.0792999999999999</v>
      </c>
      <c r="J182" s="61">
        <f>4.34 * CHOOSE(CONTROL!$C$22, $C$13, 100%, $E$13)</f>
        <v>4.34</v>
      </c>
      <c r="K182" s="61">
        <f>4.3402 * CHOOSE(CONTROL!$C$22, $C$13, 100%, $E$13)</f>
        <v>4.3402000000000003</v>
      </c>
    </row>
    <row r="183" spans="1:11" ht="15">
      <c r="A183" s="13">
        <v>47423</v>
      </c>
      <c r="B183" s="60">
        <f>3.8141 * CHOOSE(CONTROL!$C$22, $C$13, 100%, $E$13)</f>
        <v>3.8140999999999998</v>
      </c>
      <c r="C183" s="60">
        <f>3.8141 * CHOOSE(CONTROL!$C$22, $C$13, 100%, $E$13)</f>
        <v>3.8140999999999998</v>
      </c>
      <c r="D183" s="60">
        <f>3.8266 * CHOOSE(CONTROL!$C$22, $C$13, 100%, $E$13)</f>
        <v>3.8266</v>
      </c>
      <c r="E183" s="61">
        <f>4.3522 * CHOOSE(CONTROL!$C$22, $C$13, 100%, $E$13)</f>
        <v>4.3521999999999998</v>
      </c>
      <c r="F183" s="61">
        <f>4.3522 * CHOOSE(CONTROL!$C$22, $C$13, 100%, $E$13)</f>
        <v>4.3521999999999998</v>
      </c>
      <c r="G183" s="61">
        <f>4.3524 * CHOOSE(CONTROL!$C$22, $C$13, 100%, $E$13)</f>
        <v>4.3524000000000003</v>
      </c>
      <c r="H183" s="61">
        <f>8.096* CHOOSE(CONTROL!$C$22, $C$13, 100%, $E$13)</f>
        <v>8.0960000000000001</v>
      </c>
      <c r="I183" s="61">
        <f>8.0962 * CHOOSE(CONTROL!$C$22, $C$13, 100%, $E$13)</f>
        <v>8.0961999999999996</v>
      </c>
      <c r="J183" s="61">
        <f>4.3522 * CHOOSE(CONTROL!$C$22, $C$13, 100%, $E$13)</f>
        <v>4.3521999999999998</v>
      </c>
      <c r="K183" s="61">
        <f>4.3524 * CHOOSE(CONTROL!$C$22, $C$13, 100%, $E$13)</f>
        <v>4.3524000000000003</v>
      </c>
    </row>
    <row r="184" spans="1:11" ht="15">
      <c r="A184" s="13">
        <v>47453</v>
      </c>
      <c r="B184" s="60">
        <f>3.8141 * CHOOSE(CONTROL!$C$22, $C$13, 100%, $E$13)</f>
        <v>3.8140999999999998</v>
      </c>
      <c r="C184" s="60">
        <f>3.8141 * CHOOSE(CONTROL!$C$22, $C$13, 100%, $E$13)</f>
        <v>3.8140999999999998</v>
      </c>
      <c r="D184" s="60">
        <f>3.8266 * CHOOSE(CONTROL!$C$22, $C$13, 100%, $E$13)</f>
        <v>3.8266</v>
      </c>
      <c r="E184" s="61">
        <f>4.327 * CHOOSE(CONTROL!$C$22, $C$13, 100%, $E$13)</f>
        <v>4.327</v>
      </c>
      <c r="F184" s="61">
        <f>4.327 * CHOOSE(CONTROL!$C$22, $C$13, 100%, $E$13)</f>
        <v>4.327</v>
      </c>
      <c r="G184" s="61">
        <f>4.3271 * CHOOSE(CONTROL!$C$22, $C$13, 100%, $E$13)</f>
        <v>4.3270999999999997</v>
      </c>
      <c r="H184" s="61">
        <f>8.1129* CHOOSE(CONTROL!$C$22, $C$13, 100%, $E$13)</f>
        <v>8.1128999999999998</v>
      </c>
      <c r="I184" s="61">
        <f>8.113 * CHOOSE(CONTROL!$C$22, $C$13, 100%, $E$13)</f>
        <v>8.1129999999999995</v>
      </c>
      <c r="J184" s="61">
        <f>4.327 * CHOOSE(CONTROL!$C$22, $C$13, 100%, $E$13)</f>
        <v>4.327</v>
      </c>
      <c r="K184" s="61">
        <f>4.3271 * CHOOSE(CONTROL!$C$22, $C$13, 100%, $E$13)</f>
        <v>4.3270999999999997</v>
      </c>
    </row>
    <row r="185" spans="1:11" ht="15">
      <c r="A185" s="13">
        <v>47484</v>
      </c>
      <c r="B185" s="60">
        <f>3.85 * CHOOSE(CONTROL!$C$22, $C$13, 100%, $E$13)</f>
        <v>3.85</v>
      </c>
      <c r="C185" s="60">
        <f>3.85 * CHOOSE(CONTROL!$C$22, $C$13, 100%, $E$13)</f>
        <v>3.85</v>
      </c>
      <c r="D185" s="60">
        <f>3.8626 * CHOOSE(CONTROL!$C$22, $C$13, 100%, $E$13)</f>
        <v>3.8626</v>
      </c>
      <c r="E185" s="61">
        <f>4.3833 * CHOOSE(CONTROL!$C$22, $C$13, 100%, $E$13)</f>
        <v>4.3833000000000002</v>
      </c>
      <c r="F185" s="61">
        <f>4.3833 * CHOOSE(CONTROL!$C$22, $C$13, 100%, $E$13)</f>
        <v>4.3833000000000002</v>
      </c>
      <c r="G185" s="61">
        <f>4.3835 * CHOOSE(CONTROL!$C$22, $C$13, 100%, $E$13)</f>
        <v>4.3834999999999997</v>
      </c>
      <c r="H185" s="61">
        <f>8.1298* CHOOSE(CONTROL!$C$22, $C$13, 100%, $E$13)</f>
        <v>8.1297999999999995</v>
      </c>
      <c r="I185" s="61">
        <f>8.1299 * CHOOSE(CONTROL!$C$22, $C$13, 100%, $E$13)</f>
        <v>8.1298999999999992</v>
      </c>
      <c r="J185" s="61">
        <f>4.3833 * CHOOSE(CONTROL!$C$22, $C$13, 100%, $E$13)</f>
        <v>4.3833000000000002</v>
      </c>
      <c r="K185" s="61">
        <f>4.3835 * CHOOSE(CONTROL!$C$22, $C$13, 100%, $E$13)</f>
        <v>4.3834999999999997</v>
      </c>
    </row>
    <row r="186" spans="1:11" ht="15">
      <c r="A186" s="13">
        <v>47515</v>
      </c>
      <c r="B186" s="60">
        <f>3.847 * CHOOSE(CONTROL!$C$22, $C$13, 100%, $E$13)</f>
        <v>3.847</v>
      </c>
      <c r="C186" s="60">
        <f>3.847 * CHOOSE(CONTROL!$C$22, $C$13, 100%, $E$13)</f>
        <v>3.847</v>
      </c>
      <c r="D186" s="60">
        <f>3.8595 * CHOOSE(CONTROL!$C$22, $C$13, 100%, $E$13)</f>
        <v>3.8595000000000002</v>
      </c>
      <c r="E186" s="61">
        <f>4.3322 * CHOOSE(CONTROL!$C$22, $C$13, 100%, $E$13)</f>
        <v>4.3322000000000003</v>
      </c>
      <c r="F186" s="61">
        <f>4.3322 * CHOOSE(CONTROL!$C$22, $C$13, 100%, $E$13)</f>
        <v>4.3322000000000003</v>
      </c>
      <c r="G186" s="61">
        <f>4.3324 * CHOOSE(CONTROL!$C$22, $C$13, 100%, $E$13)</f>
        <v>4.3323999999999998</v>
      </c>
      <c r="H186" s="61">
        <f>8.1467* CHOOSE(CONTROL!$C$22, $C$13, 100%, $E$13)</f>
        <v>8.1466999999999992</v>
      </c>
      <c r="I186" s="61">
        <f>8.1469 * CHOOSE(CONTROL!$C$22, $C$13, 100%, $E$13)</f>
        <v>8.1469000000000005</v>
      </c>
      <c r="J186" s="61">
        <f>4.3322 * CHOOSE(CONTROL!$C$22, $C$13, 100%, $E$13)</f>
        <v>4.3322000000000003</v>
      </c>
      <c r="K186" s="61">
        <f>4.3324 * CHOOSE(CONTROL!$C$22, $C$13, 100%, $E$13)</f>
        <v>4.3323999999999998</v>
      </c>
    </row>
    <row r="187" spans="1:11" ht="15">
      <c r="A187" s="13">
        <v>47543</v>
      </c>
      <c r="B187" s="60">
        <f>3.844 * CHOOSE(CONTROL!$C$22, $C$13, 100%, $E$13)</f>
        <v>3.8439999999999999</v>
      </c>
      <c r="C187" s="60">
        <f>3.844 * CHOOSE(CONTROL!$C$22, $C$13, 100%, $E$13)</f>
        <v>3.8439999999999999</v>
      </c>
      <c r="D187" s="60">
        <f>3.8565 * CHOOSE(CONTROL!$C$22, $C$13, 100%, $E$13)</f>
        <v>3.8565</v>
      </c>
      <c r="E187" s="61">
        <f>4.3687 * CHOOSE(CONTROL!$C$22, $C$13, 100%, $E$13)</f>
        <v>4.3686999999999996</v>
      </c>
      <c r="F187" s="61">
        <f>4.3687 * CHOOSE(CONTROL!$C$22, $C$13, 100%, $E$13)</f>
        <v>4.3686999999999996</v>
      </c>
      <c r="G187" s="61">
        <f>4.3689 * CHOOSE(CONTROL!$C$22, $C$13, 100%, $E$13)</f>
        <v>4.3689</v>
      </c>
      <c r="H187" s="61">
        <f>8.1637* CHOOSE(CONTROL!$C$22, $C$13, 100%, $E$13)</f>
        <v>8.1637000000000004</v>
      </c>
      <c r="I187" s="61">
        <f>8.1639 * CHOOSE(CONTROL!$C$22, $C$13, 100%, $E$13)</f>
        <v>8.1638999999999999</v>
      </c>
      <c r="J187" s="61">
        <f>4.3687 * CHOOSE(CONTROL!$C$22, $C$13, 100%, $E$13)</f>
        <v>4.3686999999999996</v>
      </c>
      <c r="K187" s="61">
        <f>4.3689 * CHOOSE(CONTROL!$C$22, $C$13, 100%, $E$13)</f>
        <v>4.3689</v>
      </c>
    </row>
    <row r="188" spans="1:11" ht="15">
      <c r="A188" s="13">
        <v>47574</v>
      </c>
      <c r="B188" s="60">
        <f>3.8415 * CHOOSE(CONTROL!$C$22, $C$13, 100%, $E$13)</f>
        <v>3.8414999999999999</v>
      </c>
      <c r="C188" s="60">
        <f>3.8415 * CHOOSE(CONTROL!$C$22, $C$13, 100%, $E$13)</f>
        <v>3.8414999999999999</v>
      </c>
      <c r="D188" s="60">
        <f>3.8541 * CHOOSE(CONTROL!$C$22, $C$13, 100%, $E$13)</f>
        <v>3.8540999999999999</v>
      </c>
      <c r="E188" s="61">
        <f>4.406 * CHOOSE(CONTROL!$C$22, $C$13, 100%, $E$13)</f>
        <v>4.4059999999999997</v>
      </c>
      <c r="F188" s="61">
        <f>4.406 * CHOOSE(CONTROL!$C$22, $C$13, 100%, $E$13)</f>
        <v>4.4059999999999997</v>
      </c>
      <c r="G188" s="61">
        <f>4.4061 * CHOOSE(CONTROL!$C$22, $C$13, 100%, $E$13)</f>
        <v>4.4061000000000003</v>
      </c>
      <c r="H188" s="61">
        <f>8.1807* CHOOSE(CONTROL!$C$22, $C$13, 100%, $E$13)</f>
        <v>8.1806999999999999</v>
      </c>
      <c r="I188" s="61">
        <f>8.1809 * CHOOSE(CONTROL!$C$22, $C$13, 100%, $E$13)</f>
        <v>8.1808999999999994</v>
      </c>
      <c r="J188" s="61">
        <f>4.406 * CHOOSE(CONTROL!$C$22, $C$13, 100%, $E$13)</f>
        <v>4.4059999999999997</v>
      </c>
      <c r="K188" s="61">
        <f>4.4061 * CHOOSE(CONTROL!$C$22, $C$13, 100%, $E$13)</f>
        <v>4.4061000000000003</v>
      </c>
    </row>
    <row r="189" spans="1:11" ht="15">
      <c r="A189" s="13">
        <v>47604</v>
      </c>
      <c r="B189" s="60">
        <f>3.8415 * CHOOSE(CONTROL!$C$22, $C$13, 100%, $E$13)</f>
        <v>3.8414999999999999</v>
      </c>
      <c r="C189" s="60">
        <f>3.8415 * CHOOSE(CONTROL!$C$22, $C$13, 100%, $E$13)</f>
        <v>3.8414999999999999</v>
      </c>
      <c r="D189" s="60">
        <f>3.8666 * CHOOSE(CONTROL!$C$22, $C$13, 100%, $E$13)</f>
        <v>3.8666</v>
      </c>
      <c r="E189" s="61">
        <f>4.4215 * CHOOSE(CONTROL!$C$22, $C$13, 100%, $E$13)</f>
        <v>4.4215</v>
      </c>
      <c r="F189" s="61">
        <f>4.4215 * CHOOSE(CONTROL!$C$22, $C$13, 100%, $E$13)</f>
        <v>4.4215</v>
      </c>
      <c r="G189" s="61">
        <f>4.4231 * CHOOSE(CONTROL!$C$22, $C$13, 100%, $E$13)</f>
        <v>4.4230999999999998</v>
      </c>
      <c r="H189" s="61">
        <f>8.1977* CHOOSE(CONTROL!$C$22, $C$13, 100%, $E$13)</f>
        <v>8.1976999999999993</v>
      </c>
      <c r="I189" s="61">
        <f>8.1993 * CHOOSE(CONTROL!$C$22, $C$13, 100%, $E$13)</f>
        <v>8.1992999999999991</v>
      </c>
      <c r="J189" s="61">
        <f>4.4215 * CHOOSE(CONTROL!$C$22, $C$13, 100%, $E$13)</f>
        <v>4.4215</v>
      </c>
      <c r="K189" s="61">
        <f>4.4231 * CHOOSE(CONTROL!$C$22, $C$13, 100%, $E$13)</f>
        <v>4.4230999999999998</v>
      </c>
    </row>
    <row r="190" spans="1:11" ht="15">
      <c r="A190" s="13">
        <v>47635</v>
      </c>
      <c r="B190" s="60">
        <f>3.8476 * CHOOSE(CONTROL!$C$22, $C$13, 100%, $E$13)</f>
        <v>3.8475999999999999</v>
      </c>
      <c r="C190" s="60">
        <f>3.8476 * CHOOSE(CONTROL!$C$22, $C$13, 100%, $E$13)</f>
        <v>3.8475999999999999</v>
      </c>
      <c r="D190" s="60">
        <f>3.8727 * CHOOSE(CONTROL!$C$22, $C$13, 100%, $E$13)</f>
        <v>3.8727</v>
      </c>
      <c r="E190" s="61">
        <f>4.4102 * CHOOSE(CONTROL!$C$22, $C$13, 100%, $E$13)</f>
        <v>4.4101999999999997</v>
      </c>
      <c r="F190" s="61">
        <f>4.4102 * CHOOSE(CONTROL!$C$22, $C$13, 100%, $E$13)</f>
        <v>4.4101999999999997</v>
      </c>
      <c r="G190" s="61">
        <f>4.4118 * CHOOSE(CONTROL!$C$22, $C$13, 100%, $E$13)</f>
        <v>4.4118000000000004</v>
      </c>
      <c r="H190" s="61">
        <f>8.2148* CHOOSE(CONTROL!$C$22, $C$13, 100%, $E$13)</f>
        <v>8.2148000000000003</v>
      </c>
      <c r="I190" s="61">
        <f>8.2164 * CHOOSE(CONTROL!$C$22, $C$13, 100%, $E$13)</f>
        <v>8.2164000000000001</v>
      </c>
      <c r="J190" s="61">
        <f>4.4102 * CHOOSE(CONTROL!$C$22, $C$13, 100%, $E$13)</f>
        <v>4.4101999999999997</v>
      </c>
      <c r="K190" s="61">
        <f>4.4118 * CHOOSE(CONTROL!$C$22, $C$13, 100%, $E$13)</f>
        <v>4.4118000000000004</v>
      </c>
    </row>
    <row r="191" spans="1:11" ht="15">
      <c r="A191" s="13">
        <v>47665</v>
      </c>
      <c r="B191" s="60">
        <f>3.915 * CHOOSE(CONTROL!$C$22, $C$13, 100%, $E$13)</f>
        <v>3.915</v>
      </c>
      <c r="C191" s="60">
        <f>3.915 * CHOOSE(CONTROL!$C$22, $C$13, 100%, $E$13)</f>
        <v>3.915</v>
      </c>
      <c r="D191" s="60">
        <f>3.9401 * CHOOSE(CONTROL!$C$22, $C$13, 100%, $E$13)</f>
        <v>3.9401000000000002</v>
      </c>
      <c r="E191" s="61">
        <f>4.4986 * CHOOSE(CONTROL!$C$22, $C$13, 100%, $E$13)</f>
        <v>4.4985999999999997</v>
      </c>
      <c r="F191" s="61">
        <f>4.4986 * CHOOSE(CONTROL!$C$22, $C$13, 100%, $E$13)</f>
        <v>4.4985999999999997</v>
      </c>
      <c r="G191" s="61">
        <f>4.5002 * CHOOSE(CONTROL!$C$22, $C$13, 100%, $E$13)</f>
        <v>4.5002000000000004</v>
      </c>
      <c r="H191" s="61">
        <f>8.2319* CHOOSE(CONTROL!$C$22, $C$13, 100%, $E$13)</f>
        <v>8.2318999999999996</v>
      </c>
      <c r="I191" s="61">
        <f>8.2335 * CHOOSE(CONTROL!$C$22, $C$13, 100%, $E$13)</f>
        <v>8.2334999999999994</v>
      </c>
      <c r="J191" s="61">
        <f>4.4986 * CHOOSE(CONTROL!$C$22, $C$13, 100%, $E$13)</f>
        <v>4.4985999999999997</v>
      </c>
      <c r="K191" s="61">
        <f>4.5002 * CHOOSE(CONTROL!$C$22, $C$13, 100%, $E$13)</f>
        <v>4.5002000000000004</v>
      </c>
    </row>
    <row r="192" spans="1:11" ht="15">
      <c r="A192" s="13">
        <v>47696</v>
      </c>
      <c r="B192" s="60">
        <f>3.9217 * CHOOSE(CONTROL!$C$22, $C$13, 100%, $E$13)</f>
        <v>3.9217</v>
      </c>
      <c r="C192" s="60">
        <f>3.9217 * CHOOSE(CONTROL!$C$22, $C$13, 100%, $E$13)</f>
        <v>3.9217</v>
      </c>
      <c r="D192" s="60">
        <f>3.9468 * CHOOSE(CONTROL!$C$22, $C$13, 100%, $E$13)</f>
        <v>3.9468000000000001</v>
      </c>
      <c r="E192" s="61">
        <f>4.4566 * CHOOSE(CONTROL!$C$22, $C$13, 100%, $E$13)</f>
        <v>4.4565999999999999</v>
      </c>
      <c r="F192" s="61">
        <f>4.4566 * CHOOSE(CONTROL!$C$22, $C$13, 100%, $E$13)</f>
        <v>4.4565999999999999</v>
      </c>
      <c r="G192" s="61">
        <f>4.4582 * CHOOSE(CONTROL!$C$22, $C$13, 100%, $E$13)</f>
        <v>4.4581999999999997</v>
      </c>
      <c r="H192" s="61">
        <f>8.2491* CHOOSE(CONTROL!$C$22, $C$13, 100%, $E$13)</f>
        <v>8.2491000000000003</v>
      </c>
      <c r="I192" s="61">
        <f>8.2507 * CHOOSE(CONTROL!$C$22, $C$13, 100%, $E$13)</f>
        <v>8.2507000000000001</v>
      </c>
      <c r="J192" s="61">
        <f>4.4566 * CHOOSE(CONTROL!$C$22, $C$13, 100%, $E$13)</f>
        <v>4.4565999999999999</v>
      </c>
      <c r="K192" s="61">
        <f>4.4582 * CHOOSE(CONTROL!$C$22, $C$13, 100%, $E$13)</f>
        <v>4.4581999999999997</v>
      </c>
    </row>
    <row r="193" spans="1:11" ht="15">
      <c r="A193" s="13">
        <v>47727</v>
      </c>
      <c r="B193" s="60">
        <f>3.9187 * CHOOSE(CONTROL!$C$22, $C$13, 100%, $E$13)</f>
        <v>3.9186999999999999</v>
      </c>
      <c r="C193" s="60">
        <f>3.9187 * CHOOSE(CONTROL!$C$22, $C$13, 100%, $E$13)</f>
        <v>3.9186999999999999</v>
      </c>
      <c r="D193" s="60">
        <f>3.9438 * CHOOSE(CONTROL!$C$22, $C$13, 100%, $E$13)</f>
        <v>3.9438</v>
      </c>
      <c r="E193" s="61">
        <f>4.4493 * CHOOSE(CONTROL!$C$22, $C$13, 100%, $E$13)</f>
        <v>4.4493</v>
      </c>
      <c r="F193" s="61">
        <f>4.4493 * CHOOSE(CONTROL!$C$22, $C$13, 100%, $E$13)</f>
        <v>4.4493</v>
      </c>
      <c r="G193" s="61">
        <f>4.4509 * CHOOSE(CONTROL!$C$22, $C$13, 100%, $E$13)</f>
        <v>4.4508999999999999</v>
      </c>
      <c r="H193" s="61">
        <f>8.2663* CHOOSE(CONTROL!$C$22, $C$13, 100%, $E$13)</f>
        <v>8.2662999999999993</v>
      </c>
      <c r="I193" s="61">
        <f>8.2679 * CHOOSE(CONTROL!$C$22, $C$13, 100%, $E$13)</f>
        <v>8.2678999999999991</v>
      </c>
      <c r="J193" s="61">
        <f>4.4493 * CHOOSE(CONTROL!$C$22, $C$13, 100%, $E$13)</f>
        <v>4.4493</v>
      </c>
      <c r="K193" s="61">
        <f>4.4509 * CHOOSE(CONTROL!$C$22, $C$13, 100%, $E$13)</f>
        <v>4.4508999999999999</v>
      </c>
    </row>
    <row r="194" spans="1:11" ht="15">
      <c r="A194" s="13">
        <v>47757</v>
      </c>
      <c r="B194" s="60">
        <f>3.9137 * CHOOSE(CONTROL!$C$22, $C$13, 100%, $E$13)</f>
        <v>3.9137</v>
      </c>
      <c r="C194" s="60">
        <f>3.9137 * CHOOSE(CONTROL!$C$22, $C$13, 100%, $E$13)</f>
        <v>3.9137</v>
      </c>
      <c r="D194" s="60">
        <f>3.9263 * CHOOSE(CONTROL!$C$22, $C$13, 100%, $E$13)</f>
        <v>3.9262999999999999</v>
      </c>
      <c r="E194" s="61">
        <f>4.4566 * CHOOSE(CONTROL!$C$22, $C$13, 100%, $E$13)</f>
        <v>4.4565999999999999</v>
      </c>
      <c r="F194" s="61">
        <f>4.4566 * CHOOSE(CONTROL!$C$22, $C$13, 100%, $E$13)</f>
        <v>4.4565999999999999</v>
      </c>
      <c r="G194" s="61">
        <f>4.4568 * CHOOSE(CONTROL!$C$22, $C$13, 100%, $E$13)</f>
        <v>4.4568000000000003</v>
      </c>
      <c r="H194" s="61">
        <f>8.2835* CHOOSE(CONTROL!$C$22, $C$13, 100%, $E$13)</f>
        <v>8.2835000000000001</v>
      </c>
      <c r="I194" s="61">
        <f>8.2837 * CHOOSE(CONTROL!$C$22, $C$13, 100%, $E$13)</f>
        <v>8.2836999999999996</v>
      </c>
      <c r="J194" s="61">
        <f>4.4566 * CHOOSE(CONTROL!$C$22, $C$13, 100%, $E$13)</f>
        <v>4.4565999999999999</v>
      </c>
      <c r="K194" s="61">
        <f>4.4568 * CHOOSE(CONTROL!$C$22, $C$13, 100%, $E$13)</f>
        <v>4.4568000000000003</v>
      </c>
    </row>
    <row r="195" spans="1:11" ht="15">
      <c r="A195" s="13">
        <v>47788</v>
      </c>
      <c r="B195" s="60">
        <f>3.9168 * CHOOSE(CONTROL!$C$22, $C$13, 100%, $E$13)</f>
        <v>3.9167999999999998</v>
      </c>
      <c r="C195" s="60">
        <f>3.9168 * CHOOSE(CONTROL!$C$22, $C$13, 100%, $E$13)</f>
        <v>3.9167999999999998</v>
      </c>
      <c r="D195" s="60">
        <f>3.9293 * CHOOSE(CONTROL!$C$22, $C$13, 100%, $E$13)</f>
        <v>3.9293</v>
      </c>
      <c r="E195" s="61">
        <f>4.4691 * CHOOSE(CONTROL!$C$22, $C$13, 100%, $E$13)</f>
        <v>4.4691000000000001</v>
      </c>
      <c r="F195" s="61">
        <f>4.4691 * CHOOSE(CONTROL!$C$22, $C$13, 100%, $E$13)</f>
        <v>4.4691000000000001</v>
      </c>
      <c r="G195" s="61">
        <f>4.4693 * CHOOSE(CONTROL!$C$22, $C$13, 100%, $E$13)</f>
        <v>4.4692999999999996</v>
      </c>
      <c r="H195" s="61">
        <f>8.3007* CHOOSE(CONTROL!$C$22, $C$13, 100%, $E$13)</f>
        <v>8.3007000000000009</v>
      </c>
      <c r="I195" s="61">
        <f>8.3009 * CHOOSE(CONTROL!$C$22, $C$13, 100%, $E$13)</f>
        <v>8.3009000000000004</v>
      </c>
      <c r="J195" s="61">
        <f>4.4691 * CHOOSE(CONTROL!$C$22, $C$13, 100%, $E$13)</f>
        <v>4.4691000000000001</v>
      </c>
      <c r="K195" s="61">
        <f>4.4693 * CHOOSE(CONTROL!$C$22, $C$13, 100%, $E$13)</f>
        <v>4.4692999999999996</v>
      </c>
    </row>
    <row r="196" spans="1:11" ht="15">
      <c r="A196" s="13">
        <v>47818</v>
      </c>
      <c r="B196" s="60">
        <f>3.9168 * CHOOSE(CONTROL!$C$22, $C$13, 100%, $E$13)</f>
        <v>3.9167999999999998</v>
      </c>
      <c r="C196" s="60">
        <f>3.9168 * CHOOSE(CONTROL!$C$22, $C$13, 100%, $E$13)</f>
        <v>3.9167999999999998</v>
      </c>
      <c r="D196" s="60">
        <f>3.9293 * CHOOSE(CONTROL!$C$22, $C$13, 100%, $E$13)</f>
        <v>3.9293</v>
      </c>
      <c r="E196" s="61">
        <f>4.4432 * CHOOSE(CONTROL!$C$22, $C$13, 100%, $E$13)</f>
        <v>4.4432</v>
      </c>
      <c r="F196" s="61">
        <f>4.4432 * CHOOSE(CONTROL!$C$22, $C$13, 100%, $E$13)</f>
        <v>4.4432</v>
      </c>
      <c r="G196" s="61">
        <f>4.4434 * CHOOSE(CONTROL!$C$22, $C$13, 100%, $E$13)</f>
        <v>4.4433999999999996</v>
      </c>
      <c r="H196" s="61">
        <f>8.318* CHOOSE(CONTROL!$C$22, $C$13, 100%, $E$13)</f>
        <v>8.3179999999999996</v>
      </c>
      <c r="I196" s="61">
        <f>8.3182 * CHOOSE(CONTROL!$C$22, $C$13, 100%, $E$13)</f>
        <v>8.3181999999999992</v>
      </c>
      <c r="J196" s="61">
        <f>4.4432 * CHOOSE(CONTROL!$C$22, $C$13, 100%, $E$13)</f>
        <v>4.4432</v>
      </c>
      <c r="K196" s="61">
        <f>4.4434 * CHOOSE(CONTROL!$C$22, $C$13, 100%, $E$13)</f>
        <v>4.4433999999999996</v>
      </c>
    </row>
    <row r="197" spans="1:11" ht="15">
      <c r="A197" s="13">
        <v>47849</v>
      </c>
      <c r="B197" s="60">
        <f>3.9538 * CHOOSE(CONTROL!$C$22, $C$13, 100%, $E$13)</f>
        <v>3.9538000000000002</v>
      </c>
      <c r="C197" s="60">
        <f>3.9538 * CHOOSE(CONTROL!$C$22, $C$13, 100%, $E$13)</f>
        <v>3.9538000000000002</v>
      </c>
      <c r="D197" s="60">
        <f>3.9663 * CHOOSE(CONTROL!$C$22, $C$13, 100%, $E$13)</f>
        <v>3.9662999999999999</v>
      </c>
      <c r="E197" s="61">
        <f>4.5104 * CHOOSE(CONTROL!$C$22, $C$13, 100%, $E$13)</f>
        <v>4.5103999999999997</v>
      </c>
      <c r="F197" s="61">
        <f>4.5104 * CHOOSE(CONTROL!$C$22, $C$13, 100%, $E$13)</f>
        <v>4.5103999999999997</v>
      </c>
      <c r="G197" s="61">
        <f>4.5106 * CHOOSE(CONTROL!$C$22, $C$13, 100%, $E$13)</f>
        <v>4.5106000000000002</v>
      </c>
      <c r="H197" s="61">
        <f>8.3354* CHOOSE(CONTROL!$C$22, $C$13, 100%, $E$13)</f>
        <v>8.3353999999999999</v>
      </c>
      <c r="I197" s="61">
        <f>8.3355 * CHOOSE(CONTROL!$C$22, $C$13, 100%, $E$13)</f>
        <v>8.3354999999999997</v>
      </c>
      <c r="J197" s="61">
        <f>4.5104 * CHOOSE(CONTROL!$C$22, $C$13, 100%, $E$13)</f>
        <v>4.5103999999999997</v>
      </c>
      <c r="K197" s="61">
        <f>4.5106 * CHOOSE(CONTROL!$C$22, $C$13, 100%, $E$13)</f>
        <v>4.5106000000000002</v>
      </c>
    </row>
    <row r="198" spans="1:11" ht="15">
      <c r="A198" s="13">
        <v>47880</v>
      </c>
      <c r="B198" s="60">
        <f>3.9507 * CHOOSE(CONTROL!$C$22, $C$13, 100%, $E$13)</f>
        <v>3.9506999999999999</v>
      </c>
      <c r="C198" s="60">
        <f>3.9507 * CHOOSE(CONTROL!$C$22, $C$13, 100%, $E$13)</f>
        <v>3.9506999999999999</v>
      </c>
      <c r="D198" s="60">
        <f>3.9633 * CHOOSE(CONTROL!$C$22, $C$13, 100%, $E$13)</f>
        <v>3.9632999999999998</v>
      </c>
      <c r="E198" s="61">
        <f>4.4581 * CHOOSE(CONTROL!$C$22, $C$13, 100%, $E$13)</f>
        <v>4.4581</v>
      </c>
      <c r="F198" s="61">
        <f>4.4581 * CHOOSE(CONTROL!$C$22, $C$13, 100%, $E$13)</f>
        <v>4.4581</v>
      </c>
      <c r="G198" s="61">
        <f>4.4582 * CHOOSE(CONTROL!$C$22, $C$13, 100%, $E$13)</f>
        <v>4.4581999999999997</v>
      </c>
      <c r="H198" s="61">
        <f>8.3527* CHOOSE(CONTROL!$C$22, $C$13, 100%, $E$13)</f>
        <v>8.3527000000000005</v>
      </c>
      <c r="I198" s="61">
        <f>8.3529 * CHOOSE(CONTROL!$C$22, $C$13, 100%, $E$13)</f>
        <v>8.3529</v>
      </c>
      <c r="J198" s="61">
        <f>4.4581 * CHOOSE(CONTROL!$C$22, $C$13, 100%, $E$13)</f>
        <v>4.4581</v>
      </c>
      <c r="K198" s="61">
        <f>4.4582 * CHOOSE(CONTROL!$C$22, $C$13, 100%, $E$13)</f>
        <v>4.4581999999999997</v>
      </c>
    </row>
    <row r="199" spans="1:11" ht="15">
      <c r="A199" s="13">
        <v>47908</v>
      </c>
      <c r="B199" s="60">
        <f>3.9477 * CHOOSE(CONTROL!$C$22, $C$13, 100%, $E$13)</f>
        <v>3.9477000000000002</v>
      </c>
      <c r="C199" s="60">
        <f>3.9477 * CHOOSE(CONTROL!$C$22, $C$13, 100%, $E$13)</f>
        <v>3.9477000000000002</v>
      </c>
      <c r="D199" s="60">
        <f>3.9602 * CHOOSE(CONTROL!$C$22, $C$13, 100%, $E$13)</f>
        <v>3.9601999999999999</v>
      </c>
      <c r="E199" s="61">
        <f>4.4956 * CHOOSE(CONTROL!$C$22, $C$13, 100%, $E$13)</f>
        <v>4.4955999999999996</v>
      </c>
      <c r="F199" s="61">
        <f>4.4956 * CHOOSE(CONTROL!$C$22, $C$13, 100%, $E$13)</f>
        <v>4.4955999999999996</v>
      </c>
      <c r="G199" s="61">
        <f>4.4957 * CHOOSE(CONTROL!$C$22, $C$13, 100%, $E$13)</f>
        <v>4.4957000000000003</v>
      </c>
      <c r="H199" s="61">
        <f>8.3701* CHOOSE(CONTROL!$C$22, $C$13, 100%, $E$13)</f>
        <v>8.3701000000000008</v>
      </c>
      <c r="I199" s="61">
        <f>8.3703 * CHOOSE(CONTROL!$C$22, $C$13, 100%, $E$13)</f>
        <v>8.3703000000000003</v>
      </c>
      <c r="J199" s="61">
        <f>4.4956 * CHOOSE(CONTROL!$C$22, $C$13, 100%, $E$13)</f>
        <v>4.4955999999999996</v>
      </c>
      <c r="K199" s="61">
        <f>4.4957 * CHOOSE(CONTROL!$C$22, $C$13, 100%, $E$13)</f>
        <v>4.4957000000000003</v>
      </c>
    </row>
    <row r="200" spans="1:11" ht="15">
      <c r="A200" s="13">
        <v>47939</v>
      </c>
      <c r="B200" s="60">
        <f>3.9454 * CHOOSE(CONTROL!$C$22, $C$13, 100%, $E$13)</f>
        <v>3.9453999999999998</v>
      </c>
      <c r="C200" s="60">
        <f>3.9454 * CHOOSE(CONTROL!$C$22, $C$13, 100%, $E$13)</f>
        <v>3.9453999999999998</v>
      </c>
      <c r="D200" s="60">
        <f>3.9579 * CHOOSE(CONTROL!$C$22, $C$13, 100%, $E$13)</f>
        <v>3.9579</v>
      </c>
      <c r="E200" s="61">
        <f>4.5339 * CHOOSE(CONTROL!$C$22, $C$13, 100%, $E$13)</f>
        <v>4.5339</v>
      </c>
      <c r="F200" s="61">
        <f>4.5339 * CHOOSE(CONTROL!$C$22, $C$13, 100%, $E$13)</f>
        <v>4.5339</v>
      </c>
      <c r="G200" s="61">
        <f>4.5341 * CHOOSE(CONTROL!$C$22, $C$13, 100%, $E$13)</f>
        <v>4.5340999999999996</v>
      </c>
      <c r="H200" s="61">
        <f>8.3876* CHOOSE(CONTROL!$C$22, $C$13, 100%, $E$13)</f>
        <v>8.3876000000000008</v>
      </c>
      <c r="I200" s="61">
        <f>8.3877 * CHOOSE(CONTROL!$C$22, $C$13, 100%, $E$13)</f>
        <v>8.3877000000000006</v>
      </c>
      <c r="J200" s="61">
        <f>4.5339 * CHOOSE(CONTROL!$C$22, $C$13, 100%, $E$13)</f>
        <v>4.5339</v>
      </c>
      <c r="K200" s="61">
        <f>4.5341 * CHOOSE(CONTROL!$C$22, $C$13, 100%, $E$13)</f>
        <v>4.5340999999999996</v>
      </c>
    </row>
    <row r="201" spans="1:11" ht="15">
      <c r="A201" s="13">
        <v>47969</v>
      </c>
      <c r="B201" s="60">
        <f>3.9454 * CHOOSE(CONTROL!$C$22, $C$13, 100%, $E$13)</f>
        <v>3.9453999999999998</v>
      </c>
      <c r="C201" s="60">
        <f>3.9454 * CHOOSE(CONTROL!$C$22, $C$13, 100%, $E$13)</f>
        <v>3.9453999999999998</v>
      </c>
      <c r="D201" s="60">
        <f>3.9705 * CHOOSE(CONTROL!$C$22, $C$13, 100%, $E$13)</f>
        <v>3.9704999999999999</v>
      </c>
      <c r="E201" s="61">
        <f>4.5498 * CHOOSE(CONTROL!$C$22, $C$13, 100%, $E$13)</f>
        <v>4.5498000000000003</v>
      </c>
      <c r="F201" s="61">
        <f>4.5498 * CHOOSE(CONTROL!$C$22, $C$13, 100%, $E$13)</f>
        <v>4.5498000000000003</v>
      </c>
      <c r="G201" s="61">
        <f>4.5514 * CHOOSE(CONTROL!$C$22, $C$13, 100%, $E$13)</f>
        <v>4.5514000000000001</v>
      </c>
      <c r="H201" s="61">
        <f>8.405* CHOOSE(CONTROL!$C$22, $C$13, 100%, $E$13)</f>
        <v>8.4049999999999994</v>
      </c>
      <c r="I201" s="61">
        <f>8.4066 * CHOOSE(CONTROL!$C$22, $C$13, 100%, $E$13)</f>
        <v>8.4065999999999992</v>
      </c>
      <c r="J201" s="61">
        <f>4.5498 * CHOOSE(CONTROL!$C$22, $C$13, 100%, $E$13)</f>
        <v>4.5498000000000003</v>
      </c>
      <c r="K201" s="61">
        <f>4.5514 * CHOOSE(CONTROL!$C$22, $C$13, 100%, $E$13)</f>
        <v>4.5514000000000001</v>
      </c>
    </row>
    <row r="202" spans="1:11" ht="15">
      <c r="A202" s="13">
        <v>48000</v>
      </c>
      <c r="B202" s="60">
        <f>3.9515 * CHOOSE(CONTROL!$C$22, $C$13, 100%, $E$13)</f>
        <v>3.9514999999999998</v>
      </c>
      <c r="C202" s="60">
        <f>3.9515 * CHOOSE(CONTROL!$C$22, $C$13, 100%, $E$13)</f>
        <v>3.9514999999999998</v>
      </c>
      <c r="D202" s="60">
        <f>3.9765 * CHOOSE(CONTROL!$C$22, $C$13, 100%, $E$13)</f>
        <v>3.9765000000000001</v>
      </c>
      <c r="E202" s="61">
        <f>4.5381 * CHOOSE(CONTROL!$C$22, $C$13, 100%, $E$13)</f>
        <v>4.5381</v>
      </c>
      <c r="F202" s="61">
        <f>4.5381 * CHOOSE(CONTROL!$C$22, $C$13, 100%, $E$13)</f>
        <v>4.5381</v>
      </c>
      <c r="G202" s="61">
        <f>4.5397 * CHOOSE(CONTROL!$C$22, $C$13, 100%, $E$13)</f>
        <v>4.5396999999999998</v>
      </c>
      <c r="H202" s="61">
        <f>8.4226* CHOOSE(CONTROL!$C$22, $C$13, 100%, $E$13)</f>
        <v>8.4225999999999992</v>
      </c>
      <c r="I202" s="61">
        <f>8.4242 * CHOOSE(CONTROL!$C$22, $C$13, 100%, $E$13)</f>
        <v>8.4242000000000008</v>
      </c>
      <c r="J202" s="61">
        <f>4.5381 * CHOOSE(CONTROL!$C$22, $C$13, 100%, $E$13)</f>
        <v>4.5381</v>
      </c>
      <c r="K202" s="61">
        <f>4.5397 * CHOOSE(CONTROL!$C$22, $C$13, 100%, $E$13)</f>
        <v>4.5396999999999998</v>
      </c>
    </row>
    <row r="203" spans="1:11" ht="15">
      <c r="A203" s="13">
        <v>48030</v>
      </c>
      <c r="B203" s="60">
        <f>4.021 * CHOOSE(CONTROL!$C$22, $C$13, 100%, $E$13)</f>
        <v>4.0209999999999999</v>
      </c>
      <c r="C203" s="60">
        <f>4.021 * CHOOSE(CONTROL!$C$22, $C$13, 100%, $E$13)</f>
        <v>4.0209999999999999</v>
      </c>
      <c r="D203" s="60">
        <f>4.0461 * CHOOSE(CONTROL!$C$22, $C$13, 100%, $E$13)</f>
        <v>4.0461</v>
      </c>
      <c r="E203" s="61">
        <f>4.6515 * CHOOSE(CONTROL!$C$22, $C$13, 100%, $E$13)</f>
        <v>4.6515000000000004</v>
      </c>
      <c r="F203" s="61">
        <f>4.6515 * CHOOSE(CONTROL!$C$22, $C$13, 100%, $E$13)</f>
        <v>4.6515000000000004</v>
      </c>
      <c r="G203" s="61">
        <f>4.6531 * CHOOSE(CONTROL!$C$22, $C$13, 100%, $E$13)</f>
        <v>4.6531000000000002</v>
      </c>
      <c r="H203" s="61">
        <f>8.4401* CHOOSE(CONTROL!$C$22, $C$13, 100%, $E$13)</f>
        <v>8.4400999999999993</v>
      </c>
      <c r="I203" s="61">
        <f>8.4417 * CHOOSE(CONTROL!$C$22, $C$13, 100%, $E$13)</f>
        <v>8.4417000000000009</v>
      </c>
      <c r="J203" s="61">
        <f>4.6515 * CHOOSE(CONTROL!$C$22, $C$13, 100%, $E$13)</f>
        <v>4.6515000000000004</v>
      </c>
      <c r="K203" s="61">
        <f>4.6531 * CHOOSE(CONTROL!$C$22, $C$13, 100%, $E$13)</f>
        <v>4.6531000000000002</v>
      </c>
    </row>
    <row r="204" spans="1:11" ht="15">
      <c r="A204" s="13">
        <v>48061</v>
      </c>
      <c r="B204" s="60">
        <f>4.0277 * CHOOSE(CONTROL!$C$22, $C$13, 100%, $E$13)</f>
        <v>4.0277000000000003</v>
      </c>
      <c r="C204" s="60">
        <f>4.0277 * CHOOSE(CONTROL!$C$22, $C$13, 100%, $E$13)</f>
        <v>4.0277000000000003</v>
      </c>
      <c r="D204" s="60">
        <f>4.0527 * CHOOSE(CONTROL!$C$22, $C$13, 100%, $E$13)</f>
        <v>4.0526999999999997</v>
      </c>
      <c r="E204" s="61">
        <f>4.6083 * CHOOSE(CONTROL!$C$22, $C$13, 100%, $E$13)</f>
        <v>4.6082999999999998</v>
      </c>
      <c r="F204" s="61">
        <f>4.6083 * CHOOSE(CONTROL!$C$22, $C$13, 100%, $E$13)</f>
        <v>4.6082999999999998</v>
      </c>
      <c r="G204" s="61">
        <f>4.6099 * CHOOSE(CONTROL!$C$22, $C$13, 100%, $E$13)</f>
        <v>4.6098999999999997</v>
      </c>
      <c r="H204" s="61">
        <f>8.4577* CHOOSE(CONTROL!$C$22, $C$13, 100%, $E$13)</f>
        <v>8.4577000000000009</v>
      </c>
      <c r="I204" s="61">
        <f>8.4593 * CHOOSE(CONTROL!$C$22, $C$13, 100%, $E$13)</f>
        <v>8.4593000000000007</v>
      </c>
      <c r="J204" s="61">
        <f>4.6083 * CHOOSE(CONTROL!$C$22, $C$13, 100%, $E$13)</f>
        <v>4.6082999999999998</v>
      </c>
      <c r="K204" s="61">
        <f>4.6099 * CHOOSE(CONTROL!$C$22, $C$13, 100%, $E$13)</f>
        <v>4.6098999999999997</v>
      </c>
    </row>
    <row r="205" spans="1:11" ht="15">
      <c r="A205" s="13">
        <v>48092</v>
      </c>
      <c r="B205" s="60">
        <f>4.0246 * CHOOSE(CONTROL!$C$22, $C$13, 100%, $E$13)</f>
        <v>4.0246000000000004</v>
      </c>
      <c r="C205" s="60">
        <f>4.0246 * CHOOSE(CONTROL!$C$22, $C$13, 100%, $E$13)</f>
        <v>4.0246000000000004</v>
      </c>
      <c r="D205" s="60">
        <f>4.0497 * CHOOSE(CONTROL!$C$22, $C$13, 100%, $E$13)</f>
        <v>4.0496999999999996</v>
      </c>
      <c r="E205" s="61">
        <f>4.6008 * CHOOSE(CONTROL!$C$22, $C$13, 100%, $E$13)</f>
        <v>4.6007999999999996</v>
      </c>
      <c r="F205" s="61">
        <f>4.6008 * CHOOSE(CONTROL!$C$22, $C$13, 100%, $E$13)</f>
        <v>4.6007999999999996</v>
      </c>
      <c r="G205" s="61">
        <f>4.6024 * CHOOSE(CONTROL!$C$22, $C$13, 100%, $E$13)</f>
        <v>4.6024000000000003</v>
      </c>
      <c r="H205" s="61">
        <f>8.4753* CHOOSE(CONTROL!$C$22, $C$13, 100%, $E$13)</f>
        <v>8.4753000000000007</v>
      </c>
      <c r="I205" s="61">
        <f>8.4769 * CHOOSE(CONTROL!$C$22, $C$13, 100%, $E$13)</f>
        <v>8.4769000000000005</v>
      </c>
      <c r="J205" s="61">
        <f>4.6008 * CHOOSE(CONTROL!$C$22, $C$13, 100%, $E$13)</f>
        <v>4.6007999999999996</v>
      </c>
      <c r="K205" s="61">
        <f>4.6024 * CHOOSE(CONTROL!$C$22, $C$13, 100%, $E$13)</f>
        <v>4.6024000000000003</v>
      </c>
    </row>
    <row r="206" spans="1:11" ht="15">
      <c r="A206" s="13">
        <v>48122</v>
      </c>
      <c r="B206" s="60">
        <f>4.02 * CHOOSE(CONTROL!$C$22, $C$13, 100%, $E$13)</f>
        <v>4.0199999999999996</v>
      </c>
      <c r="C206" s="60">
        <f>4.02 * CHOOSE(CONTROL!$C$22, $C$13, 100%, $E$13)</f>
        <v>4.0199999999999996</v>
      </c>
      <c r="D206" s="60">
        <f>4.0326 * CHOOSE(CONTROL!$C$22, $C$13, 100%, $E$13)</f>
        <v>4.0326000000000004</v>
      </c>
      <c r="E206" s="61">
        <f>4.6087 * CHOOSE(CONTROL!$C$22, $C$13, 100%, $E$13)</f>
        <v>4.6086999999999998</v>
      </c>
      <c r="F206" s="61">
        <f>4.6087 * CHOOSE(CONTROL!$C$22, $C$13, 100%, $E$13)</f>
        <v>4.6086999999999998</v>
      </c>
      <c r="G206" s="61">
        <f>4.6089 * CHOOSE(CONTROL!$C$22, $C$13, 100%, $E$13)</f>
        <v>4.6089000000000002</v>
      </c>
      <c r="H206" s="61">
        <f>8.493* CHOOSE(CONTROL!$C$22, $C$13, 100%, $E$13)</f>
        <v>8.4930000000000003</v>
      </c>
      <c r="I206" s="61">
        <f>8.4931 * CHOOSE(CONTROL!$C$22, $C$13, 100%, $E$13)</f>
        <v>8.4931000000000001</v>
      </c>
      <c r="J206" s="61">
        <f>4.6087 * CHOOSE(CONTROL!$C$22, $C$13, 100%, $E$13)</f>
        <v>4.6086999999999998</v>
      </c>
      <c r="K206" s="61">
        <f>4.6089 * CHOOSE(CONTROL!$C$22, $C$13, 100%, $E$13)</f>
        <v>4.6089000000000002</v>
      </c>
    </row>
    <row r="207" spans="1:11" ht="15">
      <c r="A207" s="13">
        <v>48153</v>
      </c>
      <c r="B207" s="60">
        <f>4.0231 * CHOOSE(CONTROL!$C$22, $C$13, 100%, $E$13)</f>
        <v>4.0231000000000003</v>
      </c>
      <c r="C207" s="60">
        <f>4.0231 * CHOOSE(CONTROL!$C$22, $C$13, 100%, $E$13)</f>
        <v>4.0231000000000003</v>
      </c>
      <c r="D207" s="60">
        <f>4.0356 * CHOOSE(CONTROL!$C$22, $C$13, 100%, $E$13)</f>
        <v>4.0355999999999996</v>
      </c>
      <c r="E207" s="61">
        <f>4.6214 * CHOOSE(CONTROL!$C$22, $C$13, 100%, $E$13)</f>
        <v>4.6214000000000004</v>
      </c>
      <c r="F207" s="61">
        <f>4.6214 * CHOOSE(CONTROL!$C$22, $C$13, 100%, $E$13)</f>
        <v>4.6214000000000004</v>
      </c>
      <c r="G207" s="61">
        <f>4.6216 * CHOOSE(CONTROL!$C$22, $C$13, 100%, $E$13)</f>
        <v>4.6215999999999999</v>
      </c>
      <c r="H207" s="61">
        <f>8.5107* CHOOSE(CONTROL!$C$22, $C$13, 100%, $E$13)</f>
        <v>8.5106999999999999</v>
      </c>
      <c r="I207" s="61">
        <f>8.5108 * CHOOSE(CONTROL!$C$22, $C$13, 100%, $E$13)</f>
        <v>8.5107999999999997</v>
      </c>
      <c r="J207" s="61">
        <f>4.6214 * CHOOSE(CONTROL!$C$22, $C$13, 100%, $E$13)</f>
        <v>4.6214000000000004</v>
      </c>
      <c r="K207" s="61">
        <f>4.6216 * CHOOSE(CONTROL!$C$22, $C$13, 100%, $E$13)</f>
        <v>4.6215999999999999</v>
      </c>
    </row>
    <row r="208" spans="1:11" ht="15">
      <c r="A208" s="13">
        <v>48183</v>
      </c>
      <c r="B208" s="60">
        <f>4.0231 * CHOOSE(CONTROL!$C$22, $C$13, 100%, $E$13)</f>
        <v>4.0231000000000003</v>
      </c>
      <c r="C208" s="60">
        <f>4.0231 * CHOOSE(CONTROL!$C$22, $C$13, 100%, $E$13)</f>
        <v>4.0231000000000003</v>
      </c>
      <c r="D208" s="60">
        <f>4.0356 * CHOOSE(CONTROL!$C$22, $C$13, 100%, $E$13)</f>
        <v>4.0355999999999996</v>
      </c>
      <c r="E208" s="61">
        <f>4.5948 * CHOOSE(CONTROL!$C$22, $C$13, 100%, $E$13)</f>
        <v>4.5948000000000002</v>
      </c>
      <c r="F208" s="61">
        <f>4.5948 * CHOOSE(CONTROL!$C$22, $C$13, 100%, $E$13)</f>
        <v>4.5948000000000002</v>
      </c>
      <c r="G208" s="61">
        <f>4.595 * CHOOSE(CONTROL!$C$22, $C$13, 100%, $E$13)</f>
        <v>4.5949999999999998</v>
      </c>
      <c r="H208" s="61">
        <f>8.5284* CHOOSE(CONTROL!$C$22, $C$13, 100%, $E$13)</f>
        <v>8.5283999999999995</v>
      </c>
      <c r="I208" s="61">
        <f>8.5286 * CHOOSE(CONTROL!$C$22, $C$13, 100%, $E$13)</f>
        <v>8.5286000000000008</v>
      </c>
      <c r="J208" s="61">
        <f>4.5948 * CHOOSE(CONTROL!$C$22, $C$13, 100%, $E$13)</f>
        <v>4.5948000000000002</v>
      </c>
      <c r="K208" s="61">
        <f>4.595 * CHOOSE(CONTROL!$C$22, $C$13, 100%, $E$13)</f>
        <v>4.5949999999999998</v>
      </c>
    </row>
    <row r="209" spans="1:11" ht="15">
      <c r="A209" s="13">
        <v>48214</v>
      </c>
      <c r="B209" s="60">
        <f>4.0668 * CHOOSE(CONTROL!$C$22, $C$13, 100%, $E$13)</f>
        <v>4.0667999999999997</v>
      </c>
      <c r="C209" s="60">
        <f>4.0668 * CHOOSE(CONTROL!$C$22, $C$13, 100%, $E$13)</f>
        <v>4.0667999999999997</v>
      </c>
      <c r="D209" s="60">
        <f>4.0793 * CHOOSE(CONTROL!$C$22, $C$13, 100%, $E$13)</f>
        <v>4.0792999999999999</v>
      </c>
      <c r="E209" s="61">
        <f>4.6594 * CHOOSE(CONTROL!$C$22, $C$13, 100%, $E$13)</f>
        <v>4.6593999999999998</v>
      </c>
      <c r="F209" s="61">
        <f>4.6594 * CHOOSE(CONTROL!$C$22, $C$13, 100%, $E$13)</f>
        <v>4.6593999999999998</v>
      </c>
      <c r="G209" s="61">
        <f>4.6595 * CHOOSE(CONTROL!$C$22, $C$13, 100%, $E$13)</f>
        <v>4.6595000000000004</v>
      </c>
      <c r="H209" s="61">
        <f>8.5462* CHOOSE(CONTROL!$C$22, $C$13, 100%, $E$13)</f>
        <v>8.5462000000000007</v>
      </c>
      <c r="I209" s="61">
        <f>8.5463 * CHOOSE(CONTROL!$C$22, $C$13, 100%, $E$13)</f>
        <v>8.5463000000000005</v>
      </c>
      <c r="J209" s="61">
        <f>4.6594 * CHOOSE(CONTROL!$C$22, $C$13, 100%, $E$13)</f>
        <v>4.6593999999999998</v>
      </c>
      <c r="K209" s="61">
        <f>4.6595 * CHOOSE(CONTROL!$C$22, $C$13, 100%, $E$13)</f>
        <v>4.6595000000000004</v>
      </c>
    </row>
    <row r="210" spans="1:11" ht="15">
      <c r="A210" s="13">
        <v>48245</v>
      </c>
      <c r="B210" s="60">
        <f>4.0637 * CHOOSE(CONTROL!$C$22, $C$13, 100%, $E$13)</f>
        <v>4.0636999999999999</v>
      </c>
      <c r="C210" s="60">
        <f>4.0637 * CHOOSE(CONTROL!$C$22, $C$13, 100%, $E$13)</f>
        <v>4.0636999999999999</v>
      </c>
      <c r="D210" s="60">
        <f>4.0763 * CHOOSE(CONTROL!$C$22, $C$13, 100%, $E$13)</f>
        <v>4.0762999999999998</v>
      </c>
      <c r="E210" s="61">
        <f>4.6056 * CHOOSE(CONTROL!$C$22, $C$13, 100%, $E$13)</f>
        <v>4.6055999999999999</v>
      </c>
      <c r="F210" s="61">
        <f>4.6056 * CHOOSE(CONTROL!$C$22, $C$13, 100%, $E$13)</f>
        <v>4.6055999999999999</v>
      </c>
      <c r="G210" s="61">
        <f>4.6058 * CHOOSE(CONTROL!$C$22, $C$13, 100%, $E$13)</f>
        <v>4.6058000000000003</v>
      </c>
      <c r="H210" s="61">
        <f>8.564* CHOOSE(CONTROL!$C$22, $C$13, 100%, $E$13)</f>
        <v>8.5640000000000001</v>
      </c>
      <c r="I210" s="61">
        <f>8.5641 * CHOOSE(CONTROL!$C$22, $C$13, 100%, $E$13)</f>
        <v>8.5640999999999998</v>
      </c>
      <c r="J210" s="61">
        <f>4.6056 * CHOOSE(CONTROL!$C$22, $C$13, 100%, $E$13)</f>
        <v>4.6055999999999999</v>
      </c>
      <c r="K210" s="61">
        <f>4.6058 * CHOOSE(CONTROL!$C$22, $C$13, 100%, $E$13)</f>
        <v>4.6058000000000003</v>
      </c>
    </row>
    <row r="211" spans="1:11" ht="15">
      <c r="A211" s="13">
        <v>48274</v>
      </c>
      <c r="B211" s="60">
        <f>4.0607 * CHOOSE(CONTROL!$C$22, $C$13, 100%, $E$13)</f>
        <v>4.0606999999999998</v>
      </c>
      <c r="C211" s="60">
        <f>4.0607 * CHOOSE(CONTROL!$C$22, $C$13, 100%, $E$13)</f>
        <v>4.0606999999999998</v>
      </c>
      <c r="D211" s="60">
        <f>4.0733 * CHOOSE(CONTROL!$C$22, $C$13, 100%, $E$13)</f>
        <v>4.0732999999999997</v>
      </c>
      <c r="E211" s="61">
        <f>4.6442 * CHOOSE(CONTROL!$C$22, $C$13, 100%, $E$13)</f>
        <v>4.6441999999999997</v>
      </c>
      <c r="F211" s="61">
        <f>4.6442 * CHOOSE(CONTROL!$C$22, $C$13, 100%, $E$13)</f>
        <v>4.6441999999999997</v>
      </c>
      <c r="G211" s="61">
        <f>4.6444 * CHOOSE(CONTROL!$C$22, $C$13, 100%, $E$13)</f>
        <v>4.6444000000000001</v>
      </c>
      <c r="H211" s="61">
        <f>8.5818* CHOOSE(CONTROL!$C$22, $C$13, 100%, $E$13)</f>
        <v>8.5817999999999994</v>
      </c>
      <c r="I211" s="61">
        <f>8.582 * CHOOSE(CONTROL!$C$22, $C$13, 100%, $E$13)</f>
        <v>8.5820000000000007</v>
      </c>
      <c r="J211" s="61">
        <f>4.6442 * CHOOSE(CONTROL!$C$22, $C$13, 100%, $E$13)</f>
        <v>4.6441999999999997</v>
      </c>
      <c r="K211" s="61">
        <f>4.6444 * CHOOSE(CONTROL!$C$22, $C$13, 100%, $E$13)</f>
        <v>4.6444000000000001</v>
      </c>
    </row>
    <row r="212" spans="1:11" ht="15">
      <c r="A212" s="13">
        <v>48305</v>
      </c>
      <c r="B212" s="60">
        <f>4.0585 * CHOOSE(CONTROL!$C$22, $C$13, 100%, $E$13)</f>
        <v>4.0585000000000004</v>
      </c>
      <c r="C212" s="60">
        <f>4.0585 * CHOOSE(CONTROL!$C$22, $C$13, 100%, $E$13)</f>
        <v>4.0585000000000004</v>
      </c>
      <c r="D212" s="60">
        <f>4.071 * CHOOSE(CONTROL!$C$22, $C$13, 100%, $E$13)</f>
        <v>4.0709999999999997</v>
      </c>
      <c r="E212" s="61">
        <f>4.6837 * CHOOSE(CONTROL!$C$22, $C$13, 100%, $E$13)</f>
        <v>4.6837</v>
      </c>
      <c r="F212" s="61">
        <f>4.6837 * CHOOSE(CONTROL!$C$22, $C$13, 100%, $E$13)</f>
        <v>4.6837</v>
      </c>
      <c r="G212" s="61">
        <f>4.6838 * CHOOSE(CONTROL!$C$22, $C$13, 100%, $E$13)</f>
        <v>4.6837999999999997</v>
      </c>
      <c r="H212" s="61">
        <f>8.5997* CHOOSE(CONTROL!$C$22, $C$13, 100%, $E$13)</f>
        <v>8.5997000000000003</v>
      </c>
      <c r="I212" s="61">
        <f>8.5999 * CHOOSE(CONTROL!$C$22, $C$13, 100%, $E$13)</f>
        <v>8.5998999999999999</v>
      </c>
      <c r="J212" s="61">
        <f>4.6837 * CHOOSE(CONTROL!$C$22, $C$13, 100%, $E$13)</f>
        <v>4.6837</v>
      </c>
      <c r="K212" s="61">
        <f>4.6838 * CHOOSE(CONTROL!$C$22, $C$13, 100%, $E$13)</f>
        <v>4.6837999999999997</v>
      </c>
    </row>
    <row r="213" spans="1:11" ht="15">
      <c r="A213" s="13">
        <v>48335</v>
      </c>
      <c r="B213" s="60">
        <f>4.0585 * CHOOSE(CONTROL!$C$22, $C$13, 100%, $E$13)</f>
        <v>4.0585000000000004</v>
      </c>
      <c r="C213" s="60">
        <f>4.0585 * CHOOSE(CONTROL!$C$22, $C$13, 100%, $E$13)</f>
        <v>4.0585000000000004</v>
      </c>
      <c r="D213" s="60">
        <f>4.0836 * CHOOSE(CONTROL!$C$22, $C$13, 100%, $E$13)</f>
        <v>4.0835999999999997</v>
      </c>
      <c r="E213" s="61">
        <f>4.7 * CHOOSE(CONTROL!$C$22, $C$13, 100%, $E$13)</f>
        <v>4.7</v>
      </c>
      <c r="F213" s="61">
        <f>4.7 * CHOOSE(CONTROL!$C$22, $C$13, 100%, $E$13)</f>
        <v>4.7</v>
      </c>
      <c r="G213" s="61">
        <f>4.7016 * CHOOSE(CONTROL!$C$22, $C$13, 100%, $E$13)</f>
        <v>4.7016</v>
      </c>
      <c r="H213" s="61">
        <f>8.6176* CHOOSE(CONTROL!$C$22, $C$13, 100%, $E$13)</f>
        <v>8.6175999999999995</v>
      </c>
      <c r="I213" s="61">
        <f>8.6192 * CHOOSE(CONTROL!$C$22, $C$13, 100%, $E$13)</f>
        <v>8.6191999999999993</v>
      </c>
      <c r="J213" s="61">
        <f>4.7 * CHOOSE(CONTROL!$C$22, $C$13, 100%, $E$13)</f>
        <v>4.7</v>
      </c>
      <c r="K213" s="61">
        <f>4.7016 * CHOOSE(CONTROL!$C$22, $C$13, 100%, $E$13)</f>
        <v>4.7016</v>
      </c>
    </row>
    <row r="214" spans="1:11" ht="15">
      <c r="A214" s="13">
        <v>48366</v>
      </c>
      <c r="B214" s="60">
        <f>4.0646 * CHOOSE(CONTROL!$C$22, $C$13, 100%, $E$13)</f>
        <v>4.0646000000000004</v>
      </c>
      <c r="C214" s="60">
        <f>4.0646 * CHOOSE(CONTROL!$C$22, $C$13, 100%, $E$13)</f>
        <v>4.0646000000000004</v>
      </c>
      <c r="D214" s="60">
        <f>4.0896 * CHOOSE(CONTROL!$C$22, $C$13, 100%, $E$13)</f>
        <v>4.0895999999999999</v>
      </c>
      <c r="E214" s="61">
        <f>4.6879 * CHOOSE(CONTROL!$C$22, $C$13, 100%, $E$13)</f>
        <v>4.6879</v>
      </c>
      <c r="F214" s="61">
        <f>4.6879 * CHOOSE(CONTROL!$C$22, $C$13, 100%, $E$13)</f>
        <v>4.6879</v>
      </c>
      <c r="G214" s="61">
        <f>4.6895 * CHOOSE(CONTROL!$C$22, $C$13, 100%, $E$13)</f>
        <v>4.6894999999999998</v>
      </c>
      <c r="H214" s="61">
        <f>8.6355* CHOOSE(CONTROL!$C$22, $C$13, 100%, $E$13)</f>
        <v>8.6355000000000004</v>
      </c>
      <c r="I214" s="61">
        <f>8.6371 * CHOOSE(CONTROL!$C$22, $C$13, 100%, $E$13)</f>
        <v>8.6371000000000002</v>
      </c>
      <c r="J214" s="61">
        <f>4.6879 * CHOOSE(CONTROL!$C$22, $C$13, 100%, $E$13)</f>
        <v>4.6879</v>
      </c>
      <c r="K214" s="61">
        <f>4.6895 * CHOOSE(CONTROL!$C$22, $C$13, 100%, $E$13)</f>
        <v>4.6894999999999998</v>
      </c>
    </row>
    <row r="215" spans="1:11" ht="15">
      <c r="A215" s="13">
        <v>48396</v>
      </c>
      <c r="B215" s="60">
        <f>4.1497 * CHOOSE(CONTROL!$C$22, $C$13, 100%, $E$13)</f>
        <v>4.1497000000000002</v>
      </c>
      <c r="C215" s="60">
        <f>4.1497 * CHOOSE(CONTROL!$C$22, $C$13, 100%, $E$13)</f>
        <v>4.1497000000000002</v>
      </c>
      <c r="D215" s="60">
        <f>4.1748 * CHOOSE(CONTROL!$C$22, $C$13, 100%, $E$13)</f>
        <v>4.1748000000000003</v>
      </c>
      <c r="E215" s="61">
        <f>4.7922 * CHOOSE(CONTROL!$C$22, $C$13, 100%, $E$13)</f>
        <v>4.7922000000000002</v>
      </c>
      <c r="F215" s="61">
        <f>4.7922 * CHOOSE(CONTROL!$C$22, $C$13, 100%, $E$13)</f>
        <v>4.7922000000000002</v>
      </c>
      <c r="G215" s="61">
        <f>4.7938 * CHOOSE(CONTROL!$C$22, $C$13, 100%, $E$13)</f>
        <v>4.7938000000000001</v>
      </c>
      <c r="H215" s="61">
        <f>8.6535* CHOOSE(CONTROL!$C$22, $C$13, 100%, $E$13)</f>
        <v>8.6534999999999993</v>
      </c>
      <c r="I215" s="61">
        <f>8.6551 * CHOOSE(CONTROL!$C$22, $C$13, 100%, $E$13)</f>
        <v>8.6550999999999991</v>
      </c>
      <c r="J215" s="61">
        <f>4.7922 * CHOOSE(CONTROL!$C$22, $C$13, 100%, $E$13)</f>
        <v>4.7922000000000002</v>
      </c>
      <c r="K215" s="61">
        <f>4.7938 * CHOOSE(CONTROL!$C$22, $C$13, 100%, $E$13)</f>
        <v>4.7938000000000001</v>
      </c>
    </row>
    <row r="216" spans="1:11" ht="15">
      <c r="A216" s="13">
        <v>48427</v>
      </c>
      <c r="B216" s="60">
        <f>4.1564 * CHOOSE(CONTROL!$C$22, $C$13, 100%, $E$13)</f>
        <v>4.1563999999999997</v>
      </c>
      <c r="C216" s="60">
        <f>4.1564 * CHOOSE(CONTROL!$C$22, $C$13, 100%, $E$13)</f>
        <v>4.1563999999999997</v>
      </c>
      <c r="D216" s="60">
        <f>4.1814 * CHOOSE(CONTROL!$C$22, $C$13, 100%, $E$13)</f>
        <v>4.1814</v>
      </c>
      <c r="E216" s="61">
        <f>4.7477 * CHOOSE(CONTROL!$C$22, $C$13, 100%, $E$13)</f>
        <v>4.7477</v>
      </c>
      <c r="F216" s="61">
        <f>4.7477 * CHOOSE(CONTROL!$C$22, $C$13, 100%, $E$13)</f>
        <v>4.7477</v>
      </c>
      <c r="G216" s="61">
        <f>4.7493 * CHOOSE(CONTROL!$C$22, $C$13, 100%, $E$13)</f>
        <v>4.7492999999999999</v>
      </c>
      <c r="H216" s="61">
        <f>8.6716* CHOOSE(CONTROL!$C$22, $C$13, 100%, $E$13)</f>
        <v>8.6715999999999998</v>
      </c>
      <c r="I216" s="61">
        <f>8.6732 * CHOOSE(CONTROL!$C$22, $C$13, 100%, $E$13)</f>
        <v>8.6731999999999996</v>
      </c>
      <c r="J216" s="61">
        <f>4.7477 * CHOOSE(CONTROL!$C$22, $C$13, 100%, $E$13)</f>
        <v>4.7477</v>
      </c>
      <c r="K216" s="61">
        <f>4.7493 * CHOOSE(CONTROL!$C$22, $C$13, 100%, $E$13)</f>
        <v>4.7492999999999999</v>
      </c>
    </row>
    <row r="217" spans="1:11" ht="15">
      <c r="A217" s="13">
        <v>48458</v>
      </c>
      <c r="B217" s="60">
        <f>4.1533 * CHOOSE(CONTROL!$C$22, $C$13, 100%, $E$13)</f>
        <v>4.1532999999999998</v>
      </c>
      <c r="C217" s="60">
        <f>4.1533 * CHOOSE(CONTROL!$C$22, $C$13, 100%, $E$13)</f>
        <v>4.1532999999999998</v>
      </c>
      <c r="D217" s="60">
        <f>4.1784 * CHOOSE(CONTROL!$C$22, $C$13, 100%, $E$13)</f>
        <v>4.1783999999999999</v>
      </c>
      <c r="E217" s="61">
        <f>4.7401 * CHOOSE(CONTROL!$C$22, $C$13, 100%, $E$13)</f>
        <v>4.7401</v>
      </c>
      <c r="F217" s="61">
        <f>4.7401 * CHOOSE(CONTROL!$C$22, $C$13, 100%, $E$13)</f>
        <v>4.7401</v>
      </c>
      <c r="G217" s="61">
        <f>4.7417 * CHOOSE(CONTROL!$C$22, $C$13, 100%, $E$13)</f>
        <v>4.7416999999999998</v>
      </c>
      <c r="H217" s="61">
        <f>8.6896* CHOOSE(CONTROL!$C$22, $C$13, 100%, $E$13)</f>
        <v>8.6896000000000004</v>
      </c>
      <c r="I217" s="61">
        <f>8.6912 * CHOOSE(CONTROL!$C$22, $C$13, 100%, $E$13)</f>
        <v>8.6912000000000003</v>
      </c>
      <c r="J217" s="61">
        <f>4.7401 * CHOOSE(CONTROL!$C$22, $C$13, 100%, $E$13)</f>
        <v>4.7401</v>
      </c>
      <c r="K217" s="61">
        <f>4.7417 * CHOOSE(CONTROL!$C$22, $C$13, 100%, $E$13)</f>
        <v>4.7416999999999998</v>
      </c>
    </row>
    <row r="218" spans="1:11" ht="15">
      <c r="A218" s="13">
        <v>48488</v>
      </c>
      <c r="B218" s="60">
        <f>4.1491 * CHOOSE(CONTROL!$C$22, $C$13, 100%, $E$13)</f>
        <v>4.1490999999999998</v>
      </c>
      <c r="C218" s="60">
        <f>4.1491 * CHOOSE(CONTROL!$C$22, $C$13, 100%, $E$13)</f>
        <v>4.1490999999999998</v>
      </c>
      <c r="D218" s="60">
        <f>4.1617 * CHOOSE(CONTROL!$C$22, $C$13, 100%, $E$13)</f>
        <v>4.1616999999999997</v>
      </c>
      <c r="E218" s="61">
        <f>4.7485 * CHOOSE(CONTROL!$C$22, $C$13, 100%, $E$13)</f>
        <v>4.7484999999999999</v>
      </c>
      <c r="F218" s="61">
        <f>4.7485 * CHOOSE(CONTROL!$C$22, $C$13, 100%, $E$13)</f>
        <v>4.7484999999999999</v>
      </c>
      <c r="G218" s="61">
        <f>4.7487 * CHOOSE(CONTROL!$C$22, $C$13, 100%, $E$13)</f>
        <v>4.7487000000000004</v>
      </c>
      <c r="H218" s="61">
        <f>8.7077* CHOOSE(CONTROL!$C$22, $C$13, 100%, $E$13)</f>
        <v>8.7077000000000009</v>
      </c>
      <c r="I218" s="61">
        <f>8.7079 * CHOOSE(CONTROL!$C$22, $C$13, 100%, $E$13)</f>
        <v>8.7079000000000004</v>
      </c>
      <c r="J218" s="61">
        <f>4.7485 * CHOOSE(CONTROL!$C$22, $C$13, 100%, $E$13)</f>
        <v>4.7484999999999999</v>
      </c>
      <c r="K218" s="61">
        <f>4.7487 * CHOOSE(CONTROL!$C$22, $C$13, 100%, $E$13)</f>
        <v>4.7487000000000004</v>
      </c>
    </row>
    <row r="219" spans="1:11" ht="15">
      <c r="A219" s="13">
        <v>48519</v>
      </c>
      <c r="B219" s="60">
        <f>4.1522 * CHOOSE(CONTROL!$C$22, $C$13, 100%, $E$13)</f>
        <v>4.1521999999999997</v>
      </c>
      <c r="C219" s="60">
        <f>4.1522 * CHOOSE(CONTROL!$C$22, $C$13, 100%, $E$13)</f>
        <v>4.1521999999999997</v>
      </c>
      <c r="D219" s="60">
        <f>4.1647 * CHOOSE(CONTROL!$C$22, $C$13, 100%, $E$13)</f>
        <v>4.1646999999999998</v>
      </c>
      <c r="E219" s="61">
        <f>4.7616 * CHOOSE(CONTROL!$C$22, $C$13, 100%, $E$13)</f>
        <v>4.7615999999999996</v>
      </c>
      <c r="F219" s="61">
        <f>4.7616 * CHOOSE(CONTROL!$C$22, $C$13, 100%, $E$13)</f>
        <v>4.7615999999999996</v>
      </c>
      <c r="G219" s="61">
        <f>4.7617 * CHOOSE(CONTROL!$C$22, $C$13, 100%, $E$13)</f>
        <v>4.7617000000000003</v>
      </c>
      <c r="H219" s="61">
        <f>8.7259* CHOOSE(CONTROL!$C$22, $C$13, 100%, $E$13)</f>
        <v>8.7258999999999993</v>
      </c>
      <c r="I219" s="61">
        <f>8.7261 * CHOOSE(CONTROL!$C$22, $C$13, 100%, $E$13)</f>
        <v>8.7261000000000006</v>
      </c>
      <c r="J219" s="61">
        <f>4.7616 * CHOOSE(CONTROL!$C$22, $C$13, 100%, $E$13)</f>
        <v>4.7615999999999996</v>
      </c>
      <c r="K219" s="61">
        <f>4.7617 * CHOOSE(CONTROL!$C$22, $C$13, 100%, $E$13)</f>
        <v>4.7617000000000003</v>
      </c>
    </row>
    <row r="220" spans="1:11" ht="15">
      <c r="A220" s="13">
        <v>48549</v>
      </c>
      <c r="B220" s="60">
        <f>4.1522 * CHOOSE(CONTROL!$C$22, $C$13, 100%, $E$13)</f>
        <v>4.1521999999999997</v>
      </c>
      <c r="C220" s="60">
        <f>4.1522 * CHOOSE(CONTROL!$C$22, $C$13, 100%, $E$13)</f>
        <v>4.1521999999999997</v>
      </c>
      <c r="D220" s="60">
        <f>4.1647 * CHOOSE(CONTROL!$C$22, $C$13, 100%, $E$13)</f>
        <v>4.1646999999999998</v>
      </c>
      <c r="E220" s="61">
        <f>4.7343 * CHOOSE(CONTROL!$C$22, $C$13, 100%, $E$13)</f>
        <v>4.7343000000000002</v>
      </c>
      <c r="F220" s="61">
        <f>4.7343 * CHOOSE(CONTROL!$C$22, $C$13, 100%, $E$13)</f>
        <v>4.7343000000000002</v>
      </c>
      <c r="G220" s="61">
        <f>4.7344 * CHOOSE(CONTROL!$C$22, $C$13, 100%, $E$13)</f>
        <v>4.7343999999999999</v>
      </c>
      <c r="H220" s="61">
        <f>8.7441* CHOOSE(CONTROL!$C$22, $C$13, 100%, $E$13)</f>
        <v>8.7440999999999995</v>
      </c>
      <c r="I220" s="61">
        <f>8.7442 * CHOOSE(CONTROL!$C$22, $C$13, 100%, $E$13)</f>
        <v>8.7441999999999993</v>
      </c>
      <c r="J220" s="61">
        <f>4.7343 * CHOOSE(CONTROL!$C$22, $C$13, 100%, $E$13)</f>
        <v>4.7343000000000002</v>
      </c>
      <c r="K220" s="61">
        <f>4.7344 * CHOOSE(CONTROL!$C$22, $C$13, 100%, $E$13)</f>
        <v>4.7343999999999999</v>
      </c>
    </row>
    <row r="221" spans="1:11" ht="15">
      <c r="A221" s="13">
        <v>48580</v>
      </c>
      <c r="B221" s="60">
        <f>4.1941 * CHOOSE(CONTROL!$C$22, $C$13, 100%, $E$13)</f>
        <v>4.1940999999999997</v>
      </c>
      <c r="C221" s="60">
        <f>4.1941 * CHOOSE(CONTROL!$C$22, $C$13, 100%, $E$13)</f>
        <v>4.1940999999999997</v>
      </c>
      <c r="D221" s="60">
        <f>4.2066 * CHOOSE(CONTROL!$C$22, $C$13, 100%, $E$13)</f>
        <v>4.2065999999999999</v>
      </c>
      <c r="E221" s="61">
        <f>4.8032 * CHOOSE(CONTROL!$C$22, $C$13, 100%, $E$13)</f>
        <v>4.8032000000000004</v>
      </c>
      <c r="F221" s="61">
        <f>4.8032 * CHOOSE(CONTROL!$C$22, $C$13, 100%, $E$13)</f>
        <v>4.8032000000000004</v>
      </c>
      <c r="G221" s="61">
        <f>4.8033 * CHOOSE(CONTROL!$C$22, $C$13, 100%, $E$13)</f>
        <v>4.8033000000000001</v>
      </c>
      <c r="H221" s="61">
        <f>8.7623* CHOOSE(CONTROL!$C$22, $C$13, 100%, $E$13)</f>
        <v>8.7622999999999998</v>
      </c>
      <c r="I221" s="61">
        <f>8.7624 * CHOOSE(CONTROL!$C$22, $C$13, 100%, $E$13)</f>
        <v>8.7623999999999995</v>
      </c>
      <c r="J221" s="61">
        <f>4.8032 * CHOOSE(CONTROL!$C$22, $C$13, 100%, $E$13)</f>
        <v>4.8032000000000004</v>
      </c>
      <c r="K221" s="61">
        <f>4.8033 * CHOOSE(CONTROL!$C$22, $C$13, 100%, $E$13)</f>
        <v>4.8033000000000001</v>
      </c>
    </row>
    <row r="222" spans="1:11" ht="15">
      <c r="A222" s="13">
        <v>48611</v>
      </c>
      <c r="B222" s="60">
        <f>4.191 * CHOOSE(CONTROL!$C$22, $C$13, 100%, $E$13)</f>
        <v>4.1909999999999998</v>
      </c>
      <c r="C222" s="60">
        <f>4.191 * CHOOSE(CONTROL!$C$22, $C$13, 100%, $E$13)</f>
        <v>4.1909999999999998</v>
      </c>
      <c r="D222" s="60">
        <f>4.2036 * CHOOSE(CONTROL!$C$22, $C$13, 100%, $E$13)</f>
        <v>4.2035999999999998</v>
      </c>
      <c r="E222" s="61">
        <f>4.7481 * CHOOSE(CONTROL!$C$22, $C$13, 100%, $E$13)</f>
        <v>4.7481</v>
      </c>
      <c r="F222" s="61">
        <f>4.7481 * CHOOSE(CONTROL!$C$22, $C$13, 100%, $E$13)</f>
        <v>4.7481</v>
      </c>
      <c r="G222" s="61">
        <f>4.7483 * CHOOSE(CONTROL!$C$22, $C$13, 100%, $E$13)</f>
        <v>4.7483000000000004</v>
      </c>
      <c r="H222" s="61">
        <f>8.7805* CHOOSE(CONTROL!$C$22, $C$13, 100%, $E$13)</f>
        <v>8.7805</v>
      </c>
      <c r="I222" s="61">
        <f>8.7807 * CHOOSE(CONTROL!$C$22, $C$13, 100%, $E$13)</f>
        <v>8.7806999999999995</v>
      </c>
      <c r="J222" s="61">
        <f>4.7481 * CHOOSE(CONTROL!$C$22, $C$13, 100%, $E$13)</f>
        <v>4.7481</v>
      </c>
      <c r="K222" s="61">
        <f>4.7483 * CHOOSE(CONTROL!$C$22, $C$13, 100%, $E$13)</f>
        <v>4.7483000000000004</v>
      </c>
    </row>
    <row r="223" spans="1:11" ht="15">
      <c r="A223" s="13">
        <v>48639</v>
      </c>
      <c r="B223" s="60">
        <f>4.188 * CHOOSE(CONTROL!$C$22, $C$13, 100%, $E$13)</f>
        <v>4.1879999999999997</v>
      </c>
      <c r="C223" s="60">
        <f>4.188 * CHOOSE(CONTROL!$C$22, $C$13, 100%, $E$13)</f>
        <v>4.1879999999999997</v>
      </c>
      <c r="D223" s="60">
        <f>4.2005 * CHOOSE(CONTROL!$C$22, $C$13, 100%, $E$13)</f>
        <v>4.2004999999999999</v>
      </c>
      <c r="E223" s="61">
        <f>4.7877 * CHOOSE(CONTROL!$C$22, $C$13, 100%, $E$13)</f>
        <v>4.7877000000000001</v>
      </c>
      <c r="F223" s="61">
        <f>4.7877 * CHOOSE(CONTROL!$C$22, $C$13, 100%, $E$13)</f>
        <v>4.7877000000000001</v>
      </c>
      <c r="G223" s="61">
        <f>4.7879 * CHOOSE(CONTROL!$C$22, $C$13, 100%, $E$13)</f>
        <v>4.7878999999999996</v>
      </c>
      <c r="H223" s="61">
        <f>8.7988* CHOOSE(CONTROL!$C$22, $C$13, 100%, $E$13)</f>
        <v>8.7988</v>
      </c>
      <c r="I223" s="61">
        <f>8.799 * CHOOSE(CONTROL!$C$22, $C$13, 100%, $E$13)</f>
        <v>8.7989999999999995</v>
      </c>
      <c r="J223" s="61">
        <f>4.7877 * CHOOSE(CONTROL!$C$22, $C$13, 100%, $E$13)</f>
        <v>4.7877000000000001</v>
      </c>
      <c r="K223" s="61">
        <f>4.7879 * CHOOSE(CONTROL!$C$22, $C$13, 100%, $E$13)</f>
        <v>4.7878999999999996</v>
      </c>
    </row>
    <row r="224" spans="1:11" ht="15">
      <c r="A224" s="13">
        <v>48670</v>
      </c>
      <c r="B224" s="60">
        <f>4.1858 * CHOOSE(CONTROL!$C$22, $C$13, 100%, $E$13)</f>
        <v>4.1858000000000004</v>
      </c>
      <c r="C224" s="60">
        <f>4.1858 * CHOOSE(CONTROL!$C$22, $C$13, 100%, $E$13)</f>
        <v>4.1858000000000004</v>
      </c>
      <c r="D224" s="60">
        <f>4.1984 * CHOOSE(CONTROL!$C$22, $C$13, 100%, $E$13)</f>
        <v>4.1984000000000004</v>
      </c>
      <c r="E224" s="61">
        <f>4.8283 * CHOOSE(CONTROL!$C$22, $C$13, 100%, $E$13)</f>
        <v>4.8282999999999996</v>
      </c>
      <c r="F224" s="61">
        <f>4.8283 * CHOOSE(CONTROL!$C$22, $C$13, 100%, $E$13)</f>
        <v>4.8282999999999996</v>
      </c>
      <c r="G224" s="61">
        <f>4.8285 * CHOOSE(CONTROL!$C$22, $C$13, 100%, $E$13)</f>
        <v>4.8285</v>
      </c>
      <c r="H224" s="61">
        <f>8.8171* CHOOSE(CONTROL!$C$22, $C$13, 100%, $E$13)</f>
        <v>8.8170999999999999</v>
      </c>
      <c r="I224" s="61">
        <f>8.8173 * CHOOSE(CONTROL!$C$22, $C$13, 100%, $E$13)</f>
        <v>8.8172999999999995</v>
      </c>
      <c r="J224" s="61">
        <f>4.8283 * CHOOSE(CONTROL!$C$22, $C$13, 100%, $E$13)</f>
        <v>4.8282999999999996</v>
      </c>
      <c r="K224" s="61">
        <f>4.8285 * CHOOSE(CONTROL!$C$22, $C$13, 100%, $E$13)</f>
        <v>4.8285</v>
      </c>
    </row>
    <row r="225" spans="1:11" ht="15">
      <c r="A225" s="13">
        <v>48700</v>
      </c>
      <c r="B225" s="60">
        <f>4.1858 * CHOOSE(CONTROL!$C$22, $C$13, 100%, $E$13)</f>
        <v>4.1858000000000004</v>
      </c>
      <c r="C225" s="60">
        <f>4.1858 * CHOOSE(CONTROL!$C$22, $C$13, 100%, $E$13)</f>
        <v>4.1858000000000004</v>
      </c>
      <c r="D225" s="60">
        <f>4.2109 * CHOOSE(CONTROL!$C$22, $C$13, 100%, $E$13)</f>
        <v>4.2108999999999996</v>
      </c>
      <c r="E225" s="61">
        <f>4.8452 * CHOOSE(CONTROL!$C$22, $C$13, 100%, $E$13)</f>
        <v>4.8452000000000002</v>
      </c>
      <c r="F225" s="61">
        <f>4.8452 * CHOOSE(CONTROL!$C$22, $C$13, 100%, $E$13)</f>
        <v>4.8452000000000002</v>
      </c>
      <c r="G225" s="61">
        <f>4.8468 * CHOOSE(CONTROL!$C$22, $C$13, 100%, $E$13)</f>
        <v>4.8468</v>
      </c>
      <c r="H225" s="61">
        <f>8.8355* CHOOSE(CONTROL!$C$22, $C$13, 100%, $E$13)</f>
        <v>8.8354999999999997</v>
      </c>
      <c r="I225" s="61">
        <f>8.8371 * CHOOSE(CONTROL!$C$22, $C$13, 100%, $E$13)</f>
        <v>8.8370999999999995</v>
      </c>
      <c r="J225" s="61">
        <f>4.8452 * CHOOSE(CONTROL!$C$22, $C$13, 100%, $E$13)</f>
        <v>4.8452000000000002</v>
      </c>
      <c r="K225" s="61">
        <f>4.8468 * CHOOSE(CONTROL!$C$22, $C$13, 100%, $E$13)</f>
        <v>4.8468</v>
      </c>
    </row>
    <row r="226" spans="1:11" ht="15">
      <c r="A226" s="13">
        <v>48731</v>
      </c>
      <c r="B226" s="60">
        <f>4.1919 * CHOOSE(CONTROL!$C$22, $C$13, 100%, $E$13)</f>
        <v>4.1919000000000004</v>
      </c>
      <c r="C226" s="60">
        <f>4.1919 * CHOOSE(CONTROL!$C$22, $C$13, 100%, $E$13)</f>
        <v>4.1919000000000004</v>
      </c>
      <c r="D226" s="60">
        <f>4.217 * CHOOSE(CONTROL!$C$22, $C$13, 100%, $E$13)</f>
        <v>4.2169999999999996</v>
      </c>
      <c r="E226" s="61">
        <f>4.8326 * CHOOSE(CONTROL!$C$22, $C$13, 100%, $E$13)</f>
        <v>4.8326000000000002</v>
      </c>
      <c r="F226" s="61">
        <f>4.8326 * CHOOSE(CONTROL!$C$22, $C$13, 100%, $E$13)</f>
        <v>4.8326000000000002</v>
      </c>
      <c r="G226" s="61">
        <f>4.8342 * CHOOSE(CONTROL!$C$22, $C$13, 100%, $E$13)</f>
        <v>4.8342000000000001</v>
      </c>
      <c r="H226" s="61">
        <f>8.8539* CHOOSE(CONTROL!$C$22, $C$13, 100%, $E$13)</f>
        <v>8.8538999999999994</v>
      </c>
      <c r="I226" s="61">
        <f>8.8555 * CHOOSE(CONTROL!$C$22, $C$13, 100%, $E$13)</f>
        <v>8.8554999999999993</v>
      </c>
      <c r="J226" s="61">
        <f>4.8326 * CHOOSE(CONTROL!$C$22, $C$13, 100%, $E$13)</f>
        <v>4.8326000000000002</v>
      </c>
      <c r="K226" s="61">
        <f>4.8342 * CHOOSE(CONTROL!$C$22, $C$13, 100%, $E$13)</f>
        <v>4.8342000000000001</v>
      </c>
    </row>
    <row r="227" spans="1:11" ht="15">
      <c r="A227" s="13">
        <v>48761</v>
      </c>
      <c r="B227" s="60">
        <f>4.2719 * CHOOSE(CONTROL!$C$22, $C$13, 100%, $E$13)</f>
        <v>4.2718999999999996</v>
      </c>
      <c r="C227" s="60">
        <f>4.2719 * CHOOSE(CONTROL!$C$22, $C$13, 100%, $E$13)</f>
        <v>4.2718999999999996</v>
      </c>
      <c r="D227" s="60">
        <f>4.297 * CHOOSE(CONTROL!$C$22, $C$13, 100%, $E$13)</f>
        <v>4.2969999999999997</v>
      </c>
      <c r="E227" s="61">
        <f>4.9466 * CHOOSE(CONTROL!$C$22, $C$13, 100%, $E$13)</f>
        <v>4.9466000000000001</v>
      </c>
      <c r="F227" s="61">
        <f>4.9466 * CHOOSE(CONTROL!$C$22, $C$13, 100%, $E$13)</f>
        <v>4.9466000000000001</v>
      </c>
      <c r="G227" s="61">
        <f>4.9482 * CHOOSE(CONTROL!$C$22, $C$13, 100%, $E$13)</f>
        <v>4.9481999999999999</v>
      </c>
      <c r="H227" s="61">
        <f>8.8724* CHOOSE(CONTROL!$C$22, $C$13, 100%, $E$13)</f>
        <v>8.8724000000000007</v>
      </c>
      <c r="I227" s="61">
        <f>8.874 * CHOOSE(CONTROL!$C$22, $C$13, 100%, $E$13)</f>
        <v>8.8740000000000006</v>
      </c>
      <c r="J227" s="61">
        <f>4.9466 * CHOOSE(CONTROL!$C$22, $C$13, 100%, $E$13)</f>
        <v>4.9466000000000001</v>
      </c>
      <c r="K227" s="61">
        <f>4.9482 * CHOOSE(CONTROL!$C$22, $C$13, 100%, $E$13)</f>
        <v>4.9481999999999999</v>
      </c>
    </row>
    <row r="228" spans="1:11" ht="15">
      <c r="A228" s="13">
        <v>48792</v>
      </c>
      <c r="B228" s="60">
        <f>4.2786 * CHOOSE(CONTROL!$C$22, $C$13, 100%, $E$13)</f>
        <v>4.2786</v>
      </c>
      <c r="C228" s="60">
        <f>4.2786 * CHOOSE(CONTROL!$C$22, $C$13, 100%, $E$13)</f>
        <v>4.2786</v>
      </c>
      <c r="D228" s="60">
        <f>4.3037 * CHOOSE(CONTROL!$C$22, $C$13, 100%, $E$13)</f>
        <v>4.3037000000000001</v>
      </c>
      <c r="E228" s="61">
        <f>4.9008 * CHOOSE(CONTROL!$C$22, $C$13, 100%, $E$13)</f>
        <v>4.9008000000000003</v>
      </c>
      <c r="F228" s="61">
        <f>4.9008 * CHOOSE(CONTROL!$C$22, $C$13, 100%, $E$13)</f>
        <v>4.9008000000000003</v>
      </c>
      <c r="G228" s="61">
        <f>4.9024 * CHOOSE(CONTROL!$C$22, $C$13, 100%, $E$13)</f>
        <v>4.9024000000000001</v>
      </c>
      <c r="H228" s="61">
        <f>8.8909* CHOOSE(CONTROL!$C$22, $C$13, 100%, $E$13)</f>
        <v>8.8909000000000002</v>
      </c>
      <c r="I228" s="61">
        <f>8.8925 * CHOOSE(CONTROL!$C$22, $C$13, 100%, $E$13)</f>
        <v>8.8925000000000001</v>
      </c>
      <c r="J228" s="61">
        <f>4.9008 * CHOOSE(CONTROL!$C$22, $C$13, 100%, $E$13)</f>
        <v>4.9008000000000003</v>
      </c>
      <c r="K228" s="61">
        <f>4.9024 * CHOOSE(CONTROL!$C$22, $C$13, 100%, $E$13)</f>
        <v>4.9024000000000001</v>
      </c>
    </row>
    <row r="229" spans="1:11" ht="15">
      <c r="A229" s="13">
        <v>48823</v>
      </c>
      <c r="B229" s="60">
        <f>4.2756 * CHOOSE(CONTROL!$C$22, $C$13, 100%, $E$13)</f>
        <v>4.2755999999999998</v>
      </c>
      <c r="C229" s="60">
        <f>4.2756 * CHOOSE(CONTROL!$C$22, $C$13, 100%, $E$13)</f>
        <v>4.2755999999999998</v>
      </c>
      <c r="D229" s="60">
        <f>4.3007 * CHOOSE(CONTROL!$C$22, $C$13, 100%, $E$13)</f>
        <v>4.3007</v>
      </c>
      <c r="E229" s="61">
        <f>4.8931 * CHOOSE(CONTROL!$C$22, $C$13, 100%, $E$13)</f>
        <v>4.8930999999999996</v>
      </c>
      <c r="F229" s="61">
        <f>4.8931 * CHOOSE(CONTROL!$C$22, $C$13, 100%, $E$13)</f>
        <v>4.8930999999999996</v>
      </c>
      <c r="G229" s="61">
        <f>4.8947 * CHOOSE(CONTROL!$C$22, $C$13, 100%, $E$13)</f>
        <v>4.8947000000000003</v>
      </c>
      <c r="H229" s="61">
        <f>8.9094* CHOOSE(CONTROL!$C$22, $C$13, 100%, $E$13)</f>
        <v>8.9093999999999998</v>
      </c>
      <c r="I229" s="61">
        <f>8.911 * CHOOSE(CONTROL!$C$22, $C$13, 100%, $E$13)</f>
        <v>8.9109999999999996</v>
      </c>
      <c r="J229" s="61">
        <f>4.8931 * CHOOSE(CONTROL!$C$22, $C$13, 100%, $E$13)</f>
        <v>4.8930999999999996</v>
      </c>
      <c r="K229" s="61">
        <f>4.8947 * CHOOSE(CONTROL!$C$22, $C$13, 100%, $E$13)</f>
        <v>4.8947000000000003</v>
      </c>
    </row>
    <row r="230" spans="1:11" ht="15">
      <c r="A230" s="13">
        <v>48853</v>
      </c>
      <c r="B230" s="60">
        <f>4.2718 * CHOOSE(CONTROL!$C$22, $C$13, 100%, $E$13)</f>
        <v>4.2717999999999998</v>
      </c>
      <c r="C230" s="60">
        <f>4.2718 * CHOOSE(CONTROL!$C$22, $C$13, 100%, $E$13)</f>
        <v>4.2717999999999998</v>
      </c>
      <c r="D230" s="60">
        <f>4.2843 * CHOOSE(CONTROL!$C$22, $C$13, 100%, $E$13)</f>
        <v>4.2843</v>
      </c>
      <c r="E230" s="61">
        <f>4.9021 * CHOOSE(CONTROL!$C$22, $C$13, 100%, $E$13)</f>
        <v>4.9020999999999999</v>
      </c>
      <c r="F230" s="61">
        <f>4.9021 * CHOOSE(CONTROL!$C$22, $C$13, 100%, $E$13)</f>
        <v>4.9020999999999999</v>
      </c>
      <c r="G230" s="61">
        <f>4.9023 * CHOOSE(CONTROL!$C$22, $C$13, 100%, $E$13)</f>
        <v>4.9023000000000003</v>
      </c>
      <c r="H230" s="61">
        <f>8.9279* CHOOSE(CONTROL!$C$22, $C$13, 100%, $E$13)</f>
        <v>8.9278999999999993</v>
      </c>
      <c r="I230" s="61">
        <f>8.9281 * CHOOSE(CONTROL!$C$22, $C$13, 100%, $E$13)</f>
        <v>8.9281000000000006</v>
      </c>
      <c r="J230" s="61">
        <f>4.9021 * CHOOSE(CONTROL!$C$22, $C$13, 100%, $E$13)</f>
        <v>4.9020999999999999</v>
      </c>
      <c r="K230" s="61">
        <f>4.9023 * CHOOSE(CONTROL!$C$22, $C$13, 100%, $E$13)</f>
        <v>4.9023000000000003</v>
      </c>
    </row>
    <row r="231" spans="1:11" ht="15">
      <c r="A231" s="13">
        <v>48884</v>
      </c>
      <c r="B231" s="60">
        <f>4.2748 * CHOOSE(CONTROL!$C$22, $C$13, 100%, $E$13)</f>
        <v>4.2747999999999999</v>
      </c>
      <c r="C231" s="60">
        <f>4.2748 * CHOOSE(CONTROL!$C$22, $C$13, 100%, $E$13)</f>
        <v>4.2747999999999999</v>
      </c>
      <c r="D231" s="60">
        <f>4.2874 * CHOOSE(CONTROL!$C$22, $C$13, 100%, $E$13)</f>
        <v>4.2873999999999999</v>
      </c>
      <c r="E231" s="61">
        <f>4.9154 * CHOOSE(CONTROL!$C$22, $C$13, 100%, $E$13)</f>
        <v>4.9154</v>
      </c>
      <c r="F231" s="61">
        <f>4.9154 * CHOOSE(CONTROL!$C$22, $C$13, 100%, $E$13)</f>
        <v>4.9154</v>
      </c>
      <c r="G231" s="61">
        <f>4.9156 * CHOOSE(CONTROL!$C$22, $C$13, 100%, $E$13)</f>
        <v>4.9156000000000004</v>
      </c>
      <c r="H231" s="61">
        <f>8.9465* CHOOSE(CONTROL!$C$22, $C$13, 100%, $E$13)</f>
        <v>8.9465000000000003</v>
      </c>
      <c r="I231" s="61">
        <f>8.9467 * CHOOSE(CONTROL!$C$22, $C$13, 100%, $E$13)</f>
        <v>8.9466999999999999</v>
      </c>
      <c r="J231" s="61">
        <f>4.9154 * CHOOSE(CONTROL!$C$22, $C$13, 100%, $E$13)</f>
        <v>4.9154</v>
      </c>
      <c r="K231" s="61">
        <f>4.9156 * CHOOSE(CONTROL!$C$22, $C$13, 100%, $E$13)</f>
        <v>4.9156000000000004</v>
      </c>
    </row>
    <row r="232" spans="1:11" ht="15">
      <c r="A232" s="13">
        <v>48914</v>
      </c>
      <c r="B232" s="60">
        <f>4.2748 * CHOOSE(CONTROL!$C$22, $C$13, 100%, $E$13)</f>
        <v>4.2747999999999999</v>
      </c>
      <c r="C232" s="60">
        <f>4.2748 * CHOOSE(CONTROL!$C$22, $C$13, 100%, $E$13)</f>
        <v>4.2747999999999999</v>
      </c>
      <c r="D232" s="60">
        <f>4.2874 * CHOOSE(CONTROL!$C$22, $C$13, 100%, $E$13)</f>
        <v>4.2873999999999999</v>
      </c>
      <c r="E232" s="61">
        <f>4.8874 * CHOOSE(CONTROL!$C$22, $C$13, 100%, $E$13)</f>
        <v>4.8874000000000004</v>
      </c>
      <c r="F232" s="61">
        <f>4.8874 * CHOOSE(CONTROL!$C$22, $C$13, 100%, $E$13)</f>
        <v>4.8874000000000004</v>
      </c>
      <c r="G232" s="61">
        <f>4.8876 * CHOOSE(CONTROL!$C$22, $C$13, 100%, $E$13)</f>
        <v>4.8875999999999999</v>
      </c>
      <c r="H232" s="61">
        <f>8.9652* CHOOSE(CONTROL!$C$22, $C$13, 100%, $E$13)</f>
        <v>8.9651999999999994</v>
      </c>
      <c r="I232" s="61">
        <f>8.9654 * CHOOSE(CONTROL!$C$22, $C$13, 100%, $E$13)</f>
        <v>8.9654000000000007</v>
      </c>
      <c r="J232" s="61">
        <f>4.8874 * CHOOSE(CONTROL!$C$22, $C$13, 100%, $E$13)</f>
        <v>4.8874000000000004</v>
      </c>
      <c r="K232" s="61">
        <f>4.8876 * CHOOSE(CONTROL!$C$22, $C$13, 100%, $E$13)</f>
        <v>4.8875999999999999</v>
      </c>
    </row>
    <row r="233" spans="1:11" ht="15">
      <c r="A233" s="13">
        <v>48945</v>
      </c>
      <c r="B233" s="60">
        <f>4.32 * CHOOSE(CONTROL!$C$22, $C$13, 100%, $E$13)</f>
        <v>4.32</v>
      </c>
      <c r="C233" s="60">
        <f>4.32 * CHOOSE(CONTROL!$C$22, $C$13, 100%, $E$13)</f>
        <v>4.32</v>
      </c>
      <c r="D233" s="60">
        <f>4.3325 * CHOOSE(CONTROL!$C$22, $C$13, 100%, $E$13)</f>
        <v>4.3324999999999996</v>
      </c>
      <c r="E233" s="61">
        <f>4.957 * CHOOSE(CONTROL!$C$22, $C$13, 100%, $E$13)</f>
        <v>4.9569999999999999</v>
      </c>
      <c r="F233" s="61">
        <f>4.957 * CHOOSE(CONTROL!$C$22, $C$13, 100%, $E$13)</f>
        <v>4.9569999999999999</v>
      </c>
      <c r="G233" s="61">
        <f>4.9572 * CHOOSE(CONTROL!$C$22, $C$13, 100%, $E$13)</f>
        <v>4.9572000000000003</v>
      </c>
      <c r="H233" s="61">
        <f>8.9839* CHOOSE(CONTROL!$C$22, $C$13, 100%, $E$13)</f>
        <v>8.9839000000000002</v>
      </c>
      <c r="I233" s="61">
        <f>8.984 * CHOOSE(CONTROL!$C$22, $C$13, 100%, $E$13)</f>
        <v>8.984</v>
      </c>
      <c r="J233" s="61">
        <f>4.957 * CHOOSE(CONTROL!$C$22, $C$13, 100%, $E$13)</f>
        <v>4.9569999999999999</v>
      </c>
      <c r="K233" s="61">
        <f>4.9572 * CHOOSE(CONTROL!$C$22, $C$13, 100%, $E$13)</f>
        <v>4.9572000000000003</v>
      </c>
    </row>
    <row r="234" spans="1:11" ht="15">
      <c r="A234" s="13">
        <v>48976</v>
      </c>
      <c r="B234" s="60">
        <f>4.3169 * CHOOSE(CONTROL!$C$22, $C$13, 100%, $E$13)</f>
        <v>4.3169000000000004</v>
      </c>
      <c r="C234" s="60">
        <f>4.3169 * CHOOSE(CONTROL!$C$22, $C$13, 100%, $E$13)</f>
        <v>4.3169000000000004</v>
      </c>
      <c r="D234" s="60">
        <f>4.3295 * CHOOSE(CONTROL!$C$22, $C$13, 100%, $E$13)</f>
        <v>4.3295000000000003</v>
      </c>
      <c r="E234" s="61">
        <f>4.9005 * CHOOSE(CONTROL!$C$22, $C$13, 100%, $E$13)</f>
        <v>4.9005000000000001</v>
      </c>
      <c r="F234" s="61">
        <f>4.9005 * CHOOSE(CONTROL!$C$22, $C$13, 100%, $E$13)</f>
        <v>4.9005000000000001</v>
      </c>
      <c r="G234" s="61">
        <f>4.9007 * CHOOSE(CONTROL!$C$22, $C$13, 100%, $E$13)</f>
        <v>4.9006999999999996</v>
      </c>
      <c r="H234" s="61">
        <f>9.0026* CHOOSE(CONTROL!$C$22, $C$13, 100%, $E$13)</f>
        <v>9.0025999999999993</v>
      </c>
      <c r="I234" s="61">
        <f>9.0027 * CHOOSE(CONTROL!$C$22, $C$13, 100%, $E$13)</f>
        <v>9.0027000000000008</v>
      </c>
      <c r="J234" s="61">
        <f>4.9005 * CHOOSE(CONTROL!$C$22, $C$13, 100%, $E$13)</f>
        <v>4.9005000000000001</v>
      </c>
      <c r="K234" s="61">
        <f>4.9007 * CHOOSE(CONTROL!$C$22, $C$13, 100%, $E$13)</f>
        <v>4.9006999999999996</v>
      </c>
    </row>
    <row r="235" spans="1:11" ht="15">
      <c r="A235" s="13">
        <v>49004</v>
      </c>
      <c r="B235" s="60">
        <f>4.3139 * CHOOSE(CONTROL!$C$22, $C$13, 100%, $E$13)</f>
        <v>4.3139000000000003</v>
      </c>
      <c r="C235" s="60">
        <f>4.3139 * CHOOSE(CONTROL!$C$22, $C$13, 100%, $E$13)</f>
        <v>4.3139000000000003</v>
      </c>
      <c r="D235" s="60">
        <f>4.3264 * CHOOSE(CONTROL!$C$22, $C$13, 100%, $E$13)</f>
        <v>4.3263999999999996</v>
      </c>
      <c r="E235" s="61">
        <f>4.9413 * CHOOSE(CONTROL!$C$22, $C$13, 100%, $E$13)</f>
        <v>4.9413</v>
      </c>
      <c r="F235" s="61">
        <f>4.9413 * CHOOSE(CONTROL!$C$22, $C$13, 100%, $E$13)</f>
        <v>4.9413</v>
      </c>
      <c r="G235" s="61">
        <f>4.9414 * CHOOSE(CONTROL!$C$22, $C$13, 100%, $E$13)</f>
        <v>4.9413999999999998</v>
      </c>
      <c r="H235" s="61">
        <f>9.0213* CHOOSE(CONTROL!$C$22, $C$13, 100%, $E$13)</f>
        <v>9.0213000000000001</v>
      </c>
      <c r="I235" s="61">
        <f>9.0215 * CHOOSE(CONTROL!$C$22, $C$13, 100%, $E$13)</f>
        <v>9.0214999999999996</v>
      </c>
      <c r="J235" s="61">
        <f>4.9413 * CHOOSE(CONTROL!$C$22, $C$13, 100%, $E$13)</f>
        <v>4.9413</v>
      </c>
      <c r="K235" s="61">
        <f>4.9414 * CHOOSE(CONTROL!$C$22, $C$13, 100%, $E$13)</f>
        <v>4.9413999999999998</v>
      </c>
    </row>
    <row r="236" spans="1:11" ht="15">
      <c r="A236" s="13">
        <v>49035</v>
      </c>
      <c r="B236" s="60">
        <f>4.3119 * CHOOSE(CONTROL!$C$22, $C$13, 100%, $E$13)</f>
        <v>4.3118999999999996</v>
      </c>
      <c r="C236" s="60">
        <f>4.3119 * CHOOSE(CONTROL!$C$22, $C$13, 100%, $E$13)</f>
        <v>4.3118999999999996</v>
      </c>
      <c r="D236" s="60">
        <f>4.3244 * CHOOSE(CONTROL!$C$22, $C$13, 100%, $E$13)</f>
        <v>4.3243999999999998</v>
      </c>
      <c r="E236" s="61">
        <f>4.9831 * CHOOSE(CONTROL!$C$22, $C$13, 100%, $E$13)</f>
        <v>4.9831000000000003</v>
      </c>
      <c r="F236" s="61">
        <f>4.9831 * CHOOSE(CONTROL!$C$22, $C$13, 100%, $E$13)</f>
        <v>4.9831000000000003</v>
      </c>
      <c r="G236" s="61">
        <f>4.9833 * CHOOSE(CONTROL!$C$22, $C$13, 100%, $E$13)</f>
        <v>4.9832999999999998</v>
      </c>
      <c r="H236" s="61">
        <f>9.0401* CHOOSE(CONTROL!$C$22, $C$13, 100%, $E$13)</f>
        <v>9.0401000000000007</v>
      </c>
      <c r="I236" s="61">
        <f>9.0403 * CHOOSE(CONTROL!$C$22, $C$13, 100%, $E$13)</f>
        <v>9.0403000000000002</v>
      </c>
      <c r="J236" s="61">
        <f>4.9831 * CHOOSE(CONTROL!$C$22, $C$13, 100%, $E$13)</f>
        <v>4.9831000000000003</v>
      </c>
      <c r="K236" s="61">
        <f>4.9833 * CHOOSE(CONTROL!$C$22, $C$13, 100%, $E$13)</f>
        <v>4.9832999999999998</v>
      </c>
    </row>
    <row r="237" spans="1:11" ht="15">
      <c r="A237" s="13">
        <v>49065</v>
      </c>
      <c r="B237" s="60">
        <f>4.3119 * CHOOSE(CONTROL!$C$22, $C$13, 100%, $E$13)</f>
        <v>4.3118999999999996</v>
      </c>
      <c r="C237" s="60">
        <f>4.3119 * CHOOSE(CONTROL!$C$22, $C$13, 100%, $E$13)</f>
        <v>4.3118999999999996</v>
      </c>
      <c r="D237" s="60">
        <f>4.337 * CHOOSE(CONTROL!$C$22, $C$13, 100%, $E$13)</f>
        <v>4.3369999999999997</v>
      </c>
      <c r="E237" s="61">
        <f>5.0004 * CHOOSE(CONTROL!$C$22, $C$13, 100%, $E$13)</f>
        <v>5.0004</v>
      </c>
      <c r="F237" s="61">
        <f>5.0004 * CHOOSE(CONTROL!$C$22, $C$13, 100%, $E$13)</f>
        <v>5.0004</v>
      </c>
      <c r="G237" s="61">
        <f>5.002 * CHOOSE(CONTROL!$C$22, $C$13, 100%, $E$13)</f>
        <v>5.0019999999999998</v>
      </c>
      <c r="H237" s="61">
        <f>9.059* CHOOSE(CONTROL!$C$22, $C$13, 100%, $E$13)</f>
        <v>9.0589999999999993</v>
      </c>
      <c r="I237" s="61">
        <f>9.0606 * CHOOSE(CONTROL!$C$22, $C$13, 100%, $E$13)</f>
        <v>9.0606000000000009</v>
      </c>
      <c r="J237" s="61">
        <f>5.0004 * CHOOSE(CONTROL!$C$22, $C$13, 100%, $E$13)</f>
        <v>5.0004</v>
      </c>
      <c r="K237" s="61">
        <f>5.002 * CHOOSE(CONTROL!$C$22, $C$13, 100%, $E$13)</f>
        <v>5.0019999999999998</v>
      </c>
    </row>
    <row r="238" spans="1:11" ht="15">
      <c r="A238" s="13">
        <v>49096</v>
      </c>
      <c r="B238" s="60">
        <f>4.3179 * CHOOSE(CONTROL!$C$22, $C$13, 100%, $E$13)</f>
        <v>4.3178999999999998</v>
      </c>
      <c r="C238" s="60">
        <f>4.3179 * CHOOSE(CONTROL!$C$22, $C$13, 100%, $E$13)</f>
        <v>4.3178999999999998</v>
      </c>
      <c r="D238" s="60">
        <f>4.343 * CHOOSE(CONTROL!$C$22, $C$13, 100%, $E$13)</f>
        <v>4.343</v>
      </c>
      <c r="E238" s="61">
        <f>4.9873 * CHOOSE(CONTROL!$C$22, $C$13, 100%, $E$13)</f>
        <v>4.9873000000000003</v>
      </c>
      <c r="F238" s="61">
        <f>4.9873 * CHOOSE(CONTROL!$C$22, $C$13, 100%, $E$13)</f>
        <v>4.9873000000000003</v>
      </c>
      <c r="G238" s="61">
        <f>4.9889 * CHOOSE(CONTROL!$C$22, $C$13, 100%, $E$13)</f>
        <v>4.9889000000000001</v>
      </c>
      <c r="H238" s="61">
        <f>9.0778* CHOOSE(CONTROL!$C$22, $C$13, 100%, $E$13)</f>
        <v>9.0777999999999999</v>
      </c>
      <c r="I238" s="61">
        <f>9.0794 * CHOOSE(CONTROL!$C$22, $C$13, 100%, $E$13)</f>
        <v>9.0793999999999997</v>
      </c>
      <c r="J238" s="61">
        <f>4.9873 * CHOOSE(CONTROL!$C$22, $C$13, 100%, $E$13)</f>
        <v>4.9873000000000003</v>
      </c>
      <c r="K238" s="61">
        <f>4.9889 * CHOOSE(CONTROL!$C$22, $C$13, 100%, $E$13)</f>
        <v>4.9889000000000001</v>
      </c>
    </row>
    <row r="239" spans="1:11" ht="15">
      <c r="A239" s="13">
        <v>49126</v>
      </c>
      <c r="B239" s="60">
        <f>4.4051 * CHOOSE(CONTROL!$C$22, $C$13, 100%, $E$13)</f>
        <v>4.4051</v>
      </c>
      <c r="C239" s="60">
        <f>4.4051 * CHOOSE(CONTROL!$C$22, $C$13, 100%, $E$13)</f>
        <v>4.4051</v>
      </c>
      <c r="D239" s="60">
        <f>4.4302 * CHOOSE(CONTROL!$C$22, $C$13, 100%, $E$13)</f>
        <v>4.4302000000000001</v>
      </c>
      <c r="E239" s="61">
        <f>5.1009 * CHOOSE(CONTROL!$C$22, $C$13, 100%, $E$13)</f>
        <v>5.1009000000000002</v>
      </c>
      <c r="F239" s="61">
        <f>5.1009 * CHOOSE(CONTROL!$C$22, $C$13, 100%, $E$13)</f>
        <v>5.1009000000000002</v>
      </c>
      <c r="G239" s="61">
        <f>5.1025 * CHOOSE(CONTROL!$C$22, $C$13, 100%, $E$13)</f>
        <v>5.1025</v>
      </c>
      <c r="H239" s="61">
        <f>9.0967* CHOOSE(CONTROL!$C$22, $C$13, 100%, $E$13)</f>
        <v>9.0967000000000002</v>
      </c>
      <c r="I239" s="61">
        <f>9.0983 * CHOOSE(CONTROL!$C$22, $C$13, 100%, $E$13)</f>
        <v>9.0983000000000001</v>
      </c>
      <c r="J239" s="61">
        <f>5.1009 * CHOOSE(CONTROL!$C$22, $C$13, 100%, $E$13)</f>
        <v>5.1009000000000002</v>
      </c>
      <c r="K239" s="61">
        <f>5.1025 * CHOOSE(CONTROL!$C$22, $C$13, 100%, $E$13)</f>
        <v>5.1025</v>
      </c>
    </row>
    <row r="240" spans="1:11" ht="15">
      <c r="A240" s="13">
        <v>49157</v>
      </c>
      <c r="B240" s="60">
        <f>4.4118 * CHOOSE(CONTROL!$C$22, $C$13, 100%, $E$13)</f>
        <v>4.4118000000000004</v>
      </c>
      <c r="C240" s="60">
        <f>4.4118 * CHOOSE(CONTROL!$C$22, $C$13, 100%, $E$13)</f>
        <v>4.4118000000000004</v>
      </c>
      <c r="D240" s="60">
        <f>4.4369 * CHOOSE(CONTROL!$C$22, $C$13, 100%, $E$13)</f>
        <v>4.4368999999999996</v>
      </c>
      <c r="E240" s="61">
        <f>5.0538 * CHOOSE(CONTROL!$C$22, $C$13, 100%, $E$13)</f>
        <v>5.0537999999999998</v>
      </c>
      <c r="F240" s="61">
        <f>5.0538 * CHOOSE(CONTROL!$C$22, $C$13, 100%, $E$13)</f>
        <v>5.0537999999999998</v>
      </c>
      <c r="G240" s="61">
        <f>5.0554 * CHOOSE(CONTROL!$C$22, $C$13, 100%, $E$13)</f>
        <v>5.0553999999999997</v>
      </c>
      <c r="H240" s="61">
        <f>9.1157* CHOOSE(CONTROL!$C$22, $C$13, 100%, $E$13)</f>
        <v>9.1157000000000004</v>
      </c>
      <c r="I240" s="61">
        <f>9.1173 * CHOOSE(CONTROL!$C$22, $C$13, 100%, $E$13)</f>
        <v>9.1173000000000002</v>
      </c>
      <c r="J240" s="61">
        <f>5.0538 * CHOOSE(CONTROL!$C$22, $C$13, 100%, $E$13)</f>
        <v>5.0537999999999998</v>
      </c>
      <c r="K240" s="61">
        <f>5.0554 * CHOOSE(CONTROL!$C$22, $C$13, 100%, $E$13)</f>
        <v>5.0553999999999997</v>
      </c>
    </row>
    <row r="241" spans="1:11" ht="15">
      <c r="A241" s="13">
        <v>49188</v>
      </c>
      <c r="B241" s="60">
        <f>4.4088 * CHOOSE(CONTROL!$C$22, $C$13, 100%, $E$13)</f>
        <v>4.4088000000000003</v>
      </c>
      <c r="C241" s="60">
        <f>4.4088 * CHOOSE(CONTROL!$C$22, $C$13, 100%, $E$13)</f>
        <v>4.4088000000000003</v>
      </c>
      <c r="D241" s="60">
        <f>4.4339 * CHOOSE(CONTROL!$C$22, $C$13, 100%, $E$13)</f>
        <v>4.4339000000000004</v>
      </c>
      <c r="E241" s="61">
        <f>5.0459 * CHOOSE(CONTROL!$C$22, $C$13, 100%, $E$13)</f>
        <v>5.0458999999999996</v>
      </c>
      <c r="F241" s="61">
        <f>5.0459 * CHOOSE(CONTROL!$C$22, $C$13, 100%, $E$13)</f>
        <v>5.0458999999999996</v>
      </c>
      <c r="G241" s="61">
        <f>5.0475 * CHOOSE(CONTROL!$C$22, $C$13, 100%, $E$13)</f>
        <v>5.0475000000000003</v>
      </c>
      <c r="H241" s="61">
        <f>9.1347* CHOOSE(CONTROL!$C$22, $C$13, 100%, $E$13)</f>
        <v>9.1347000000000005</v>
      </c>
      <c r="I241" s="61">
        <f>9.1363 * CHOOSE(CONTROL!$C$22, $C$13, 100%, $E$13)</f>
        <v>9.1363000000000003</v>
      </c>
      <c r="J241" s="61">
        <f>5.0459 * CHOOSE(CONTROL!$C$22, $C$13, 100%, $E$13)</f>
        <v>5.0458999999999996</v>
      </c>
      <c r="K241" s="61">
        <f>5.0475 * CHOOSE(CONTROL!$C$22, $C$13, 100%, $E$13)</f>
        <v>5.0475000000000003</v>
      </c>
    </row>
    <row r="242" spans="1:11" ht="15">
      <c r="A242" s="13">
        <v>49218</v>
      </c>
      <c r="B242" s="60">
        <f>4.4054 * CHOOSE(CONTROL!$C$22, $C$13, 100%, $E$13)</f>
        <v>4.4054000000000002</v>
      </c>
      <c r="C242" s="60">
        <f>4.4054 * CHOOSE(CONTROL!$C$22, $C$13, 100%, $E$13)</f>
        <v>4.4054000000000002</v>
      </c>
      <c r="D242" s="60">
        <f>4.4179 * CHOOSE(CONTROL!$C$22, $C$13, 100%, $E$13)</f>
        <v>4.4179000000000004</v>
      </c>
      <c r="E242" s="61">
        <f>5.0555 * CHOOSE(CONTROL!$C$22, $C$13, 100%, $E$13)</f>
        <v>5.0555000000000003</v>
      </c>
      <c r="F242" s="61">
        <f>5.0555 * CHOOSE(CONTROL!$C$22, $C$13, 100%, $E$13)</f>
        <v>5.0555000000000003</v>
      </c>
      <c r="G242" s="61">
        <f>5.0557 * CHOOSE(CONTROL!$C$22, $C$13, 100%, $E$13)</f>
        <v>5.0556999999999999</v>
      </c>
      <c r="H242" s="61">
        <f>9.1537* CHOOSE(CONTROL!$C$22, $C$13, 100%, $E$13)</f>
        <v>9.1537000000000006</v>
      </c>
      <c r="I242" s="61">
        <f>9.1539 * CHOOSE(CONTROL!$C$22, $C$13, 100%, $E$13)</f>
        <v>9.1539000000000001</v>
      </c>
      <c r="J242" s="61">
        <f>5.0555 * CHOOSE(CONTROL!$C$22, $C$13, 100%, $E$13)</f>
        <v>5.0555000000000003</v>
      </c>
      <c r="K242" s="61">
        <f>5.0557 * CHOOSE(CONTROL!$C$22, $C$13, 100%, $E$13)</f>
        <v>5.0556999999999999</v>
      </c>
    </row>
    <row r="243" spans="1:11" ht="15">
      <c r="A243" s="13">
        <v>49249</v>
      </c>
      <c r="B243" s="60">
        <f>4.4084 * CHOOSE(CONTROL!$C$22, $C$13, 100%, $E$13)</f>
        <v>4.4084000000000003</v>
      </c>
      <c r="C243" s="60">
        <f>4.4084 * CHOOSE(CONTROL!$C$22, $C$13, 100%, $E$13)</f>
        <v>4.4084000000000003</v>
      </c>
      <c r="D243" s="60">
        <f>4.421 * CHOOSE(CONTROL!$C$22, $C$13, 100%, $E$13)</f>
        <v>4.4210000000000003</v>
      </c>
      <c r="E243" s="61">
        <f>5.0691 * CHOOSE(CONTROL!$C$22, $C$13, 100%, $E$13)</f>
        <v>5.0690999999999997</v>
      </c>
      <c r="F243" s="61">
        <f>5.0691 * CHOOSE(CONTROL!$C$22, $C$13, 100%, $E$13)</f>
        <v>5.0690999999999997</v>
      </c>
      <c r="G243" s="61">
        <f>5.0693 * CHOOSE(CONTROL!$C$22, $C$13, 100%, $E$13)</f>
        <v>5.0693000000000001</v>
      </c>
      <c r="H243" s="61">
        <f>9.1728* CHOOSE(CONTROL!$C$22, $C$13, 100%, $E$13)</f>
        <v>9.1728000000000005</v>
      </c>
      <c r="I243" s="61">
        <f>9.173 * CHOOSE(CONTROL!$C$22, $C$13, 100%, $E$13)</f>
        <v>9.173</v>
      </c>
      <c r="J243" s="61">
        <f>5.0691 * CHOOSE(CONTROL!$C$22, $C$13, 100%, $E$13)</f>
        <v>5.0690999999999997</v>
      </c>
      <c r="K243" s="61">
        <f>5.0693 * CHOOSE(CONTROL!$C$22, $C$13, 100%, $E$13)</f>
        <v>5.0693000000000001</v>
      </c>
    </row>
    <row r="244" spans="1:11" ht="15">
      <c r="A244" s="13">
        <v>49279</v>
      </c>
      <c r="B244" s="60">
        <f>4.4084 * CHOOSE(CONTROL!$C$22, $C$13, 100%, $E$13)</f>
        <v>4.4084000000000003</v>
      </c>
      <c r="C244" s="60">
        <f>4.4084 * CHOOSE(CONTROL!$C$22, $C$13, 100%, $E$13)</f>
        <v>4.4084000000000003</v>
      </c>
      <c r="D244" s="60">
        <f>4.421 * CHOOSE(CONTROL!$C$22, $C$13, 100%, $E$13)</f>
        <v>4.4210000000000003</v>
      </c>
      <c r="E244" s="61">
        <f>5.0404 * CHOOSE(CONTROL!$C$22, $C$13, 100%, $E$13)</f>
        <v>5.0404</v>
      </c>
      <c r="F244" s="61">
        <f>5.0404 * CHOOSE(CONTROL!$C$22, $C$13, 100%, $E$13)</f>
        <v>5.0404</v>
      </c>
      <c r="G244" s="61">
        <f>5.0405 * CHOOSE(CONTROL!$C$22, $C$13, 100%, $E$13)</f>
        <v>5.0404999999999998</v>
      </c>
      <c r="H244" s="61">
        <f>9.1919* CHOOSE(CONTROL!$C$22, $C$13, 100%, $E$13)</f>
        <v>9.1919000000000004</v>
      </c>
      <c r="I244" s="61">
        <f>9.1921 * CHOOSE(CONTROL!$C$22, $C$13, 100%, $E$13)</f>
        <v>9.1920999999999999</v>
      </c>
      <c r="J244" s="61">
        <f>5.0404 * CHOOSE(CONTROL!$C$22, $C$13, 100%, $E$13)</f>
        <v>5.0404</v>
      </c>
      <c r="K244" s="61">
        <f>5.0405 * CHOOSE(CONTROL!$C$22, $C$13, 100%, $E$13)</f>
        <v>5.0404999999999998</v>
      </c>
    </row>
    <row r="245" spans="1:11" ht="15">
      <c r="A245" s="13">
        <v>49310</v>
      </c>
      <c r="B245" s="60">
        <f>4.4493 * CHOOSE(CONTROL!$C$22, $C$13, 100%, $E$13)</f>
        <v>4.4493</v>
      </c>
      <c r="C245" s="60">
        <f>4.4493 * CHOOSE(CONTROL!$C$22, $C$13, 100%, $E$13)</f>
        <v>4.4493</v>
      </c>
      <c r="D245" s="60">
        <f>4.4619 * CHOOSE(CONTROL!$C$22, $C$13, 100%, $E$13)</f>
        <v>4.4619</v>
      </c>
      <c r="E245" s="61">
        <f>5.1042 * CHOOSE(CONTROL!$C$22, $C$13, 100%, $E$13)</f>
        <v>5.1041999999999996</v>
      </c>
      <c r="F245" s="61">
        <f>5.1042 * CHOOSE(CONTROL!$C$22, $C$13, 100%, $E$13)</f>
        <v>5.1041999999999996</v>
      </c>
      <c r="G245" s="61">
        <f>5.1043 * CHOOSE(CONTROL!$C$22, $C$13, 100%, $E$13)</f>
        <v>5.1043000000000003</v>
      </c>
      <c r="H245" s="61">
        <f>9.211* CHOOSE(CONTROL!$C$22, $C$13, 100%, $E$13)</f>
        <v>9.2110000000000003</v>
      </c>
      <c r="I245" s="61">
        <f>9.2112 * CHOOSE(CONTROL!$C$22, $C$13, 100%, $E$13)</f>
        <v>9.2111999999999998</v>
      </c>
      <c r="J245" s="61">
        <f>5.1042 * CHOOSE(CONTROL!$C$22, $C$13, 100%, $E$13)</f>
        <v>5.1041999999999996</v>
      </c>
      <c r="K245" s="61">
        <f>5.1043 * CHOOSE(CONTROL!$C$22, $C$13, 100%, $E$13)</f>
        <v>5.1043000000000003</v>
      </c>
    </row>
    <row r="246" spans="1:11" ht="15">
      <c r="A246" s="13">
        <v>49341</v>
      </c>
      <c r="B246" s="60">
        <f>4.4463 * CHOOSE(CONTROL!$C$22, $C$13, 100%, $E$13)</f>
        <v>4.4462999999999999</v>
      </c>
      <c r="C246" s="60">
        <f>4.4463 * CHOOSE(CONTROL!$C$22, $C$13, 100%, $E$13)</f>
        <v>4.4462999999999999</v>
      </c>
      <c r="D246" s="60">
        <f>4.4588 * CHOOSE(CONTROL!$C$22, $C$13, 100%, $E$13)</f>
        <v>4.4588000000000001</v>
      </c>
      <c r="E246" s="61">
        <f>5.0462 * CHOOSE(CONTROL!$C$22, $C$13, 100%, $E$13)</f>
        <v>5.0461999999999998</v>
      </c>
      <c r="F246" s="61">
        <f>5.0462 * CHOOSE(CONTROL!$C$22, $C$13, 100%, $E$13)</f>
        <v>5.0461999999999998</v>
      </c>
      <c r="G246" s="61">
        <f>5.0464 * CHOOSE(CONTROL!$C$22, $C$13, 100%, $E$13)</f>
        <v>5.0464000000000002</v>
      </c>
      <c r="H246" s="61">
        <f>9.2302* CHOOSE(CONTROL!$C$22, $C$13, 100%, $E$13)</f>
        <v>9.2302</v>
      </c>
      <c r="I246" s="61">
        <f>9.2304 * CHOOSE(CONTROL!$C$22, $C$13, 100%, $E$13)</f>
        <v>9.2303999999999995</v>
      </c>
      <c r="J246" s="61">
        <f>5.0462 * CHOOSE(CONTROL!$C$22, $C$13, 100%, $E$13)</f>
        <v>5.0461999999999998</v>
      </c>
      <c r="K246" s="61">
        <f>5.0464 * CHOOSE(CONTROL!$C$22, $C$13, 100%, $E$13)</f>
        <v>5.0464000000000002</v>
      </c>
    </row>
    <row r="247" spans="1:11" ht="15">
      <c r="A247" s="13">
        <v>49369</v>
      </c>
      <c r="B247" s="60">
        <f>4.4432 * CHOOSE(CONTROL!$C$22, $C$13, 100%, $E$13)</f>
        <v>4.4432</v>
      </c>
      <c r="C247" s="60">
        <f>4.4432 * CHOOSE(CONTROL!$C$22, $C$13, 100%, $E$13)</f>
        <v>4.4432</v>
      </c>
      <c r="D247" s="60">
        <f>4.4558 * CHOOSE(CONTROL!$C$22, $C$13, 100%, $E$13)</f>
        <v>4.4558</v>
      </c>
      <c r="E247" s="61">
        <f>5.0881 * CHOOSE(CONTROL!$C$22, $C$13, 100%, $E$13)</f>
        <v>5.0880999999999998</v>
      </c>
      <c r="F247" s="61">
        <f>5.0881 * CHOOSE(CONTROL!$C$22, $C$13, 100%, $E$13)</f>
        <v>5.0880999999999998</v>
      </c>
      <c r="G247" s="61">
        <f>5.0883 * CHOOSE(CONTROL!$C$22, $C$13, 100%, $E$13)</f>
        <v>5.0883000000000003</v>
      </c>
      <c r="H247" s="61">
        <f>9.2495* CHOOSE(CONTROL!$C$22, $C$13, 100%, $E$13)</f>
        <v>9.2494999999999994</v>
      </c>
      <c r="I247" s="61">
        <f>9.2496 * CHOOSE(CONTROL!$C$22, $C$13, 100%, $E$13)</f>
        <v>9.2495999999999992</v>
      </c>
      <c r="J247" s="61">
        <f>5.0881 * CHOOSE(CONTROL!$C$22, $C$13, 100%, $E$13)</f>
        <v>5.0880999999999998</v>
      </c>
      <c r="K247" s="61">
        <f>5.0883 * CHOOSE(CONTROL!$C$22, $C$13, 100%, $E$13)</f>
        <v>5.0883000000000003</v>
      </c>
    </row>
    <row r="248" spans="1:11" ht="15">
      <c r="A248" s="13">
        <v>49400</v>
      </c>
      <c r="B248" s="60">
        <f>4.4413 * CHOOSE(CONTROL!$C$22, $C$13, 100%, $E$13)</f>
        <v>4.4413</v>
      </c>
      <c r="C248" s="60">
        <f>4.4413 * CHOOSE(CONTROL!$C$22, $C$13, 100%, $E$13)</f>
        <v>4.4413</v>
      </c>
      <c r="D248" s="60">
        <f>4.4539 * CHOOSE(CONTROL!$C$22, $C$13, 100%, $E$13)</f>
        <v>4.4539</v>
      </c>
      <c r="E248" s="61">
        <f>5.1311 * CHOOSE(CONTROL!$C$22, $C$13, 100%, $E$13)</f>
        <v>5.1311</v>
      </c>
      <c r="F248" s="61">
        <f>5.1311 * CHOOSE(CONTROL!$C$22, $C$13, 100%, $E$13)</f>
        <v>5.1311</v>
      </c>
      <c r="G248" s="61">
        <f>5.1313 * CHOOSE(CONTROL!$C$22, $C$13, 100%, $E$13)</f>
        <v>5.1313000000000004</v>
      </c>
      <c r="H248" s="61">
        <f>9.2687* CHOOSE(CONTROL!$C$22, $C$13, 100%, $E$13)</f>
        <v>9.2687000000000008</v>
      </c>
      <c r="I248" s="61">
        <f>9.2689 * CHOOSE(CONTROL!$C$22, $C$13, 100%, $E$13)</f>
        <v>9.2689000000000004</v>
      </c>
      <c r="J248" s="61">
        <f>5.1311 * CHOOSE(CONTROL!$C$22, $C$13, 100%, $E$13)</f>
        <v>5.1311</v>
      </c>
      <c r="K248" s="61">
        <f>5.1313 * CHOOSE(CONTROL!$C$22, $C$13, 100%, $E$13)</f>
        <v>5.1313000000000004</v>
      </c>
    </row>
    <row r="249" spans="1:11" ht="15">
      <c r="A249" s="13">
        <v>49430</v>
      </c>
      <c r="B249" s="60">
        <f>4.4413 * CHOOSE(CONTROL!$C$22, $C$13, 100%, $E$13)</f>
        <v>4.4413</v>
      </c>
      <c r="C249" s="60">
        <f>4.4413 * CHOOSE(CONTROL!$C$22, $C$13, 100%, $E$13)</f>
        <v>4.4413</v>
      </c>
      <c r="D249" s="60">
        <f>4.4664 * CHOOSE(CONTROL!$C$22, $C$13, 100%, $E$13)</f>
        <v>4.4664000000000001</v>
      </c>
      <c r="E249" s="61">
        <f>5.1489 * CHOOSE(CONTROL!$C$22, $C$13, 100%, $E$13)</f>
        <v>5.1489000000000003</v>
      </c>
      <c r="F249" s="61">
        <f>5.1489 * CHOOSE(CONTROL!$C$22, $C$13, 100%, $E$13)</f>
        <v>5.1489000000000003</v>
      </c>
      <c r="G249" s="61">
        <f>5.1505 * CHOOSE(CONTROL!$C$22, $C$13, 100%, $E$13)</f>
        <v>5.1505000000000001</v>
      </c>
      <c r="H249" s="61">
        <f>9.288* CHOOSE(CONTROL!$C$22, $C$13, 100%, $E$13)</f>
        <v>9.2880000000000003</v>
      </c>
      <c r="I249" s="61">
        <f>9.2896 * CHOOSE(CONTROL!$C$22, $C$13, 100%, $E$13)</f>
        <v>9.2896000000000001</v>
      </c>
      <c r="J249" s="61">
        <f>5.1489 * CHOOSE(CONTROL!$C$22, $C$13, 100%, $E$13)</f>
        <v>5.1489000000000003</v>
      </c>
      <c r="K249" s="61">
        <f>5.1505 * CHOOSE(CONTROL!$C$22, $C$13, 100%, $E$13)</f>
        <v>5.1505000000000001</v>
      </c>
    </row>
    <row r="250" spans="1:11" ht="15">
      <c r="A250" s="13">
        <v>49461</v>
      </c>
      <c r="B250" s="60">
        <f>4.4474 * CHOOSE(CONTROL!$C$22, $C$13, 100%, $E$13)</f>
        <v>4.4474</v>
      </c>
      <c r="C250" s="60">
        <f>4.4474 * CHOOSE(CONTROL!$C$22, $C$13, 100%, $E$13)</f>
        <v>4.4474</v>
      </c>
      <c r="D250" s="60">
        <f>4.4725 * CHOOSE(CONTROL!$C$22, $C$13, 100%, $E$13)</f>
        <v>4.4725000000000001</v>
      </c>
      <c r="E250" s="61">
        <f>5.1354 * CHOOSE(CONTROL!$C$22, $C$13, 100%, $E$13)</f>
        <v>5.1353999999999997</v>
      </c>
      <c r="F250" s="61">
        <f>5.1354 * CHOOSE(CONTROL!$C$22, $C$13, 100%, $E$13)</f>
        <v>5.1353999999999997</v>
      </c>
      <c r="G250" s="61">
        <f>5.137 * CHOOSE(CONTROL!$C$22, $C$13, 100%, $E$13)</f>
        <v>5.1369999999999996</v>
      </c>
      <c r="H250" s="61">
        <f>9.3074* CHOOSE(CONTROL!$C$22, $C$13, 100%, $E$13)</f>
        <v>9.3073999999999995</v>
      </c>
      <c r="I250" s="61">
        <f>9.309 * CHOOSE(CONTROL!$C$22, $C$13, 100%, $E$13)</f>
        <v>9.3089999999999993</v>
      </c>
      <c r="J250" s="61">
        <f>5.1354 * CHOOSE(CONTROL!$C$22, $C$13, 100%, $E$13)</f>
        <v>5.1353999999999997</v>
      </c>
      <c r="K250" s="61">
        <f>5.137 * CHOOSE(CONTROL!$C$22, $C$13, 100%, $E$13)</f>
        <v>5.1369999999999996</v>
      </c>
    </row>
    <row r="251" spans="1:11" ht="15">
      <c r="A251" s="13">
        <v>49491</v>
      </c>
      <c r="B251" s="60">
        <f>4.5237 * CHOOSE(CONTROL!$C$22, $C$13, 100%, $E$13)</f>
        <v>4.5236999999999998</v>
      </c>
      <c r="C251" s="60">
        <f>4.5237 * CHOOSE(CONTROL!$C$22, $C$13, 100%, $E$13)</f>
        <v>4.5236999999999998</v>
      </c>
      <c r="D251" s="60">
        <f>4.5488 * CHOOSE(CONTROL!$C$22, $C$13, 100%, $E$13)</f>
        <v>4.5488</v>
      </c>
      <c r="E251" s="61">
        <f>5.2334 * CHOOSE(CONTROL!$C$22, $C$13, 100%, $E$13)</f>
        <v>5.2333999999999996</v>
      </c>
      <c r="F251" s="61">
        <f>5.2334 * CHOOSE(CONTROL!$C$22, $C$13, 100%, $E$13)</f>
        <v>5.2333999999999996</v>
      </c>
      <c r="G251" s="61">
        <f>5.235 * CHOOSE(CONTROL!$C$22, $C$13, 100%, $E$13)</f>
        <v>5.2350000000000003</v>
      </c>
      <c r="H251" s="61">
        <f>9.3268* CHOOSE(CONTROL!$C$22, $C$13, 100%, $E$13)</f>
        <v>9.3268000000000004</v>
      </c>
      <c r="I251" s="61">
        <f>9.3284 * CHOOSE(CONTROL!$C$22, $C$13, 100%, $E$13)</f>
        <v>9.3284000000000002</v>
      </c>
      <c r="J251" s="61">
        <f>5.2334 * CHOOSE(CONTROL!$C$22, $C$13, 100%, $E$13)</f>
        <v>5.2333999999999996</v>
      </c>
      <c r="K251" s="61">
        <f>5.235 * CHOOSE(CONTROL!$C$22, $C$13, 100%, $E$13)</f>
        <v>5.2350000000000003</v>
      </c>
    </row>
    <row r="252" spans="1:11" ht="15">
      <c r="A252" s="13">
        <v>49522</v>
      </c>
      <c r="B252" s="60">
        <f>4.5304 * CHOOSE(CONTROL!$C$22, $C$13, 100%, $E$13)</f>
        <v>4.5304000000000002</v>
      </c>
      <c r="C252" s="60">
        <f>4.5304 * CHOOSE(CONTROL!$C$22, $C$13, 100%, $E$13)</f>
        <v>4.5304000000000002</v>
      </c>
      <c r="D252" s="60">
        <f>4.5555 * CHOOSE(CONTROL!$C$22, $C$13, 100%, $E$13)</f>
        <v>4.5555000000000003</v>
      </c>
      <c r="E252" s="61">
        <f>5.1849 * CHOOSE(CONTROL!$C$22, $C$13, 100%, $E$13)</f>
        <v>5.1848999999999998</v>
      </c>
      <c r="F252" s="61">
        <f>5.1849 * CHOOSE(CONTROL!$C$22, $C$13, 100%, $E$13)</f>
        <v>5.1848999999999998</v>
      </c>
      <c r="G252" s="61">
        <f>5.1865 * CHOOSE(CONTROL!$C$22, $C$13, 100%, $E$13)</f>
        <v>5.1864999999999997</v>
      </c>
      <c r="H252" s="61">
        <f>9.3462* CHOOSE(CONTROL!$C$22, $C$13, 100%, $E$13)</f>
        <v>9.3461999999999996</v>
      </c>
      <c r="I252" s="61">
        <f>9.3478 * CHOOSE(CONTROL!$C$22, $C$13, 100%, $E$13)</f>
        <v>9.3477999999999994</v>
      </c>
      <c r="J252" s="61">
        <f>5.1849 * CHOOSE(CONTROL!$C$22, $C$13, 100%, $E$13)</f>
        <v>5.1848999999999998</v>
      </c>
      <c r="K252" s="61">
        <f>5.1865 * CHOOSE(CONTROL!$C$22, $C$13, 100%, $E$13)</f>
        <v>5.1864999999999997</v>
      </c>
    </row>
    <row r="253" spans="1:11" ht="15">
      <c r="A253" s="13">
        <v>49553</v>
      </c>
      <c r="B253" s="60">
        <f>4.5274 * CHOOSE(CONTROL!$C$22, $C$13, 100%, $E$13)</f>
        <v>4.5274000000000001</v>
      </c>
      <c r="C253" s="60">
        <f>4.5274 * CHOOSE(CONTROL!$C$22, $C$13, 100%, $E$13)</f>
        <v>4.5274000000000001</v>
      </c>
      <c r="D253" s="60">
        <f>4.5525 * CHOOSE(CONTROL!$C$22, $C$13, 100%, $E$13)</f>
        <v>4.5525000000000002</v>
      </c>
      <c r="E253" s="61">
        <f>5.1768 * CHOOSE(CONTROL!$C$22, $C$13, 100%, $E$13)</f>
        <v>5.1768000000000001</v>
      </c>
      <c r="F253" s="61">
        <f>5.1768 * CHOOSE(CONTROL!$C$22, $C$13, 100%, $E$13)</f>
        <v>5.1768000000000001</v>
      </c>
      <c r="G253" s="61">
        <f>5.1784 * CHOOSE(CONTROL!$C$22, $C$13, 100%, $E$13)</f>
        <v>5.1783999999999999</v>
      </c>
      <c r="H253" s="61">
        <f>9.3657* CHOOSE(CONTROL!$C$22, $C$13, 100%, $E$13)</f>
        <v>9.3657000000000004</v>
      </c>
      <c r="I253" s="61">
        <f>9.3673 * CHOOSE(CONTROL!$C$22, $C$13, 100%, $E$13)</f>
        <v>9.3673000000000002</v>
      </c>
      <c r="J253" s="61">
        <f>5.1768 * CHOOSE(CONTROL!$C$22, $C$13, 100%, $E$13)</f>
        <v>5.1768000000000001</v>
      </c>
      <c r="K253" s="61">
        <f>5.1784 * CHOOSE(CONTROL!$C$22, $C$13, 100%, $E$13)</f>
        <v>5.1783999999999999</v>
      </c>
    </row>
    <row r="254" spans="1:11" ht="15">
      <c r="A254" s="13">
        <v>49583</v>
      </c>
      <c r="B254" s="60">
        <f>4.5244 * CHOOSE(CONTROL!$C$22, $C$13, 100%, $E$13)</f>
        <v>4.5244</v>
      </c>
      <c r="C254" s="60">
        <f>4.5244 * CHOOSE(CONTROL!$C$22, $C$13, 100%, $E$13)</f>
        <v>4.5244</v>
      </c>
      <c r="D254" s="60">
        <f>4.537 * CHOOSE(CONTROL!$C$22, $C$13, 100%, $E$13)</f>
        <v>4.5369999999999999</v>
      </c>
      <c r="E254" s="61">
        <f>5.1871 * CHOOSE(CONTROL!$C$22, $C$13, 100%, $E$13)</f>
        <v>5.1871</v>
      </c>
      <c r="F254" s="61">
        <f>5.1871 * CHOOSE(CONTROL!$C$22, $C$13, 100%, $E$13)</f>
        <v>5.1871</v>
      </c>
      <c r="G254" s="61">
        <f>5.1872 * CHOOSE(CONTROL!$C$22, $C$13, 100%, $E$13)</f>
        <v>5.1871999999999998</v>
      </c>
      <c r="H254" s="61">
        <f>9.3852* CHOOSE(CONTROL!$C$22, $C$13, 100%, $E$13)</f>
        <v>9.3851999999999993</v>
      </c>
      <c r="I254" s="61">
        <f>9.3854 * CHOOSE(CONTROL!$C$22, $C$13, 100%, $E$13)</f>
        <v>9.3854000000000006</v>
      </c>
      <c r="J254" s="61">
        <f>5.1871 * CHOOSE(CONTROL!$C$22, $C$13, 100%, $E$13)</f>
        <v>5.1871</v>
      </c>
      <c r="K254" s="61">
        <f>5.1872 * CHOOSE(CONTROL!$C$22, $C$13, 100%, $E$13)</f>
        <v>5.1871999999999998</v>
      </c>
    </row>
    <row r="255" spans="1:11" ht="15">
      <c r="A255" s="13">
        <v>49614</v>
      </c>
      <c r="B255" s="60">
        <f>4.5275 * CHOOSE(CONTROL!$C$22, $C$13, 100%, $E$13)</f>
        <v>4.5274999999999999</v>
      </c>
      <c r="C255" s="60">
        <f>4.5275 * CHOOSE(CONTROL!$C$22, $C$13, 100%, $E$13)</f>
        <v>4.5274999999999999</v>
      </c>
      <c r="D255" s="60">
        <f>4.54 * CHOOSE(CONTROL!$C$22, $C$13, 100%, $E$13)</f>
        <v>4.54</v>
      </c>
      <c r="E255" s="61">
        <f>5.201 * CHOOSE(CONTROL!$C$22, $C$13, 100%, $E$13)</f>
        <v>5.2009999999999996</v>
      </c>
      <c r="F255" s="61">
        <f>5.201 * CHOOSE(CONTROL!$C$22, $C$13, 100%, $E$13)</f>
        <v>5.2009999999999996</v>
      </c>
      <c r="G255" s="61">
        <f>5.2012 * CHOOSE(CONTROL!$C$22, $C$13, 100%, $E$13)</f>
        <v>5.2012</v>
      </c>
      <c r="H255" s="61">
        <f>9.4047* CHOOSE(CONTROL!$C$22, $C$13, 100%, $E$13)</f>
        <v>9.4047000000000001</v>
      </c>
      <c r="I255" s="61">
        <f>9.4049 * CHOOSE(CONTROL!$C$22, $C$13, 100%, $E$13)</f>
        <v>9.4048999999999996</v>
      </c>
      <c r="J255" s="61">
        <f>5.201 * CHOOSE(CONTROL!$C$22, $C$13, 100%, $E$13)</f>
        <v>5.2009999999999996</v>
      </c>
      <c r="K255" s="61">
        <f>5.2012 * CHOOSE(CONTROL!$C$22, $C$13, 100%, $E$13)</f>
        <v>5.2012</v>
      </c>
    </row>
    <row r="256" spans="1:11" ht="15">
      <c r="A256" s="13">
        <v>49644</v>
      </c>
      <c r="B256" s="60">
        <f>4.5275 * CHOOSE(CONTROL!$C$22, $C$13, 100%, $E$13)</f>
        <v>4.5274999999999999</v>
      </c>
      <c r="C256" s="60">
        <f>4.5275 * CHOOSE(CONTROL!$C$22, $C$13, 100%, $E$13)</f>
        <v>4.5274999999999999</v>
      </c>
      <c r="D256" s="60">
        <f>4.54 * CHOOSE(CONTROL!$C$22, $C$13, 100%, $E$13)</f>
        <v>4.54</v>
      </c>
      <c r="E256" s="61">
        <f>5.1715 * CHOOSE(CONTROL!$C$22, $C$13, 100%, $E$13)</f>
        <v>5.1715</v>
      </c>
      <c r="F256" s="61">
        <f>5.1715 * CHOOSE(CONTROL!$C$22, $C$13, 100%, $E$13)</f>
        <v>5.1715</v>
      </c>
      <c r="G256" s="61">
        <f>5.1716 * CHOOSE(CONTROL!$C$22, $C$13, 100%, $E$13)</f>
        <v>5.1715999999999998</v>
      </c>
      <c r="H256" s="61">
        <f>9.4243* CHOOSE(CONTROL!$C$22, $C$13, 100%, $E$13)</f>
        <v>9.4243000000000006</v>
      </c>
      <c r="I256" s="61">
        <f>9.4245 * CHOOSE(CONTROL!$C$22, $C$13, 100%, $E$13)</f>
        <v>9.4245000000000001</v>
      </c>
      <c r="J256" s="61">
        <f>5.1715 * CHOOSE(CONTROL!$C$22, $C$13, 100%, $E$13)</f>
        <v>5.1715</v>
      </c>
      <c r="K256" s="61">
        <f>5.1716 * CHOOSE(CONTROL!$C$22, $C$13, 100%, $E$13)</f>
        <v>5.1715999999999998</v>
      </c>
    </row>
    <row r="257" spans="1:11" ht="15">
      <c r="A257" s="13">
        <v>49675</v>
      </c>
      <c r="B257" s="60">
        <f>4.5704 * CHOOSE(CONTROL!$C$22, $C$13, 100%, $E$13)</f>
        <v>4.5704000000000002</v>
      </c>
      <c r="C257" s="60">
        <f>4.5704 * CHOOSE(CONTROL!$C$22, $C$13, 100%, $E$13)</f>
        <v>4.5704000000000002</v>
      </c>
      <c r="D257" s="60">
        <f>4.5829 * CHOOSE(CONTROL!$C$22, $C$13, 100%, $E$13)</f>
        <v>4.5829000000000004</v>
      </c>
      <c r="E257" s="61">
        <f>5.2414 * CHOOSE(CONTROL!$C$22, $C$13, 100%, $E$13)</f>
        <v>5.2413999999999996</v>
      </c>
      <c r="F257" s="61">
        <f>5.2414 * CHOOSE(CONTROL!$C$22, $C$13, 100%, $E$13)</f>
        <v>5.2413999999999996</v>
      </c>
      <c r="G257" s="61">
        <f>5.2415 * CHOOSE(CONTROL!$C$22, $C$13, 100%, $E$13)</f>
        <v>5.2415000000000003</v>
      </c>
      <c r="H257" s="61">
        <f>9.444* CHOOSE(CONTROL!$C$22, $C$13, 100%, $E$13)</f>
        <v>9.4440000000000008</v>
      </c>
      <c r="I257" s="61">
        <f>9.4442 * CHOOSE(CONTROL!$C$22, $C$13, 100%, $E$13)</f>
        <v>9.4442000000000004</v>
      </c>
      <c r="J257" s="61">
        <f>5.2414 * CHOOSE(CONTROL!$C$22, $C$13, 100%, $E$13)</f>
        <v>5.2413999999999996</v>
      </c>
      <c r="K257" s="61">
        <f>5.2415 * CHOOSE(CONTROL!$C$22, $C$13, 100%, $E$13)</f>
        <v>5.2415000000000003</v>
      </c>
    </row>
    <row r="258" spans="1:11" ht="15">
      <c r="A258" s="13">
        <v>49706</v>
      </c>
      <c r="B258" s="60">
        <f>4.5673 * CHOOSE(CONTROL!$C$22, $C$13, 100%, $E$13)</f>
        <v>4.5673000000000004</v>
      </c>
      <c r="C258" s="60">
        <f>4.5673 * CHOOSE(CONTROL!$C$22, $C$13, 100%, $E$13)</f>
        <v>4.5673000000000004</v>
      </c>
      <c r="D258" s="60">
        <f>4.5799 * CHOOSE(CONTROL!$C$22, $C$13, 100%, $E$13)</f>
        <v>4.5799000000000003</v>
      </c>
      <c r="E258" s="61">
        <f>5.1819 * CHOOSE(CONTROL!$C$22, $C$13, 100%, $E$13)</f>
        <v>5.1818999999999997</v>
      </c>
      <c r="F258" s="61">
        <f>5.1819 * CHOOSE(CONTROL!$C$22, $C$13, 100%, $E$13)</f>
        <v>5.1818999999999997</v>
      </c>
      <c r="G258" s="61">
        <f>5.182 * CHOOSE(CONTROL!$C$22, $C$13, 100%, $E$13)</f>
        <v>5.1820000000000004</v>
      </c>
      <c r="H258" s="61">
        <f>9.4636* CHOOSE(CONTROL!$C$22, $C$13, 100%, $E$13)</f>
        <v>9.4635999999999996</v>
      </c>
      <c r="I258" s="61">
        <f>9.4638 * CHOOSE(CONTROL!$C$22, $C$13, 100%, $E$13)</f>
        <v>9.4638000000000009</v>
      </c>
      <c r="J258" s="61">
        <f>5.1819 * CHOOSE(CONTROL!$C$22, $C$13, 100%, $E$13)</f>
        <v>5.1818999999999997</v>
      </c>
      <c r="K258" s="61">
        <f>5.182 * CHOOSE(CONTROL!$C$22, $C$13, 100%, $E$13)</f>
        <v>5.1820000000000004</v>
      </c>
    </row>
    <row r="259" spans="1:11" ht="15">
      <c r="A259" s="13">
        <v>49735</v>
      </c>
      <c r="B259" s="60">
        <f>4.5643 * CHOOSE(CONTROL!$C$22, $C$13, 100%, $E$13)</f>
        <v>4.5643000000000002</v>
      </c>
      <c r="C259" s="60">
        <f>4.5643 * CHOOSE(CONTROL!$C$22, $C$13, 100%, $E$13)</f>
        <v>4.5643000000000002</v>
      </c>
      <c r="D259" s="60">
        <f>4.5768 * CHOOSE(CONTROL!$C$22, $C$13, 100%, $E$13)</f>
        <v>4.5768000000000004</v>
      </c>
      <c r="E259" s="61">
        <f>5.225 * CHOOSE(CONTROL!$C$22, $C$13, 100%, $E$13)</f>
        <v>5.2249999999999996</v>
      </c>
      <c r="F259" s="61">
        <f>5.225 * CHOOSE(CONTROL!$C$22, $C$13, 100%, $E$13)</f>
        <v>5.2249999999999996</v>
      </c>
      <c r="G259" s="61">
        <f>5.2251 * CHOOSE(CONTROL!$C$22, $C$13, 100%, $E$13)</f>
        <v>5.2251000000000003</v>
      </c>
      <c r="H259" s="61">
        <f>9.4834* CHOOSE(CONTROL!$C$22, $C$13, 100%, $E$13)</f>
        <v>9.4833999999999996</v>
      </c>
      <c r="I259" s="61">
        <f>9.4835 * CHOOSE(CONTROL!$C$22, $C$13, 100%, $E$13)</f>
        <v>9.4834999999999994</v>
      </c>
      <c r="J259" s="61">
        <f>5.225 * CHOOSE(CONTROL!$C$22, $C$13, 100%, $E$13)</f>
        <v>5.2249999999999996</v>
      </c>
      <c r="K259" s="61">
        <f>5.2251 * CHOOSE(CONTROL!$C$22, $C$13, 100%, $E$13)</f>
        <v>5.2251000000000003</v>
      </c>
    </row>
    <row r="260" spans="1:11" ht="15">
      <c r="A260" s="13">
        <v>49766</v>
      </c>
      <c r="B260" s="60">
        <f>4.5625 * CHOOSE(CONTROL!$C$22, $C$13, 100%, $E$13)</f>
        <v>4.5625</v>
      </c>
      <c r="C260" s="60">
        <f>4.5625 * CHOOSE(CONTROL!$C$22, $C$13, 100%, $E$13)</f>
        <v>4.5625</v>
      </c>
      <c r="D260" s="60">
        <f>4.575 * CHOOSE(CONTROL!$C$22, $C$13, 100%, $E$13)</f>
        <v>4.5750000000000002</v>
      </c>
      <c r="E260" s="61">
        <f>5.2693 * CHOOSE(CONTROL!$C$22, $C$13, 100%, $E$13)</f>
        <v>5.2693000000000003</v>
      </c>
      <c r="F260" s="61">
        <f>5.2693 * CHOOSE(CONTROL!$C$22, $C$13, 100%, $E$13)</f>
        <v>5.2693000000000003</v>
      </c>
      <c r="G260" s="61">
        <f>5.2695 * CHOOSE(CONTROL!$C$22, $C$13, 100%, $E$13)</f>
        <v>5.2694999999999999</v>
      </c>
      <c r="H260" s="61">
        <f>9.5031* CHOOSE(CONTROL!$C$22, $C$13, 100%, $E$13)</f>
        <v>9.5030999999999999</v>
      </c>
      <c r="I260" s="61">
        <f>9.5033 * CHOOSE(CONTROL!$C$22, $C$13, 100%, $E$13)</f>
        <v>9.5032999999999994</v>
      </c>
      <c r="J260" s="61">
        <f>5.2693 * CHOOSE(CONTROL!$C$22, $C$13, 100%, $E$13)</f>
        <v>5.2693000000000003</v>
      </c>
      <c r="K260" s="61">
        <f>5.2695 * CHOOSE(CONTROL!$C$22, $C$13, 100%, $E$13)</f>
        <v>5.2694999999999999</v>
      </c>
    </row>
    <row r="261" spans="1:11" ht="15">
      <c r="A261" s="13">
        <v>49796</v>
      </c>
      <c r="B261" s="60">
        <f>4.5625 * CHOOSE(CONTROL!$C$22, $C$13, 100%, $E$13)</f>
        <v>4.5625</v>
      </c>
      <c r="C261" s="60">
        <f>4.5625 * CHOOSE(CONTROL!$C$22, $C$13, 100%, $E$13)</f>
        <v>4.5625</v>
      </c>
      <c r="D261" s="60">
        <f>4.5876 * CHOOSE(CONTROL!$C$22, $C$13, 100%, $E$13)</f>
        <v>4.5876000000000001</v>
      </c>
      <c r="E261" s="61">
        <f>5.2875 * CHOOSE(CONTROL!$C$22, $C$13, 100%, $E$13)</f>
        <v>5.2874999999999996</v>
      </c>
      <c r="F261" s="61">
        <f>5.2875 * CHOOSE(CONTROL!$C$22, $C$13, 100%, $E$13)</f>
        <v>5.2874999999999996</v>
      </c>
      <c r="G261" s="61">
        <f>5.2891 * CHOOSE(CONTROL!$C$22, $C$13, 100%, $E$13)</f>
        <v>5.2891000000000004</v>
      </c>
      <c r="H261" s="61">
        <f>9.5229* CHOOSE(CONTROL!$C$22, $C$13, 100%, $E$13)</f>
        <v>9.5228999999999999</v>
      </c>
      <c r="I261" s="61">
        <f>9.5245 * CHOOSE(CONTROL!$C$22, $C$13, 100%, $E$13)</f>
        <v>9.5244999999999997</v>
      </c>
      <c r="J261" s="61">
        <f>5.2875 * CHOOSE(CONTROL!$C$22, $C$13, 100%, $E$13)</f>
        <v>5.2874999999999996</v>
      </c>
      <c r="K261" s="61">
        <f>5.2891 * CHOOSE(CONTROL!$C$22, $C$13, 100%, $E$13)</f>
        <v>5.2891000000000004</v>
      </c>
    </row>
    <row r="262" spans="1:11" ht="15">
      <c r="A262" s="13">
        <v>49827</v>
      </c>
      <c r="B262" s="60">
        <f>4.5686 * CHOOSE(CONTROL!$C$22, $C$13, 100%, $E$13)</f>
        <v>4.5686</v>
      </c>
      <c r="C262" s="60">
        <f>4.5686 * CHOOSE(CONTROL!$C$22, $C$13, 100%, $E$13)</f>
        <v>4.5686</v>
      </c>
      <c r="D262" s="60">
        <f>4.5937 * CHOOSE(CONTROL!$C$22, $C$13, 100%, $E$13)</f>
        <v>4.5937000000000001</v>
      </c>
      <c r="E262" s="61">
        <f>5.2735 * CHOOSE(CONTROL!$C$22, $C$13, 100%, $E$13)</f>
        <v>5.2735000000000003</v>
      </c>
      <c r="F262" s="61">
        <f>5.2735 * CHOOSE(CONTROL!$C$22, $C$13, 100%, $E$13)</f>
        <v>5.2735000000000003</v>
      </c>
      <c r="G262" s="61">
        <f>5.2751 * CHOOSE(CONTROL!$C$22, $C$13, 100%, $E$13)</f>
        <v>5.2751000000000001</v>
      </c>
      <c r="H262" s="61">
        <f>9.5428* CHOOSE(CONTROL!$C$22, $C$13, 100%, $E$13)</f>
        <v>9.5427999999999997</v>
      </c>
      <c r="I262" s="61">
        <f>9.5444 * CHOOSE(CONTROL!$C$22, $C$13, 100%, $E$13)</f>
        <v>9.5443999999999996</v>
      </c>
      <c r="J262" s="61">
        <f>5.2735 * CHOOSE(CONTROL!$C$22, $C$13, 100%, $E$13)</f>
        <v>5.2735000000000003</v>
      </c>
      <c r="K262" s="61">
        <f>5.2751 * CHOOSE(CONTROL!$C$22, $C$13, 100%, $E$13)</f>
        <v>5.2751000000000001</v>
      </c>
    </row>
    <row r="263" spans="1:11" ht="15">
      <c r="A263" s="13">
        <v>49857</v>
      </c>
      <c r="B263" s="60">
        <f>4.6492 * CHOOSE(CONTROL!$C$22, $C$13, 100%, $E$13)</f>
        <v>4.6492000000000004</v>
      </c>
      <c r="C263" s="60">
        <f>4.6492 * CHOOSE(CONTROL!$C$22, $C$13, 100%, $E$13)</f>
        <v>4.6492000000000004</v>
      </c>
      <c r="D263" s="60">
        <f>4.6743 * CHOOSE(CONTROL!$C$22, $C$13, 100%, $E$13)</f>
        <v>4.6742999999999997</v>
      </c>
      <c r="E263" s="61">
        <f>5.3842 * CHOOSE(CONTROL!$C$22, $C$13, 100%, $E$13)</f>
        <v>5.3841999999999999</v>
      </c>
      <c r="F263" s="61">
        <f>5.3842 * CHOOSE(CONTROL!$C$22, $C$13, 100%, $E$13)</f>
        <v>5.3841999999999999</v>
      </c>
      <c r="G263" s="61">
        <f>5.3858 * CHOOSE(CONTROL!$C$22, $C$13, 100%, $E$13)</f>
        <v>5.3857999999999997</v>
      </c>
      <c r="H263" s="61">
        <f>9.5626* CHOOSE(CONTROL!$C$22, $C$13, 100%, $E$13)</f>
        <v>9.5625999999999998</v>
      </c>
      <c r="I263" s="61">
        <f>9.5642 * CHOOSE(CONTROL!$C$22, $C$13, 100%, $E$13)</f>
        <v>9.5641999999999996</v>
      </c>
      <c r="J263" s="61">
        <f>5.3842 * CHOOSE(CONTROL!$C$22, $C$13, 100%, $E$13)</f>
        <v>5.3841999999999999</v>
      </c>
      <c r="K263" s="61">
        <f>5.3858 * CHOOSE(CONTROL!$C$22, $C$13, 100%, $E$13)</f>
        <v>5.3857999999999997</v>
      </c>
    </row>
    <row r="264" spans="1:11" ht="15">
      <c r="A264" s="13">
        <v>49888</v>
      </c>
      <c r="B264" s="60">
        <f>4.6559 * CHOOSE(CONTROL!$C$22, $C$13, 100%, $E$13)</f>
        <v>4.6558999999999999</v>
      </c>
      <c r="C264" s="60">
        <f>4.6559 * CHOOSE(CONTROL!$C$22, $C$13, 100%, $E$13)</f>
        <v>4.6558999999999999</v>
      </c>
      <c r="D264" s="60">
        <f>4.681 * CHOOSE(CONTROL!$C$22, $C$13, 100%, $E$13)</f>
        <v>4.681</v>
      </c>
      <c r="E264" s="61">
        <f>5.3342 * CHOOSE(CONTROL!$C$22, $C$13, 100%, $E$13)</f>
        <v>5.3342000000000001</v>
      </c>
      <c r="F264" s="61">
        <f>5.3342 * CHOOSE(CONTROL!$C$22, $C$13, 100%, $E$13)</f>
        <v>5.3342000000000001</v>
      </c>
      <c r="G264" s="61">
        <f>5.3358 * CHOOSE(CONTROL!$C$22, $C$13, 100%, $E$13)</f>
        <v>5.3357999999999999</v>
      </c>
      <c r="H264" s="61">
        <f>9.5826* CHOOSE(CONTROL!$C$22, $C$13, 100%, $E$13)</f>
        <v>9.5825999999999993</v>
      </c>
      <c r="I264" s="61">
        <f>9.5842 * CHOOSE(CONTROL!$C$22, $C$13, 100%, $E$13)</f>
        <v>9.5841999999999992</v>
      </c>
      <c r="J264" s="61">
        <f>5.3342 * CHOOSE(CONTROL!$C$22, $C$13, 100%, $E$13)</f>
        <v>5.3342000000000001</v>
      </c>
      <c r="K264" s="61">
        <f>5.3358 * CHOOSE(CONTROL!$C$22, $C$13, 100%, $E$13)</f>
        <v>5.3357999999999999</v>
      </c>
    </row>
    <row r="265" spans="1:11" ht="15">
      <c r="A265" s="13">
        <v>49919</v>
      </c>
      <c r="B265" s="60">
        <f>4.6528 * CHOOSE(CONTROL!$C$22, $C$13, 100%, $E$13)</f>
        <v>4.6528</v>
      </c>
      <c r="C265" s="60">
        <f>4.6528 * CHOOSE(CONTROL!$C$22, $C$13, 100%, $E$13)</f>
        <v>4.6528</v>
      </c>
      <c r="D265" s="60">
        <f>4.6779 * CHOOSE(CONTROL!$C$22, $C$13, 100%, $E$13)</f>
        <v>4.6779000000000002</v>
      </c>
      <c r="E265" s="61">
        <f>5.326 * CHOOSE(CONTROL!$C$22, $C$13, 100%, $E$13)</f>
        <v>5.3259999999999996</v>
      </c>
      <c r="F265" s="61">
        <f>5.326 * CHOOSE(CONTROL!$C$22, $C$13, 100%, $E$13)</f>
        <v>5.3259999999999996</v>
      </c>
      <c r="G265" s="61">
        <f>5.3276 * CHOOSE(CONTROL!$C$22, $C$13, 100%, $E$13)</f>
        <v>5.3276000000000003</v>
      </c>
      <c r="H265" s="61">
        <f>9.6025* CHOOSE(CONTROL!$C$22, $C$13, 100%, $E$13)</f>
        <v>9.6024999999999991</v>
      </c>
      <c r="I265" s="61">
        <f>9.6041 * CHOOSE(CONTROL!$C$22, $C$13, 100%, $E$13)</f>
        <v>9.6041000000000007</v>
      </c>
      <c r="J265" s="61">
        <f>5.326 * CHOOSE(CONTROL!$C$22, $C$13, 100%, $E$13)</f>
        <v>5.3259999999999996</v>
      </c>
      <c r="K265" s="61">
        <f>5.3276 * CHOOSE(CONTROL!$C$22, $C$13, 100%, $E$13)</f>
        <v>5.3276000000000003</v>
      </c>
    </row>
    <row r="266" spans="1:11" ht="15">
      <c r="A266" s="13">
        <v>49949</v>
      </c>
      <c r="B266" s="60">
        <f>4.6503 * CHOOSE(CONTROL!$C$22, $C$13, 100%, $E$13)</f>
        <v>4.6502999999999997</v>
      </c>
      <c r="C266" s="60">
        <f>4.6503 * CHOOSE(CONTROL!$C$22, $C$13, 100%, $E$13)</f>
        <v>4.6502999999999997</v>
      </c>
      <c r="D266" s="60">
        <f>4.6628 * CHOOSE(CONTROL!$C$22, $C$13, 100%, $E$13)</f>
        <v>4.6627999999999998</v>
      </c>
      <c r="E266" s="61">
        <f>5.3369 * CHOOSE(CONTROL!$C$22, $C$13, 100%, $E$13)</f>
        <v>5.3369</v>
      </c>
      <c r="F266" s="61">
        <f>5.3369 * CHOOSE(CONTROL!$C$22, $C$13, 100%, $E$13)</f>
        <v>5.3369</v>
      </c>
      <c r="G266" s="61">
        <f>5.3371 * CHOOSE(CONTROL!$C$22, $C$13, 100%, $E$13)</f>
        <v>5.3371000000000004</v>
      </c>
      <c r="H266" s="61">
        <f>9.6225* CHOOSE(CONTROL!$C$22, $C$13, 100%, $E$13)</f>
        <v>9.6225000000000005</v>
      </c>
      <c r="I266" s="61">
        <f>9.6227 * CHOOSE(CONTROL!$C$22, $C$13, 100%, $E$13)</f>
        <v>9.6227</v>
      </c>
      <c r="J266" s="61">
        <f>5.3369 * CHOOSE(CONTROL!$C$22, $C$13, 100%, $E$13)</f>
        <v>5.3369</v>
      </c>
      <c r="K266" s="61">
        <f>5.3371 * CHOOSE(CONTROL!$C$22, $C$13, 100%, $E$13)</f>
        <v>5.3371000000000004</v>
      </c>
    </row>
    <row r="267" spans="1:11" ht="15">
      <c r="A267" s="13">
        <v>49980</v>
      </c>
      <c r="B267" s="60">
        <f>4.6533 * CHOOSE(CONTROL!$C$22, $C$13, 100%, $E$13)</f>
        <v>4.6532999999999998</v>
      </c>
      <c r="C267" s="60">
        <f>4.6533 * CHOOSE(CONTROL!$C$22, $C$13, 100%, $E$13)</f>
        <v>4.6532999999999998</v>
      </c>
      <c r="D267" s="60">
        <f>4.6659 * CHOOSE(CONTROL!$C$22, $C$13, 100%, $E$13)</f>
        <v>4.6658999999999997</v>
      </c>
      <c r="E267" s="61">
        <f>5.3512 * CHOOSE(CONTROL!$C$22, $C$13, 100%, $E$13)</f>
        <v>5.3512000000000004</v>
      </c>
      <c r="F267" s="61">
        <f>5.3512 * CHOOSE(CONTROL!$C$22, $C$13, 100%, $E$13)</f>
        <v>5.3512000000000004</v>
      </c>
      <c r="G267" s="61">
        <f>5.3513 * CHOOSE(CONTROL!$C$22, $C$13, 100%, $E$13)</f>
        <v>5.3513000000000002</v>
      </c>
      <c r="H267" s="61">
        <f>9.6426* CHOOSE(CONTROL!$C$22, $C$13, 100%, $E$13)</f>
        <v>9.6425999999999998</v>
      </c>
      <c r="I267" s="61">
        <f>9.6428 * CHOOSE(CONTROL!$C$22, $C$13, 100%, $E$13)</f>
        <v>9.6427999999999994</v>
      </c>
      <c r="J267" s="61">
        <f>5.3512 * CHOOSE(CONTROL!$C$22, $C$13, 100%, $E$13)</f>
        <v>5.3512000000000004</v>
      </c>
      <c r="K267" s="61">
        <f>5.3513 * CHOOSE(CONTROL!$C$22, $C$13, 100%, $E$13)</f>
        <v>5.3513000000000002</v>
      </c>
    </row>
    <row r="268" spans="1:11" ht="15">
      <c r="A268" s="13">
        <v>50010</v>
      </c>
      <c r="B268" s="60">
        <f>4.6533 * CHOOSE(CONTROL!$C$22, $C$13, 100%, $E$13)</f>
        <v>4.6532999999999998</v>
      </c>
      <c r="C268" s="60">
        <f>4.6533 * CHOOSE(CONTROL!$C$22, $C$13, 100%, $E$13)</f>
        <v>4.6532999999999998</v>
      </c>
      <c r="D268" s="60">
        <f>4.6659 * CHOOSE(CONTROL!$C$22, $C$13, 100%, $E$13)</f>
        <v>4.6658999999999997</v>
      </c>
      <c r="E268" s="61">
        <f>5.3208 * CHOOSE(CONTROL!$C$22, $C$13, 100%, $E$13)</f>
        <v>5.3208000000000002</v>
      </c>
      <c r="F268" s="61">
        <f>5.3208 * CHOOSE(CONTROL!$C$22, $C$13, 100%, $E$13)</f>
        <v>5.3208000000000002</v>
      </c>
      <c r="G268" s="61">
        <f>5.321 * CHOOSE(CONTROL!$C$22, $C$13, 100%, $E$13)</f>
        <v>5.3209999999999997</v>
      </c>
      <c r="H268" s="61">
        <f>9.6627* CHOOSE(CONTROL!$C$22, $C$13, 100%, $E$13)</f>
        <v>9.6626999999999992</v>
      </c>
      <c r="I268" s="61">
        <f>9.6628 * CHOOSE(CONTROL!$C$22, $C$13, 100%, $E$13)</f>
        <v>9.6628000000000007</v>
      </c>
      <c r="J268" s="61">
        <f>5.3208 * CHOOSE(CONTROL!$C$22, $C$13, 100%, $E$13)</f>
        <v>5.3208000000000002</v>
      </c>
      <c r="K268" s="61">
        <f>5.321 * CHOOSE(CONTROL!$C$22, $C$13, 100%, $E$13)</f>
        <v>5.3209999999999997</v>
      </c>
    </row>
    <row r="269" spans="1:11" ht="15">
      <c r="A269" s="13">
        <v>50041</v>
      </c>
      <c r="B269" s="60">
        <f>4.6966 * CHOOSE(CONTROL!$C$22, $C$13, 100%, $E$13)</f>
        <v>4.6966000000000001</v>
      </c>
      <c r="C269" s="60">
        <f>4.6966 * CHOOSE(CONTROL!$C$22, $C$13, 100%, $E$13)</f>
        <v>4.6966000000000001</v>
      </c>
      <c r="D269" s="60">
        <f>4.7092 * CHOOSE(CONTROL!$C$22, $C$13, 100%, $E$13)</f>
        <v>4.7092000000000001</v>
      </c>
      <c r="E269" s="61">
        <f>5.3901 * CHOOSE(CONTROL!$C$22, $C$13, 100%, $E$13)</f>
        <v>5.3901000000000003</v>
      </c>
      <c r="F269" s="61">
        <f>5.3901 * CHOOSE(CONTROL!$C$22, $C$13, 100%, $E$13)</f>
        <v>5.3901000000000003</v>
      </c>
      <c r="G269" s="61">
        <f>5.3903 * CHOOSE(CONTROL!$C$22, $C$13, 100%, $E$13)</f>
        <v>5.3902999999999999</v>
      </c>
      <c r="H269" s="61">
        <f>9.6828* CHOOSE(CONTROL!$C$22, $C$13, 100%, $E$13)</f>
        <v>9.6828000000000003</v>
      </c>
      <c r="I269" s="61">
        <f>9.683 * CHOOSE(CONTROL!$C$22, $C$13, 100%, $E$13)</f>
        <v>9.6829999999999998</v>
      </c>
      <c r="J269" s="61">
        <f>5.3901 * CHOOSE(CONTROL!$C$22, $C$13, 100%, $E$13)</f>
        <v>5.3901000000000003</v>
      </c>
      <c r="K269" s="61">
        <f>5.3903 * CHOOSE(CONTROL!$C$22, $C$13, 100%, $E$13)</f>
        <v>5.3902999999999999</v>
      </c>
    </row>
    <row r="270" spans="1:11" ht="15">
      <c r="A270" s="13">
        <v>50072</v>
      </c>
      <c r="B270" s="60">
        <f>4.6936 * CHOOSE(CONTROL!$C$22, $C$13, 100%, $E$13)</f>
        <v>4.6936</v>
      </c>
      <c r="C270" s="60">
        <f>4.6936 * CHOOSE(CONTROL!$C$22, $C$13, 100%, $E$13)</f>
        <v>4.6936</v>
      </c>
      <c r="D270" s="60">
        <f>4.7061 * CHOOSE(CONTROL!$C$22, $C$13, 100%, $E$13)</f>
        <v>4.7061000000000002</v>
      </c>
      <c r="E270" s="61">
        <f>5.3291 * CHOOSE(CONTROL!$C$22, $C$13, 100%, $E$13)</f>
        <v>5.3291000000000004</v>
      </c>
      <c r="F270" s="61">
        <f>5.3291 * CHOOSE(CONTROL!$C$22, $C$13, 100%, $E$13)</f>
        <v>5.3291000000000004</v>
      </c>
      <c r="G270" s="61">
        <f>5.3293 * CHOOSE(CONTROL!$C$22, $C$13, 100%, $E$13)</f>
        <v>5.3292999999999999</v>
      </c>
      <c r="H270" s="61">
        <f>9.703* CHOOSE(CONTROL!$C$22, $C$13, 100%, $E$13)</f>
        <v>9.7029999999999994</v>
      </c>
      <c r="I270" s="61">
        <f>9.7031 * CHOOSE(CONTROL!$C$22, $C$13, 100%, $E$13)</f>
        <v>9.7030999999999992</v>
      </c>
      <c r="J270" s="61">
        <f>5.3291 * CHOOSE(CONTROL!$C$22, $C$13, 100%, $E$13)</f>
        <v>5.3291000000000004</v>
      </c>
      <c r="K270" s="61">
        <f>5.3293 * CHOOSE(CONTROL!$C$22, $C$13, 100%, $E$13)</f>
        <v>5.3292999999999999</v>
      </c>
    </row>
    <row r="271" spans="1:11" ht="15">
      <c r="A271" s="13">
        <v>50100</v>
      </c>
      <c r="B271" s="60">
        <f>4.6905 * CHOOSE(CONTROL!$C$22, $C$13, 100%, $E$13)</f>
        <v>4.6905000000000001</v>
      </c>
      <c r="C271" s="60">
        <f>4.6905 * CHOOSE(CONTROL!$C$22, $C$13, 100%, $E$13)</f>
        <v>4.6905000000000001</v>
      </c>
      <c r="D271" s="60">
        <f>4.7031 * CHOOSE(CONTROL!$C$22, $C$13, 100%, $E$13)</f>
        <v>4.7031000000000001</v>
      </c>
      <c r="E271" s="61">
        <f>5.3734 * CHOOSE(CONTROL!$C$22, $C$13, 100%, $E$13)</f>
        <v>5.3734000000000002</v>
      </c>
      <c r="F271" s="61">
        <f>5.3734 * CHOOSE(CONTROL!$C$22, $C$13, 100%, $E$13)</f>
        <v>5.3734000000000002</v>
      </c>
      <c r="G271" s="61">
        <f>5.3736 * CHOOSE(CONTROL!$C$22, $C$13, 100%, $E$13)</f>
        <v>5.3735999999999997</v>
      </c>
      <c r="H271" s="61">
        <f>9.7232* CHOOSE(CONTROL!$C$22, $C$13, 100%, $E$13)</f>
        <v>9.7232000000000003</v>
      </c>
      <c r="I271" s="61">
        <f>9.7234 * CHOOSE(CONTROL!$C$22, $C$13, 100%, $E$13)</f>
        <v>9.7233999999999998</v>
      </c>
      <c r="J271" s="61">
        <f>5.3734 * CHOOSE(CONTROL!$C$22, $C$13, 100%, $E$13)</f>
        <v>5.3734000000000002</v>
      </c>
      <c r="K271" s="61">
        <f>5.3736 * CHOOSE(CONTROL!$C$22, $C$13, 100%, $E$13)</f>
        <v>5.3735999999999997</v>
      </c>
    </row>
    <row r="272" spans="1:11" ht="15">
      <c r="A272" s="13">
        <v>50131</v>
      </c>
      <c r="B272" s="60">
        <f>4.6888 * CHOOSE(CONTROL!$C$22, $C$13, 100%, $E$13)</f>
        <v>4.6887999999999996</v>
      </c>
      <c r="C272" s="60">
        <f>4.6888 * CHOOSE(CONTROL!$C$22, $C$13, 100%, $E$13)</f>
        <v>4.6887999999999996</v>
      </c>
      <c r="D272" s="60">
        <f>4.7014 * CHOOSE(CONTROL!$C$22, $C$13, 100%, $E$13)</f>
        <v>4.7013999999999996</v>
      </c>
      <c r="E272" s="61">
        <f>5.4191 * CHOOSE(CONTROL!$C$22, $C$13, 100%, $E$13)</f>
        <v>5.4191000000000003</v>
      </c>
      <c r="F272" s="61">
        <f>5.4191 * CHOOSE(CONTROL!$C$22, $C$13, 100%, $E$13)</f>
        <v>5.4191000000000003</v>
      </c>
      <c r="G272" s="61">
        <f>5.4192 * CHOOSE(CONTROL!$C$22, $C$13, 100%, $E$13)</f>
        <v>5.4192</v>
      </c>
      <c r="H272" s="61">
        <f>9.7434* CHOOSE(CONTROL!$C$22, $C$13, 100%, $E$13)</f>
        <v>9.7433999999999994</v>
      </c>
      <c r="I272" s="61">
        <f>9.7436 * CHOOSE(CONTROL!$C$22, $C$13, 100%, $E$13)</f>
        <v>9.7436000000000007</v>
      </c>
      <c r="J272" s="61">
        <f>5.4191 * CHOOSE(CONTROL!$C$22, $C$13, 100%, $E$13)</f>
        <v>5.4191000000000003</v>
      </c>
      <c r="K272" s="61">
        <f>5.4192 * CHOOSE(CONTROL!$C$22, $C$13, 100%, $E$13)</f>
        <v>5.4192</v>
      </c>
    </row>
    <row r="273" spans="1:11" ht="15">
      <c r="A273" s="13">
        <v>50161</v>
      </c>
      <c r="B273" s="60">
        <f>4.6888 * CHOOSE(CONTROL!$C$22, $C$13, 100%, $E$13)</f>
        <v>4.6887999999999996</v>
      </c>
      <c r="C273" s="60">
        <f>4.6888 * CHOOSE(CONTROL!$C$22, $C$13, 100%, $E$13)</f>
        <v>4.6887999999999996</v>
      </c>
      <c r="D273" s="60">
        <f>4.7139 * CHOOSE(CONTROL!$C$22, $C$13, 100%, $E$13)</f>
        <v>4.7138999999999998</v>
      </c>
      <c r="E273" s="61">
        <f>5.4378 * CHOOSE(CONTROL!$C$22, $C$13, 100%, $E$13)</f>
        <v>5.4378000000000002</v>
      </c>
      <c r="F273" s="61">
        <f>5.4378 * CHOOSE(CONTROL!$C$22, $C$13, 100%, $E$13)</f>
        <v>5.4378000000000002</v>
      </c>
      <c r="G273" s="61">
        <f>5.4394 * CHOOSE(CONTROL!$C$22, $C$13, 100%, $E$13)</f>
        <v>5.4394</v>
      </c>
      <c r="H273" s="61">
        <f>9.7637* CHOOSE(CONTROL!$C$22, $C$13, 100%, $E$13)</f>
        <v>9.7637</v>
      </c>
      <c r="I273" s="61">
        <f>9.7653 * CHOOSE(CONTROL!$C$22, $C$13, 100%, $E$13)</f>
        <v>9.7652999999999999</v>
      </c>
      <c r="J273" s="61">
        <f>5.4378 * CHOOSE(CONTROL!$C$22, $C$13, 100%, $E$13)</f>
        <v>5.4378000000000002</v>
      </c>
      <c r="K273" s="61">
        <f>5.4394 * CHOOSE(CONTROL!$C$22, $C$13, 100%, $E$13)</f>
        <v>5.4394</v>
      </c>
    </row>
    <row r="274" spans="1:11" ht="15">
      <c r="A274" s="13">
        <v>50192</v>
      </c>
      <c r="B274" s="60">
        <f>4.6949 * CHOOSE(CONTROL!$C$22, $C$13, 100%, $E$13)</f>
        <v>4.6948999999999996</v>
      </c>
      <c r="C274" s="60">
        <f>4.6949 * CHOOSE(CONTROL!$C$22, $C$13, 100%, $E$13)</f>
        <v>4.6948999999999996</v>
      </c>
      <c r="D274" s="60">
        <f>4.72 * CHOOSE(CONTROL!$C$22, $C$13, 100%, $E$13)</f>
        <v>4.72</v>
      </c>
      <c r="E274" s="61">
        <f>5.4233 * CHOOSE(CONTROL!$C$22, $C$13, 100%, $E$13)</f>
        <v>5.4233000000000002</v>
      </c>
      <c r="F274" s="61">
        <f>5.4233 * CHOOSE(CONTROL!$C$22, $C$13, 100%, $E$13)</f>
        <v>5.4233000000000002</v>
      </c>
      <c r="G274" s="61">
        <f>5.4249 * CHOOSE(CONTROL!$C$22, $C$13, 100%, $E$13)</f>
        <v>5.4249000000000001</v>
      </c>
      <c r="H274" s="61">
        <f>9.7841* CHOOSE(CONTROL!$C$22, $C$13, 100%, $E$13)</f>
        <v>9.7841000000000005</v>
      </c>
      <c r="I274" s="61">
        <f>9.7857 * CHOOSE(CONTROL!$C$22, $C$13, 100%, $E$13)</f>
        <v>9.7857000000000003</v>
      </c>
      <c r="J274" s="61">
        <f>5.4233 * CHOOSE(CONTROL!$C$22, $C$13, 100%, $E$13)</f>
        <v>5.4233000000000002</v>
      </c>
      <c r="K274" s="61">
        <f>5.4249 * CHOOSE(CONTROL!$C$22, $C$13, 100%, $E$13)</f>
        <v>5.4249000000000001</v>
      </c>
    </row>
    <row r="275" spans="1:11" ht="15">
      <c r="A275" s="13">
        <v>50222</v>
      </c>
      <c r="B275" s="60">
        <f>4.7758 * CHOOSE(CONTROL!$C$22, $C$13, 100%, $E$13)</f>
        <v>4.7758000000000003</v>
      </c>
      <c r="C275" s="60">
        <f>4.7758 * CHOOSE(CONTROL!$C$22, $C$13, 100%, $E$13)</f>
        <v>4.7758000000000003</v>
      </c>
      <c r="D275" s="60">
        <f>4.8009 * CHOOSE(CONTROL!$C$22, $C$13, 100%, $E$13)</f>
        <v>4.8009000000000004</v>
      </c>
      <c r="E275" s="61">
        <f>5.5312 * CHOOSE(CONTROL!$C$22, $C$13, 100%, $E$13)</f>
        <v>5.5312000000000001</v>
      </c>
      <c r="F275" s="61">
        <f>5.5312 * CHOOSE(CONTROL!$C$22, $C$13, 100%, $E$13)</f>
        <v>5.5312000000000001</v>
      </c>
      <c r="G275" s="61">
        <f>5.5328 * CHOOSE(CONTROL!$C$22, $C$13, 100%, $E$13)</f>
        <v>5.5327999999999999</v>
      </c>
      <c r="H275" s="61">
        <f>9.8045* CHOOSE(CONTROL!$C$22, $C$13, 100%, $E$13)</f>
        <v>9.8045000000000009</v>
      </c>
      <c r="I275" s="61">
        <f>9.8061 * CHOOSE(CONTROL!$C$22, $C$13, 100%, $E$13)</f>
        <v>9.8061000000000007</v>
      </c>
      <c r="J275" s="61">
        <f>5.5312 * CHOOSE(CONTROL!$C$22, $C$13, 100%, $E$13)</f>
        <v>5.5312000000000001</v>
      </c>
      <c r="K275" s="61">
        <f>5.5328 * CHOOSE(CONTROL!$C$22, $C$13, 100%, $E$13)</f>
        <v>5.5327999999999999</v>
      </c>
    </row>
    <row r="276" spans="1:11" ht="15">
      <c r="A276" s="13">
        <v>50253</v>
      </c>
      <c r="B276" s="60">
        <f>4.7825 * CHOOSE(CONTROL!$C$22, $C$13, 100%, $E$13)</f>
        <v>4.7824999999999998</v>
      </c>
      <c r="C276" s="60">
        <f>4.7825 * CHOOSE(CONTROL!$C$22, $C$13, 100%, $E$13)</f>
        <v>4.7824999999999998</v>
      </c>
      <c r="D276" s="60">
        <f>4.8076 * CHOOSE(CONTROL!$C$22, $C$13, 100%, $E$13)</f>
        <v>4.8075999999999999</v>
      </c>
      <c r="E276" s="61">
        <f>5.4797 * CHOOSE(CONTROL!$C$22, $C$13, 100%, $E$13)</f>
        <v>5.4797000000000002</v>
      </c>
      <c r="F276" s="61">
        <f>5.4797 * CHOOSE(CONTROL!$C$22, $C$13, 100%, $E$13)</f>
        <v>5.4797000000000002</v>
      </c>
      <c r="G276" s="61">
        <f>5.4813 * CHOOSE(CONTROL!$C$22, $C$13, 100%, $E$13)</f>
        <v>5.4813000000000001</v>
      </c>
      <c r="H276" s="61">
        <f>9.8249* CHOOSE(CONTROL!$C$22, $C$13, 100%, $E$13)</f>
        <v>9.8248999999999995</v>
      </c>
      <c r="I276" s="61">
        <f>9.8265 * CHOOSE(CONTROL!$C$22, $C$13, 100%, $E$13)</f>
        <v>9.8264999999999993</v>
      </c>
      <c r="J276" s="61">
        <f>5.4797 * CHOOSE(CONTROL!$C$22, $C$13, 100%, $E$13)</f>
        <v>5.4797000000000002</v>
      </c>
      <c r="K276" s="61">
        <f>5.4813 * CHOOSE(CONTROL!$C$22, $C$13, 100%, $E$13)</f>
        <v>5.4813000000000001</v>
      </c>
    </row>
    <row r="277" spans="1:11" ht="15">
      <c r="A277" s="13">
        <v>50284</v>
      </c>
      <c r="B277" s="60">
        <f>4.7794 * CHOOSE(CONTROL!$C$22, $C$13, 100%, $E$13)</f>
        <v>4.7793999999999999</v>
      </c>
      <c r="C277" s="60">
        <f>4.7794 * CHOOSE(CONTROL!$C$22, $C$13, 100%, $E$13)</f>
        <v>4.7793999999999999</v>
      </c>
      <c r="D277" s="60">
        <f>4.8045 * CHOOSE(CONTROL!$C$22, $C$13, 100%, $E$13)</f>
        <v>4.8045</v>
      </c>
      <c r="E277" s="61">
        <f>5.4714 * CHOOSE(CONTROL!$C$22, $C$13, 100%, $E$13)</f>
        <v>5.4714</v>
      </c>
      <c r="F277" s="61">
        <f>5.4714 * CHOOSE(CONTROL!$C$22, $C$13, 100%, $E$13)</f>
        <v>5.4714</v>
      </c>
      <c r="G277" s="61">
        <f>5.473 * CHOOSE(CONTROL!$C$22, $C$13, 100%, $E$13)</f>
        <v>5.4729999999999999</v>
      </c>
      <c r="H277" s="61">
        <f>9.8454* CHOOSE(CONTROL!$C$22, $C$13, 100%, $E$13)</f>
        <v>9.8453999999999997</v>
      </c>
      <c r="I277" s="61">
        <f>9.847 * CHOOSE(CONTROL!$C$22, $C$13, 100%, $E$13)</f>
        <v>9.8469999999999995</v>
      </c>
      <c r="J277" s="61">
        <f>5.4714 * CHOOSE(CONTROL!$C$22, $C$13, 100%, $E$13)</f>
        <v>5.4714</v>
      </c>
      <c r="K277" s="61">
        <f>5.473 * CHOOSE(CONTROL!$C$22, $C$13, 100%, $E$13)</f>
        <v>5.4729999999999999</v>
      </c>
    </row>
    <row r="278" spans="1:11" ht="15">
      <c r="A278" s="13">
        <v>50314</v>
      </c>
      <c r="B278" s="60">
        <f>4.7773 * CHOOSE(CONTROL!$C$22, $C$13, 100%, $E$13)</f>
        <v>4.7773000000000003</v>
      </c>
      <c r="C278" s="60">
        <f>4.7773 * CHOOSE(CONTROL!$C$22, $C$13, 100%, $E$13)</f>
        <v>4.7773000000000003</v>
      </c>
      <c r="D278" s="60">
        <f>4.7899 * CHOOSE(CONTROL!$C$22, $C$13, 100%, $E$13)</f>
        <v>4.7899000000000003</v>
      </c>
      <c r="E278" s="61">
        <f>5.4829 * CHOOSE(CONTROL!$C$22, $C$13, 100%, $E$13)</f>
        <v>5.4828999999999999</v>
      </c>
      <c r="F278" s="61">
        <f>5.4829 * CHOOSE(CONTROL!$C$22, $C$13, 100%, $E$13)</f>
        <v>5.4828999999999999</v>
      </c>
      <c r="G278" s="61">
        <f>5.4831 * CHOOSE(CONTROL!$C$22, $C$13, 100%, $E$13)</f>
        <v>5.4831000000000003</v>
      </c>
      <c r="H278" s="61">
        <f>9.8659* CHOOSE(CONTROL!$C$22, $C$13, 100%, $E$13)</f>
        <v>9.8658999999999999</v>
      </c>
      <c r="I278" s="61">
        <f>9.866 * CHOOSE(CONTROL!$C$22, $C$13, 100%, $E$13)</f>
        <v>9.8659999999999997</v>
      </c>
      <c r="J278" s="61">
        <f>5.4829 * CHOOSE(CONTROL!$C$22, $C$13, 100%, $E$13)</f>
        <v>5.4828999999999999</v>
      </c>
      <c r="K278" s="61">
        <f>5.4831 * CHOOSE(CONTROL!$C$22, $C$13, 100%, $E$13)</f>
        <v>5.4831000000000003</v>
      </c>
    </row>
    <row r="279" spans="1:11" ht="15">
      <c r="A279" s="13">
        <v>50345</v>
      </c>
      <c r="B279" s="60">
        <f>4.7804 * CHOOSE(CONTROL!$C$22, $C$13, 100%, $E$13)</f>
        <v>4.7804000000000002</v>
      </c>
      <c r="C279" s="60">
        <f>4.7804 * CHOOSE(CONTROL!$C$22, $C$13, 100%, $E$13)</f>
        <v>4.7804000000000002</v>
      </c>
      <c r="D279" s="60">
        <f>4.7929 * CHOOSE(CONTROL!$C$22, $C$13, 100%, $E$13)</f>
        <v>4.7929000000000004</v>
      </c>
      <c r="E279" s="61">
        <f>5.4975 * CHOOSE(CONTROL!$C$22, $C$13, 100%, $E$13)</f>
        <v>5.4974999999999996</v>
      </c>
      <c r="F279" s="61">
        <f>5.4975 * CHOOSE(CONTROL!$C$22, $C$13, 100%, $E$13)</f>
        <v>5.4974999999999996</v>
      </c>
      <c r="G279" s="61">
        <f>5.4977 * CHOOSE(CONTROL!$C$22, $C$13, 100%, $E$13)</f>
        <v>5.4977</v>
      </c>
      <c r="H279" s="61">
        <f>9.8864* CHOOSE(CONTROL!$C$22, $C$13, 100%, $E$13)</f>
        <v>9.8864000000000001</v>
      </c>
      <c r="I279" s="61">
        <f>9.8866 * CHOOSE(CONTROL!$C$22, $C$13, 100%, $E$13)</f>
        <v>9.8865999999999996</v>
      </c>
      <c r="J279" s="61">
        <f>5.4975 * CHOOSE(CONTROL!$C$22, $C$13, 100%, $E$13)</f>
        <v>5.4974999999999996</v>
      </c>
      <c r="K279" s="61">
        <f>5.4977 * CHOOSE(CONTROL!$C$22, $C$13, 100%, $E$13)</f>
        <v>5.4977</v>
      </c>
    </row>
    <row r="280" spans="1:11" ht="15">
      <c r="A280" s="13">
        <v>50375</v>
      </c>
      <c r="B280" s="60">
        <f>4.7804 * CHOOSE(CONTROL!$C$22, $C$13, 100%, $E$13)</f>
        <v>4.7804000000000002</v>
      </c>
      <c r="C280" s="60">
        <f>4.7804 * CHOOSE(CONTROL!$C$22, $C$13, 100%, $E$13)</f>
        <v>4.7804000000000002</v>
      </c>
      <c r="D280" s="60">
        <f>4.7929 * CHOOSE(CONTROL!$C$22, $C$13, 100%, $E$13)</f>
        <v>4.7929000000000004</v>
      </c>
      <c r="E280" s="61">
        <f>5.4663 * CHOOSE(CONTROL!$C$22, $C$13, 100%, $E$13)</f>
        <v>5.4663000000000004</v>
      </c>
      <c r="F280" s="61">
        <f>5.4663 * CHOOSE(CONTROL!$C$22, $C$13, 100%, $E$13)</f>
        <v>5.4663000000000004</v>
      </c>
      <c r="G280" s="61">
        <f>5.4665 * CHOOSE(CONTROL!$C$22, $C$13, 100%, $E$13)</f>
        <v>5.4664999999999999</v>
      </c>
      <c r="H280" s="61">
        <f>9.907* CHOOSE(CONTROL!$C$22, $C$13, 100%, $E$13)</f>
        <v>9.907</v>
      </c>
      <c r="I280" s="61">
        <f>9.9072 * CHOOSE(CONTROL!$C$22, $C$13, 100%, $E$13)</f>
        <v>9.9071999999999996</v>
      </c>
      <c r="J280" s="61">
        <f>5.4663 * CHOOSE(CONTROL!$C$22, $C$13, 100%, $E$13)</f>
        <v>5.4663000000000004</v>
      </c>
      <c r="K280" s="61">
        <f>5.4665 * CHOOSE(CONTROL!$C$22, $C$13, 100%, $E$13)</f>
        <v>5.4664999999999999</v>
      </c>
    </row>
    <row r="281" spans="1:11" ht="15">
      <c r="A281" s="13">
        <v>50406</v>
      </c>
      <c r="B281" s="60">
        <f>4.8249 * CHOOSE(CONTROL!$C$22, $C$13, 100%, $E$13)</f>
        <v>4.8249000000000004</v>
      </c>
      <c r="C281" s="60">
        <f>4.8249 * CHOOSE(CONTROL!$C$22, $C$13, 100%, $E$13)</f>
        <v>4.8249000000000004</v>
      </c>
      <c r="D281" s="60">
        <f>4.8374 * CHOOSE(CONTROL!$C$22, $C$13, 100%, $E$13)</f>
        <v>4.8373999999999997</v>
      </c>
      <c r="E281" s="61">
        <f>5.5383 * CHOOSE(CONTROL!$C$22, $C$13, 100%, $E$13)</f>
        <v>5.5382999999999996</v>
      </c>
      <c r="F281" s="61">
        <f>5.5383 * CHOOSE(CONTROL!$C$22, $C$13, 100%, $E$13)</f>
        <v>5.5382999999999996</v>
      </c>
      <c r="G281" s="61">
        <f>5.5385 * CHOOSE(CONTROL!$C$22, $C$13, 100%, $E$13)</f>
        <v>5.5385</v>
      </c>
      <c r="H281" s="61">
        <f>9.9277* CHOOSE(CONTROL!$C$22, $C$13, 100%, $E$13)</f>
        <v>9.9276999999999997</v>
      </c>
      <c r="I281" s="61">
        <f>9.9278 * CHOOSE(CONTROL!$C$22, $C$13, 100%, $E$13)</f>
        <v>9.9277999999999995</v>
      </c>
      <c r="J281" s="61">
        <f>5.5383 * CHOOSE(CONTROL!$C$22, $C$13, 100%, $E$13)</f>
        <v>5.5382999999999996</v>
      </c>
      <c r="K281" s="61">
        <f>5.5385 * CHOOSE(CONTROL!$C$22, $C$13, 100%, $E$13)</f>
        <v>5.5385</v>
      </c>
    </row>
    <row r="282" spans="1:11" ht="15">
      <c r="A282" s="13">
        <v>50437</v>
      </c>
      <c r="B282" s="60">
        <f>4.8219 * CHOOSE(CONTROL!$C$22, $C$13, 100%, $E$13)</f>
        <v>4.8219000000000003</v>
      </c>
      <c r="C282" s="60">
        <f>4.8219 * CHOOSE(CONTROL!$C$22, $C$13, 100%, $E$13)</f>
        <v>4.8219000000000003</v>
      </c>
      <c r="D282" s="60">
        <f>4.8344 * CHOOSE(CONTROL!$C$22, $C$13, 100%, $E$13)</f>
        <v>4.8343999999999996</v>
      </c>
      <c r="E282" s="61">
        <f>5.4757 * CHOOSE(CONTROL!$C$22, $C$13, 100%, $E$13)</f>
        <v>5.4756999999999998</v>
      </c>
      <c r="F282" s="61">
        <f>5.4757 * CHOOSE(CONTROL!$C$22, $C$13, 100%, $E$13)</f>
        <v>5.4756999999999998</v>
      </c>
      <c r="G282" s="61">
        <f>5.4759 * CHOOSE(CONTROL!$C$22, $C$13, 100%, $E$13)</f>
        <v>5.4759000000000002</v>
      </c>
      <c r="H282" s="61">
        <f>9.9483* CHOOSE(CONTROL!$C$22, $C$13, 100%, $E$13)</f>
        <v>9.9482999999999997</v>
      </c>
      <c r="I282" s="61">
        <f>9.9485 * CHOOSE(CONTROL!$C$22, $C$13, 100%, $E$13)</f>
        <v>9.9484999999999992</v>
      </c>
      <c r="J282" s="61">
        <f>5.4757 * CHOOSE(CONTROL!$C$22, $C$13, 100%, $E$13)</f>
        <v>5.4756999999999998</v>
      </c>
      <c r="K282" s="61">
        <f>5.4759 * CHOOSE(CONTROL!$C$22, $C$13, 100%, $E$13)</f>
        <v>5.4759000000000002</v>
      </c>
    </row>
    <row r="283" spans="1:11" ht="15">
      <c r="A283" s="13">
        <v>50465</v>
      </c>
      <c r="B283" s="60">
        <f>4.8188 * CHOOSE(CONTROL!$C$22, $C$13, 100%, $E$13)</f>
        <v>4.8188000000000004</v>
      </c>
      <c r="C283" s="60">
        <f>4.8188 * CHOOSE(CONTROL!$C$22, $C$13, 100%, $E$13)</f>
        <v>4.8188000000000004</v>
      </c>
      <c r="D283" s="60">
        <f>4.8314 * CHOOSE(CONTROL!$C$22, $C$13, 100%, $E$13)</f>
        <v>4.8314000000000004</v>
      </c>
      <c r="E283" s="61">
        <f>5.5212 * CHOOSE(CONTROL!$C$22, $C$13, 100%, $E$13)</f>
        <v>5.5212000000000003</v>
      </c>
      <c r="F283" s="61">
        <f>5.5212 * CHOOSE(CONTROL!$C$22, $C$13, 100%, $E$13)</f>
        <v>5.5212000000000003</v>
      </c>
      <c r="G283" s="61">
        <f>5.5214 * CHOOSE(CONTROL!$C$22, $C$13, 100%, $E$13)</f>
        <v>5.5213999999999999</v>
      </c>
      <c r="H283" s="61">
        <f>9.9691* CHOOSE(CONTROL!$C$22, $C$13, 100%, $E$13)</f>
        <v>9.9690999999999992</v>
      </c>
      <c r="I283" s="61">
        <f>9.9692 * CHOOSE(CONTROL!$C$22, $C$13, 100%, $E$13)</f>
        <v>9.9692000000000007</v>
      </c>
      <c r="J283" s="61">
        <f>5.5212 * CHOOSE(CONTROL!$C$22, $C$13, 100%, $E$13)</f>
        <v>5.5212000000000003</v>
      </c>
      <c r="K283" s="61">
        <f>5.5214 * CHOOSE(CONTROL!$C$22, $C$13, 100%, $E$13)</f>
        <v>5.5213999999999999</v>
      </c>
    </row>
    <row r="284" spans="1:11" ht="15">
      <c r="A284" s="13">
        <v>50496</v>
      </c>
      <c r="B284" s="60">
        <f>4.8172 * CHOOSE(CONTROL!$C$22, $C$13, 100%, $E$13)</f>
        <v>4.8171999999999997</v>
      </c>
      <c r="C284" s="60">
        <f>4.8172 * CHOOSE(CONTROL!$C$22, $C$13, 100%, $E$13)</f>
        <v>4.8171999999999997</v>
      </c>
      <c r="D284" s="60">
        <f>4.8298 * CHOOSE(CONTROL!$C$22, $C$13, 100%, $E$13)</f>
        <v>4.8297999999999996</v>
      </c>
      <c r="E284" s="61">
        <f>5.5682 * CHOOSE(CONTROL!$C$22, $C$13, 100%, $E$13)</f>
        <v>5.5682</v>
      </c>
      <c r="F284" s="61">
        <f>5.5682 * CHOOSE(CONTROL!$C$22, $C$13, 100%, $E$13)</f>
        <v>5.5682</v>
      </c>
      <c r="G284" s="61">
        <f>5.5684 * CHOOSE(CONTROL!$C$22, $C$13, 100%, $E$13)</f>
        <v>5.5683999999999996</v>
      </c>
      <c r="H284" s="61">
        <f>9.9898* CHOOSE(CONTROL!$C$22, $C$13, 100%, $E$13)</f>
        <v>9.9898000000000007</v>
      </c>
      <c r="I284" s="61">
        <f>9.99 * CHOOSE(CONTROL!$C$22, $C$13, 100%, $E$13)</f>
        <v>9.99</v>
      </c>
      <c r="J284" s="61">
        <f>5.5682 * CHOOSE(CONTROL!$C$22, $C$13, 100%, $E$13)</f>
        <v>5.5682</v>
      </c>
      <c r="K284" s="61">
        <f>5.5684 * CHOOSE(CONTROL!$C$22, $C$13, 100%, $E$13)</f>
        <v>5.5683999999999996</v>
      </c>
    </row>
    <row r="285" spans="1:11" ht="15">
      <c r="A285" s="13">
        <v>50526</v>
      </c>
      <c r="B285" s="60">
        <f>4.8172 * CHOOSE(CONTROL!$C$22, $C$13, 100%, $E$13)</f>
        <v>4.8171999999999997</v>
      </c>
      <c r="C285" s="60">
        <f>4.8172 * CHOOSE(CONTROL!$C$22, $C$13, 100%, $E$13)</f>
        <v>4.8171999999999997</v>
      </c>
      <c r="D285" s="60">
        <f>4.8423 * CHOOSE(CONTROL!$C$22, $C$13, 100%, $E$13)</f>
        <v>4.8422999999999998</v>
      </c>
      <c r="E285" s="61">
        <f>5.5874 * CHOOSE(CONTROL!$C$22, $C$13, 100%, $E$13)</f>
        <v>5.5873999999999997</v>
      </c>
      <c r="F285" s="61">
        <f>5.5874 * CHOOSE(CONTROL!$C$22, $C$13, 100%, $E$13)</f>
        <v>5.5873999999999997</v>
      </c>
      <c r="G285" s="61">
        <f>5.589 * CHOOSE(CONTROL!$C$22, $C$13, 100%, $E$13)</f>
        <v>5.5890000000000004</v>
      </c>
      <c r="H285" s="61">
        <f>10.0107* CHOOSE(CONTROL!$C$22, $C$13, 100%, $E$13)</f>
        <v>10.0107</v>
      </c>
      <c r="I285" s="61">
        <f>10.0123 * CHOOSE(CONTROL!$C$22, $C$13, 100%, $E$13)</f>
        <v>10.0123</v>
      </c>
      <c r="J285" s="61">
        <f>5.5874 * CHOOSE(CONTROL!$C$22, $C$13, 100%, $E$13)</f>
        <v>5.5873999999999997</v>
      </c>
      <c r="K285" s="61">
        <f>5.589 * CHOOSE(CONTROL!$C$22, $C$13, 100%, $E$13)</f>
        <v>5.5890000000000004</v>
      </c>
    </row>
    <row r="286" spans="1:11" ht="15">
      <c r="A286" s="13">
        <v>50557</v>
      </c>
      <c r="B286" s="60">
        <f>4.8233 * CHOOSE(CONTROL!$C$22, $C$13, 100%, $E$13)</f>
        <v>4.8232999999999997</v>
      </c>
      <c r="C286" s="60">
        <f>4.8233 * CHOOSE(CONTROL!$C$22, $C$13, 100%, $E$13)</f>
        <v>4.8232999999999997</v>
      </c>
      <c r="D286" s="60">
        <f>4.8484 * CHOOSE(CONTROL!$C$22, $C$13, 100%, $E$13)</f>
        <v>4.8483999999999998</v>
      </c>
      <c r="E286" s="61">
        <f>5.5724 * CHOOSE(CONTROL!$C$22, $C$13, 100%, $E$13)</f>
        <v>5.5724</v>
      </c>
      <c r="F286" s="61">
        <f>5.5724 * CHOOSE(CONTROL!$C$22, $C$13, 100%, $E$13)</f>
        <v>5.5724</v>
      </c>
      <c r="G286" s="61">
        <f>5.574 * CHOOSE(CONTROL!$C$22, $C$13, 100%, $E$13)</f>
        <v>5.5739999999999998</v>
      </c>
      <c r="H286" s="61">
        <f>10.0315* CHOOSE(CONTROL!$C$22, $C$13, 100%, $E$13)</f>
        <v>10.031499999999999</v>
      </c>
      <c r="I286" s="61">
        <f>10.0331 * CHOOSE(CONTROL!$C$22, $C$13, 100%, $E$13)</f>
        <v>10.033099999999999</v>
      </c>
      <c r="J286" s="61">
        <f>5.5724 * CHOOSE(CONTROL!$C$22, $C$13, 100%, $E$13)</f>
        <v>5.5724</v>
      </c>
      <c r="K286" s="61">
        <f>5.574 * CHOOSE(CONTROL!$C$22, $C$13, 100%, $E$13)</f>
        <v>5.5739999999999998</v>
      </c>
    </row>
    <row r="287" spans="1:11" ht="15">
      <c r="A287" s="13">
        <v>50587</v>
      </c>
      <c r="B287" s="60">
        <f>4.9066 * CHOOSE(CONTROL!$C$22, $C$13, 100%, $E$13)</f>
        <v>4.9066000000000001</v>
      </c>
      <c r="C287" s="60">
        <f>4.9066 * CHOOSE(CONTROL!$C$22, $C$13, 100%, $E$13)</f>
        <v>4.9066000000000001</v>
      </c>
      <c r="D287" s="60">
        <f>4.9317 * CHOOSE(CONTROL!$C$22, $C$13, 100%, $E$13)</f>
        <v>4.9317000000000002</v>
      </c>
      <c r="E287" s="61">
        <f>5.6862 * CHOOSE(CONTROL!$C$22, $C$13, 100%, $E$13)</f>
        <v>5.6862000000000004</v>
      </c>
      <c r="F287" s="61">
        <f>5.6862 * CHOOSE(CONTROL!$C$22, $C$13, 100%, $E$13)</f>
        <v>5.6862000000000004</v>
      </c>
      <c r="G287" s="61">
        <f>5.6878 * CHOOSE(CONTROL!$C$22, $C$13, 100%, $E$13)</f>
        <v>5.6878000000000002</v>
      </c>
      <c r="H287" s="61">
        <f>10.0524* CHOOSE(CONTROL!$C$22, $C$13, 100%, $E$13)</f>
        <v>10.0524</v>
      </c>
      <c r="I287" s="61">
        <f>10.054 * CHOOSE(CONTROL!$C$22, $C$13, 100%, $E$13)</f>
        <v>10.054</v>
      </c>
      <c r="J287" s="61">
        <f>5.6862 * CHOOSE(CONTROL!$C$22, $C$13, 100%, $E$13)</f>
        <v>5.6862000000000004</v>
      </c>
      <c r="K287" s="61">
        <f>5.6878 * CHOOSE(CONTROL!$C$22, $C$13, 100%, $E$13)</f>
        <v>5.6878000000000002</v>
      </c>
    </row>
    <row r="288" spans="1:11" ht="15">
      <c r="A288" s="13">
        <v>50618</v>
      </c>
      <c r="B288" s="60">
        <f>4.9133 * CHOOSE(CONTROL!$C$22, $C$13, 100%, $E$13)</f>
        <v>4.9132999999999996</v>
      </c>
      <c r="C288" s="60">
        <f>4.9133 * CHOOSE(CONTROL!$C$22, $C$13, 100%, $E$13)</f>
        <v>4.9132999999999996</v>
      </c>
      <c r="D288" s="60">
        <f>4.9384 * CHOOSE(CONTROL!$C$22, $C$13, 100%, $E$13)</f>
        <v>4.9383999999999997</v>
      </c>
      <c r="E288" s="61">
        <f>5.6332 * CHOOSE(CONTROL!$C$22, $C$13, 100%, $E$13)</f>
        <v>5.6332000000000004</v>
      </c>
      <c r="F288" s="61">
        <f>5.6332 * CHOOSE(CONTROL!$C$22, $C$13, 100%, $E$13)</f>
        <v>5.6332000000000004</v>
      </c>
      <c r="G288" s="61">
        <f>5.6348 * CHOOSE(CONTROL!$C$22, $C$13, 100%, $E$13)</f>
        <v>5.6348000000000003</v>
      </c>
      <c r="H288" s="61">
        <f>10.0733* CHOOSE(CONTROL!$C$22, $C$13, 100%, $E$13)</f>
        <v>10.0733</v>
      </c>
      <c r="I288" s="61">
        <f>10.0749 * CHOOSE(CONTROL!$C$22, $C$13, 100%, $E$13)</f>
        <v>10.0749</v>
      </c>
      <c r="J288" s="61">
        <f>5.6332 * CHOOSE(CONTROL!$C$22, $C$13, 100%, $E$13)</f>
        <v>5.6332000000000004</v>
      </c>
      <c r="K288" s="61">
        <f>5.6348 * CHOOSE(CONTROL!$C$22, $C$13, 100%, $E$13)</f>
        <v>5.6348000000000003</v>
      </c>
    </row>
    <row r="289" spans="1:11" ht="15">
      <c r="A289" s="13">
        <v>50649</v>
      </c>
      <c r="B289" s="60">
        <f>4.9102 * CHOOSE(CONTROL!$C$22, $C$13, 100%, $E$13)</f>
        <v>4.9101999999999997</v>
      </c>
      <c r="C289" s="60">
        <f>4.9102 * CHOOSE(CONTROL!$C$22, $C$13, 100%, $E$13)</f>
        <v>4.9101999999999997</v>
      </c>
      <c r="D289" s="60">
        <f>4.9353 * CHOOSE(CONTROL!$C$22, $C$13, 100%, $E$13)</f>
        <v>4.9352999999999998</v>
      </c>
      <c r="E289" s="61">
        <f>5.6247 * CHOOSE(CONTROL!$C$22, $C$13, 100%, $E$13)</f>
        <v>5.6246999999999998</v>
      </c>
      <c r="F289" s="61">
        <f>5.6247 * CHOOSE(CONTROL!$C$22, $C$13, 100%, $E$13)</f>
        <v>5.6246999999999998</v>
      </c>
      <c r="G289" s="61">
        <f>5.6263 * CHOOSE(CONTROL!$C$22, $C$13, 100%, $E$13)</f>
        <v>5.6262999999999996</v>
      </c>
      <c r="H289" s="61">
        <f>10.0943* CHOOSE(CONTROL!$C$22, $C$13, 100%, $E$13)</f>
        <v>10.0943</v>
      </c>
      <c r="I289" s="61">
        <f>10.0959 * CHOOSE(CONTROL!$C$22, $C$13, 100%, $E$13)</f>
        <v>10.0959</v>
      </c>
      <c r="J289" s="61">
        <f>5.6247 * CHOOSE(CONTROL!$C$22, $C$13, 100%, $E$13)</f>
        <v>5.6246999999999998</v>
      </c>
      <c r="K289" s="61">
        <f>5.6263 * CHOOSE(CONTROL!$C$22, $C$13, 100%, $E$13)</f>
        <v>5.6262999999999996</v>
      </c>
    </row>
    <row r="290" spans="1:11" ht="15">
      <c r="A290" s="13">
        <v>50679</v>
      </c>
      <c r="B290" s="60">
        <f>4.9086 * CHOOSE(CONTROL!$C$22, $C$13, 100%, $E$13)</f>
        <v>4.9085999999999999</v>
      </c>
      <c r="C290" s="60">
        <f>4.9086 * CHOOSE(CONTROL!$C$22, $C$13, 100%, $E$13)</f>
        <v>4.9085999999999999</v>
      </c>
      <c r="D290" s="60">
        <f>4.9211 * CHOOSE(CONTROL!$C$22, $C$13, 100%, $E$13)</f>
        <v>4.9211</v>
      </c>
      <c r="E290" s="61">
        <f>5.6369 * CHOOSE(CONTROL!$C$22, $C$13, 100%, $E$13)</f>
        <v>5.6368999999999998</v>
      </c>
      <c r="F290" s="61">
        <f>5.6369 * CHOOSE(CONTROL!$C$22, $C$13, 100%, $E$13)</f>
        <v>5.6368999999999998</v>
      </c>
      <c r="G290" s="61">
        <f>5.6371 * CHOOSE(CONTROL!$C$22, $C$13, 100%, $E$13)</f>
        <v>5.6371000000000002</v>
      </c>
      <c r="H290" s="61">
        <f>10.1154* CHOOSE(CONTROL!$C$22, $C$13, 100%, $E$13)</f>
        <v>10.115399999999999</v>
      </c>
      <c r="I290" s="61">
        <f>10.1155 * CHOOSE(CONTROL!$C$22, $C$13, 100%, $E$13)</f>
        <v>10.115500000000001</v>
      </c>
      <c r="J290" s="61">
        <f>5.6369 * CHOOSE(CONTROL!$C$22, $C$13, 100%, $E$13)</f>
        <v>5.6368999999999998</v>
      </c>
      <c r="K290" s="61">
        <f>5.6371 * CHOOSE(CONTROL!$C$22, $C$13, 100%, $E$13)</f>
        <v>5.6371000000000002</v>
      </c>
    </row>
    <row r="291" spans="1:11" ht="15">
      <c r="A291" s="13">
        <v>50710</v>
      </c>
      <c r="B291" s="60">
        <f>4.9116 * CHOOSE(CONTROL!$C$22, $C$13, 100%, $E$13)</f>
        <v>4.9116</v>
      </c>
      <c r="C291" s="60">
        <f>4.9116 * CHOOSE(CONTROL!$C$22, $C$13, 100%, $E$13)</f>
        <v>4.9116</v>
      </c>
      <c r="D291" s="60">
        <f>4.9242 * CHOOSE(CONTROL!$C$22, $C$13, 100%, $E$13)</f>
        <v>4.9241999999999999</v>
      </c>
      <c r="E291" s="61">
        <f>5.6518 * CHOOSE(CONTROL!$C$22, $C$13, 100%, $E$13)</f>
        <v>5.6517999999999997</v>
      </c>
      <c r="F291" s="61">
        <f>5.6518 * CHOOSE(CONTROL!$C$22, $C$13, 100%, $E$13)</f>
        <v>5.6517999999999997</v>
      </c>
      <c r="G291" s="61">
        <f>5.652 * CHOOSE(CONTROL!$C$22, $C$13, 100%, $E$13)</f>
        <v>5.6520000000000001</v>
      </c>
      <c r="H291" s="61">
        <f>10.1364* CHOOSE(CONTROL!$C$22, $C$13, 100%, $E$13)</f>
        <v>10.1364</v>
      </c>
      <c r="I291" s="61">
        <f>10.1366 * CHOOSE(CONTROL!$C$22, $C$13, 100%, $E$13)</f>
        <v>10.1366</v>
      </c>
      <c r="J291" s="61">
        <f>5.6518 * CHOOSE(CONTROL!$C$22, $C$13, 100%, $E$13)</f>
        <v>5.6517999999999997</v>
      </c>
      <c r="K291" s="61">
        <f>5.652 * CHOOSE(CONTROL!$C$22, $C$13, 100%, $E$13)</f>
        <v>5.6520000000000001</v>
      </c>
    </row>
    <row r="292" spans="1:11" ht="15">
      <c r="A292" s="13">
        <v>50740</v>
      </c>
      <c r="B292" s="60">
        <f>4.9116 * CHOOSE(CONTROL!$C$22, $C$13, 100%, $E$13)</f>
        <v>4.9116</v>
      </c>
      <c r="C292" s="60">
        <f>4.9116 * CHOOSE(CONTROL!$C$22, $C$13, 100%, $E$13)</f>
        <v>4.9116</v>
      </c>
      <c r="D292" s="60">
        <f>4.9242 * CHOOSE(CONTROL!$C$22, $C$13, 100%, $E$13)</f>
        <v>4.9241999999999999</v>
      </c>
      <c r="E292" s="61">
        <f>5.6369 * CHOOSE(CONTROL!$C$22, $C$13, 100%, $E$13)</f>
        <v>5.6368999999999998</v>
      </c>
      <c r="F292" s="61">
        <f>5.6369 * CHOOSE(CONTROL!$C$22, $C$13, 100%, $E$13)</f>
        <v>5.6368999999999998</v>
      </c>
      <c r="G292" s="61">
        <f>5.6371 * CHOOSE(CONTROL!$C$22, $C$13, 100%, $E$13)</f>
        <v>5.6371000000000002</v>
      </c>
      <c r="H292" s="61">
        <f>10.1576* CHOOSE(CONTROL!$C$22, $C$13, 100%, $E$13)</f>
        <v>10.1576</v>
      </c>
      <c r="I292" s="61">
        <f>10.1577 * CHOOSE(CONTROL!$C$22, $C$13, 100%, $E$13)</f>
        <v>10.1577</v>
      </c>
      <c r="J292" s="61">
        <f>5.6369 * CHOOSE(CONTROL!$C$22, $C$13, 100%, $E$13)</f>
        <v>5.6368999999999998</v>
      </c>
      <c r="K292" s="61">
        <f>5.6371 * CHOOSE(CONTROL!$C$22, $C$13, 100%, $E$13)</f>
        <v>5.6371000000000002</v>
      </c>
    </row>
    <row r="293" spans="1:11" ht="15">
      <c r="A293" s="13">
        <v>50771</v>
      </c>
      <c r="B293" s="60">
        <f>4.9579 * CHOOSE(CONTROL!$C$22, $C$13, 100%, $E$13)</f>
        <v>4.9579000000000004</v>
      </c>
      <c r="C293" s="60">
        <f>4.9579 * CHOOSE(CONTROL!$C$22, $C$13, 100%, $E$13)</f>
        <v>4.9579000000000004</v>
      </c>
      <c r="D293" s="60">
        <f>4.9705 * CHOOSE(CONTROL!$C$22, $C$13, 100%, $E$13)</f>
        <v>4.9705000000000004</v>
      </c>
      <c r="E293" s="61">
        <f>5.6938 * CHOOSE(CONTROL!$C$22, $C$13, 100%, $E$13)</f>
        <v>5.6938000000000004</v>
      </c>
      <c r="F293" s="61">
        <f>5.6938 * CHOOSE(CONTROL!$C$22, $C$13, 100%, $E$13)</f>
        <v>5.6938000000000004</v>
      </c>
      <c r="G293" s="61">
        <f>5.6939 * CHOOSE(CONTROL!$C$22, $C$13, 100%, $E$13)</f>
        <v>5.6939000000000002</v>
      </c>
      <c r="H293" s="61">
        <f>10.1787* CHOOSE(CONTROL!$C$22, $C$13, 100%, $E$13)</f>
        <v>10.178699999999999</v>
      </c>
      <c r="I293" s="61">
        <f>10.1789 * CHOOSE(CONTROL!$C$22, $C$13, 100%, $E$13)</f>
        <v>10.178900000000001</v>
      </c>
      <c r="J293" s="61">
        <f>5.6938 * CHOOSE(CONTROL!$C$22, $C$13, 100%, $E$13)</f>
        <v>5.6938000000000004</v>
      </c>
      <c r="K293" s="61">
        <f>5.6939 * CHOOSE(CONTROL!$C$22, $C$13, 100%, $E$13)</f>
        <v>5.6939000000000002</v>
      </c>
    </row>
    <row r="294" spans="1:11" ht="15">
      <c r="A294" s="13">
        <v>50802</v>
      </c>
      <c r="B294" s="60">
        <f>4.9549 * CHOOSE(CONTROL!$C$22, $C$13, 100%, $E$13)</f>
        <v>4.9549000000000003</v>
      </c>
      <c r="C294" s="60">
        <f>4.9549 * CHOOSE(CONTROL!$C$22, $C$13, 100%, $E$13)</f>
        <v>4.9549000000000003</v>
      </c>
      <c r="D294" s="60">
        <f>4.9674 * CHOOSE(CONTROL!$C$22, $C$13, 100%, $E$13)</f>
        <v>4.9673999999999996</v>
      </c>
      <c r="E294" s="61">
        <f>5.6295 * CHOOSE(CONTROL!$C$22, $C$13, 100%, $E$13)</f>
        <v>5.6295000000000002</v>
      </c>
      <c r="F294" s="61">
        <f>5.6295 * CHOOSE(CONTROL!$C$22, $C$13, 100%, $E$13)</f>
        <v>5.6295000000000002</v>
      </c>
      <c r="G294" s="61">
        <f>5.6297 * CHOOSE(CONTROL!$C$22, $C$13, 100%, $E$13)</f>
        <v>5.6296999999999997</v>
      </c>
      <c r="H294" s="61">
        <f>10.1999* CHOOSE(CONTROL!$C$22, $C$13, 100%, $E$13)</f>
        <v>10.1999</v>
      </c>
      <c r="I294" s="61">
        <f>10.2001 * CHOOSE(CONTROL!$C$22, $C$13, 100%, $E$13)</f>
        <v>10.200100000000001</v>
      </c>
      <c r="J294" s="61">
        <f>5.6295 * CHOOSE(CONTROL!$C$22, $C$13, 100%, $E$13)</f>
        <v>5.6295000000000002</v>
      </c>
      <c r="K294" s="61">
        <f>5.6297 * CHOOSE(CONTROL!$C$22, $C$13, 100%, $E$13)</f>
        <v>5.6296999999999997</v>
      </c>
    </row>
    <row r="295" spans="1:11" ht="15">
      <c r="A295" s="13">
        <v>50830</v>
      </c>
      <c r="B295" s="60">
        <f>4.9518 * CHOOSE(CONTROL!$C$22, $C$13, 100%, $E$13)</f>
        <v>4.9518000000000004</v>
      </c>
      <c r="C295" s="60">
        <f>4.9518 * CHOOSE(CONTROL!$C$22, $C$13, 100%, $E$13)</f>
        <v>4.9518000000000004</v>
      </c>
      <c r="D295" s="60">
        <f>4.9644 * CHOOSE(CONTROL!$C$22, $C$13, 100%, $E$13)</f>
        <v>4.9644000000000004</v>
      </c>
      <c r="E295" s="61">
        <f>5.6764 * CHOOSE(CONTROL!$C$22, $C$13, 100%, $E$13)</f>
        <v>5.6764000000000001</v>
      </c>
      <c r="F295" s="61">
        <f>5.6764 * CHOOSE(CONTROL!$C$22, $C$13, 100%, $E$13)</f>
        <v>5.6764000000000001</v>
      </c>
      <c r="G295" s="61">
        <f>5.6766 * CHOOSE(CONTROL!$C$22, $C$13, 100%, $E$13)</f>
        <v>5.6765999999999996</v>
      </c>
      <c r="H295" s="61">
        <f>10.2212* CHOOSE(CONTROL!$C$22, $C$13, 100%, $E$13)</f>
        <v>10.2212</v>
      </c>
      <c r="I295" s="61">
        <f>10.2213 * CHOOSE(CONTROL!$C$22, $C$13, 100%, $E$13)</f>
        <v>10.221299999999999</v>
      </c>
      <c r="J295" s="61">
        <f>5.6764 * CHOOSE(CONTROL!$C$22, $C$13, 100%, $E$13)</f>
        <v>5.6764000000000001</v>
      </c>
      <c r="K295" s="61">
        <f>5.6766 * CHOOSE(CONTROL!$C$22, $C$13, 100%, $E$13)</f>
        <v>5.6765999999999996</v>
      </c>
    </row>
    <row r="296" spans="1:11" ht="15">
      <c r="A296" s="13">
        <v>50861</v>
      </c>
      <c r="B296" s="60">
        <f>4.9504 * CHOOSE(CONTROL!$C$22, $C$13, 100%, $E$13)</f>
        <v>4.9504000000000001</v>
      </c>
      <c r="C296" s="60">
        <f>4.9504 * CHOOSE(CONTROL!$C$22, $C$13, 100%, $E$13)</f>
        <v>4.9504000000000001</v>
      </c>
      <c r="D296" s="60">
        <f>4.9629 * CHOOSE(CONTROL!$C$22, $C$13, 100%, $E$13)</f>
        <v>4.9629000000000003</v>
      </c>
      <c r="E296" s="61">
        <f>5.7247 * CHOOSE(CONTROL!$C$22, $C$13, 100%, $E$13)</f>
        <v>5.7247000000000003</v>
      </c>
      <c r="F296" s="61">
        <f>5.7247 * CHOOSE(CONTROL!$C$22, $C$13, 100%, $E$13)</f>
        <v>5.7247000000000003</v>
      </c>
      <c r="G296" s="61">
        <f>5.7249 * CHOOSE(CONTROL!$C$22, $C$13, 100%, $E$13)</f>
        <v>5.7248999999999999</v>
      </c>
      <c r="H296" s="61">
        <f>10.2425* CHOOSE(CONTROL!$C$22, $C$13, 100%, $E$13)</f>
        <v>10.2425</v>
      </c>
      <c r="I296" s="61">
        <f>10.2426 * CHOOSE(CONTROL!$C$22, $C$13, 100%, $E$13)</f>
        <v>10.242599999999999</v>
      </c>
      <c r="J296" s="61">
        <f>5.7247 * CHOOSE(CONTROL!$C$22, $C$13, 100%, $E$13)</f>
        <v>5.7247000000000003</v>
      </c>
      <c r="K296" s="61">
        <f>5.7249 * CHOOSE(CONTROL!$C$22, $C$13, 100%, $E$13)</f>
        <v>5.7248999999999999</v>
      </c>
    </row>
    <row r="297" spans="1:11" ht="15">
      <c r="A297" s="13">
        <v>50891</v>
      </c>
      <c r="B297" s="60">
        <f>4.9504 * CHOOSE(CONTROL!$C$22, $C$13, 100%, $E$13)</f>
        <v>4.9504000000000001</v>
      </c>
      <c r="C297" s="60">
        <f>4.9504 * CHOOSE(CONTROL!$C$22, $C$13, 100%, $E$13)</f>
        <v>4.9504000000000001</v>
      </c>
      <c r="D297" s="60">
        <f>4.9755 * CHOOSE(CONTROL!$C$22, $C$13, 100%, $E$13)</f>
        <v>4.9755000000000003</v>
      </c>
      <c r="E297" s="61">
        <f>5.7445 * CHOOSE(CONTROL!$C$22, $C$13, 100%, $E$13)</f>
        <v>5.7445000000000004</v>
      </c>
      <c r="F297" s="61">
        <f>5.7445 * CHOOSE(CONTROL!$C$22, $C$13, 100%, $E$13)</f>
        <v>5.7445000000000004</v>
      </c>
      <c r="G297" s="61">
        <f>5.7461 * CHOOSE(CONTROL!$C$22, $C$13, 100%, $E$13)</f>
        <v>5.7461000000000002</v>
      </c>
      <c r="H297" s="61">
        <f>10.2638* CHOOSE(CONTROL!$C$22, $C$13, 100%, $E$13)</f>
        <v>10.2638</v>
      </c>
      <c r="I297" s="61">
        <f>10.2654 * CHOOSE(CONTROL!$C$22, $C$13, 100%, $E$13)</f>
        <v>10.2654</v>
      </c>
      <c r="J297" s="61">
        <f>5.7445 * CHOOSE(CONTROL!$C$22, $C$13, 100%, $E$13)</f>
        <v>5.7445000000000004</v>
      </c>
      <c r="K297" s="61">
        <f>5.7461 * CHOOSE(CONTROL!$C$22, $C$13, 100%, $E$13)</f>
        <v>5.7461000000000002</v>
      </c>
    </row>
    <row r="298" spans="1:11" ht="15">
      <c r="A298" s="13">
        <v>50922</v>
      </c>
      <c r="B298" s="60">
        <f>4.9565 * CHOOSE(CONTROL!$C$22, $C$13, 100%, $E$13)</f>
        <v>4.9565000000000001</v>
      </c>
      <c r="C298" s="60">
        <f>4.9565 * CHOOSE(CONTROL!$C$22, $C$13, 100%, $E$13)</f>
        <v>4.9565000000000001</v>
      </c>
      <c r="D298" s="60">
        <f>4.9815 * CHOOSE(CONTROL!$C$22, $C$13, 100%, $E$13)</f>
        <v>4.9814999999999996</v>
      </c>
      <c r="E298" s="61">
        <f>5.729 * CHOOSE(CONTROL!$C$22, $C$13, 100%, $E$13)</f>
        <v>5.7290000000000001</v>
      </c>
      <c r="F298" s="61">
        <f>5.729 * CHOOSE(CONTROL!$C$22, $C$13, 100%, $E$13)</f>
        <v>5.7290000000000001</v>
      </c>
      <c r="G298" s="61">
        <f>5.7306 * CHOOSE(CONTROL!$C$22, $C$13, 100%, $E$13)</f>
        <v>5.7305999999999999</v>
      </c>
      <c r="H298" s="61">
        <f>10.2852* CHOOSE(CONTROL!$C$22, $C$13, 100%, $E$13)</f>
        <v>10.2852</v>
      </c>
      <c r="I298" s="61">
        <f>10.2868 * CHOOSE(CONTROL!$C$22, $C$13, 100%, $E$13)</f>
        <v>10.286799999999999</v>
      </c>
      <c r="J298" s="61">
        <f>5.729 * CHOOSE(CONTROL!$C$22, $C$13, 100%, $E$13)</f>
        <v>5.7290000000000001</v>
      </c>
      <c r="K298" s="61">
        <f>5.7306 * CHOOSE(CONTROL!$C$22, $C$13, 100%, $E$13)</f>
        <v>5.7305999999999999</v>
      </c>
    </row>
    <row r="299" spans="1:11" ht="15">
      <c r="A299" s="13">
        <v>50952</v>
      </c>
      <c r="B299" s="60">
        <f>5.043 * CHOOSE(CONTROL!$C$22, $C$13, 100%, $E$13)</f>
        <v>5.0430000000000001</v>
      </c>
      <c r="C299" s="60">
        <f>5.043 * CHOOSE(CONTROL!$C$22, $C$13, 100%, $E$13)</f>
        <v>5.0430000000000001</v>
      </c>
      <c r="D299" s="60">
        <f>5.0681 * CHOOSE(CONTROL!$C$22, $C$13, 100%, $E$13)</f>
        <v>5.0681000000000003</v>
      </c>
      <c r="E299" s="61">
        <f>5.8439 * CHOOSE(CONTROL!$C$22, $C$13, 100%, $E$13)</f>
        <v>5.8438999999999997</v>
      </c>
      <c r="F299" s="61">
        <f>5.8439 * CHOOSE(CONTROL!$C$22, $C$13, 100%, $E$13)</f>
        <v>5.8438999999999997</v>
      </c>
      <c r="G299" s="61">
        <f>5.8455 * CHOOSE(CONTROL!$C$22, $C$13, 100%, $E$13)</f>
        <v>5.8455000000000004</v>
      </c>
      <c r="H299" s="61">
        <f>10.3066* CHOOSE(CONTROL!$C$22, $C$13, 100%, $E$13)</f>
        <v>10.3066</v>
      </c>
      <c r="I299" s="61">
        <f>10.3082 * CHOOSE(CONTROL!$C$22, $C$13, 100%, $E$13)</f>
        <v>10.308199999999999</v>
      </c>
      <c r="J299" s="61">
        <f>5.8439 * CHOOSE(CONTROL!$C$22, $C$13, 100%, $E$13)</f>
        <v>5.8438999999999997</v>
      </c>
      <c r="K299" s="61">
        <f>5.8455 * CHOOSE(CONTROL!$C$22, $C$13, 100%, $E$13)</f>
        <v>5.8455000000000004</v>
      </c>
    </row>
    <row r="300" spans="1:11" ht="15">
      <c r="A300" s="13">
        <v>50983</v>
      </c>
      <c r="B300" s="60">
        <f>5.0497 * CHOOSE(CONTROL!$C$22, $C$13, 100%, $E$13)</f>
        <v>5.0496999999999996</v>
      </c>
      <c r="C300" s="60">
        <f>5.0497 * CHOOSE(CONTROL!$C$22, $C$13, 100%, $E$13)</f>
        <v>5.0496999999999996</v>
      </c>
      <c r="D300" s="60">
        <f>5.0748 * CHOOSE(CONTROL!$C$22, $C$13, 100%, $E$13)</f>
        <v>5.0747999999999998</v>
      </c>
      <c r="E300" s="61">
        <f>5.7894 * CHOOSE(CONTROL!$C$22, $C$13, 100%, $E$13)</f>
        <v>5.7893999999999997</v>
      </c>
      <c r="F300" s="61">
        <f>5.7894 * CHOOSE(CONTROL!$C$22, $C$13, 100%, $E$13)</f>
        <v>5.7893999999999997</v>
      </c>
      <c r="G300" s="61">
        <f>5.791 * CHOOSE(CONTROL!$C$22, $C$13, 100%, $E$13)</f>
        <v>5.7910000000000004</v>
      </c>
      <c r="H300" s="61">
        <f>10.3281* CHOOSE(CONTROL!$C$22, $C$13, 100%, $E$13)</f>
        <v>10.328099999999999</v>
      </c>
      <c r="I300" s="61">
        <f>10.3297 * CHOOSE(CONTROL!$C$22, $C$13, 100%, $E$13)</f>
        <v>10.329700000000001</v>
      </c>
      <c r="J300" s="61">
        <f>5.7894 * CHOOSE(CONTROL!$C$22, $C$13, 100%, $E$13)</f>
        <v>5.7893999999999997</v>
      </c>
      <c r="K300" s="61">
        <f>5.791 * CHOOSE(CONTROL!$C$22, $C$13, 100%, $E$13)</f>
        <v>5.7910000000000004</v>
      </c>
    </row>
    <row r="301" spans="1:11" ht="15">
      <c r="A301" s="13">
        <v>51014</v>
      </c>
      <c r="B301" s="60">
        <f>5.0467 * CHOOSE(CONTROL!$C$22, $C$13, 100%, $E$13)</f>
        <v>5.0467000000000004</v>
      </c>
      <c r="C301" s="60">
        <f>5.0467 * CHOOSE(CONTROL!$C$22, $C$13, 100%, $E$13)</f>
        <v>5.0467000000000004</v>
      </c>
      <c r="D301" s="60">
        <f>5.0718 * CHOOSE(CONTROL!$C$22, $C$13, 100%, $E$13)</f>
        <v>5.0717999999999996</v>
      </c>
      <c r="E301" s="61">
        <f>5.7807 * CHOOSE(CONTROL!$C$22, $C$13, 100%, $E$13)</f>
        <v>5.7807000000000004</v>
      </c>
      <c r="F301" s="61">
        <f>5.7807 * CHOOSE(CONTROL!$C$22, $C$13, 100%, $E$13)</f>
        <v>5.7807000000000004</v>
      </c>
      <c r="G301" s="61">
        <f>5.7823 * CHOOSE(CONTROL!$C$22, $C$13, 100%, $E$13)</f>
        <v>5.7823000000000002</v>
      </c>
      <c r="H301" s="61">
        <f>10.3496* CHOOSE(CONTROL!$C$22, $C$13, 100%, $E$13)</f>
        <v>10.349600000000001</v>
      </c>
      <c r="I301" s="61">
        <f>10.3512 * CHOOSE(CONTROL!$C$22, $C$13, 100%, $E$13)</f>
        <v>10.3512</v>
      </c>
      <c r="J301" s="61">
        <f>5.7807 * CHOOSE(CONTROL!$C$22, $C$13, 100%, $E$13)</f>
        <v>5.7807000000000004</v>
      </c>
      <c r="K301" s="61">
        <f>5.7823 * CHOOSE(CONTROL!$C$22, $C$13, 100%, $E$13)</f>
        <v>5.7823000000000002</v>
      </c>
    </row>
    <row r="302" spans="1:11" ht="15">
      <c r="A302" s="13">
        <v>51044</v>
      </c>
      <c r="B302" s="60">
        <f>5.0455 * CHOOSE(CONTROL!$C$22, $C$13, 100%, $E$13)</f>
        <v>5.0454999999999997</v>
      </c>
      <c r="C302" s="60">
        <f>5.0455 * CHOOSE(CONTROL!$C$22, $C$13, 100%, $E$13)</f>
        <v>5.0454999999999997</v>
      </c>
      <c r="D302" s="60">
        <f>5.058 * CHOOSE(CONTROL!$C$22, $C$13, 100%, $E$13)</f>
        <v>5.0579999999999998</v>
      </c>
      <c r="E302" s="61">
        <f>5.7936 * CHOOSE(CONTROL!$C$22, $C$13, 100%, $E$13)</f>
        <v>5.7935999999999996</v>
      </c>
      <c r="F302" s="61">
        <f>5.7936 * CHOOSE(CONTROL!$C$22, $C$13, 100%, $E$13)</f>
        <v>5.7935999999999996</v>
      </c>
      <c r="G302" s="61">
        <f>5.7938 * CHOOSE(CONTROL!$C$22, $C$13, 100%, $E$13)</f>
        <v>5.7938000000000001</v>
      </c>
      <c r="H302" s="61">
        <f>10.3712* CHOOSE(CONTROL!$C$22, $C$13, 100%, $E$13)</f>
        <v>10.3712</v>
      </c>
      <c r="I302" s="61">
        <f>10.3713 * CHOOSE(CONTROL!$C$22, $C$13, 100%, $E$13)</f>
        <v>10.3713</v>
      </c>
      <c r="J302" s="61">
        <f>5.7936 * CHOOSE(CONTROL!$C$22, $C$13, 100%, $E$13)</f>
        <v>5.7935999999999996</v>
      </c>
      <c r="K302" s="61">
        <f>5.7938 * CHOOSE(CONTROL!$C$22, $C$13, 100%, $E$13)</f>
        <v>5.7938000000000001</v>
      </c>
    </row>
    <row r="303" spans="1:11" ht="15">
      <c r="A303" s="13">
        <v>51075</v>
      </c>
      <c r="B303" s="60">
        <f>5.0485 * CHOOSE(CONTROL!$C$22, $C$13, 100%, $E$13)</f>
        <v>5.0484999999999998</v>
      </c>
      <c r="C303" s="60">
        <f>5.0485 * CHOOSE(CONTROL!$C$22, $C$13, 100%, $E$13)</f>
        <v>5.0484999999999998</v>
      </c>
      <c r="D303" s="60">
        <f>5.0611 * CHOOSE(CONTROL!$C$22, $C$13, 100%, $E$13)</f>
        <v>5.0610999999999997</v>
      </c>
      <c r="E303" s="61">
        <f>5.8089 * CHOOSE(CONTROL!$C$22, $C$13, 100%, $E$13)</f>
        <v>5.8089000000000004</v>
      </c>
      <c r="F303" s="61">
        <f>5.8089 * CHOOSE(CONTROL!$C$22, $C$13, 100%, $E$13)</f>
        <v>5.8089000000000004</v>
      </c>
      <c r="G303" s="61">
        <f>5.809 * CHOOSE(CONTROL!$C$22, $C$13, 100%, $E$13)</f>
        <v>5.8090000000000002</v>
      </c>
      <c r="H303" s="61">
        <f>10.3928* CHOOSE(CONTROL!$C$22, $C$13, 100%, $E$13)</f>
        <v>10.392799999999999</v>
      </c>
      <c r="I303" s="61">
        <f>10.3929 * CHOOSE(CONTROL!$C$22, $C$13, 100%, $E$13)</f>
        <v>10.392899999999999</v>
      </c>
      <c r="J303" s="61">
        <f>5.8089 * CHOOSE(CONTROL!$C$22, $C$13, 100%, $E$13)</f>
        <v>5.8089000000000004</v>
      </c>
      <c r="K303" s="61">
        <f>5.809 * CHOOSE(CONTROL!$C$22, $C$13, 100%, $E$13)</f>
        <v>5.8090000000000002</v>
      </c>
    </row>
    <row r="304" spans="1:11" ht="15">
      <c r="A304" s="13">
        <v>51105</v>
      </c>
      <c r="B304" s="60">
        <f>5.0485 * CHOOSE(CONTROL!$C$22, $C$13, 100%, $E$13)</f>
        <v>5.0484999999999998</v>
      </c>
      <c r="C304" s="60">
        <f>5.0485 * CHOOSE(CONTROL!$C$22, $C$13, 100%, $E$13)</f>
        <v>5.0484999999999998</v>
      </c>
      <c r="D304" s="60">
        <f>5.0611 * CHOOSE(CONTROL!$C$22, $C$13, 100%, $E$13)</f>
        <v>5.0610999999999997</v>
      </c>
      <c r="E304" s="61">
        <f>5.776 * CHOOSE(CONTROL!$C$22, $C$13, 100%, $E$13)</f>
        <v>5.7759999999999998</v>
      </c>
      <c r="F304" s="61">
        <f>5.776 * CHOOSE(CONTROL!$C$22, $C$13, 100%, $E$13)</f>
        <v>5.7759999999999998</v>
      </c>
      <c r="G304" s="61">
        <f>5.7762 * CHOOSE(CONTROL!$C$22, $C$13, 100%, $E$13)</f>
        <v>5.7762000000000002</v>
      </c>
      <c r="H304" s="61">
        <f>10.4144* CHOOSE(CONTROL!$C$22, $C$13, 100%, $E$13)</f>
        <v>10.414400000000001</v>
      </c>
      <c r="I304" s="61">
        <f>10.4146 * CHOOSE(CONTROL!$C$22, $C$13, 100%, $E$13)</f>
        <v>10.4146</v>
      </c>
      <c r="J304" s="61">
        <f>5.776 * CHOOSE(CONTROL!$C$22, $C$13, 100%, $E$13)</f>
        <v>5.7759999999999998</v>
      </c>
      <c r="K304" s="61">
        <f>5.7762 * CHOOSE(CONTROL!$C$22, $C$13, 100%, $E$13)</f>
        <v>5.7762000000000002</v>
      </c>
    </row>
    <row r="305" spans="1:11" ht="15">
      <c r="A305" s="13">
        <v>51136</v>
      </c>
      <c r="B305" s="60">
        <f>5.0944 * CHOOSE(CONTROL!$C$22, $C$13, 100%, $E$13)</f>
        <v>5.0944000000000003</v>
      </c>
      <c r="C305" s="60">
        <f>5.0944 * CHOOSE(CONTROL!$C$22, $C$13, 100%, $E$13)</f>
        <v>5.0944000000000003</v>
      </c>
      <c r="D305" s="60">
        <f>5.1069 * CHOOSE(CONTROL!$C$22, $C$13, 100%, $E$13)</f>
        <v>5.1069000000000004</v>
      </c>
      <c r="E305" s="61">
        <f>5.8526 * CHOOSE(CONTROL!$C$22, $C$13, 100%, $E$13)</f>
        <v>5.8525999999999998</v>
      </c>
      <c r="F305" s="61">
        <f>5.8526 * CHOOSE(CONTROL!$C$22, $C$13, 100%, $E$13)</f>
        <v>5.8525999999999998</v>
      </c>
      <c r="G305" s="61">
        <f>5.8528 * CHOOSE(CONTROL!$C$22, $C$13, 100%, $E$13)</f>
        <v>5.8528000000000002</v>
      </c>
      <c r="H305" s="61">
        <f>10.4361* CHOOSE(CONTROL!$C$22, $C$13, 100%, $E$13)</f>
        <v>10.4361</v>
      </c>
      <c r="I305" s="61">
        <f>10.4363 * CHOOSE(CONTROL!$C$22, $C$13, 100%, $E$13)</f>
        <v>10.436299999999999</v>
      </c>
      <c r="J305" s="61">
        <f>5.8526 * CHOOSE(CONTROL!$C$22, $C$13, 100%, $E$13)</f>
        <v>5.8525999999999998</v>
      </c>
      <c r="K305" s="61">
        <f>5.8528 * CHOOSE(CONTROL!$C$22, $C$13, 100%, $E$13)</f>
        <v>5.8528000000000002</v>
      </c>
    </row>
    <row r="306" spans="1:11" ht="15">
      <c r="A306" s="13">
        <v>51167</v>
      </c>
      <c r="B306" s="60">
        <f>5.0913 * CHOOSE(CONTROL!$C$22, $C$13, 100%, $E$13)</f>
        <v>5.0913000000000004</v>
      </c>
      <c r="C306" s="60">
        <f>5.0913 * CHOOSE(CONTROL!$C$22, $C$13, 100%, $E$13)</f>
        <v>5.0913000000000004</v>
      </c>
      <c r="D306" s="60">
        <f>5.1039 * CHOOSE(CONTROL!$C$22, $C$13, 100%, $E$13)</f>
        <v>5.1039000000000003</v>
      </c>
      <c r="E306" s="61">
        <f>5.7866 * CHOOSE(CONTROL!$C$22, $C$13, 100%, $E$13)</f>
        <v>5.7866</v>
      </c>
      <c r="F306" s="61">
        <f>5.7866 * CHOOSE(CONTROL!$C$22, $C$13, 100%, $E$13)</f>
        <v>5.7866</v>
      </c>
      <c r="G306" s="61">
        <f>5.7868 * CHOOSE(CONTROL!$C$22, $C$13, 100%, $E$13)</f>
        <v>5.7868000000000004</v>
      </c>
      <c r="H306" s="61">
        <f>10.4579* CHOOSE(CONTROL!$C$22, $C$13, 100%, $E$13)</f>
        <v>10.4579</v>
      </c>
      <c r="I306" s="61">
        <f>10.458 * CHOOSE(CONTROL!$C$22, $C$13, 100%, $E$13)</f>
        <v>10.458</v>
      </c>
      <c r="J306" s="61">
        <f>5.7866 * CHOOSE(CONTROL!$C$22, $C$13, 100%, $E$13)</f>
        <v>5.7866</v>
      </c>
      <c r="K306" s="61">
        <f>5.7868 * CHOOSE(CONTROL!$C$22, $C$13, 100%, $E$13)</f>
        <v>5.7868000000000004</v>
      </c>
    </row>
    <row r="307" spans="1:11" ht="15">
      <c r="A307" s="13">
        <v>51196</v>
      </c>
      <c r="B307" s="60">
        <f>5.0883 * CHOOSE(CONTROL!$C$22, $C$13, 100%, $E$13)</f>
        <v>5.0883000000000003</v>
      </c>
      <c r="C307" s="60">
        <f>5.0883 * CHOOSE(CONTROL!$C$22, $C$13, 100%, $E$13)</f>
        <v>5.0883000000000003</v>
      </c>
      <c r="D307" s="60">
        <f>5.1008 * CHOOSE(CONTROL!$C$22, $C$13, 100%, $E$13)</f>
        <v>5.1007999999999996</v>
      </c>
      <c r="E307" s="61">
        <f>5.8349 * CHOOSE(CONTROL!$C$22, $C$13, 100%, $E$13)</f>
        <v>5.8349000000000002</v>
      </c>
      <c r="F307" s="61">
        <f>5.8349 * CHOOSE(CONTROL!$C$22, $C$13, 100%, $E$13)</f>
        <v>5.8349000000000002</v>
      </c>
      <c r="G307" s="61">
        <f>5.835 * CHOOSE(CONTROL!$C$22, $C$13, 100%, $E$13)</f>
        <v>5.835</v>
      </c>
      <c r="H307" s="61">
        <f>10.4796* CHOOSE(CONTROL!$C$22, $C$13, 100%, $E$13)</f>
        <v>10.4796</v>
      </c>
      <c r="I307" s="61">
        <f>10.4798 * CHOOSE(CONTROL!$C$22, $C$13, 100%, $E$13)</f>
        <v>10.479799999999999</v>
      </c>
      <c r="J307" s="61">
        <f>5.8349 * CHOOSE(CONTROL!$C$22, $C$13, 100%, $E$13)</f>
        <v>5.8349000000000002</v>
      </c>
      <c r="K307" s="61">
        <f>5.835 * CHOOSE(CONTROL!$C$22, $C$13, 100%, $E$13)</f>
        <v>5.835</v>
      </c>
    </row>
    <row r="308" spans="1:11" ht="15">
      <c r="A308" s="13">
        <v>51227</v>
      </c>
      <c r="B308" s="60">
        <f>5.0869 * CHOOSE(CONTROL!$C$22, $C$13, 100%, $E$13)</f>
        <v>5.0869</v>
      </c>
      <c r="C308" s="60">
        <f>5.0869 * CHOOSE(CONTROL!$C$22, $C$13, 100%, $E$13)</f>
        <v>5.0869</v>
      </c>
      <c r="D308" s="60">
        <f>5.0995 * CHOOSE(CONTROL!$C$22, $C$13, 100%, $E$13)</f>
        <v>5.0994999999999999</v>
      </c>
      <c r="E308" s="61">
        <f>5.8847 * CHOOSE(CONTROL!$C$22, $C$13, 100%, $E$13)</f>
        <v>5.8846999999999996</v>
      </c>
      <c r="F308" s="61">
        <f>5.8847 * CHOOSE(CONTROL!$C$22, $C$13, 100%, $E$13)</f>
        <v>5.8846999999999996</v>
      </c>
      <c r="G308" s="61">
        <f>5.8849 * CHOOSE(CONTROL!$C$22, $C$13, 100%, $E$13)</f>
        <v>5.8849</v>
      </c>
      <c r="H308" s="61">
        <f>10.5015* CHOOSE(CONTROL!$C$22, $C$13, 100%, $E$13)</f>
        <v>10.5015</v>
      </c>
      <c r="I308" s="61">
        <f>10.5017 * CHOOSE(CONTROL!$C$22, $C$13, 100%, $E$13)</f>
        <v>10.5017</v>
      </c>
      <c r="J308" s="61">
        <f>5.8847 * CHOOSE(CONTROL!$C$22, $C$13, 100%, $E$13)</f>
        <v>5.8846999999999996</v>
      </c>
      <c r="K308" s="61">
        <f>5.8849 * CHOOSE(CONTROL!$C$22, $C$13, 100%, $E$13)</f>
        <v>5.8849</v>
      </c>
    </row>
    <row r="309" spans="1:11" ht="15">
      <c r="A309" s="13">
        <v>51257</v>
      </c>
      <c r="B309" s="60">
        <f>5.0869 * CHOOSE(CONTROL!$C$22, $C$13, 100%, $E$13)</f>
        <v>5.0869</v>
      </c>
      <c r="C309" s="60">
        <f>5.0869 * CHOOSE(CONTROL!$C$22, $C$13, 100%, $E$13)</f>
        <v>5.0869</v>
      </c>
      <c r="D309" s="60">
        <f>5.112 * CHOOSE(CONTROL!$C$22, $C$13, 100%, $E$13)</f>
        <v>5.1120000000000001</v>
      </c>
      <c r="E309" s="61">
        <f>5.905 * CHOOSE(CONTROL!$C$22, $C$13, 100%, $E$13)</f>
        <v>5.9050000000000002</v>
      </c>
      <c r="F309" s="61">
        <f>5.905 * CHOOSE(CONTROL!$C$22, $C$13, 100%, $E$13)</f>
        <v>5.9050000000000002</v>
      </c>
      <c r="G309" s="61">
        <f>5.9066 * CHOOSE(CONTROL!$C$22, $C$13, 100%, $E$13)</f>
        <v>5.9066000000000001</v>
      </c>
      <c r="H309" s="61">
        <f>10.5234* CHOOSE(CONTROL!$C$22, $C$13, 100%, $E$13)</f>
        <v>10.523400000000001</v>
      </c>
      <c r="I309" s="61">
        <f>10.525 * CHOOSE(CONTROL!$C$22, $C$13, 100%, $E$13)</f>
        <v>10.525</v>
      </c>
      <c r="J309" s="61">
        <f>5.905 * CHOOSE(CONTROL!$C$22, $C$13, 100%, $E$13)</f>
        <v>5.9050000000000002</v>
      </c>
      <c r="K309" s="61">
        <f>5.9066 * CHOOSE(CONTROL!$C$22, $C$13, 100%, $E$13)</f>
        <v>5.9066000000000001</v>
      </c>
    </row>
    <row r="310" spans="1:11" ht="15">
      <c r="A310" s="13">
        <v>51288</v>
      </c>
      <c r="B310" s="60">
        <f>5.093 * CHOOSE(CONTROL!$C$22, $C$13, 100%, $E$13)</f>
        <v>5.093</v>
      </c>
      <c r="C310" s="60">
        <f>5.093 * CHOOSE(CONTROL!$C$22, $C$13, 100%, $E$13)</f>
        <v>5.093</v>
      </c>
      <c r="D310" s="60">
        <f>5.1181 * CHOOSE(CONTROL!$C$22, $C$13, 100%, $E$13)</f>
        <v>5.1181000000000001</v>
      </c>
      <c r="E310" s="61">
        <f>5.889 * CHOOSE(CONTROL!$C$22, $C$13, 100%, $E$13)</f>
        <v>5.8890000000000002</v>
      </c>
      <c r="F310" s="61">
        <f>5.889 * CHOOSE(CONTROL!$C$22, $C$13, 100%, $E$13)</f>
        <v>5.8890000000000002</v>
      </c>
      <c r="G310" s="61">
        <f>5.8906 * CHOOSE(CONTROL!$C$22, $C$13, 100%, $E$13)</f>
        <v>5.8906000000000001</v>
      </c>
      <c r="H310" s="61">
        <f>10.5453* CHOOSE(CONTROL!$C$22, $C$13, 100%, $E$13)</f>
        <v>10.545299999999999</v>
      </c>
      <c r="I310" s="61">
        <f>10.5469 * CHOOSE(CONTROL!$C$22, $C$13, 100%, $E$13)</f>
        <v>10.546900000000001</v>
      </c>
      <c r="J310" s="61">
        <f>5.889 * CHOOSE(CONTROL!$C$22, $C$13, 100%, $E$13)</f>
        <v>5.8890000000000002</v>
      </c>
      <c r="K310" s="61">
        <f>5.8906 * CHOOSE(CONTROL!$C$22, $C$13, 100%, $E$13)</f>
        <v>5.8906000000000001</v>
      </c>
    </row>
    <row r="311" spans="1:11" ht="15">
      <c r="A311" s="13">
        <v>51318</v>
      </c>
      <c r="B311" s="60">
        <f>5.1785 * CHOOSE(CONTROL!$C$22, $C$13, 100%, $E$13)</f>
        <v>5.1784999999999997</v>
      </c>
      <c r="C311" s="60">
        <f>5.1785 * CHOOSE(CONTROL!$C$22, $C$13, 100%, $E$13)</f>
        <v>5.1784999999999997</v>
      </c>
      <c r="D311" s="60">
        <f>5.2036 * CHOOSE(CONTROL!$C$22, $C$13, 100%, $E$13)</f>
        <v>5.2035999999999998</v>
      </c>
      <c r="E311" s="61">
        <f>6.0078 * CHOOSE(CONTROL!$C$22, $C$13, 100%, $E$13)</f>
        <v>6.0077999999999996</v>
      </c>
      <c r="F311" s="61">
        <f>6.0078 * CHOOSE(CONTROL!$C$22, $C$13, 100%, $E$13)</f>
        <v>6.0077999999999996</v>
      </c>
      <c r="G311" s="61">
        <f>6.0094 * CHOOSE(CONTROL!$C$22, $C$13, 100%, $E$13)</f>
        <v>6.0094000000000003</v>
      </c>
      <c r="H311" s="61">
        <f>10.5673* CHOOSE(CONTROL!$C$22, $C$13, 100%, $E$13)</f>
        <v>10.567299999999999</v>
      </c>
      <c r="I311" s="61">
        <f>10.5689 * CHOOSE(CONTROL!$C$22, $C$13, 100%, $E$13)</f>
        <v>10.568899999999999</v>
      </c>
      <c r="J311" s="61">
        <f>6.0078 * CHOOSE(CONTROL!$C$22, $C$13, 100%, $E$13)</f>
        <v>6.0077999999999996</v>
      </c>
      <c r="K311" s="61">
        <f>6.0094 * CHOOSE(CONTROL!$C$22, $C$13, 100%, $E$13)</f>
        <v>6.0094000000000003</v>
      </c>
    </row>
    <row r="312" spans="1:11" ht="15">
      <c r="A312" s="13">
        <v>51349</v>
      </c>
      <c r="B312" s="60">
        <f>5.1852 * CHOOSE(CONTROL!$C$22, $C$13, 100%, $E$13)</f>
        <v>5.1852</v>
      </c>
      <c r="C312" s="60">
        <f>5.1852 * CHOOSE(CONTROL!$C$22, $C$13, 100%, $E$13)</f>
        <v>5.1852</v>
      </c>
      <c r="D312" s="60">
        <f>5.2103 * CHOOSE(CONTROL!$C$22, $C$13, 100%, $E$13)</f>
        <v>5.2103000000000002</v>
      </c>
      <c r="E312" s="61">
        <f>5.9516 * CHOOSE(CONTROL!$C$22, $C$13, 100%, $E$13)</f>
        <v>5.9516</v>
      </c>
      <c r="F312" s="61">
        <f>5.9516 * CHOOSE(CONTROL!$C$22, $C$13, 100%, $E$13)</f>
        <v>5.9516</v>
      </c>
      <c r="G312" s="61">
        <f>5.9532 * CHOOSE(CONTROL!$C$22, $C$13, 100%, $E$13)</f>
        <v>5.9531999999999998</v>
      </c>
      <c r="H312" s="61">
        <f>10.5893* CHOOSE(CONTROL!$C$22, $C$13, 100%, $E$13)</f>
        <v>10.5893</v>
      </c>
      <c r="I312" s="61">
        <f>10.5909 * CHOOSE(CONTROL!$C$22, $C$13, 100%, $E$13)</f>
        <v>10.5909</v>
      </c>
      <c r="J312" s="61">
        <f>5.9516 * CHOOSE(CONTROL!$C$22, $C$13, 100%, $E$13)</f>
        <v>5.9516</v>
      </c>
      <c r="K312" s="61">
        <f>5.9532 * CHOOSE(CONTROL!$C$22, $C$13, 100%, $E$13)</f>
        <v>5.9531999999999998</v>
      </c>
    </row>
    <row r="313" spans="1:11" ht="15">
      <c r="A313" s="13">
        <v>51380</v>
      </c>
      <c r="B313" s="60">
        <f>5.1822 * CHOOSE(CONTROL!$C$22, $C$13, 100%, $E$13)</f>
        <v>5.1821999999999999</v>
      </c>
      <c r="C313" s="60">
        <f>5.1822 * CHOOSE(CONTROL!$C$22, $C$13, 100%, $E$13)</f>
        <v>5.1821999999999999</v>
      </c>
      <c r="D313" s="60">
        <f>5.2073 * CHOOSE(CONTROL!$C$22, $C$13, 100%, $E$13)</f>
        <v>5.2073</v>
      </c>
      <c r="E313" s="61">
        <f>5.9427 * CHOOSE(CONTROL!$C$22, $C$13, 100%, $E$13)</f>
        <v>5.9427000000000003</v>
      </c>
      <c r="F313" s="61">
        <f>5.9427 * CHOOSE(CONTROL!$C$22, $C$13, 100%, $E$13)</f>
        <v>5.9427000000000003</v>
      </c>
      <c r="G313" s="61">
        <f>5.9443 * CHOOSE(CONTROL!$C$22, $C$13, 100%, $E$13)</f>
        <v>5.9443000000000001</v>
      </c>
      <c r="H313" s="61">
        <f>10.6113* CHOOSE(CONTROL!$C$22, $C$13, 100%, $E$13)</f>
        <v>10.6113</v>
      </c>
      <c r="I313" s="61">
        <f>10.6129 * CHOOSE(CONTROL!$C$22, $C$13, 100%, $E$13)</f>
        <v>10.6129</v>
      </c>
      <c r="J313" s="61">
        <f>5.9427 * CHOOSE(CONTROL!$C$22, $C$13, 100%, $E$13)</f>
        <v>5.9427000000000003</v>
      </c>
      <c r="K313" s="61">
        <f>5.9443 * CHOOSE(CONTROL!$C$22, $C$13, 100%, $E$13)</f>
        <v>5.9443000000000001</v>
      </c>
    </row>
    <row r="314" spans="1:11" ht="15">
      <c r="A314" s="13">
        <v>51410</v>
      </c>
      <c r="B314" s="60">
        <f>5.1814 * CHOOSE(CONTROL!$C$22, $C$13, 100%, $E$13)</f>
        <v>5.1814</v>
      </c>
      <c r="C314" s="60">
        <f>5.1814 * CHOOSE(CONTROL!$C$22, $C$13, 100%, $E$13)</f>
        <v>5.1814</v>
      </c>
      <c r="D314" s="60">
        <f>5.194 * CHOOSE(CONTROL!$C$22, $C$13, 100%, $E$13)</f>
        <v>5.194</v>
      </c>
      <c r="E314" s="61">
        <f>5.9563 * CHOOSE(CONTROL!$C$22, $C$13, 100%, $E$13)</f>
        <v>5.9562999999999997</v>
      </c>
      <c r="F314" s="61">
        <f>5.9563 * CHOOSE(CONTROL!$C$22, $C$13, 100%, $E$13)</f>
        <v>5.9562999999999997</v>
      </c>
      <c r="G314" s="61">
        <f>5.9565 * CHOOSE(CONTROL!$C$22, $C$13, 100%, $E$13)</f>
        <v>5.9565000000000001</v>
      </c>
      <c r="H314" s="61">
        <f>10.6334* CHOOSE(CONTROL!$C$22, $C$13, 100%, $E$13)</f>
        <v>10.6334</v>
      </c>
      <c r="I314" s="61">
        <f>10.6336 * CHOOSE(CONTROL!$C$22, $C$13, 100%, $E$13)</f>
        <v>10.633599999999999</v>
      </c>
      <c r="J314" s="61">
        <f>5.9563 * CHOOSE(CONTROL!$C$22, $C$13, 100%, $E$13)</f>
        <v>5.9562999999999997</v>
      </c>
      <c r="K314" s="61">
        <f>5.9565 * CHOOSE(CONTROL!$C$22, $C$13, 100%, $E$13)</f>
        <v>5.9565000000000001</v>
      </c>
    </row>
    <row r="315" spans="1:11" ht="15">
      <c r="A315" s="13">
        <v>51441</v>
      </c>
      <c r="B315" s="60">
        <f>5.1845 * CHOOSE(CONTROL!$C$22, $C$13, 100%, $E$13)</f>
        <v>5.1844999999999999</v>
      </c>
      <c r="C315" s="60">
        <f>5.1845 * CHOOSE(CONTROL!$C$22, $C$13, 100%, $E$13)</f>
        <v>5.1844999999999999</v>
      </c>
      <c r="D315" s="60">
        <f>5.197 * CHOOSE(CONTROL!$C$22, $C$13, 100%, $E$13)</f>
        <v>5.1970000000000001</v>
      </c>
      <c r="E315" s="61">
        <f>5.972 * CHOOSE(CONTROL!$C$22, $C$13, 100%, $E$13)</f>
        <v>5.9720000000000004</v>
      </c>
      <c r="F315" s="61">
        <f>5.972 * CHOOSE(CONTROL!$C$22, $C$13, 100%, $E$13)</f>
        <v>5.9720000000000004</v>
      </c>
      <c r="G315" s="61">
        <f>5.9722 * CHOOSE(CONTROL!$C$22, $C$13, 100%, $E$13)</f>
        <v>5.9722</v>
      </c>
      <c r="H315" s="61">
        <f>10.6556* CHOOSE(CONTROL!$C$22, $C$13, 100%, $E$13)</f>
        <v>10.6556</v>
      </c>
      <c r="I315" s="61">
        <f>10.6558 * CHOOSE(CONTROL!$C$22, $C$13, 100%, $E$13)</f>
        <v>10.655799999999999</v>
      </c>
      <c r="J315" s="61">
        <f>5.972 * CHOOSE(CONTROL!$C$22, $C$13, 100%, $E$13)</f>
        <v>5.9720000000000004</v>
      </c>
      <c r="K315" s="61">
        <f>5.9722 * CHOOSE(CONTROL!$C$22, $C$13, 100%, $E$13)</f>
        <v>5.9722</v>
      </c>
    </row>
    <row r="316" spans="1:11" ht="15">
      <c r="A316" s="13">
        <v>51471</v>
      </c>
      <c r="B316" s="60">
        <f>5.1845 * CHOOSE(CONTROL!$C$22, $C$13, 100%, $E$13)</f>
        <v>5.1844999999999999</v>
      </c>
      <c r="C316" s="60">
        <f>5.1845 * CHOOSE(CONTROL!$C$22, $C$13, 100%, $E$13)</f>
        <v>5.1844999999999999</v>
      </c>
      <c r="D316" s="60">
        <f>5.197 * CHOOSE(CONTROL!$C$22, $C$13, 100%, $E$13)</f>
        <v>5.1970000000000001</v>
      </c>
      <c r="E316" s="61">
        <f>5.9382 * CHOOSE(CONTROL!$C$22, $C$13, 100%, $E$13)</f>
        <v>5.9382000000000001</v>
      </c>
      <c r="F316" s="61">
        <f>5.9382 * CHOOSE(CONTROL!$C$22, $C$13, 100%, $E$13)</f>
        <v>5.9382000000000001</v>
      </c>
      <c r="G316" s="61">
        <f>5.9384 * CHOOSE(CONTROL!$C$22, $C$13, 100%, $E$13)</f>
        <v>5.9383999999999997</v>
      </c>
      <c r="H316" s="61">
        <f>10.6778* CHOOSE(CONTROL!$C$22, $C$13, 100%, $E$13)</f>
        <v>10.6778</v>
      </c>
      <c r="I316" s="61">
        <f>10.678 * CHOOSE(CONTROL!$C$22, $C$13, 100%, $E$13)</f>
        <v>10.678000000000001</v>
      </c>
      <c r="J316" s="61">
        <f>5.9382 * CHOOSE(CONTROL!$C$22, $C$13, 100%, $E$13)</f>
        <v>5.9382000000000001</v>
      </c>
      <c r="K316" s="61">
        <f>5.9384 * CHOOSE(CONTROL!$C$22, $C$13, 100%, $E$13)</f>
        <v>5.9383999999999997</v>
      </c>
    </row>
    <row r="317" spans="1:11" ht="15">
      <c r="A317" s="13">
        <v>51502</v>
      </c>
      <c r="B317" s="60">
        <f>5.2322 * CHOOSE(CONTROL!$C$22, $C$13, 100%, $E$13)</f>
        <v>5.2321999999999997</v>
      </c>
      <c r="C317" s="60">
        <f>5.2322 * CHOOSE(CONTROL!$C$22, $C$13, 100%, $E$13)</f>
        <v>5.2321999999999997</v>
      </c>
      <c r="D317" s="60">
        <f>5.2448 * CHOOSE(CONTROL!$C$22, $C$13, 100%, $E$13)</f>
        <v>5.2447999999999997</v>
      </c>
      <c r="E317" s="61">
        <f>6.0167 * CHOOSE(CONTROL!$C$22, $C$13, 100%, $E$13)</f>
        <v>6.0167000000000002</v>
      </c>
      <c r="F317" s="61">
        <f>6.0167 * CHOOSE(CONTROL!$C$22, $C$13, 100%, $E$13)</f>
        <v>6.0167000000000002</v>
      </c>
      <c r="G317" s="61">
        <f>6.0168 * CHOOSE(CONTROL!$C$22, $C$13, 100%, $E$13)</f>
        <v>6.0167999999999999</v>
      </c>
      <c r="H317" s="61">
        <f>10.7* CHOOSE(CONTROL!$C$22, $C$13, 100%, $E$13)</f>
        <v>10.7</v>
      </c>
      <c r="I317" s="61">
        <f>10.7002 * CHOOSE(CONTROL!$C$22, $C$13, 100%, $E$13)</f>
        <v>10.700200000000001</v>
      </c>
      <c r="J317" s="61">
        <f>6.0167 * CHOOSE(CONTROL!$C$22, $C$13, 100%, $E$13)</f>
        <v>6.0167000000000002</v>
      </c>
      <c r="K317" s="61">
        <f>6.0168 * CHOOSE(CONTROL!$C$22, $C$13, 100%, $E$13)</f>
        <v>6.0167999999999999</v>
      </c>
    </row>
    <row r="318" spans="1:11" ht="15">
      <c r="A318" s="13">
        <v>51533</v>
      </c>
      <c r="B318" s="60">
        <f>5.2292 * CHOOSE(CONTROL!$C$22, $C$13, 100%, $E$13)</f>
        <v>5.2291999999999996</v>
      </c>
      <c r="C318" s="60">
        <f>5.2292 * CHOOSE(CONTROL!$C$22, $C$13, 100%, $E$13)</f>
        <v>5.2291999999999996</v>
      </c>
      <c r="D318" s="60">
        <f>5.2417 * CHOOSE(CONTROL!$C$22, $C$13, 100%, $E$13)</f>
        <v>5.2416999999999998</v>
      </c>
      <c r="E318" s="61">
        <f>5.9489 * CHOOSE(CONTROL!$C$22, $C$13, 100%, $E$13)</f>
        <v>5.9489000000000001</v>
      </c>
      <c r="F318" s="61">
        <f>5.9489 * CHOOSE(CONTROL!$C$22, $C$13, 100%, $E$13)</f>
        <v>5.9489000000000001</v>
      </c>
      <c r="G318" s="61">
        <f>5.949 * CHOOSE(CONTROL!$C$22, $C$13, 100%, $E$13)</f>
        <v>5.9489999999999998</v>
      </c>
      <c r="H318" s="61">
        <f>10.7223* CHOOSE(CONTROL!$C$22, $C$13, 100%, $E$13)</f>
        <v>10.722300000000001</v>
      </c>
      <c r="I318" s="61">
        <f>10.7225 * CHOOSE(CONTROL!$C$22, $C$13, 100%, $E$13)</f>
        <v>10.7225</v>
      </c>
      <c r="J318" s="61">
        <f>5.9489 * CHOOSE(CONTROL!$C$22, $C$13, 100%, $E$13)</f>
        <v>5.9489000000000001</v>
      </c>
      <c r="K318" s="61">
        <f>5.949 * CHOOSE(CONTROL!$C$22, $C$13, 100%, $E$13)</f>
        <v>5.9489999999999998</v>
      </c>
    </row>
    <row r="319" spans="1:11" ht="15">
      <c r="A319" s="13">
        <v>51561</v>
      </c>
      <c r="B319" s="60">
        <f>5.2262 * CHOOSE(CONTROL!$C$22, $C$13, 100%, $E$13)</f>
        <v>5.2262000000000004</v>
      </c>
      <c r="C319" s="60">
        <f>5.2262 * CHOOSE(CONTROL!$C$22, $C$13, 100%, $E$13)</f>
        <v>5.2262000000000004</v>
      </c>
      <c r="D319" s="60">
        <f>5.2387 * CHOOSE(CONTROL!$C$22, $C$13, 100%, $E$13)</f>
        <v>5.2386999999999997</v>
      </c>
      <c r="E319" s="61">
        <f>5.9985 * CHOOSE(CONTROL!$C$22, $C$13, 100%, $E$13)</f>
        <v>5.9984999999999999</v>
      </c>
      <c r="F319" s="61">
        <f>5.9985 * CHOOSE(CONTROL!$C$22, $C$13, 100%, $E$13)</f>
        <v>5.9984999999999999</v>
      </c>
      <c r="G319" s="61">
        <f>5.9987 * CHOOSE(CONTROL!$C$22, $C$13, 100%, $E$13)</f>
        <v>5.9987000000000004</v>
      </c>
      <c r="H319" s="61">
        <f>10.7447* CHOOSE(CONTROL!$C$22, $C$13, 100%, $E$13)</f>
        <v>10.7447</v>
      </c>
      <c r="I319" s="61">
        <f>10.7448 * CHOOSE(CONTROL!$C$22, $C$13, 100%, $E$13)</f>
        <v>10.7448</v>
      </c>
      <c r="J319" s="61">
        <f>5.9985 * CHOOSE(CONTROL!$C$22, $C$13, 100%, $E$13)</f>
        <v>5.9984999999999999</v>
      </c>
      <c r="K319" s="61">
        <f>5.9987 * CHOOSE(CONTROL!$C$22, $C$13, 100%, $E$13)</f>
        <v>5.9987000000000004</v>
      </c>
    </row>
    <row r="320" spans="1:11" ht="15">
      <c r="A320" s="13">
        <v>51592</v>
      </c>
      <c r="B320" s="60">
        <f>5.2249 * CHOOSE(CONTROL!$C$22, $C$13, 100%, $E$13)</f>
        <v>5.2248999999999999</v>
      </c>
      <c r="C320" s="60">
        <f>5.2249 * CHOOSE(CONTROL!$C$22, $C$13, 100%, $E$13)</f>
        <v>5.2248999999999999</v>
      </c>
      <c r="D320" s="60">
        <f>5.2375 * CHOOSE(CONTROL!$C$22, $C$13, 100%, $E$13)</f>
        <v>5.2374999999999998</v>
      </c>
      <c r="E320" s="61">
        <f>6.0499 * CHOOSE(CONTROL!$C$22, $C$13, 100%, $E$13)</f>
        <v>6.0499000000000001</v>
      </c>
      <c r="F320" s="61">
        <f>6.0499 * CHOOSE(CONTROL!$C$22, $C$13, 100%, $E$13)</f>
        <v>6.0499000000000001</v>
      </c>
      <c r="G320" s="61">
        <f>6.0501 * CHOOSE(CONTROL!$C$22, $C$13, 100%, $E$13)</f>
        <v>6.0500999999999996</v>
      </c>
      <c r="H320" s="61">
        <f>10.767* CHOOSE(CONTROL!$C$22, $C$13, 100%, $E$13)</f>
        <v>10.766999999999999</v>
      </c>
      <c r="I320" s="61">
        <f>10.7672 * CHOOSE(CONTROL!$C$22, $C$13, 100%, $E$13)</f>
        <v>10.767200000000001</v>
      </c>
      <c r="J320" s="61">
        <f>6.0499 * CHOOSE(CONTROL!$C$22, $C$13, 100%, $E$13)</f>
        <v>6.0499000000000001</v>
      </c>
      <c r="K320" s="61">
        <f>6.0501 * CHOOSE(CONTROL!$C$22, $C$13, 100%, $E$13)</f>
        <v>6.0500999999999996</v>
      </c>
    </row>
    <row r="321" spans="1:11" ht="15">
      <c r="A321" s="13">
        <v>51622</v>
      </c>
      <c r="B321" s="60">
        <f>5.2249 * CHOOSE(CONTROL!$C$22, $C$13, 100%, $E$13)</f>
        <v>5.2248999999999999</v>
      </c>
      <c r="C321" s="60">
        <f>5.2249 * CHOOSE(CONTROL!$C$22, $C$13, 100%, $E$13)</f>
        <v>5.2248999999999999</v>
      </c>
      <c r="D321" s="60">
        <f>5.25 * CHOOSE(CONTROL!$C$22, $C$13, 100%, $E$13)</f>
        <v>5.25</v>
      </c>
      <c r="E321" s="61">
        <f>6.0707 * CHOOSE(CONTROL!$C$22, $C$13, 100%, $E$13)</f>
        <v>6.0707000000000004</v>
      </c>
      <c r="F321" s="61">
        <f>6.0707 * CHOOSE(CONTROL!$C$22, $C$13, 100%, $E$13)</f>
        <v>6.0707000000000004</v>
      </c>
      <c r="G321" s="61">
        <f>6.0723 * CHOOSE(CONTROL!$C$22, $C$13, 100%, $E$13)</f>
        <v>6.0723000000000003</v>
      </c>
      <c r="H321" s="61">
        <f>10.7895* CHOOSE(CONTROL!$C$22, $C$13, 100%, $E$13)</f>
        <v>10.7895</v>
      </c>
      <c r="I321" s="61">
        <f>10.7911 * CHOOSE(CONTROL!$C$22, $C$13, 100%, $E$13)</f>
        <v>10.7911</v>
      </c>
      <c r="J321" s="61">
        <f>6.0707 * CHOOSE(CONTROL!$C$22, $C$13, 100%, $E$13)</f>
        <v>6.0707000000000004</v>
      </c>
      <c r="K321" s="61">
        <f>6.0723 * CHOOSE(CONTROL!$C$22, $C$13, 100%, $E$13)</f>
        <v>6.0723000000000003</v>
      </c>
    </row>
    <row r="322" spans="1:11" ht="15">
      <c r="A322" s="13">
        <v>51653</v>
      </c>
      <c r="B322" s="60">
        <f>5.231 * CHOOSE(CONTROL!$C$22, $C$13, 100%, $E$13)</f>
        <v>5.2309999999999999</v>
      </c>
      <c r="C322" s="60">
        <f>5.231 * CHOOSE(CONTROL!$C$22, $C$13, 100%, $E$13)</f>
        <v>5.2309999999999999</v>
      </c>
      <c r="D322" s="60">
        <f>5.2561 * CHOOSE(CONTROL!$C$22, $C$13, 100%, $E$13)</f>
        <v>5.2561</v>
      </c>
      <c r="E322" s="61">
        <f>6.0541 * CHOOSE(CONTROL!$C$22, $C$13, 100%, $E$13)</f>
        <v>6.0541</v>
      </c>
      <c r="F322" s="61">
        <f>6.0541 * CHOOSE(CONTROL!$C$22, $C$13, 100%, $E$13)</f>
        <v>6.0541</v>
      </c>
      <c r="G322" s="61">
        <f>6.0557 * CHOOSE(CONTROL!$C$22, $C$13, 100%, $E$13)</f>
        <v>6.0556999999999999</v>
      </c>
      <c r="H322" s="61">
        <f>10.812* CHOOSE(CONTROL!$C$22, $C$13, 100%, $E$13)</f>
        <v>10.811999999999999</v>
      </c>
      <c r="I322" s="61">
        <f>10.8136 * CHOOSE(CONTROL!$C$22, $C$13, 100%, $E$13)</f>
        <v>10.813599999999999</v>
      </c>
      <c r="J322" s="61">
        <f>6.0541 * CHOOSE(CONTROL!$C$22, $C$13, 100%, $E$13)</f>
        <v>6.0541</v>
      </c>
      <c r="K322" s="61">
        <f>6.0557 * CHOOSE(CONTROL!$C$22, $C$13, 100%, $E$13)</f>
        <v>6.0556999999999999</v>
      </c>
    </row>
    <row r="323" spans="1:11" ht="15">
      <c r="A323" s="13">
        <v>51683</v>
      </c>
      <c r="B323" s="60">
        <f>5.3201 * CHOOSE(CONTROL!$C$22, $C$13, 100%, $E$13)</f>
        <v>5.3201000000000001</v>
      </c>
      <c r="C323" s="60">
        <f>5.3201 * CHOOSE(CONTROL!$C$22, $C$13, 100%, $E$13)</f>
        <v>5.3201000000000001</v>
      </c>
      <c r="D323" s="60">
        <f>5.3452 * CHOOSE(CONTROL!$C$22, $C$13, 100%, $E$13)</f>
        <v>5.3452000000000002</v>
      </c>
      <c r="E323" s="61">
        <f>6.1755 * CHOOSE(CONTROL!$C$22, $C$13, 100%, $E$13)</f>
        <v>6.1755000000000004</v>
      </c>
      <c r="F323" s="61">
        <f>6.1755 * CHOOSE(CONTROL!$C$22, $C$13, 100%, $E$13)</f>
        <v>6.1755000000000004</v>
      </c>
      <c r="G323" s="61">
        <f>6.1771 * CHOOSE(CONTROL!$C$22, $C$13, 100%, $E$13)</f>
        <v>6.1771000000000003</v>
      </c>
      <c r="H323" s="61">
        <f>10.8345* CHOOSE(CONTROL!$C$22, $C$13, 100%, $E$13)</f>
        <v>10.8345</v>
      </c>
      <c r="I323" s="61">
        <f>10.8361 * CHOOSE(CONTROL!$C$22, $C$13, 100%, $E$13)</f>
        <v>10.8361</v>
      </c>
      <c r="J323" s="61">
        <f>6.1755 * CHOOSE(CONTROL!$C$22, $C$13, 100%, $E$13)</f>
        <v>6.1755000000000004</v>
      </c>
      <c r="K323" s="61">
        <f>6.1771 * CHOOSE(CONTROL!$C$22, $C$13, 100%, $E$13)</f>
        <v>6.1771000000000003</v>
      </c>
    </row>
    <row r="324" spans="1:11" ht="15">
      <c r="A324" s="13">
        <v>51714</v>
      </c>
      <c r="B324" s="60">
        <f>5.3268 * CHOOSE(CONTROL!$C$22, $C$13, 100%, $E$13)</f>
        <v>5.3268000000000004</v>
      </c>
      <c r="C324" s="60">
        <f>5.3268 * CHOOSE(CONTROL!$C$22, $C$13, 100%, $E$13)</f>
        <v>5.3268000000000004</v>
      </c>
      <c r="D324" s="60">
        <f>5.3518 * CHOOSE(CONTROL!$C$22, $C$13, 100%, $E$13)</f>
        <v>5.3517999999999999</v>
      </c>
      <c r="E324" s="61">
        <f>6.1176 * CHOOSE(CONTROL!$C$22, $C$13, 100%, $E$13)</f>
        <v>6.1176000000000004</v>
      </c>
      <c r="F324" s="61">
        <f>6.1176 * CHOOSE(CONTROL!$C$22, $C$13, 100%, $E$13)</f>
        <v>6.1176000000000004</v>
      </c>
      <c r="G324" s="61">
        <f>6.1192 * CHOOSE(CONTROL!$C$22, $C$13, 100%, $E$13)</f>
        <v>6.1192000000000002</v>
      </c>
      <c r="H324" s="61">
        <f>10.8571* CHOOSE(CONTROL!$C$22, $C$13, 100%, $E$13)</f>
        <v>10.857100000000001</v>
      </c>
      <c r="I324" s="61">
        <f>10.8587 * CHOOSE(CONTROL!$C$22, $C$13, 100%, $E$13)</f>
        <v>10.858700000000001</v>
      </c>
      <c r="J324" s="61">
        <f>6.1176 * CHOOSE(CONTROL!$C$22, $C$13, 100%, $E$13)</f>
        <v>6.1176000000000004</v>
      </c>
      <c r="K324" s="61">
        <f>6.1192 * CHOOSE(CONTROL!$C$22, $C$13, 100%, $E$13)</f>
        <v>6.1192000000000002</v>
      </c>
    </row>
    <row r="325" spans="1:11" ht="15">
      <c r="A325" s="13">
        <v>51745</v>
      </c>
      <c r="B325" s="60">
        <f>5.3237 * CHOOSE(CONTROL!$C$22, $C$13, 100%, $E$13)</f>
        <v>5.3236999999999997</v>
      </c>
      <c r="C325" s="60">
        <f>5.3237 * CHOOSE(CONTROL!$C$22, $C$13, 100%, $E$13)</f>
        <v>5.3236999999999997</v>
      </c>
      <c r="D325" s="60">
        <f>5.3488 * CHOOSE(CONTROL!$C$22, $C$13, 100%, $E$13)</f>
        <v>5.3487999999999998</v>
      </c>
      <c r="E325" s="61">
        <f>6.1085 * CHOOSE(CONTROL!$C$22, $C$13, 100%, $E$13)</f>
        <v>6.1085000000000003</v>
      </c>
      <c r="F325" s="61">
        <f>6.1085 * CHOOSE(CONTROL!$C$22, $C$13, 100%, $E$13)</f>
        <v>6.1085000000000003</v>
      </c>
      <c r="G325" s="61">
        <f>6.1101 * CHOOSE(CONTROL!$C$22, $C$13, 100%, $E$13)</f>
        <v>6.1101000000000001</v>
      </c>
      <c r="H325" s="61">
        <f>10.8797* CHOOSE(CONTROL!$C$22, $C$13, 100%, $E$13)</f>
        <v>10.8797</v>
      </c>
      <c r="I325" s="61">
        <f>10.8813 * CHOOSE(CONTROL!$C$22, $C$13, 100%, $E$13)</f>
        <v>10.8813</v>
      </c>
      <c r="J325" s="61">
        <f>6.1085 * CHOOSE(CONTROL!$C$22, $C$13, 100%, $E$13)</f>
        <v>6.1085000000000003</v>
      </c>
      <c r="K325" s="61">
        <f>6.1101 * CHOOSE(CONTROL!$C$22, $C$13, 100%, $E$13)</f>
        <v>6.1101000000000001</v>
      </c>
    </row>
    <row r="326" spans="1:11" ht="15">
      <c r="A326" s="13">
        <v>51775</v>
      </c>
      <c r="B326" s="60">
        <f>5.3234 * CHOOSE(CONTROL!$C$22, $C$13, 100%, $E$13)</f>
        <v>5.3234000000000004</v>
      </c>
      <c r="C326" s="60">
        <f>5.3234 * CHOOSE(CONTROL!$C$22, $C$13, 100%, $E$13)</f>
        <v>5.3234000000000004</v>
      </c>
      <c r="D326" s="60">
        <f>5.336 * CHOOSE(CONTROL!$C$22, $C$13, 100%, $E$13)</f>
        <v>5.3360000000000003</v>
      </c>
      <c r="E326" s="61">
        <f>6.1229 * CHOOSE(CONTROL!$C$22, $C$13, 100%, $E$13)</f>
        <v>6.1228999999999996</v>
      </c>
      <c r="F326" s="61">
        <f>6.1229 * CHOOSE(CONTROL!$C$22, $C$13, 100%, $E$13)</f>
        <v>6.1228999999999996</v>
      </c>
      <c r="G326" s="61">
        <f>6.1231 * CHOOSE(CONTROL!$C$22, $C$13, 100%, $E$13)</f>
        <v>6.1231</v>
      </c>
      <c r="H326" s="61">
        <f>10.9023* CHOOSE(CONTROL!$C$22, $C$13, 100%, $E$13)</f>
        <v>10.9023</v>
      </c>
      <c r="I326" s="61">
        <f>10.9025 * CHOOSE(CONTROL!$C$22, $C$13, 100%, $E$13)</f>
        <v>10.9025</v>
      </c>
      <c r="J326" s="61">
        <f>6.1229 * CHOOSE(CONTROL!$C$22, $C$13, 100%, $E$13)</f>
        <v>6.1228999999999996</v>
      </c>
      <c r="K326" s="61">
        <f>6.1231 * CHOOSE(CONTROL!$C$22, $C$13, 100%, $E$13)</f>
        <v>6.1231</v>
      </c>
    </row>
    <row r="327" spans="1:11" ht="15">
      <c r="A327" s="13">
        <v>51806</v>
      </c>
      <c r="B327" s="60">
        <f>5.3265 * CHOOSE(CONTROL!$C$22, $C$13, 100%, $E$13)</f>
        <v>5.3265000000000002</v>
      </c>
      <c r="C327" s="60">
        <f>5.3265 * CHOOSE(CONTROL!$C$22, $C$13, 100%, $E$13)</f>
        <v>5.3265000000000002</v>
      </c>
      <c r="D327" s="60">
        <f>5.339 * CHOOSE(CONTROL!$C$22, $C$13, 100%, $E$13)</f>
        <v>5.3390000000000004</v>
      </c>
      <c r="E327" s="61">
        <f>6.1389 * CHOOSE(CONTROL!$C$22, $C$13, 100%, $E$13)</f>
        <v>6.1388999999999996</v>
      </c>
      <c r="F327" s="61">
        <f>6.1389 * CHOOSE(CONTROL!$C$22, $C$13, 100%, $E$13)</f>
        <v>6.1388999999999996</v>
      </c>
      <c r="G327" s="61">
        <f>6.1391 * CHOOSE(CONTROL!$C$22, $C$13, 100%, $E$13)</f>
        <v>6.1391</v>
      </c>
      <c r="H327" s="61">
        <f>10.9251* CHOOSE(CONTROL!$C$22, $C$13, 100%, $E$13)</f>
        <v>10.9251</v>
      </c>
      <c r="I327" s="61">
        <f>10.9252 * CHOOSE(CONTROL!$C$22, $C$13, 100%, $E$13)</f>
        <v>10.9252</v>
      </c>
      <c r="J327" s="61">
        <f>6.1389 * CHOOSE(CONTROL!$C$22, $C$13, 100%, $E$13)</f>
        <v>6.1388999999999996</v>
      </c>
      <c r="K327" s="61">
        <f>6.1391 * CHOOSE(CONTROL!$C$22, $C$13, 100%, $E$13)</f>
        <v>6.1391</v>
      </c>
    </row>
    <row r="328" spans="1:11" ht="15">
      <c r="A328" s="13">
        <v>51836</v>
      </c>
      <c r="B328" s="60">
        <f>5.3265 * CHOOSE(CONTROL!$C$22, $C$13, 100%, $E$13)</f>
        <v>5.3265000000000002</v>
      </c>
      <c r="C328" s="60">
        <f>5.3265 * CHOOSE(CONTROL!$C$22, $C$13, 100%, $E$13)</f>
        <v>5.3265000000000002</v>
      </c>
      <c r="D328" s="60">
        <f>5.339 * CHOOSE(CONTROL!$C$22, $C$13, 100%, $E$13)</f>
        <v>5.3390000000000004</v>
      </c>
      <c r="E328" s="61">
        <f>6.1042 * CHOOSE(CONTROL!$C$22, $C$13, 100%, $E$13)</f>
        <v>6.1041999999999996</v>
      </c>
      <c r="F328" s="61">
        <f>6.1042 * CHOOSE(CONTROL!$C$22, $C$13, 100%, $E$13)</f>
        <v>6.1041999999999996</v>
      </c>
      <c r="G328" s="61">
        <f>6.1044 * CHOOSE(CONTROL!$C$22, $C$13, 100%, $E$13)</f>
        <v>6.1044</v>
      </c>
      <c r="H328" s="61">
        <f>10.9478* CHOOSE(CONTROL!$C$22, $C$13, 100%, $E$13)</f>
        <v>10.947800000000001</v>
      </c>
      <c r="I328" s="61">
        <f>10.948 * CHOOSE(CONTROL!$C$22, $C$13, 100%, $E$13)</f>
        <v>10.948</v>
      </c>
      <c r="J328" s="61">
        <f>6.1042 * CHOOSE(CONTROL!$C$22, $C$13, 100%, $E$13)</f>
        <v>6.1041999999999996</v>
      </c>
      <c r="K328" s="61">
        <f>6.1044 * CHOOSE(CONTROL!$C$22, $C$13, 100%, $E$13)</f>
        <v>6.1044</v>
      </c>
    </row>
    <row r="329" spans="1:11" ht="15">
      <c r="A329" s="13">
        <v>51867</v>
      </c>
      <c r="B329" s="60">
        <f>5.375 * CHOOSE(CONTROL!$C$22, $C$13, 100%, $E$13)</f>
        <v>5.375</v>
      </c>
      <c r="C329" s="60">
        <f>5.375 * CHOOSE(CONTROL!$C$22, $C$13, 100%, $E$13)</f>
        <v>5.375</v>
      </c>
      <c r="D329" s="60">
        <f>5.3876 * CHOOSE(CONTROL!$C$22, $C$13, 100%, $E$13)</f>
        <v>5.3875999999999999</v>
      </c>
      <c r="E329" s="61">
        <f>6.1849 * CHOOSE(CONTROL!$C$22, $C$13, 100%, $E$13)</f>
        <v>6.1848999999999998</v>
      </c>
      <c r="F329" s="61">
        <f>6.1849 * CHOOSE(CONTROL!$C$22, $C$13, 100%, $E$13)</f>
        <v>6.1848999999999998</v>
      </c>
      <c r="G329" s="61">
        <f>6.1851 * CHOOSE(CONTROL!$C$22, $C$13, 100%, $E$13)</f>
        <v>6.1851000000000003</v>
      </c>
      <c r="H329" s="61">
        <f>10.9706* CHOOSE(CONTROL!$C$22, $C$13, 100%, $E$13)</f>
        <v>10.970599999999999</v>
      </c>
      <c r="I329" s="61">
        <f>10.9708 * CHOOSE(CONTROL!$C$22, $C$13, 100%, $E$13)</f>
        <v>10.970800000000001</v>
      </c>
      <c r="J329" s="61">
        <f>6.1849 * CHOOSE(CONTROL!$C$22, $C$13, 100%, $E$13)</f>
        <v>6.1848999999999998</v>
      </c>
      <c r="K329" s="61">
        <f>6.1851 * CHOOSE(CONTROL!$C$22, $C$13, 100%, $E$13)</f>
        <v>6.1851000000000003</v>
      </c>
    </row>
    <row r="330" spans="1:11" ht="15">
      <c r="A330" s="13">
        <v>51898</v>
      </c>
      <c r="B330" s="60">
        <f>5.372 * CHOOSE(CONTROL!$C$22, $C$13, 100%, $E$13)</f>
        <v>5.3719999999999999</v>
      </c>
      <c r="C330" s="60">
        <f>5.372 * CHOOSE(CONTROL!$C$22, $C$13, 100%, $E$13)</f>
        <v>5.3719999999999999</v>
      </c>
      <c r="D330" s="60">
        <f>5.3845 * CHOOSE(CONTROL!$C$22, $C$13, 100%, $E$13)</f>
        <v>5.3845000000000001</v>
      </c>
      <c r="E330" s="61">
        <f>6.1153 * CHOOSE(CONTROL!$C$22, $C$13, 100%, $E$13)</f>
        <v>6.1153000000000004</v>
      </c>
      <c r="F330" s="61">
        <f>6.1153 * CHOOSE(CONTROL!$C$22, $C$13, 100%, $E$13)</f>
        <v>6.1153000000000004</v>
      </c>
      <c r="G330" s="61">
        <f>6.1154 * CHOOSE(CONTROL!$C$22, $C$13, 100%, $E$13)</f>
        <v>6.1154000000000002</v>
      </c>
      <c r="H330" s="61">
        <f>10.9935* CHOOSE(CONTROL!$C$22, $C$13, 100%, $E$13)</f>
        <v>10.993499999999999</v>
      </c>
      <c r="I330" s="61">
        <f>10.9937 * CHOOSE(CONTROL!$C$22, $C$13, 100%, $E$13)</f>
        <v>10.9937</v>
      </c>
      <c r="J330" s="61">
        <f>6.1153 * CHOOSE(CONTROL!$C$22, $C$13, 100%, $E$13)</f>
        <v>6.1153000000000004</v>
      </c>
      <c r="K330" s="61">
        <f>6.1154 * CHOOSE(CONTROL!$C$22, $C$13, 100%, $E$13)</f>
        <v>6.1154000000000002</v>
      </c>
    </row>
    <row r="331" spans="1:11" ht="15">
      <c r="A331" s="13">
        <v>51926</v>
      </c>
      <c r="B331" s="60">
        <f>5.369 * CHOOSE(CONTROL!$C$22, $C$13, 100%, $E$13)</f>
        <v>5.3689999999999998</v>
      </c>
      <c r="C331" s="60">
        <f>5.369 * CHOOSE(CONTROL!$C$22, $C$13, 100%, $E$13)</f>
        <v>5.3689999999999998</v>
      </c>
      <c r="D331" s="60">
        <f>5.3815 * CHOOSE(CONTROL!$C$22, $C$13, 100%, $E$13)</f>
        <v>5.3815</v>
      </c>
      <c r="E331" s="61">
        <f>6.1664 * CHOOSE(CONTROL!$C$22, $C$13, 100%, $E$13)</f>
        <v>6.1664000000000003</v>
      </c>
      <c r="F331" s="61">
        <f>6.1664 * CHOOSE(CONTROL!$C$22, $C$13, 100%, $E$13)</f>
        <v>6.1664000000000003</v>
      </c>
      <c r="G331" s="61">
        <f>6.1665 * CHOOSE(CONTROL!$C$22, $C$13, 100%, $E$13)</f>
        <v>6.1665000000000001</v>
      </c>
      <c r="H331" s="61">
        <f>11.0164* CHOOSE(CONTROL!$C$22, $C$13, 100%, $E$13)</f>
        <v>11.016400000000001</v>
      </c>
      <c r="I331" s="61">
        <f>11.0166 * CHOOSE(CONTROL!$C$22, $C$13, 100%, $E$13)</f>
        <v>11.0166</v>
      </c>
      <c r="J331" s="61">
        <f>6.1664 * CHOOSE(CONTROL!$C$22, $C$13, 100%, $E$13)</f>
        <v>6.1664000000000003</v>
      </c>
      <c r="K331" s="61">
        <f>6.1665 * CHOOSE(CONTROL!$C$22, $C$13, 100%, $E$13)</f>
        <v>6.1665000000000001</v>
      </c>
    </row>
    <row r="332" spans="1:11" ht="15">
      <c r="A332" s="13">
        <v>51957</v>
      </c>
      <c r="B332" s="60">
        <f>5.3679 * CHOOSE(CONTROL!$C$22, $C$13, 100%, $E$13)</f>
        <v>5.3678999999999997</v>
      </c>
      <c r="C332" s="60">
        <f>5.3679 * CHOOSE(CONTROL!$C$22, $C$13, 100%, $E$13)</f>
        <v>5.3678999999999997</v>
      </c>
      <c r="D332" s="60">
        <f>5.3804 * CHOOSE(CONTROL!$C$22, $C$13, 100%, $E$13)</f>
        <v>5.3803999999999998</v>
      </c>
      <c r="E332" s="61">
        <f>6.2193 * CHOOSE(CONTROL!$C$22, $C$13, 100%, $E$13)</f>
        <v>6.2192999999999996</v>
      </c>
      <c r="F332" s="61">
        <f>6.2193 * CHOOSE(CONTROL!$C$22, $C$13, 100%, $E$13)</f>
        <v>6.2192999999999996</v>
      </c>
      <c r="G332" s="61">
        <f>6.2195 * CHOOSE(CONTROL!$C$22, $C$13, 100%, $E$13)</f>
        <v>6.2195</v>
      </c>
      <c r="H332" s="61">
        <f>11.0393* CHOOSE(CONTROL!$C$22, $C$13, 100%, $E$13)</f>
        <v>11.039300000000001</v>
      </c>
      <c r="I332" s="61">
        <f>11.0395 * CHOOSE(CONTROL!$C$22, $C$13, 100%, $E$13)</f>
        <v>11.0395</v>
      </c>
      <c r="J332" s="61">
        <f>6.2193 * CHOOSE(CONTROL!$C$22, $C$13, 100%, $E$13)</f>
        <v>6.2192999999999996</v>
      </c>
      <c r="K332" s="61">
        <f>6.2195 * CHOOSE(CONTROL!$C$22, $C$13, 100%, $E$13)</f>
        <v>6.2195</v>
      </c>
    </row>
    <row r="333" spans="1:11" ht="15">
      <c r="A333" s="13">
        <v>51987</v>
      </c>
      <c r="B333" s="60">
        <f>5.3679 * CHOOSE(CONTROL!$C$22, $C$13, 100%, $E$13)</f>
        <v>5.3678999999999997</v>
      </c>
      <c r="C333" s="60">
        <f>5.3679 * CHOOSE(CONTROL!$C$22, $C$13, 100%, $E$13)</f>
        <v>5.3678999999999997</v>
      </c>
      <c r="D333" s="60">
        <f>5.393 * CHOOSE(CONTROL!$C$22, $C$13, 100%, $E$13)</f>
        <v>5.3929999999999998</v>
      </c>
      <c r="E333" s="61">
        <f>6.2407 * CHOOSE(CONTROL!$C$22, $C$13, 100%, $E$13)</f>
        <v>6.2407000000000004</v>
      </c>
      <c r="F333" s="61">
        <f>6.2407 * CHOOSE(CONTROL!$C$22, $C$13, 100%, $E$13)</f>
        <v>6.2407000000000004</v>
      </c>
      <c r="G333" s="61">
        <f>6.2423 * CHOOSE(CONTROL!$C$22, $C$13, 100%, $E$13)</f>
        <v>6.2423000000000002</v>
      </c>
      <c r="H333" s="61">
        <f>11.0623* CHOOSE(CONTROL!$C$22, $C$13, 100%, $E$13)</f>
        <v>11.0623</v>
      </c>
      <c r="I333" s="61">
        <f>11.0639 * CHOOSE(CONTROL!$C$22, $C$13, 100%, $E$13)</f>
        <v>11.0639</v>
      </c>
      <c r="J333" s="61">
        <f>6.2407 * CHOOSE(CONTROL!$C$22, $C$13, 100%, $E$13)</f>
        <v>6.2407000000000004</v>
      </c>
      <c r="K333" s="61">
        <f>6.2423 * CHOOSE(CONTROL!$C$22, $C$13, 100%, $E$13)</f>
        <v>6.2423000000000002</v>
      </c>
    </row>
    <row r="334" spans="1:11" ht="15">
      <c r="A334" s="13">
        <v>52018</v>
      </c>
      <c r="B334" s="60">
        <f>5.3739 * CHOOSE(CONTROL!$C$22, $C$13, 100%, $E$13)</f>
        <v>5.3738999999999999</v>
      </c>
      <c r="C334" s="60">
        <f>5.3739 * CHOOSE(CONTROL!$C$22, $C$13, 100%, $E$13)</f>
        <v>5.3738999999999999</v>
      </c>
      <c r="D334" s="60">
        <f>5.399 * CHOOSE(CONTROL!$C$22, $C$13, 100%, $E$13)</f>
        <v>5.399</v>
      </c>
      <c r="E334" s="61">
        <f>6.2235 * CHOOSE(CONTROL!$C$22, $C$13, 100%, $E$13)</f>
        <v>6.2234999999999996</v>
      </c>
      <c r="F334" s="61">
        <f>6.2235 * CHOOSE(CONTROL!$C$22, $C$13, 100%, $E$13)</f>
        <v>6.2234999999999996</v>
      </c>
      <c r="G334" s="61">
        <f>6.2251 * CHOOSE(CONTROL!$C$22, $C$13, 100%, $E$13)</f>
        <v>6.2251000000000003</v>
      </c>
      <c r="H334" s="61">
        <f>11.0854* CHOOSE(CONTROL!$C$22, $C$13, 100%, $E$13)</f>
        <v>11.0854</v>
      </c>
      <c r="I334" s="61">
        <f>11.087 * CHOOSE(CONTROL!$C$22, $C$13, 100%, $E$13)</f>
        <v>11.087</v>
      </c>
      <c r="J334" s="61">
        <f>6.2235 * CHOOSE(CONTROL!$C$22, $C$13, 100%, $E$13)</f>
        <v>6.2234999999999996</v>
      </c>
      <c r="K334" s="61">
        <f>6.2251 * CHOOSE(CONTROL!$C$22, $C$13, 100%, $E$13)</f>
        <v>6.2251000000000003</v>
      </c>
    </row>
    <row r="335" spans="1:11" ht="15">
      <c r="A335" s="13">
        <v>52048</v>
      </c>
      <c r="B335" s="60">
        <f>5.4644 * CHOOSE(CONTROL!$C$22, $C$13, 100%, $E$13)</f>
        <v>5.4644000000000004</v>
      </c>
      <c r="C335" s="60">
        <f>5.4644 * CHOOSE(CONTROL!$C$22, $C$13, 100%, $E$13)</f>
        <v>5.4644000000000004</v>
      </c>
      <c r="D335" s="60">
        <f>5.4895 * CHOOSE(CONTROL!$C$22, $C$13, 100%, $E$13)</f>
        <v>5.4894999999999996</v>
      </c>
      <c r="E335" s="61">
        <f>6.3483 * CHOOSE(CONTROL!$C$22, $C$13, 100%, $E$13)</f>
        <v>6.3483000000000001</v>
      </c>
      <c r="F335" s="61">
        <f>6.3483 * CHOOSE(CONTROL!$C$22, $C$13, 100%, $E$13)</f>
        <v>6.3483000000000001</v>
      </c>
      <c r="G335" s="61">
        <f>6.3499 * CHOOSE(CONTROL!$C$22, $C$13, 100%, $E$13)</f>
        <v>6.3498999999999999</v>
      </c>
      <c r="H335" s="61">
        <f>11.1085* CHOOSE(CONTROL!$C$22, $C$13, 100%, $E$13)</f>
        <v>11.108499999999999</v>
      </c>
      <c r="I335" s="61">
        <f>11.1101 * CHOOSE(CONTROL!$C$22, $C$13, 100%, $E$13)</f>
        <v>11.110099999999999</v>
      </c>
      <c r="J335" s="61">
        <f>6.3483 * CHOOSE(CONTROL!$C$22, $C$13, 100%, $E$13)</f>
        <v>6.3483000000000001</v>
      </c>
      <c r="K335" s="61">
        <f>6.3499 * CHOOSE(CONTROL!$C$22, $C$13, 100%, $E$13)</f>
        <v>6.3498999999999999</v>
      </c>
    </row>
    <row r="336" spans="1:11" ht="15">
      <c r="A336" s="13">
        <v>52079</v>
      </c>
      <c r="B336" s="60">
        <f>5.4711 * CHOOSE(CONTROL!$C$22, $C$13, 100%, $E$13)</f>
        <v>5.4710999999999999</v>
      </c>
      <c r="C336" s="60">
        <f>5.4711 * CHOOSE(CONTROL!$C$22, $C$13, 100%, $E$13)</f>
        <v>5.4710999999999999</v>
      </c>
      <c r="D336" s="60">
        <f>5.4961 * CHOOSE(CONTROL!$C$22, $C$13, 100%, $E$13)</f>
        <v>5.4961000000000002</v>
      </c>
      <c r="E336" s="61">
        <f>6.2886 * CHOOSE(CONTROL!$C$22, $C$13, 100%, $E$13)</f>
        <v>6.2885999999999997</v>
      </c>
      <c r="F336" s="61">
        <f>6.2886 * CHOOSE(CONTROL!$C$22, $C$13, 100%, $E$13)</f>
        <v>6.2885999999999997</v>
      </c>
      <c r="G336" s="61">
        <f>6.2902 * CHOOSE(CONTROL!$C$22, $C$13, 100%, $E$13)</f>
        <v>6.2901999999999996</v>
      </c>
      <c r="H336" s="61">
        <f>11.1316* CHOOSE(CONTROL!$C$22, $C$13, 100%, $E$13)</f>
        <v>11.131600000000001</v>
      </c>
      <c r="I336" s="61">
        <f>11.1332 * CHOOSE(CONTROL!$C$22, $C$13, 100%, $E$13)</f>
        <v>11.1332</v>
      </c>
      <c r="J336" s="61">
        <f>6.2886 * CHOOSE(CONTROL!$C$22, $C$13, 100%, $E$13)</f>
        <v>6.2885999999999997</v>
      </c>
      <c r="K336" s="61">
        <f>6.2902 * CHOOSE(CONTROL!$C$22, $C$13, 100%, $E$13)</f>
        <v>6.2901999999999996</v>
      </c>
    </row>
    <row r="337" spans="1:11" ht="15">
      <c r="A337" s="13">
        <v>52110</v>
      </c>
      <c r="B337" s="60">
        <f>5.468 * CHOOSE(CONTROL!$C$22, $C$13, 100%, $E$13)</f>
        <v>5.468</v>
      </c>
      <c r="C337" s="60">
        <f>5.468 * CHOOSE(CONTROL!$C$22, $C$13, 100%, $E$13)</f>
        <v>5.468</v>
      </c>
      <c r="D337" s="60">
        <f>5.4931 * CHOOSE(CONTROL!$C$22, $C$13, 100%, $E$13)</f>
        <v>5.4931000000000001</v>
      </c>
      <c r="E337" s="61">
        <f>6.2794 * CHOOSE(CONTROL!$C$22, $C$13, 100%, $E$13)</f>
        <v>6.2793999999999999</v>
      </c>
      <c r="F337" s="61">
        <f>6.2794 * CHOOSE(CONTROL!$C$22, $C$13, 100%, $E$13)</f>
        <v>6.2793999999999999</v>
      </c>
      <c r="G337" s="61">
        <f>6.281 * CHOOSE(CONTROL!$C$22, $C$13, 100%, $E$13)</f>
        <v>6.2809999999999997</v>
      </c>
      <c r="H337" s="61">
        <f>11.1548* CHOOSE(CONTROL!$C$22, $C$13, 100%, $E$13)</f>
        <v>11.1548</v>
      </c>
      <c r="I337" s="61">
        <f>11.1564 * CHOOSE(CONTROL!$C$22, $C$13, 100%, $E$13)</f>
        <v>11.1564</v>
      </c>
      <c r="J337" s="61">
        <f>6.2794 * CHOOSE(CONTROL!$C$22, $C$13, 100%, $E$13)</f>
        <v>6.2793999999999999</v>
      </c>
      <c r="K337" s="61">
        <f>6.281 * CHOOSE(CONTROL!$C$22, $C$13, 100%, $E$13)</f>
        <v>6.2809999999999997</v>
      </c>
    </row>
    <row r="338" spans="1:11" ht="15">
      <c r="A338" s="13">
        <v>52140</v>
      </c>
      <c r="B338" s="60">
        <f>5.4682 * CHOOSE(CONTROL!$C$22, $C$13, 100%, $E$13)</f>
        <v>5.4682000000000004</v>
      </c>
      <c r="C338" s="60">
        <f>5.4682 * CHOOSE(CONTROL!$C$22, $C$13, 100%, $E$13)</f>
        <v>5.4682000000000004</v>
      </c>
      <c r="D338" s="60">
        <f>5.4808 * CHOOSE(CONTROL!$C$22, $C$13, 100%, $E$13)</f>
        <v>5.4808000000000003</v>
      </c>
      <c r="E338" s="61">
        <f>6.2945 * CHOOSE(CONTROL!$C$22, $C$13, 100%, $E$13)</f>
        <v>6.2945000000000002</v>
      </c>
      <c r="F338" s="61">
        <f>6.2945 * CHOOSE(CONTROL!$C$22, $C$13, 100%, $E$13)</f>
        <v>6.2945000000000002</v>
      </c>
      <c r="G338" s="61">
        <f>6.2947 * CHOOSE(CONTROL!$C$22, $C$13, 100%, $E$13)</f>
        <v>6.2946999999999997</v>
      </c>
      <c r="H338" s="61">
        <f>11.178* CHOOSE(CONTROL!$C$22, $C$13, 100%, $E$13)</f>
        <v>11.178000000000001</v>
      </c>
      <c r="I338" s="61">
        <f>11.1782 * CHOOSE(CONTROL!$C$22, $C$13, 100%, $E$13)</f>
        <v>11.1782</v>
      </c>
      <c r="J338" s="61">
        <f>6.2945 * CHOOSE(CONTROL!$C$22, $C$13, 100%, $E$13)</f>
        <v>6.2945000000000002</v>
      </c>
      <c r="K338" s="61">
        <f>6.2947 * CHOOSE(CONTROL!$C$22, $C$13, 100%, $E$13)</f>
        <v>6.2946999999999997</v>
      </c>
    </row>
    <row r="339" spans="1:11" ht="15">
      <c r="A339" s="13">
        <v>52171</v>
      </c>
      <c r="B339" s="60">
        <f>5.4713 * CHOOSE(CONTROL!$C$22, $C$13, 100%, $E$13)</f>
        <v>5.4713000000000003</v>
      </c>
      <c r="C339" s="60">
        <f>5.4713 * CHOOSE(CONTROL!$C$22, $C$13, 100%, $E$13)</f>
        <v>5.4713000000000003</v>
      </c>
      <c r="D339" s="60">
        <f>5.4838 * CHOOSE(CONTROL!$C$22, $C$13, 100%, $E$13)</f>
        <v>5.4837999999999996</v>
      </c>
      <c r="E339" s="61">
        <f>6.311 * CHOOSE(CONTROL!$C$22, $C$13, 100%, $E$13)</f>
        <v>6.3109999999999999</v>
      </c>
      <c r="F339" s="61">
        <f>6.311 * CHOOSE(CONTROL!$C$22, $C$13, 100%, $E$13)</f>
        <v>6.3109999999999999</v>
      </c>
      <c r="G339" s="61">
        <f>6.3111 * CHOOSE(CONTROL!$C$22, $C$13, 100%, $E$13)</f>
        <v>6.3110999999999997</v>
      </c>
      <c r="H339" s="61">
        <f>11.2013* CHOOSE(CONTROL!$C$22, $C$13, 100%, $E$13)</f>
        <v>11.2013</v>
      </c>
      <c r="I339" s="61">
        <f>11.2015 * CHOOSE(CONTROL!$C$22, $C$13, 100%, $E$13)</f>
        <v>11.201499999999999</v>
      </c>
      <c r="J339" s="61">
        <f>6.311 * CHOOSE(CONTROL!$C$22, $C$13, 100%, $E$13)</f>
        <v>6.3109999999999999</v>
      </c>
      <c r="K339" s="61">
        <f>6.3111 * CHOOSE(CONTROL!$C$22, $C$13, 100%, $E$13)</f>
        <v>6.3110999999999997</v>
      </c>
    </row>
    <row r="340" spans="1:11" ht="15">
      <c r="A340" s="13">
        <v>52201</v>
      </c>
      <c r="B340" s="60">
        <f>5.4713 * CHOOSE(CONTROL!$C$22, $C$13, 100%, $E$13)</f>
        <v>5.4713000000000003</v>
      </c>
      <c r="C340" s="60">
        <f>5.4713 * CHOOSE(CONTROL!$C$22, $C$13, 100%, $E$13)</f>
        <v>5.4713000000000003</v>
      </c>
      <c r="D340" s="60">
        <f>5.4838 * CHOOSE(CONTROL!$C$22, $C$13, 100%, $E$13)</f>
        <v>5.4837999999999996</v>
      </c>
      <c r="E340" s="61">
        <f>6.2752 * CHOOSE(CONTROL!$C$22, $C$13, 100%, $E$13)</f>
        <v>6.2751999999999999</v>
      </c>
      <c r="F340" s="61">
        <f>6.2752 * CHOOSE(CONTROL!$C$22, $C$13, 100%, $E$13)</f>
        <v>6.2751999999999999</v>
      </c>
      <c r="G340" s="61">
        <f>6.2754 * CHOOSE(CONTROL!$C$22, $C$13, 100%, $E$13)</f>
        <v>6.2754000000000003</v>
      </c>
      <c r="H340" s="61">
        <f>11.2247* CHOOSE(CONTROL!$C$22, $C$13, 100%, $E$13)</f>
        <v>11.2247</v>
      </c>
      <c r="I340" s="61">
        <f>11.2248 * CHOOSE(CONTROL!$C$22, $C$13, 100%, $E$13)</f>
        <v>11.2248</v>
      </c>
      <c r="J340" s="61">
        <f>6.2752 * CHOOSE(CONTROL!$C$22, $C$13, 100%, $E$13)</f>
        <v>6.2751999999999999</v>
      </c>
      <c r="K340" s="61">
        <f>6.2754 * CHOOSE(CONTROL!$C$22, $C$13, 100%, $E$13)</f>
        <v>6.2754000000000003</v>
      </c>
    </row>
    <row r="341" spans="1:11" ht="15">
      <c r="A341" s="13">
        <v>52232</v>
      </c>
      <c r="B341" s="60">
        <f>5.5212 * CHOOSE(CONTROL!$C$22, $C$13, 100%, $E$13)</f>
        <v>5.5212000000000003</v>
      </c>
      <c r="C341" s="60">
        <f>5.5212 * CHOOSE(CONTROL!$C$22, $C$13, 100%, $E$13)</f>
        <v>5.5212000000000003</v>
      </c>
      <c r="D341" s="60">
        <f>5.5338 * CHOOSE(CONTROL!$C$22, $C$13, 100%, $E$13)</f>
        <v>5.5338000000000003</v>
      </c>
      <c r="E341" s="61">
        <f>6.358 * CHOOSE(CONTROL!$C$22, $C$13, 100%, $E$13)</f>
        <v>6.3579999999999997</v>
      </c>
      <c r="F341" s="61">
        <f>6.358 * CHOOSE(CONTROL!$C$22, $C$13, 100%, $E$13)</f>
        <v>6.3579999999999997</v>
      </c>
      <c r="G341" s="61">
        <f>6.3582 * CHOOSE(CONTROL!$C$22, $C$13, 100%, $E$13)</f>
        <v>6.3582000000000001</v>
      </c>
      <c r="H341" s="61">
        <f>11.2481* CHOOSE(CONTROL!$C$22, $C$13, 100%, $E$13)</f>
        <v>11.248100000000001</v>
      </c>
      <c r="I341" s="61">
        <f>11.2482 * CHOOSE(CONTROL!$C$22, $C$13, 100%, $E$13)</f>
        <v>11.248200000000001</v>
      </c>
      <c r="J341" s="61">
        <f>6.358 * CHOOSE(CONTROL!$C$22, $C$13, 100%, $E$13)</f>
        <v>6.3579999999999997</v>
      </c>
      <c r="K341" s="61">
        <f>6.3582 * CHOOSE(CONTROL!$C$22, $C$13, 100%, $E$13)</f>
        <v>6.3582000000000001</v>
      </c>
    </row>
    <row r="342" spans="1:11" ht="15">
      <c r="A342" s="13">
        <v>52263</v>
      </c>
      <c r="B342" s="60">
        <f>5.5182 * CHOOSE(CONTROL!$C$22, $C$13, 100%, $E$13)</f>
        <v>5.5182000000000002</v>
      </c>
      <c r="C342" s="60">
        <f>5.5182 * CHOOSE(CONTROL!$C$22, $C$13, 100%, $E$13)</f>
        <v>5.5182000000000002</v>
      </c>
      <c r="D342" s="60">
        <f>5.5307 * CHOOSE(CONTROL!$C$22, $C$13, 100%, $E$13)</f>
        <v>5.5307000000000004</v>
      </c>
      <c r="E342" s="61">
        <f>6.2865 * CHOOSE(CONTROL!$C$22, $C$13, 100%, $E$13)</f>
        <v>6.2865000000000002</v>
      </c>
      <c r="F342" s="61">
        <f>6.2865 * CHOOSE(CONTROL!$C$22, $C$13, 100%, $E$13)</f>
        <v>6.2865000000000002</v>
      </c>
      <c r="G342" s="61">
        <f>6.2867 * CHOOSE(CONTROL!$C$22, $C$13, 100%, $E$13)</f>
        <v>6.2866999999999997</v>
      </c>
      <c r="H342" s="61">
        <f>11.2715* CHOOSE(CONTROL!$C$22, $C$13, 100%, $E$13)</f>
        <v>11.2715</v>
      </c>
      <c r="I342" s="61">
        <f>11.2717 * CHOOSE(CONTROL!$C$22, $C$13, 100%, $E$13)</f>
        <v>11.271699999999999</v>
      </c>
      <c r="J342" s="61">
        <f>6.2865 * CHOOSE(CONTROL!$C$22, $C$13, 100%, $E$13)</f>
        <v>6.2865000000000002</v>
      </c>
      <c r="K342" s="61">
        <f>6.2867 * CHOOSE(CONTROL!$C$22, $C$13, 100%, $E$13)</f>
        <v>6.2866999999999997</v>
      </c>
    </row>
    <row r="343" spans="1:11" ht="15">
      <c r="A343" s="13">
        <v>52291</v>
      </c>
      <c r="B343" s="60">
        <f>5.5151 * CHOOSE(CONTROL!$C$22, $C$13, 100%, $E$13)</f>
        <v>5.5151000000000003</v>
      </c>
      <c r="C343" s="60">
        <f>5.5151 * CHOOSE(CONTROL!$C$22, $C$13, 100%, $E$13)</f>
        <v>5.5151000000000003</v>
      </c>
      <c r="D343" s="60">
        <f>5.5277 * CHOOSE(CONTROL!$C$22, $C$13, 100%, $E$13)</f>
        <v>5.5277000000000003</v>
      </c>
      <c r="E343" s="61">
        <f>6.3391 * CHOOSE(CONTROL!$C$22, $C$13, 100%, $E$13)</f>
        <v>6.3391000000000002</v>
      </c>
      <c r="F343" s="61">
        <f>6.3391 * CHOOSE(CONTROL!$C$22, $C$13, 100%, $E$13)</f>
        <v>6.3391000000000002</v>
      </c>
      <c r="G343" s="61">
        <f>6.3393 * CHOOSE(CONTROL!$C$22, $C$13, 100%, $E$13)</f>
        <v>6.3392999999999997</v>
      </c>
      <c r="H343" s="61">
        <f>11.295* CHOOSE(CONTROL!$C$22, $C$13, 100%, $E$13)</f>
        <v>11.295</v>
      </c>
      <c r="I343" s="61">
        <f>11.2951 * CHOOSE(CONTROL!$C$22, $C$13, 100%, $E$13)</f>
        <v>11.2951</v>
      </c>
      <c r="J343" s="61">
        <f>6.3391 * CHOOSE(CONTROL!$C$22, $C$13, 100%, $E$13)</f>
        <v>6.3391000000000002</v>
      </c>
      <c r="K343" s="61">
        <f>6.3393 * CHOOSE(CONTROL!$C$22, $C$13, 100%, $E$13)</f>
        <v>6.3392999999999997</v>
      </c>
    </row>
    <row r="344" spans="1:11" ht="15">
      <c r="A344" s="13">
        <v>52322</v>
      </c>
      <c r="B344" s="60">
        <f>5.5142 * CHOOSE(CONTROL!$C$22, $C$13, 100%, $E$13)</f>
        <v>5.5141999999999998</v>
      </c>
      <c r="C344" s="60">
        <f>5.5142 * CHOOSE(CONTROL!$C$22, $C$13, 100%, $E$13)</f>
        <v>5.5141999999999998</v>
      </c>
      <c r="D344" s="60">
        <f>5.5267 * CHOOSE(CONTROL!$C$22, $C$13, 100%, $E$13)</f>
        <v>5.5266999999999999</v>
      </c>
      <c r="E344" s="61">
        <f>6.3936 * CHOOSE(CONTROL!$C$22, $C$13, 100%, $E$13)</f>
        <v>6.3936000000000002</v>
      </c>
      <c r="F344" s="61">
        <f>6.3936 * CHOOSE(CONTROL!$C$22, $C$13, 100%, $E$13)</f>
        <v>6.3936000000000002</v>
      </c>
      <c r="G344" s="61">
        <f>6.3938 * CHOOSE(CONTROL!$C$22, $C$13, 100%, $E$13)</f>
        <v>6.3937999999999997</v>
      </c>
      <c r="H344" s="61">
        <f>11.3185* CHOOSE(CONTROL!$C$22, $C$13, 100%, $E$13)</f>
        <v>11.3185</v>
      </c>
      <c r="I344" s="61">
        <f>11.3187 * CHOOSE(CONTROL!$C$22, $C$13, 100%, $E$13)</f>
        <v>11.3187</v>
      </c>
      <c r="J344" s="61">
        <f>6.3936 * CHOOSE(CONTROL!$C$22, $C$13, 100%, $E$13)</f>
        <v>6.3936000000000002</v>
      </c>
      <c r="K344" s="61">
        <f>6.3938 * CHOOSE(CONTROL!$C$22, $C$13, 100%, $E$13)</f>
        <v>6.3937999999999997</v>
      </c>
    </row>
    <row r="345" spans="1:11" ht="15">
      <c r="A345" s="13">
        <v>52352</v>
      </c>
      <c r="B345" s="60">
        <f>5.5142 * CHOOSE(CONTROL!$C$22, $C$13, 100%, $E$13)</f>
        <v>5.5141999999999998</v>
      </c>
      <c r="C345" s="60">
        <f>5.5142 * CHOOSE(CONTROL!$C$22, $C$13, 100%, $E$13)</f>
        <v>5.5141999999999998</v>
      </c>
      <c r="D345" s="60">
        <f>5.5392 * CHOOSE(CONTROL!$C$22, $C$13, 100%, $E$13)</f>
        <v>5.5392000000000001</v>
      </c>
      <c r="E345" s="61">
        <f>6.4157 * CHOOSE(CONTROL!$C$22, $C$13, 100%, $E$13)</f>
        <v>6.4157000000000002</v>
      </c>
      <c r="F345" s="61">
        <f>6.4157 * CHOOSE(CONTROL!$C$22, $C$13, 100%, $E$13)</f>
        <v>6.4157000000000002</v>
      </c>
      <c r="G345" s="61">
        <f>6.4173 * CHOOSE(CONTROL!$C$22, $C$13, 100%, $E$13)</f>
        <v>6.4173</v>
      </c>
      <c r="H345" s="61">
        <f>11.3421* CHOOSE(CONTROL!$C$22, $C$13, 100%, $E$13)</f>
        <v>11.3421</v>
      </c>
      <c r="I345" s="61">
        <f>11.3437 * CHOOSE(CONTROL!$C$22, $C$13, 100%, $E$13)</f>
        <v>11.3437</v>
      </c>
      <c r="J345" s="61">
        <f>6.4157 * CHOOSE(CONTROL!$C$22, $C$13, 100%, $E$13)</f>
        <v>6.4157000000000002</v>
      </c>
      <c r="K345" s="61">
        <f>6.4173 * CHOOSE(CONTROL!$C$22, $C$13, 100%, $E$13)</f>
        <v>6.4173</v>
      </c>
    </row>
    <row r="346" spans="1:11" ht="15">
      <c r="A346" s="13">
        <v>52383</v>
      </c>
      <c r="B346" s="60">
        <f>5.5202 * CHOOSE(CONTROL!$C$22, $C$13, 100%, $E$13)</f>
        <v>5.5202</v>
      </c>
      <c r="C346" s="60">
        <f>5.5202 * CHOOSE(CONTROL!$C$22, $C$13, 100%, $E$13)</f>
        <v>5.5202</v>
      </c>
      <c r="D346" s="60">
        <f>5.5453 * CHOOSE(CONTROL!$C$22, $C$13, 100%, $E$13)</f>
        <v>5.5453000000000001</v>
      </c>
      <c r="E346" s="61">
        <f>6.3979 * CHOOSE(CONTROL!$C$22, $C$13, 100%, $E$13)</f>
        <v>6.3978999999999999</v>
      </c>
      <c r="F346" s="61">
        <f>6.3979 * CHOOSE(CONTROL!$C$22, $C$13, 100%, $E$13)</f>
        <v>6.3978999999999999</v>
      </c>
      <c r="G346" s="61">
        <f>6.3995 * CHOOSE(CONTROL!$C$22, $C$13, 100%, $E$13)</f>
        <v>6.3994999999999997</v>
      </c>
      <c r="H346" s="61">
        <f>11.3657* CHOOSE(CONTROL!$C$22, $C$13, 100%, $E$13)</f>
        <v>11.3657</v>
      </c>
      <c r="I346" s="61">
        <f>11.3673 * CHOOSE(CONTROL!$C$22, $C$13, 100%, $E$13)</f>
        <v>11.3673</v>
      </c>
      <c r="J346" s="61">
        <f>6.3979 * CHOOSE(CONTROL!$C$22, $C$13, 100%, $E$13)</f>
        <v>6.3978999999999999</v>
      </c>
      <c r="K346" s="61">
        <f>6.3995 * CHOOSE(CONTROL!$C$22, $C$13, 100%, $E$13)</f>
        <v>6.3994999999999997</v>
      </c>
    </row>
    <row r="347" spans="1:11" ht="15">
      <c r="A347" s="13">
        <v>52413</v>
      </c>
      <c r="B347" s="60">
        <f>5.6132 * CHOOSE(CONTROL!$C$22, $C$13, 100%, $E$13)</f>
        <v>5.6132</v>
      </c>
      <c r="C347" s="60">
        <f>5.6132 * CHOOSE(CONTROL!$C$22, $C$13, 100%, $E$13)</f>
        <v>5.6132</v>
      </c>
      <c r="D347" s="60">
        <f>5.6383 * CHOOSE(CONTROL!$C$22, $C$13, 100%, $E$13)</f>
        <v>5.6383000000000001</v>
      </c>
      <c r="E347" s="61">
        <f>6.5257 * CHOOSE(CONTROL!$C$22, $C$13, 100%, $E$13)</f>
        <v>6.5256999999999996</v>
      </c>
      <c r="F347" s="61">
        <f>6.5257 * CHOOSE(CONTROL!$C$22, $C$13, 100%, $E$13)</f>
        <v>6.5256999999999996</v>
      </c>
      <c r="G347" s="61">
        <f>6.5273 * CHOOSE(CONTROL!$C$22, $C$13, 100%, $E$13)</f>
        <v>6.5273000000000003</v>
      </c>
      <c r="H347" s="61">
        <f>11.3894* CHOOSE(CONTROL!$C$22, $C$13, 100%, $E$13)</f>
        <v>11.3894</v>
      </c>
      <c r="I347" s="61">
        <f>11.391 * CHOOSE(CONTROL!$C$22, $C$13, 100%, $E$13)</f>
        <v>11.391</v>
      </c>
      <c r="J347" s="61">
        <f>6.5257 * CHOOSE(CONTROL!$C$22, $C$13, 100%, $E$13)</f>
        <v>6.5256999999999996</v>
      </c>
      <c r="K347" s="61">
        <f>6.5273 * CHOOSE(CONTROL!$C$22, $C$13, 100%, $E$13)</f>
        <v>6.5273000000000003</v>
      </c>
    </row>
    <row r="348" spans="1:11" ht="15">
      <c r="A348" s="13">
        <v>52444</v>
      </c>
      <c r="B348" s="60">
        <f>5.6199 * CHOOSE(CONTROL!$C$22, $C$13, 100%, $E$13)</f>
        <v>5.6199000000000003</v>
      </c>
      <c r="C348" s="60">
        <f>5.6199 * CHOOSE(CONTROL!$C$22, $C$13, 100%, $E$13)</f>
        <v>5.6199000000000003</v>
      </c>
      <c r="D348" s="60">
        <f>5.645 * CHOOSE(CONTROL!$C$22, $C$13, 100%, $E$13)</f>
        <v>5.6449999999999996</v>
      </c>
      <c r="E348" s="61">
        <f>6.4643 * CHOOSE(CONTROL!$C$22, $C$13, 100%, $E$13)</f>
        <v>6.4642999999999997</v>
      </c>
      <c r="F348" s="61">
        <f>6.4643 * CHOOSE(CONTROL!$C$22, $C$13, 100%, $E$13)</f>
        <v>6.4642999999999997</v>
      </c>
      <c r="G348" s="61">
        <f>6.4659 * CHOOSE(CONTROL!$C$22, $C$13, 100%, $E$13)</f>
        <v>6.4659000000000004</v>
      </c>
      <c r="H348" s="61">
        <f>11.4131* CHOOSE(CONTROL!$C$22, $C$13, 100%, $E$13)</f>
        <v>11.4131</v>
      </c>
      <c r="I348" s="61">
        <f>11.4147 * CHOOSE(CONTROL!$C$22, $C$13, 100%, $E$13)</f>
        <v>11.4147</v>
      </c>
      <c r="J348" s="61">
        <f>6.4643 * CHOOSE(CONTROL!$C$22, $C$13, 100%, $E$13)</f>
        <v>6.4642999999999997</v>
      </c>
      <c r="K348" s="61">
        <f>6.4659 * CHOOSE(CONTROL!$C$22, $C$13, 100%, $E$13)</f>
        <v>6.4659000000000004</v>
      </c>
    </row>
    <row r="349" spans="1:11" ht="15">
      <c r="A349" s="13">
        <v>52475</v>
      </c>
      <c r="B349" s="60">
        <f>5.6168 * CHOOSE(CONTROL!$C$22, $C$13, 100%, $E$13)</f>
        <v>5.6167999999999996</v>
      </c>
      <c r="C349" s="60">
        <f>5.6168 * CHOOSE(CONTROL!$C$22, $C$13, 100%, $E$13)</f>
        <v>5.6167999999999996</v>
      </c>
      <c r="D349" s="60">
        <f>5.6419 * CHOOSE(CONTROL!$C$22, $C$13, 100%, $E$13)</f>
        <v>5.6418999999999997</v>
      </c>
      <c r="E349" s="61">
        <f>6.4548 * CHOOSE(CONTROL!$C$22, $C$13, 100%, $E$13)</f>
        <v>6.4547999999999996</v>
      </c>
      <c r="F349" s="61">
        <f>6.4548 * CHOOSE(CONTROL!$C$22, $C$13, 100%, $E$13)</f>
        <v>6.4547999999999996</v>
      </c>
      <c r="G349" s="61">
        <f>6.4564 * CHOOSE(CONTROL!$C$22, $C$13, 100%, $E$13)</f>
        <v>6.4564000000000004</v>
      </c>
      <c r="H349" s="61">
        <f>11.4369* CHOOSE(CONTROL!$C$22, $C$13, 100%, $E$13)</f>
        <v>11.4369</v>
      </c>
      <c r="I349" s="61">
        <f>11.4385 * CHOOSE(CONTROL!$C$22, $C$13, 100%, $E$13)</f>
        <v>11.438499999999999</v>
      </c>
      <c r="J349" s="61">
        <f>6.4548 * CHOOSE(CONTROL!$C$22, $C$13, 100%, $E$13)</f>
        <v>6.4547999999999996</v>
      </c>
      <c r="K349" s="61">
        <f>6.4564 * CHOOSE(CONTROL!$C$22, $C$13, 100%, $E$13)</f>
        <v>6.4564000000000004</v>
      </c>
    </row>
    <row r="350" spans="1:11" ht="15">
      <c r="A350" s="13">
        <v>52505</v>
      </c>
      <c r="B350" s="60">
        <f>5.6175 * CHOOSE(CONTROL!$C$22, $C$13, 100%, $E$13)</f>
        <v>5.6174999999999997</v>
      </c>
      <c r="C350" s="60">
        <f>5.6175 * CHOOSE(CONTROL!$C$22, $C$13, 100%, $E$13)</f>
        <v>5.6174999999999997</v>
      </c>
      <c r="D350" s="60">
        <f>5.6301 * CHOOSE(CONTROL!$C$22, $C$13, 100%, $E$13)</f>
        <v>5.6300999999999997</v>
      </c>
      <c r="E350" s="61">
        <f>6.4708 * CHOOSE(CONTROL!$C$22, $C$13, 100%, $E$13)</f>
        <v>6.4707999999999997</v>
      </c>
      <c r="F350" s="61">
        <f>6.4708 * CHOOSE(CONTROL!$C$22, $C$13, 100%, $E$13)</f>
        <v>6.4707999999999997</v>
      </c>
      <c r="G350" s="61">
        <f>6.4709 * CHOOSE(CONTROL!$C$22, $C$13, 100%, $E$13)</f>
        <v>6.4709000000000003</v>
      </c>
      <c r="H350" s="61">
        <f>11.4607* CHOOSE(CONTROL!$C$22, $C$13, 100%, $E$13)</f>
        <v>11.460699999999999</v>
      </c>
      <c r="I350" s="61">
        <f>11.4609 * CHOOSE(CONTROL!$C$22, $C$13, 100%, $E$13)</f>
        <v>11.460900000000001</v>
      </c>
      <c r="J350" s="61">
        <f>6.4708 * CHOOSE(CONTROL!$C$22, $C$13, 100%, $E$13)</f>
        <v>6.4707999999999997</v>
      </c>
      <c r="K350" s="61">
        <f>6.4709 * CHOOSE(CONTROL!$C$22, $C$13, 100%, $E$13)</f>
        <v>6.4709000000000003</v>
      </c>
    </row>
    <row r="351" spans="1:11" ht="15">
      <c r="A351" s="13">
        <v>52536</v>
      </c>
      <c r="B351" s="60">
        <f>5.6206 * CHOOSE(CONTROL!$C$22, $C$13, 100%, $E$13)</f>
        <v>5.6205999999999996</v>
      </c>
      <c r="C351" s="60">
        <f>5.6206 * CHOOSE(CONTROL!$C$22, $C$13, 100%, $E$13)</f>
        <v>5.6205999999999996</v>
      </c>
      <c r="D351" s="60">
        <f>5.6331 * CHOOSE(CONTROL!$C$22, $C$13, 100%, $E$13)</f>
        <v>5.6330999999999998</v>
      </c>
      <c r="E351" s="61">
        <f>6.4876 * CHOOSE(CONTROL!$C$22, $C$13, 100%, $E$13)</f>
        <v>6.4875999999999996</v>
      </c>
      <c r="F351" s="61">
        <f>6.4876 * CHOOSE(CONTROL!$C$22, $C$13, 100%, $E$13)</f>
        <v>6.4875999999999996</v>
      </c>
      <c r="G351" s="61">
        <f>6.4877 * CHOOSE(CONTROL!$C$22, $C$13, 100%, $E$13)</f>
        <v>6.4877000000000002</v>
      </c>
      <c r="H351" s="61">
        <f>11.4846* CHOOSE(CONTROL!$C$22, $C$13, 100%, $E$13)</f>
        <v>11.4846</v>
      </c>
      <c r="I351" s="61">
        <f>11.4848 * CHOOSE(CONTROL!$C$22, $C$13, 100%, $E$13)</f>
        <v>11.4848</v>
      </c>
      <c r="J351" s="61">
        <f>6.4876 * CHOOSE(CONTROL!$C$22, $C$13, 100%, $E$13)</f>
        <v>6.4875999999999996</v>
      </c>
      <c r="K351" s="61">
        <f>6.4877 * CHOOSE(CONTROL!$C$22, $C$13, 100%, $E$13)</f>
        <v>6.4877000000000002</v>
      </c>
    </row>
    <row r="352" spans="1:11" ht="15">
      <c r="A352" s="13">
        <v>52566</v>
      </c>
      <c r="B352" s="60">
        <f>5.6206 * CHOOSE(CONTROL!$C$22, $C$13, 100%, $E$13)</f>
        <v>5.6205999999999996</v>
      </c>
      <c r="C352" s="60">
        <f>5.6206 * CHOOSE(CONTROL!$C$22, $C$13, 100%, $E$13)</f>
        <v>5.6205999999999996</v>
      </c>
      <c r="D352" s="60">
        <f>5.6331 * CHOOSE(CONTROL!$C$22, $C$13, 100%, $E$13)</f>
        <v>5.6330999999999998</v>
      </c>
      <c r="E352" s="61">
        <f>6.4508 * CHOOSE(CONTROL!$C$22, $C$13, 100%, $E$13)</f>
        <v>6.4508000000000001</v>
      </c>
      <c r="F352" s="61">
        <f>6.4508 * CHOOSE(CONTROL!$C$22, $C$13, 100%, $E$13)</f>
        <v>6.4508000000000001</v>
      </c>
      <c r="G352" s="61">
        <f>6.451 * CHOOSE(CONTROL!$C$22, $C$13, 100%, $E$13)</f>
        <v>6.4509999999999996</v>
      </c>
      <c r="H352" s="61">
        <f>11.5085* CHOOSE(CONTROL!$C$22, $C$13, 100%, $E$13)</f>
        <v>11.5085</v>
      </c>
      <c r="I352" s="61">
        <f>11.5087 * CHOOSE(CONTROL!$C$22, $C$13, 100%, $E$13)</f>
        <v>11.508699999999999</v>
      </c>
      <c r="J352" s="61">
        <f>6.4508 * CHOOSE(CONTROL!$C$22, $C$13, 100%, $E$13)</f>
        <v>6.4508000000000001</v>
      </c>
      <c r="K352" s="61">
        <f>6.451 * CHOOSE(CONTROL!$C$22, $C$13, 100%, $E$13)</f>
        <v>6.4509999999999996</v>
      </c>
    </row>
    <row r="353" spans="1:11" ht="15">
      <c r="A353" s="13">
        <v>52597</v>
      </c>
      <c r="B353" s="60">
        <f>5.6717 * CHOOSE(CONTROL!$C$22, $C$13, 100%, $E$13)</f>
        <v>5.6717000000000004</v>
      </c>
      <c r="C353" s="60">
        <f>5.6717 * CHOOSE(CONTROL!$C$22, $C$13, 100%, $E$13)</f>
        <v>5.6717000000000004</v>
      </c>
      <c r="D353" s="60">
        <f>5.6842 * CHOOSE(CONTROL!$C$22, $C$13, 100%, $E$13)</f>
        <v>5.6841999999999997</v>
      </c>
      <c r="E353" s="61">
        <f>6.5359 * CHOOSE(CONTROL!$C$22, $C$13, 100%, $E$13)</f>
        <v>6.5358999999999998</v>
      </c>
      <c r="F353" s="61">
        <f>6.5359 * CHOOSE(CONTROL!$C$22, $C$13, 100%, $E$13)</f>
        <v>6.5358999999999998</v>
      </c>
      <c r="G353" s="61">
        <f>6.5361 * CHOOSE(CONTROL!$C$22, $C$13, 100%, $E$13)</f>
        <v>6.5361000000000002</v>
      </c>
      <c r="H353" s="61">
        <f>11.5325* CHOOSE(CONTROL!$C$22, $C$13, 100%, $E$13)</f>
        <v>11.532500000000001</v>
      </c>
      <c r="I353" s="61">
        <f>11.5327 * CHOOSE(CONTROL!$C$22, $C$13, 100%, $E$13)</f>
        <v>11.5327</v>
      </c>
      <c r="J353" s="61">
        <f>6.5359 * CHOOSE(CONTROL!$C$22, $C$13, 100%, $E$13)</f>
        <v>6.5358999999999998</v>
      </c>
      <c r="K353" s="61">
        <f>6.5361 * CHOOSE(CONTROL!$C$22, $C$13, 100%, $E$13)</f>
        <v>6.5361000000000002</v>
      </c>
    </row>
    <row r="354" spans="1:11" ht="15">
      <c r="A354" s="13">
        <v>52628</v>
      </c>
      <c r="B354" s="60">
        <f>5.6686 * CHOOSE(CONTROL!$C$22, $C$13, 100%, $E$13)</f>
        <v>5.6685999999999996</v>
      </c>
      <c r="C354" s="60">
        <f>5.6686 * CHOOSE(CONTROL!$C$22, $C$13, 100%, $E$13)</f>
        <v>5.6685999999999996</v>
      </c>
      <c r="D354" s="60">
        <f>5.6812 * CHOOSE(CONTROL!$C$22, $C$13, 100%, $E$13)</f>
        <v>5.6811999999999996</v>
      </c>
      <c r="E354" s="61">
        <f>6.4624 * CHOOSE(CONTROL!$C$22, $C$13, 100%, $E$13)</f>
        <v>6.4623999999999997</v>
      </c>
      <c r="F354" s="61">
        <f>6.4624 * CHOOSE(CONTROL!$C$22, $C$13, 100%, $E$13)</f>
        <v>6.4623999999999997</v>
      </c>
      <c r="G354" s="61">
        <f>6.4626 * CHOOSE(CONTROL!$C$22, $C$13, 100%, $E$13)</f>
        <v>6.4626000000000001</v>
      </c>
      <c r="H354" s="61">
        <f>11.5565* CHOOSE(CONTROL!$C$22, $C$13, 100%, $E$13)</f>
        <v>11.5565</v>
      </c>
      <c r="I354" s="61">
        <f>11.5567 * CHOOSE(CONTROL!$C$22, $C$13, 100%, $E$13)</f>
        <v>11.556699999999999</v>
      </c>
      <c r="J354" s="61">
        <f>6.4624 * CHOOSE(CONTROL!$C$22, $C$13, 100%, $E$13)</f>
        <v>6.4623999999999997</v>
      </c>
      <c r="K354" s="61">
        <f>6.4626 * CHOOSE(CONTROL!$C$22, $C$13, 100%, $E$13)</f>
        <v>6.4626000000000001</v>
      </c>
    </row>
    <row r="355" spans="1:11" ht="15">
      <c r="A355" s="13">
        <v>52657</v>
      </c>
      <c r="B355" s="60">
        <f>5.6656 * CHOOSE(CONTROL!$C$22, $C$13, 100%, $E$13)</f>
        <v>5.6656000000000004</v>
      </c>
      <c r="C355" s="60">
        <f>5.6656 * CHOOSE(CONTROL!$C$22, $C$13, 100%, $E$13)</f>
        <v>5.6656000000000004</v>
      </c>
      <c r="D355" s="60">
        <f>5.6781 * CHOOSE(CONTROL!$C$22, $C$13, 100%, $E$13)</f>
        <v>5.6780999999999997</v>
      </c>
      <c r="E355" s="61">
        <f>6.5166 * CHOOSE(CONTROL!$C$22, $C$13, 100%, $E$13)</f>
        <v>6.5166000000000004</v>
      </c>
      <c r="F355" s="61">
        <f>6.5166 * CHOOSE(CONTROL!$C$22, $C$13, 100%, $E$13)</f>
        <v>6.5166000000000004</v>
      </c>
      <c r="G355" s="61">
        <f>6.5167 * CHOOSE(CONTROL!$C$22, $C$13, 100%, $E$13)</f>
        <v>6.5167000000000002</v>
      </c>
      <c r="H355" s="61">
        <f>11.5806* CHOOSE(CONTROL!$C$22, $C$13, 100%, $E$13)</f>
        <v>11.5806</v>
      </c>
      <c r="I355" s="61">
        <f>11.5808 * CHOOSE(CONTROL!$C$22, $C$13, 100%, $E$13)</f>
        <v>11.5808</v>
      </c>
      <c r="J355" s="61">
        <f>6.5166 * CHOOSE(CONTROL!$C$22, $C$13, 100%, $E$13)</f>
        <v>6.5166000000000004</v>
      </c>
      <c r="K355" s="61">
        <f>6.5167 * CHOOSE(CONTROL!$C$22, $C$13, 100%, $E$13)</f>
        <v>6.5167000000000002</v>
      </c>
    </row>
    <row r="356" spans="1:11" ht="15">
      <c r="A356" s="13">
        <v>52688</v>
      </c>
      <c r="B356" s="60">
        <f>5.6648 * CHOOSE(CONTROL!$C$22, $C$13, 100%, $E$13)</f>
        <v>5.6647999999999996</v>
      </c>
      <c r="C356" s="60">
        <f>5.6648 * CHOOSE(CONTROL!$C$22, $C$13, 100%, $E$13)</f>
        <v>5.6647999999999996</v>
      </c>
      <c r="D356" s="60">
        <f>5.6773 * CHOOSE(CONTROL!$C$22, $C$13, 100%, $E$13)</f>
        <v>5.6772999999999998</v>
      </c>
      <c r="E356" s="61">
        <f>6.5727 * CHOOSE(CONTROL!$C$22, $C$13, 100%, $E$13)</f>
        <v>6.5727000000000002</v>
      </c>
      <c r="F356" s="61">
        <f>6.5727 * CHOOSE(CONTROL!$C$22, $C$13, 100%, $E$13)</f>
        <v>6.5727000000000002</v>
      </c>
      <c r="G356" s="61">
        <f>6.5729 * CHOOSE(CONTROL!$C$22, $C$13, 100%, $E$13)</f>
        <v>6.5728999999999997</v>
      </c>
      <c r="H356" s="61">
        <f>11.6047* CHOOSE(CONTROL!$C$22, $C$13, 100%, $E$13)</f>
        <v>11.604699999999999</v>
      </c>
      <c r="I356" s="61">
        <f>11.6049 * CHOOSE(CONTROL!$C$22, $C$13, 100%, $E$13)</f>
        <v>11.604900000000001</v>
      </c>
      <c r="J356" s="61">
        <f>6.5727 * CHOOSE(CONTROL!$C$22, $C$13, 100%, $E$13)</f>
        <v>6.5727000000000002</v>
      </c>
      <c r="K356" s="61">
        <f>6.5729 * CHOOSE(CONTROL!$C$22, $C$13, 100%, $E$13)</f>
        <v>6.5728999999999997</v>
      </c>
    </row>
    <row r="357" spans="1:11" ht="15">
      <c r="A357" s="13">
        <v>52718</v>
      </c>
      <c r="B357" s="60">
        <f>5.6648 * CHOOSE(CONTROL!$C$22, $C$13, 100%, $E$13)</f>
        <v>5.6647999999999996</v>
      </c>
      <c r="C357" s="60">
        <f>5.6648 * CHOOSE(CONTROL!$C$22, $C$13, 100%, $E$13)</f>
        <v>5.6647999999999996</v>
      </c>
      <c r="D357" s="60">
        <f>5.6898 * CHOOSE(CONTROL!$C$22, $C$13, 100%, $E$13)</f>
        <v>5.6898</v>
      </c>
      <c r="E357" s="61">
        <f>6.5954 * CHOOSE(CONTROL!$C$22, $C$13, 100%, $E$13)</f>
        <v>6.5953999999999997</v>
      </c>
      <c r="F357" s="61">
        <f>6.5954 * CHOOSE(CONTROL!$C$22, $C$13, 100%, $E$13)</f>
        <v>6.5953999999999997</v>
      </c>
      <c r="G357" s="61">
        <f>6.597 * CHOOSE(CONTROL!$C$22, $C$13, 100%, $E$13)</f>
        <v>6.5970000000000004</v>
      </c>
      <c r="H357" s="61">
        <f>11.6289* CHOOSE(CONTROL!$C$22, $C$13, 100%, $E$13)</f>
        <v>11.6289</v>
      </c>
      <c r="I357" s="61">
        <f>11.6305 * CHOOSE(CONTROL!$C$22, $C$13, 100%, $E$13)</f>
        <v>11.6305</v>
      </c>
      <c r="J357" s="61">
        <f>6.5954 * CHOOSE(CONTROL!$C$22, $C$13, 100%, $E$13)</f>
        <v>6.5953999999999997</v>
      </c>
      <c r="K357" s="61">
        <f>6.597 * CHOOSE(CONTROL!$C$22, $C$13, 100%, $E$13)</f>
        <v>6.5970000000000004</v>
      </c>
    </row>
    <row r="358" spans="1:11" ht="15">
      <c r="A358" s="13">
        <v>52749</v>
      </c>
      <c r="B358" s="60">
        <f>5.6708 * CHOOSE(CONTROL!$C$22, $C$13, 100%, $E$13)</f>
        <v>5.6707999999999998</v>
      </c>
      <c r="C358" s="60">
        <f>5.6708 * CHOOSE(CONTROL!$C$22, $C$13, 100%, $E$13)</f>
        <v>5.6707999999999998</v>
      </c>
      <c r="D358" s="60">
        <f>5.6959 * CHOOSE(CONTROL!$C$22, $C$13, 100%, $E$13)</f>
        <v>5.6959</v>
      </c>
      <c r="E358" s="61">
        <f>6.577 * CHOOSE(CONTROL!$C$22, $C$13, 100%, $E$13)</f>
        <v>6.577</v>
      </c>
      <c r="F358" s="61">
        <f>6.577 * CHOOSE(CONTROL!$C$22, $C$13, 100%, $E$13)</f>
        <v>6.577</v>
      </c>
      <c r="G358" s="61">
        <f>6.5786 * CHOOSE(CONTROL!$C$22, $C$13, 100%, $E$13)</f>
        <v>6.5785999999999998</v>
      </c>
      <c r="H358" s="61">
        <f>11.6531* CHOOSE(CONTROL!$C$22, $C$13, 100%, $E$13)</f>
        <v>11.6531</v>
      </c>
      <c r="I358" s="61">
        <f>11.6547 * CHOOSE(CONTROL!$C$22, $C$13, 100%, $E$13)</f>
        <v>11.6547</v>
      </c>
      <c r="J358" s="61">
        <f>6.577 * CHOOSE(CONTROL!$C$22, $C$13, 100%, $E$13)</f>
        <v>6.577</v>
      </c>
      <c r="K358" s="61">
        <f>6.5786 * CHOOSE(CONTROL!$C$22, $C$13, 100%, $E$13)</f>
        <v>6.5785999999999998</v>
      </c>
    </row>
    <row r="359" spans="1:11" ht="15">
      <c r="A359" s="13">
        <v>52779</v>
      </c>
      <c r="B359" s="60">
        <f>5.7658 * CHOOSE(CONTROL!$C$22, $C$13, 100%, $E$13)</f>
        <v>5.7657999999999996</v>
      </c>
      <c r="C359" s="60">
        <f>5.7658 * CHOOSE(CONTROL!$C$22, $C$13, 100%, $E$13)</f>
        <v>5.7657999999999996</v>
      </c>
      <c r="D359" s="60">
        <f>5.7909 * CHOOSE(CONTROL!$C$22, $C$13, 100%, $E$13)</f>
        <v>5.7908999999999997</v>
      </c>
      <c r="E359" s="61">
        <f>6.7082 * CHOOSE(CONTROL!$C$22, $C$13, 100%, $E$13)</f>
        <v>6.7081999999999997</v>
      </c>
      <c r="F359" s="61">
        <f>6.7082 * CHOOSE(CONTROL!$C$22, $C$13, 100%, $E$13)</f>
        <v>6.7081999999999997</v>
      </c>
      <c r="G359" s="61">
        <f>6.7098 * CHOOSE(CONTROL!$C$22, $C$13, 100%, $E$13)</f>
        <v>6.7098000000000004</v>
      </c>
      <c r="H359" s="61">
        <f>11.6774* CHOOSE(CONTROL!$C$22, $C$13, 100%, $E$13)</f>
        <v>11.6774</v>
      </c>
      <c r="I359" s="61">
        <f>11.679 * CHOOSE(CONTROL!$C$22, $C$13, 100%, $E$13)</f>
        <v>11.679</v>
      </c>
      <c r="J359" s="61">
        <f>6.7082 * CHOOSE(CONTROL!$C$22, $C$13, 100%, $E$13)</f>
        <v>6.7081999999999997</v>
      </c>
      <c r="K359" s="61">
        <f>6.7098 * CHOOSE(CONTROL!$C$22, $C$13, 100%, $E$13)</f>
        <v>6.7098000000000004</v>
      </c>
    </row>
    <row r="360" spans="1:11" ht="15">
      <c r="A360" s="13">
        <v>52810</v>
      </c>
      <c r="B360" s="60">
        <f>5.7725 * CHOOSE(CONTROL!$C$22, $C$13, 100%, $E$13)</f>
        <v>5.7725</v>
      </c>
      <c r="C360" s="60">
        <f>5.7725 * CHOOSE(CONTROL!$C$22, $C$13, 100%, $E$13)</f>
        <v>5.7725</v>
      </c>
      <c r="D360" s="60">
        <f>5.7976 * CHOOSE(CONTROL!$C$22, $C$13, 100%, $E$13)</f>
        <v>5.7976000000000001</v>
      </c>
      <c r="E360" s="61">
        <f>6.6449 * CHOOSE(CONTROL!$C$22, $C$13, 100%, $E$13)</f>
        <v>6.6448999999999998</v>
      </c>
      <c r="F360" s="61">
        <f>6.6449 * CHOOSE(CONTROL!$C$22, $C$13, 100%, $E$13)</f>
        <v>6.6448999999999998</v>
      </c>
      <c r="G360" s="61">
        <f>6.6465 * CHOOSE(CONTROL!$C$22, $C$13, 100%, $E$13)</f>
        <v>6.6464999999999996</v>
      </c>
      <c r="H360" s="61">
        <f>11.7017* CHOOSE(CONTROL!$C$22, $C$13, 100%, $E$13)</f>
        <v>11.701700000000001</v>
      </c>
      <c r="I360" s="61">
        <f>11.7033 * CHOOSE(CONTROL!$C$22, $C$13, 100%, $E$13)</f>
        <v>11.7033</v>
      </c>
      <c r="J360" s="61">
        <f>6.6449 * CHOOSE(CONTROL!$C$22, $C$13, 100%, $E$13)</f>
        <v>6.6448999999999998</v>
      </c>
      <c r="K360" s="61">
        <f>6.6465 * CHOOSE(CONTROL!$C$22, $C$13, 100%, $E$13)</f>
        <v>6.6464999999999996</v>
      </c>
    </row>
    <row r="361" spans="1:11" ht="15">
      <c r="A361" s="13">
        <v>52841</v>
      </c>
      <c r="B361" s="60">
        <f>5.7695 * CHOOSE(CONTROL!$C$22, $C$13, 100%, $E$13)</f>
        <v>5.7694999999999999</v>
      </c>
      <c r="C361" s="60">
        <f>5.7695 * CHOOSE(CONTROL!$C$22, $C$13, 100%, $E$13)</f>
        <v>5.7694999999999999</v>
      </c>
      <c r="D361" s="60">
        <f>5.7946 * CHOOSE(CONTROL!$C$22, $C$13, 100%, $E$13)</f>
        <v>5.7946</v>
      </c>
      <c r="E361" s="61">
        <f>6.6352 * CHOOSE(CONTROL!$C$22, $C$13, 100%, $E$13)</f>
        <v>6.6352000000000002</v>
      </c>
      <c r="F361" s="61">
        <f>6.6352 * CHOOSE(CONTROL!$C$22, $C$13, 100%, $E$13)</f>
        <v>6.6352000000000002</v>
      </c>
      <c r="G361" s="61">
        <f>6.6368 * CHOOSE(CONTROL!$C$22, $C$13, 100%, $E$13)</f>
        <v>6.6368</v>
      </c>
      <c r="H361" s="61">
        <f>11.7261* CHOOSE(CONTROL!$C$22, $C$13, 100%, $E$13)</f>
        <v>11.726100000000001</v>
      </c>
      <c r="I361" s="61">
        <f>11.7277 * CHOOSE(CONTROL!$C$22, $C$13, 100%, $E$13)</f>
        <v>11.7277</v>
      </c>
      <c r="J361" s="61">
        <f>6.6352 * CHOOSE(CONTROL!$C$22, $C$13, 100%, $E$13)</f>
        <v>6.6352000000000002</v>
      </c>
      <c r="K361" s="61">
        <f>6.6368 * CHOOSE(CONTROL!$C$22, $C$13, 100%, $E$13)</f>
        <v>6.6368</v>
      </c>
    </row>
    <row r="362" spans="1:11" ht="15">
      <c r="A362" s="13">
        <v>52871</v>
      </c>
      <c r="B362" s="60">
        <f>5.7707 * CHOOSE(CONTROL!$C$22, $C$13, 100%, $E$13)</f>
        <v>5.7706999999999997</v>
      </c>
      <c r="C362" s="60">
        <f>5.7707 * CHOOSE(CONTROL!$C$22, $C$13, 100%, $E$13)</f>
        <v>5.7706999999999997</v>
      </c>
      <c r="D362" s="60">
        <f>5.7832 * CHOOSE(CONTROL!$C$22, $C$13, 100%, $E$13)</f>
        <v>5.7831999999999999</v>
      </c>
      <c r="E362" s="61">
        <f>6.652 * CHOOSE(CONTROL!$C$22, $C$13, 100%, $E$13)</f>
        <v>6.6520000000000001</v>
      </c>
      <c r="F362" s="61">
        <f>6.652 * CHOOSE(CONTROL!$C$22, $C$13, 100%, $E$13)</f>
        <v>6.6520000000000001</v>
      </c>
      <c r="G362" s="61">
        <f>6.6522 * CHOOSE(CONTROL!$C$22, $C$13, 100%, $E$13)</f>
        <v>6.6521999999999997</v>
      </c>
      <c r="H362" s="61">
        <f>11.7505* CHOOSE(CONTROL!$C$22, $C$13, 100%, $E$13)</f>
        <v>11.750500000000001</v>
      </c>
      <c r="I362" s="61">
        <f>11.7507 * CHOOSE(CONTROL!$C$22, $C$13, 100%, $E$13)</f>
        <v>11.7507</v>
      </c>
      <c r="J362" s="61">
        <f>6.652 * CHOOSE(CONTROL!$C$22, $C$13, 100%, $E$13)</f>
        <v>6.6520000000000001</v>
      </c>
      <c r="K362" s="61">
        <f>6.6522 * CHOOSE(CONTROL!$C$22, $C$13, 100%, $E$13)</f>
        <v>6.6521999999999997</v>
      </c>
    </row>
    <row r="363" spans="1:11" ht="15">
      <c r="A363" s="13">
        <v>52902</v>
      </c>
      <c r="B363" s="60">
        <f>5.7737 * CHOOSE(CONTROL!$C$22, $C$13, 100%, $E$13)</f>
        <v>5.7736999999999998</v>
      </c>
      <c r="C363" s="60">
        <f>5.7737 * CHOOSE(CONTROL!$C$22, $C$13, 100%, $E$13)</f>
        <v>5.7736999999999998</v>
      </c>
      <c r="D363" s="60">
        <f>5.7863 * CHOOSE(CONTROL!$C$22, $C$13, 100%, $E$13)</f>
        <v>5.7862999999999998</v>
      </c>
      <c r="E363" s="61">
        <f>6.6693 * CHOOSE(CONTROL!$C$22, $C$13, 100%, $E$13)</f>
        <v>6.6692999999999998</v>
      </c>
      <c r="F363" s="61">
        <f>6.6693 * CHOOSE(CONTROL!$C$22, $C$13, 100%, $E$13)</f>
        <v>6.6692999999999998</v>
      </c>
      <c r="G363" s="61">
        <f>6.6694 * CHOOSE(CONTROL!$C$22, $C$13, 100%, $E$13)</f>
        <v>6.6694000000000004</v>
      </c>
      <c r="H363" s="61">
        <f>11.775* CHOOSE(CONTROL!$C$22, $C$13, 100%, $E$13)</f>
        <v>11.775</v>
      </c>
      <c r="I363" s="61">
        <f>11.7752 * CHOOSE(CONTROL!$C$22, $C$13, 100%, $E$13)</f>
        <v>11.7752</v>
      </c>
      <c r="J363" s="61">
        <f>6.6693 * CHOOSE(CONTROL!$C$22, $C$13, 100%, $E$13)</f>
        <v>6.6692999999999998</v>
      </c>
      <c r="K363" s="61">
        <f>6.6694 * CHOOSE(CONTROL!$C$22, $C$13, 100%, $E$13)</f>
        <v>6.6694000000000004</v>
      </c>
    </row>
    <row r="364" spans="1:11" ht="15">
      <c r="A364" s="13">
        <v>52932</v>
      </c>
      <c r="B364" s="60">
        <f>5.7737 * CHOOSE(CONTROL!$C$22, $C$13, 100%, $E$13)</f>
        <v>5.7736999999999998</v>
      </c>
      <c r="C364" s="60">
        <f>5.7737 * CHOOSE(CONTROL!$C$22, $C$13, 100%, $E$13)</f>
        <v>5.7736999999999998</v>
      </c>
      <c r="D364" s="60">
        <f>5.7863 * CHOOSE(CONTROL!$C$22, $C$13, 100%, $E$13)</f>
        <v>5.7862999999999998</v>
      </c>
      <c r="E364" s="61">
        <f>6.6315 * CHOOSE(CONTROL!$C$22, $C$13, 100%, $E$13)</f>
        <v>6.6315</v>
      </c>
      <c r="F364" s="61">
        <f>6.6315 * CHOOSE(CONTROL!$C$22, $C$13, 100%, $E$13)</f>
        <v>6.6315</v>
      </c>
      <c r="G364" s="61">
        <f>6.6317 * CHOOSE(CONTROL!$C$22, $C$13, 100%, $E$13)</f>
        <v>6.6317000000000004</v>
      </c>
      <c r="H364" s="61">
        <f>11.7996* CHOOSE(CONTROL!$C$22, $C$13, 100%, $E$13)</f>
        <v>11.7996</v>
      </c>
      <c r="I364" s="61">
        <f>11.7997 * CHOOSE(CONTROL!$C$22, $C$13, 100%, $E$13)</f>
        <v>11.7997</v>
      </c>
      <c r="J364" s="61">
        <f>6.6315 * CHOOSE(CONTROL!$C$22, $C$13, 100%, $E$13)</f>
        <v>6.6315</v>
      </c>
      <c r="K364" s="61">
        <f>6.6317 * CHOOSE(CONTROL!$C$22, $C$13, 100%, $E$13)</f>
        <v>6.6317000000000004</v>
      </c>
    </row>
    <row r="365" spans="1:11" ht="15">
      <c r="A365" s="13">
        <v>52963</v>
      </c>
      <c r="B365" s="60">
        <f>5.8261 * CHOOSE(CONTROL!$C$22, $C$13, 100%, $E$13)</f>
        <v>5.8261000000000003</v>
      </c>
      <c r="C365" s="60">
        <f>5.8261 * CHOOSE(CONTROL!$C$22, $C$13, 100%, $E$13)</f>
        <v>5.8261000000000003</v>
      </c>
      <c r="D365" s="60">
        <f>5.8387 * CHOOSE(CONTROL!$C$22, $C$13, 100%, $E$13)</f>
        <v>5.8387000000000002</v>
      </c>
      <c r="E365" s="61">
        <f>6.7188 * CHOOSE(CONTROL!$C$22, $C$13, 100%, $E$13)</f>
        <v>6.7187999999999999</v>
      </c>
      <c r="F365" s="61">
        <f>6.7188 * CHOOSE(CONTROL!$C$22, $C$13, 100%, $E$13)</f>
        <v>6.7187999999999999</v>
      </c>
      <c r="G365" s="61">
        <f>6.719 * CHOOSE(CONTROL!$C$22, $C$13, 100%, $E$13)</f>
        <v>6.7190000000000003</v>
      </c>
      <c r="H365" s="61">
        <f>11.8241* CHOOSE(CONTROL!$C$22, $C$13, 100%, $E$13)</f>
        <v>11.8241</v>
      </c>
      <c r="I365" s="61">
        <f>11.8243 * CHOOSE(CONTROL!$C$22, $C$13, 100%, $E$13)</f>
        <v>11.824299999999999</v>
      </c>
      <c r="J365" s="61">
        <f>6.7188 * CHOOSE(CONTROL!$C$22, $C$13, 100%, $E$13)</f>
        <v>6.7187999999999999</v>
      </c>
      <c r="K365" s="61">
        <f>6.719 * CHOOSE(CONTROL!$C$22, $C$13, 100%, $E$13)</f>
        <v>6.7190000000000003</v>
      </c>
    </row>
    <row r="366" spans="1:11" ht="15">
      <c r="A366" s="13">
        <v>52994</v>
      </c>
      <c r="B366" s="60">
        <f>5.8231 * CHOOSE(CONTROL!$C$22, $C$13, 100%, $E$13)</f>
        <v>5.8231000000000002</v>
      </c>
      <c r="C366" s="60">
        <f>5.8231 * CHOOSE(CONTROL!$C$22, $C$13, 100%, $E$13)</f>
        <v>5.8231000000000002</v>
      </c>
      <c r="D366" s="60">
        <f>5.8356 * CHOOSE(CONTROL!$C$22, $C$13, 100%, $E$13)</f>
        <v>5.8356000000000003</v>
      </c>
      <c r="E366" s="61">
        <f>6.6434 * CHOOSE(CONTROL!$C$22, $C$13, 100%, $E$13)</f>
        <v>6.6433999999999997</v>
      </c>
      <c r="F366" s="61">
        <f>6.6434 * CHOOSE(CONTROL!$C$22, $C$13, 100%, $E$13)</f>
        <v>6.6433999999999997</v>
      </c>
      <c r="G366" s="61">
        <f>6.6435 * CHOOSE(CONTROL!$C$22, $C$13, 100%, $E$13)</f>
        <v>6.6435000000000004</v>
      </c>
      <c r="H366" s="61">
        <f>11.8488* CHOOSE(CONTROL!$C$22, $C$13, 100%, $E$13)</f>
        <v>11.848800000000001</v>
      </c>
      <c r="I366" s="61">
        <f>11.8489 * CHOOSE(CONTROL!$C$22, $C$13, 100%, $E$13)</f>
        <v>11.8489</v>
      </c>
      <c r="J366" s="61">
        <f>6.6434 * CHOOSE(CONTROL!$C$22, $C$13, 100%, $E$13)</f>
        <v>6.6433999999999997</v>
      </c>
      <c r="K366" s="61">
        <f>6.6435 * CHOOSE(CONTROL!$C$22, $C$13, 100%, $E$13)</f>
        <v>6.6435000000000004</v>
      </c>
    </row>
    <row r="367" spans="1:11" ht="15">
      <c r="A367" s="13">
        <v>53022</v>
      </c>
      <c r="B367" s="60">
        <f>5.8201 * CHOOSE(CONTROL!$C$22, $C$13, 100%, $E$13)</f>
        <v>5.8201000000000001</v>
      </c>
      <c r="C367" s="60">
        <f>5.8201 * CHOOSE(CONTROL!$C$22, $C$13, 100%, $E$13)</f>
        <v>5.8201000000000001</v>
      </c>
      <c r="D367" s="60">
        <f>5.8326 * CHOOSE(CONTROL!$C$22, $C$13, 100%, $E$13)</f>
        <v>5.8326000000000002</v>
      </c>
      <c r="E367" s="61">
        <f>6.6991 * CHOOSE(CONTROL!$C$22, $C$13, 100%, $E$13)</f>
        <v>6.6990999999999996</v>
      </c>
      <c r="F367" s="61">
        <f>6.6991 * CHOOSE(CONTROL!$C$22, $C$13, 100%, $E$13)</f>
        <v>6.6990999999999996</v>
      </c>
      <c r="G367" s="61">
        <f>6.6992 * CHOOSE(CONTROL!$C$22, $C$13, 100%, $E$13)</f>
        <v>6.6992000000000003</v>
      </c>
      <c r="H367" s="61">
        <f>11.8735* CHOOSE(CONTROL!$C$22, $C$13, 100%, $E$13)</f>
        <v>11.8735</v>
      </c>
      <c r="I367" s="61">
        <f>11.8736 * CHOOSE(CONTROL!$C$22, $C$13, 100%, $E$13)</f>
        <v>11.8736</v>
      </c>
      <c r="J367" s="61">
        <f>6.6991 * CHOOSE(CONTROL!$C$22, $C$13, 100%, $E$13)</f>
        <v>6.6990999999999996</v>
      </c>
      <c r="K367" s="61">
        <f>6.6992 * CHOOSE(CONTROL!$C$22, $C$13, 100%, $E$13)</f>
        <v>6.6992000000000003</v>
      </c>
    </row>
    <row r="368" spans="1:11" ht="15">
      <c r="A368" s="13">
        <v>53053</v>
      </c>
      <c r="B368" s="60">
        <f>5.8194 * CHOOSE(CONTROL!$C$22, $C$13, 100%, $E$13)</f>
        <v>5.8193999999999999</v>
      </c>
      <c r="C368" s="60">
        <f>5.8194 * CHOOSE(CONTROL!$C$22, $C$13, 100%, $E$13)</f>
        <v>5.8193999999999999</v>
      </c>
      <c r="D368" s="60">
        <f>5.8319 * CHOOSE(CONTROL!$C$22, $C$13, 100%, $E$13)</f>
        <v>5.8319000000000001</v>
      </c>
      <c r="E368" s="61">
        <f>6.7569 * CHOOSE(CONTROL!$C$22, $C$13, 100%, $E$13)</f>
        <v>6.7568999999999999</v>
      </c>
      <c r="F368" s="61">
        <f>6.7569 * CHOOSE(CONTROL!$C$22, $C$13, 100%, $E$13)</f>
        <v>6.7568999999999999</v>
      </c>
      <c r="G368" s="61">
        <f>6.7571 * CHOOSE(CONTROL!$C$22, $C$13, 100%, $E$13)</f>
        <v>6.7571000000000003</v>
      </c>
      <c r="H368" s="61">
        <f>11.8982* CHOOSE(CONTROL!$C$22, $C$13, 100%, $E$13)</f>
        <v>11.898199999999999</v>
      </c>
      <c r="I368" s="61">
        <f>11.8984 * CHOOSE(CONTROL!$C$22, $C$13, 100%, $E$13)</f>
        <v>11.898400000000001</v>
      </c>
      <c r="J368" s="61">
        <f>6.7569 * CHOOSE(CONTROL!$C$22, $C$13, 100%, $E$13)</f>
        <v>6.7568999999999999</v>
      </c>
      <c r="K368" s="61">
        <f>6.7571 * CHOOSE(CONTROL!$C$22, $C$13, 100%, $E$13)</f>
        <v>6.7571000000000003</v>
      </c>
    </row>
    <row r="369" spans="1:11" ht="15">
      <c r="A369" s="13">
        <v>53083</v>
      </c>
      <c r="B369" s="60">
        <f>5.8194 * CHOOSE(CONTROL!$C$22, $C$13, 100%, $E$13)</f>
        <v>5.8193999999999999</v>
      </c>
      <c r="C369" s="60">
        <f>5.8194 * CHOOSE(CONTROL!$C$22, $C$13, 100%, $E$13)</f>
        <v>5.8193999999999999</v>
      </c>
      <c r="D369" s="60">
        <f>5.8444 * CHOOSE(CONTROL!$C$22, $C$13, 100%, $E$13)</f>
        <v>5.8444000000000003</v>
      </c>
      <c r="E369" s="61">
        <f>6.7802 * CHOOSE(CONTROL!$C$22, $C$13, 100%, $E$13)</f>
        <v>6.7801999999999998</v>
      </c>
      <c r="F369" s="61">
        <f>6.7802 * CHOOSE(CONTROL!$C$22, $C$13, 100%, $E$13)</f>
        <v>6.7801999999999998</v>
      </c>
      <c r="G369" s="61">
        <f>6.7818 * CHOOSE(CONTROL!$C$22, $C$13, 100%, $E$13)</f>
        <v>6.7817999999999996</v>
      </c>
      <c r="H369" s="61">
        <f>11.923* CHOOSE(CONTROL!$C$22, $C$13, 100%, $E$13)</f>
        <v>11.923</v>
      </c>
      <c r="I369" s="61">
        <f>11.9246 * CHOOSE(CONTROL!$C$22, $C$13, 100%, $E$13)</f>
        <v>11.9246</v>
      </c>
      <c r="J369" s="61">
        <f>6.7802 * CHOOSE(CONTROL!$C$22, $C$13, 100%, $E$13)</f>
        <v>6.7801999999999998</v>
      </c>
      <c r="K369" s="61">
        <f>6.7818 * CHOOSE(CONTROL!$C$22, $C$13, 100%, $E$13)</f>
        <v>6.7817999999999996</v>
      </c>
    </row>
    <row r="370" spans="1:11" ht="15">
      <c r="A370" s="13">
        <v>53114</v>
      </c>
      <c r="B370" s="60">
        <f>5.8254 * CHOOSE(CONTROL!$C$22, $C$13, 100%, $E$13)</f>
        <v>5.8254000000000001</v>
      </c>
      <c r="C370" s="60">
        <f>5.8254 * CHOOSE(CONTROL!$C$22, $C$13, 100%, $E$13)</f>
        <v>5.8254000000000001</v>
      </c>
      <c r="D370" s="60">
        <f>5.8505 * CHOOSE(CONTROL!$C$22, $C$13, 100%, $E$13)</f>
        <v>5.8505000000000003</v>
      </c>
      <c r="E370" s="61">
        <f>6.7612 * CHOOSE(CONTROL!$C$22, $C$13, 100%, $E$13)</f>
        <v>6.7611999999999997</v>
      </c>
      <c r="F370" s="61">
        <f>6.7612 * CHOOSE(CONTROL!$C$22, $C$13, 100%, $E$13)</f>
        <v>6.7611999999999997</v>
      </c>
      <c r="G370" s="61">
        <f>6.7628 * CHOOSE(CONTROL!$C$22, $C$13, 100%, $E$13)</f>
        <v>6.7628000000000004</v>
      </c>
      <c r="H370" s="61">
        <f>11.9478* CHOOSE(CONTROL!$C$22, $C$13, 100%, $E$13)</f>
        <v>11.947800000000001</v>
      </c>
      <c r="I370" s="61">
        <f>11.9494 * CHOOSE(CONTROL!$C$22, $C$13, 100%, $E$13)</f>
        <v>11.949400000000001</v>
      </c>
      <c r="J370" s="61">
        <f>6.7612 * CHOOSE(CONTROL!$C$22, $C$13, 100%, $E$13)</f>
        <v>6.7611999999999997</v>
      </c>
      <c r="K370" s="61">
        <f>6.7628 * CHOOSE(CONTROL!$C$22, $C$13, 100%, $E$13)</f>
        <v>6.7628000000000004</v>
      </c>
    </row>
    <row r="371" spans="1:11" ht="15">
      <c r="A371" s="13">
        <v>53144</v>
      </c>
      <c r="B371" s="60">
        <f>5.9228 * CHOOSE(CONTROL!$C$22, $C$13, 100%, $E$13)</f>
        <v>5.9227999999999996</v>
      </c>
      <c r="C371" s="60">
        <f>5.9228 * CHOOSE(CONTROL!$C$22, $C$13, 100%, $E$13)</f>
        <v>5.9227999999999996</v>
      </c>
      <c r="D371" s="60">
        <f>5.9479 * CHOOSE(CONTROL!$C$22, $C$13, 100%, $E$13)</f>
        <v>5.9478999999999997</v>
      </c>
      <c r="E371" s="61">
        <f>6.8958 * CHOOSE(CONTROL!$C$22, $C$13, 100%, $E$13)</f>
        <v>6.8958000000000004</v>
      </c>
      <c r="F371" s="61">
        <f>6.8958 * CHOOSE(CONTROL!$C$22, $C$13, 100%, $E$13)</f>
        <v>6.8958000000000004</v>
      </c>
      <c r="G371" s="61">
        <f>6.8974 * CHOOSE(CONTROL!$C$22, $C$13, 100%, $E$13)</f>
        <v>6.8974000000000002</v>
      </c>
      <c r="H371" s="61">
        <f>11.9727* CHOOSE(CONTROL!$C$22, $C$13, 100%, $E$13)</f>
        <v>11.9727</v>
      </c>
      <c r="I371" s="61">
        <f>11.9743 * CHOOSE(CONTROL!$C$22, $C$13, 100%, $E$13)</f>
        <v>11.974299999999999</v>
      </c>
      <c r="J371" s="61">
        <f>6.8958 * CHOOSE(CONTROL!$C$22, $C$13, 100%, $E$13)</f>
        <v>6.8958000000000004</v>
      </c>
      <c r="K371" s="61">
        <f>6.8974 * CHOOSE(CONTROL!$C$22, $C$13, 100%, $E$13)</f>
        <v>6.8974000000000002</v>
      </c>
    </row>
    <row r="372" spans="1:11" ht="15">
      <c r="A372" s="13">
        <v>53175</v>
      </c>
      <c r="B372" s="60">
        <f>5.9295 * CHOOSE(CONTROL!$C$22, $C$13, 100%, $E$13)</f>
        <v>5.9295</v>
      </c>
      <c r="C372" s="60">
        <f>5.9295 * CHOOSE(CONTROL!$C$22, $C$13, 100%, $E$13)</f>
        <v>5.9295</v>
      </c>
      <c r="D372" s="60">
        <f>5.9546 * CHOOSE(CONTROL!$C$22, $C$13, 100%, $E$13)</f>
        <v>5.9546000000000001</v>
      </c>
      <c r="E372" s="61">
        <f>6.8306 * CHOOSE(CONTROL!$C$22, $C$13, 100%, $E$13)</f>
        <v>6.8305999999999996</v>
      </c>
      <c r="F372" s="61">
        <f>6.8306 * CHOOSE(CONTROL!$C$22, $C$13, 100%, $E$13)</f>
        <v>6.8305999999999996</v>
      </c>
      <c r="G372" s="61">
        <f>6.8322 * CHOOSE(CONTROL!$C$22, $C$13, 100%, $E$13)</f>
        <v>6.8322000000000003</v>
      </c>
      <c r="H372" s="61">
        <f>11.9977* CHOOSE(CONTROL!$C$22, $C$13, 100%, $E$13)</f>
        <v>11.9977</v>
      </c>
      <c r="I372" s="61">
        <f>11.9993 * CHOOSE(CONTROL!$C$22, $C$13, 100%, $E$13)</f>
        <v>11.9993</v>
      </c>
      <c r="J372" s="61">
        <f>6.8306 * CHOOSE(CONTROL!$C$22, $C$13, 100%, $E$13)</f>
        <v>6.8305999999999996</v>
      </c>
      <c r="K372" s="61">
        <f>6.8322 * CHOOSE(CONTROL!$C$22, $C$13, 100%, $E$13)</f>
        <v>6.8322000000000003</v>
      </c>
    </row>
    <row r="373" spans="1:11" ht="15">
      <c r="A373" s="13">
        <v>53206</v>
      </c>
      <c r="B373" s="60">
        <f>5.9264 * CHOOSE(CONTROL!$C$22, $C$13, 100%, $E$13)</f>
        <v>5.9264000000000001</v>
      </c>
      <c r="C373" s="60">
        <f>5.9264 * CHOOSE(CONTROL!$C$22, $C$13, 100%, $E$13)</f>
        <v>5.9264000000000001</v>
      </c>
      <c r="D373" s="60">
        <f>5.9515 * CHOOSE(CONTROL!$C$22, $C$13, 100%, $E$13)</f>
        <v>5.9515000000000002</v>
      </c>
      <c r="E373" s="61">
        <f>6.8207 * CHOOSE(CONTROL!$C$22, $C$13, 100%, $E$13)</f>
        <v>6.8207000000000004</v>
      </c>
      <c r="F373" s="61">
        <f>6.8207 * CHOOSE(CONTROL!$C$22, $C$13, 100%, $E$13)</f>
        <v>6.8207000000000004</v>
      </c>
      <c r="G373" s="61">
        <f>6.8223 * CHOOSE(CONTROL!$C$22, $C$13, 100%, $E$13)</f>
        <v>6.8223000000000003</v>
      </c>
      <c r="H373" s="61">
        <f>12.0226* CHOOSE(CONTROL!$C$22, $C$13, 100%, $E$13)</f>
        <v>12.022600000000001</v>
      </c>
      <c r="I373" s="61">
        <f>12.0242 * CHOOSE(CONTROL!$C$22, $C$13, 100%, $E$13)</f>
        <v>12.0242</v>
      </c>
      <c r="J373" s="61">
        <f>6.8207 * CHOOSE(CONTROL!$C$22, $C$13, 100%, $E$13)</f>
        <v>6.8207000000000004</v>
      </c>
      <c r="K373" s="61">
        <f>6.8223 * CHOOSE(CONTROL!$C$22, $C$13, 100%, $E$13)</f>
        <v>6.8223000000000003</v>
      </c>
    </row>
    <row r="374" spans="1:11" ht="15">
      <c r="A374" s="13">
        <v>53236</v>
      </c>
      <c r="B374" s="60">
        <f>5.9282 * CHOOSE(CONTROL!$C$22, $C$13, 100%, $E$13)</f>
        <v>5.9282000000000004</v>
      </c>
      <c r="C374" s="60">
        <f>5.9282 * CHOOSE(CONTROL!$C$22, $C$13, 100%, $E$13)</f>
        <v>5.9282000000000004</v>
      </c>
      <c r="D374" s="60">
        <f>5.9407 * CHOOSE(CONTROL!$C$22, $C$13, 100%, $E$13)</f>
        <v>5.9406999999999996</v>
      </c>
      <c r="E374" s="61">
        <f>6.8383 * CHOOSE(CONTROL!$C$22, $C$13, 100%, $E$13)</f>
        <v>6.8383000000000003</v>
      </c>
      <c r="F374" s="61">
        <f>6.8383 * CHOOSE(CONTROL!$C$22, $C$13, 100%, $E$13)</f>
        <v>6.8383000000000003</v>
      </c>
      <c r="G374" s="61">
        <f>6.8385 * CHOOSE(CONTROL!$C$22, $C$13, 100%, $E$13)</f>
        <v>6.8384999999999998</v>
      </c>
      <c r="H374" s="61">
        <f>12.0477* CHOOSE(CONTROL!$C$22, $C$13, 100%, $E$13)</f>
        <v>12.047700000000001</v>
      </c>
      <c r="I374" s="61">
        <f>12.0479 * CHOOSE(CONTROL!$C$22, $C$13, 100%, $E$13)</f>
        <v>12.0479</v>
      </c>
      <c r="J374" s="61">
        <f>6.8383 * CHOOSE(CONTROL!$C$22, $C$13, 100%, $E$13)</f>
        <v>6.8383000000000003</v>
      </c>
      <c r="K374" s="61">
        <f>6.8385 * CHOOSE(CONTROL!$C$22, $C$13, 100%, $E$13)</f>
        <v>6.8384999999999998</v>
      </c>
    </row>
    <row r="375" spans="1:11" ht="15">
      <c r="A375" s="13">
        <v>53267</v>
      </c>
      <c r="B375" s="60">
        <f>5.9312 * CHOOSE(CONTROL!$C$22, $C$13, 100%, $E$13)</f>
        <v>5.9311999999999996</v>
      </c>
      <c r="C375" s="60">
        <f>5.9312 * CHOOSE(CONTROL!$C$22, $C$13, 100%, $E$13)</f>
        <v>5.9311999999999996</v>
      </c>
      <c r="D375" s="60">
        <f>5.9438 * CHOOSE(CONTROL!$C$22, $C$13, 100%, $E$13)</f>
        <v>5.9438000000000004</v>
      </c>
      <c r="E375" s="61">
        <f>6.856 * CHOOSE(CONTROL!$C$22, $C$13, 100%, $E$13)</f>
        <v>6.8559999999999999</v>
      </c>
      <c r="F375" s="61">
        <f>6.856 * CHOOSE(CONTROL!$C$22, $C$13, 100%, $E$13)</f>
        <v>6.8559999999999999</v>
      </c>
      <c r="G375" s="61">
        <f>6.8561 * CHOOSE(CONTROL!$C$22, $C$13, 100%, $E$13)</f>
        <v>6.8560999999999996</v>
      </c>
      <c r="H375" s="61">
        <f>12.0728* CHOOSE(CONTROL!$C$22, $C$13, 100%, $E$13)</f>
        <v>12.072800000000001</v>
      </c>
      <c r="I375" s="61">
        <f>12.073 * CHOOSE(CONTROL!$C$22, $C$13, 100%, $E$13)</f>
        <v>12.073</v>
      </c>
      <c r="J375" s="61">
        <f>6.856 * CHOOSE(CONTROL!$C$22, $C$13, 100%, $E$13)</f>
        <v>6.8559999999999999</v>
      </c>
      <c r="K375" s="61">
        <f>6.8561 * CHOOSE(CONTROL!$C$22, $C$13, 100%, $E$13)</f>
        <v>6.8560999999999996</v>
      </c>
    </row>
    <row r="376" spans="1:11" ht="15">
      <c r="A376" s="13">
        <v>53297</v>
      </c>
      <c r="B376" s="60">
        <f>5.9312 * CHOOSE(CONTROL!$C$22, $C$13, 100%, $E$13)</f>
        <v>5.9311999999999996</v>
      </c>
      <c r="C376" s="60">
        <f>5.9312 * CHOOSE(CONTROL!$C$22, $C$13, 100%, $E$13)</f>
        <v>5.9311999999999996</v>
      </c>
      <c r="D376" s="60">
        <f>5.9438 * CHOOSE(CONTROL!$C$22, $C$13, 100%, $E$13)</f>
        <v>5.9438000000000004</v>
      </c>
      <c r="E376" s="61">
        <f>6.8171 * CHOOSE(CONTROL!$C$22, $C$13, 100%, $E$13)</f>
        <v>6.8170999999999999</v>
      </c>
      <c r="F376" s="61">
        <f>6.8171 * CHOOSE(CONTROL!$C$22, $C$13, 100%, $E$13)</f>
        <v>6.8170999999999999</v>
      </c>
      <c r="G376" s="61">
        <f>6.8173 * CHOOSE(CONTROL!$C$22, $C$13, 100%, $E$13)</f>
        <v>6.8173000000000004</v>
      </c>
      <c r="H376" s="61">
        <f>12.0979* CHOOSE(CONTROL!$C$22, $C$13, 100%, $E$13)</f>
        <v>12.097899999999999</v>
      </c>
      <c r="I376" s="61">
        <f>12.0981 * CHOOSE(CONTROL!$C$22, $C$13, 100%, $E$13)</f>
        <v>12.098100000000001</v>
      </c>
      <c r="J376" s="61">
        <f>6.8171 * CHOOSE(CONTROL!$C$22, $C$13, 100%, $E$13)</f>
        <v>6.8170999999999999</v>
      </c>
      <c r="K376" s="61">
        <f>6.8173 * CHOOSE(CONTROL!$C$22, $C$13, 100%, $E$13)</f>
        <v>6.8173000000000004</v>
      </c>
    </row>
    <row r="377" spans="1:11" ht="15">
      <c r="A377" s="13">
        <v>53328</v>
      </c>
      <c r="B377" s="60">
        <f>5.9849 * CHOOSE(CONTROL!$C$22, $C$13, 100%, $E$13)</f>
        <v>5.9848999999999997</v>
      </c>
      <c r="C377" s="60">
        <f>5.9849 * CHOOSE(CONTROL!$C$22, $C$13, 100%, $E$13)</f>
        <v>5.9848999999999997</v>
      </c>
      <c r="D377" s="60">
        <f>5.9975 * CHOOSE(CONTROL!$C$22, $C$13, 100%, $E$13)</f>
        <v>5.9974999999999996</v>
      </c>
      <c r="E377" s="61">
        <f>6.9068 * CHOOSE(CONTROL!$C$22, $C$13, 100%, $E$13)</f>
        <v>6.9067999999999996</v>
      </c>
      <c r="F377" s="61">
        <f>6.9068 * CHOOSE(CONTROL!$C$22, $C$13, 100%, $E$13)</f>
        <v>6.9067999999999996</v>
      </c>
      <c r="G377" s="61">
        <f>6.907 * CHOOSE(CONTROL!$C$22, $C$13, 100%, $E$13)</f>
        <v>6.907</v>
      </c>
      <c r="H377" s="61">
        <f>12.1231* CHOOSE(CONTROL!$C$22, $C$13, 100%, $E$13)</f>
        <v>12.123100000000001</v>
      </c>
      <c r="I377" s="61">
        <f>12.1233 * CHOOSE(CONTROL!$C$22, $C$13, 100%, $E$13)</f>
        <v>12.1233</v>
      </c>
      <c r="J377" s="61">
        <f>6.9068 * CHOOSE(CONTROL!$C$22, $C$13, 100%, $E$13)</f>
        <v>6.9067999999999996</v>
      </c>
      <c r="K377" s="61">
        <f>6.907 * CHOOSE(CONTROL!$C$22, $C$13, 100%, $E$13)</f>
        <v>6.907</v>
      </c>
    </row>
    <row r="378" spans="1:11" ht="15">
      <c r="A378" s="13">
        <v>53359</v>
      </c>
      <c r="B378" s="60">
        <f>5.9819 * CHOOSE(CONTROL!$C$22, $C$13, 100%, $E$13)</f>
        <v>5.9819000000000004</v>
      </c>
      <c r="C378" s="60">
        <f>5.9819 * CHOOSE(CONTROL!$C$22, $C$13, 100%, $E$13)</f>
        <v>5.9819000000000004</v>
      </c>
      <c r="D378" s="60">
        <f>5.9944 * CHOOSE(CONTROL!$C$22, $C$13, 100%, $E$13)</f>
        <v>5.9943999999999997</v>
      </c>
      <c r="E378" s="61">
        <f>6.8293 * CHOOSE(CONTROL!$C$22, $C$13, 100%, $E$13)</f>
        <v>6.8292999999999999</v>
      </c>
      <c r="F378" s="61">
        <f>6.8293 * CHOOSE(CONTROL!$C$22, $C$13, 100%, $E$13)</f>
        <v>6.8292999999999999</v>
      </c>
      <c r="G378" s="61">
        <f>6.8295 * CHOOSE(CONTROL!$C$22, $C$13, 100%, $E$13)</f>
        <v>6.8295000000000003</v>
      </c>
      <c r="H378" s="61">
        <f>12.1484* CHOOSE(CONTROL!$C$22, $C$13, 100%, $E$13)</f>
        <v>12.148400000000001</v>
      </c>
      <c r="I378" s="61">
        <f>12.1486 * CHOOSE(CONTROL!$C$22, $C$13, 100%, $E$13)</f>
        <v>12.1486</v>
      </c>
      <c r="J378" s="61">
        <f>6.8293 * CHOOSE(CONTROL!$C$22, $C$13, 100%, $E$13)</f>
        <v>6.8292999999999999</v>
      </c>
      <c r="K378" s="61">
        <f>6.8295 * CHOOSE(CONTROL!$C$22, $C$13, 100%, $E$13)</f>
        <v>6.8295000000000003</v>
      </c>
    </row>
    <row r="379" spans="1:11" ht="15">
      <c r="A379" s="13">
        <v>53387</v>
      </c>
      <c r="B379" s="60">
        <f>5.9788 * CHOOSE(CONTROL!$C$22, $C$13, 100%, $E$13)</f>
        <v>5.9787999999999997</v>
      </c>
      <c r="C379" s="60">
        <f>5.9788 * CHOOSE(CONTROL!$C$22, $C$13, 100%, $E$13)</f>
        <v>5.9787999999999997</v>
      </c>
      <c r="D379" s="60">
        <f>5.9914 * CHOOSE(CONTROL!$C$22, $C$13, 100%, $E$13)</f>
        <v>5.9913999999999996</v>
      </c>
      <c r="E379" s="61">
        <f>6.8866 * CHOOSE(CONTROL!$C$22, $C$13, 100%, $E$13)</f>
        <v>6.8865999999999996</v>
      </c>
      <c r="F379" s="61">
        <f>6.8866 * CHOOSE(CONTROL!$C$22, $C$13, 100%, $E$13)</f>
        <v>6.8865999999999996</v>
      </c>
      <c r="G379" s="61">
        <f>6.8868 * CHOOSE(CONTROL!$C$22, $C$13, 100%, $E$13)</f>
        <v>6.8868</v>
      </c>
      <c r="H379" s="61">
        <f>12.1737* CHOOSE(CONTROL!$C$22, $C$13, 100%, $E$13)</f>
        <v>12.1737</v>
      </c>
      <c r="I379" s="61">
        <f>12.1739 * CHOOSE(CONTROL!$C$22, $C$13, 100%, $E$13)</f>
        <v>12.1739</v>
      </c>
      <c r="J379" s="61">
        <f>6.8866 * CHOOSE(CONTROL!$C$22, $C$13, 100%, $E$13)</f>
        <v>6.8865999999999996</v>
      </c>
      <c r="K379" s="61">
        <f>6.8868 * CHOOSE(CONTROL!$C$22, $C$13, 100%, $E$13)</f>
        <v>6.8868</v>
      </c>
    </row>
    <row r="380" spans="1:11" ht="15">
      <c r="A380" s="13">
        <v>53418</v>
      </c>
      <c r="B380" s="60">
        <f>5.9783 * CHOOSE(CONTROL!$C$22, $C$13, 100%, $E$13)</f>
        <v>5.9782999999999999</v>
      </c>
      <c r="C380" s="60">
        <f>5.9783 * CHOOSE(CONTROL!$C$22, $C$13, 100%, $E$13)</f>
        <v>5.9782999999999999</v>
      </c>
      <c r="D380" s="60">
        <f>5.9908 * CHOOSE(CONTROL!$C$22, $C$13, 100%, $E$13)</f>
        <v>5.9908000000000001</v>
      </c>
      <c r="E380" s="61">
        <f>6.9463 * CHOOSE(CONTROL!$C$22, $C$13, 100%, $E$13)</f>
        <v>6.9462999999999999</v>
      </c>
      <c r="F380" s="61">
        <f>6.9463 * CHOOSE(CONTROL!$C$22, $C$13, 100%, $E$13)</f>
        <v>6.9462999999999999</v>
      </c>
      <c r="G380" s="61">
        <f>6.9464 * CHOOSE(CONTROL!$C$22, $C$13, 100%, $E$13)</f>
        <v>6.9463999999999997</v>
      </c>
      <c r="H380" s="61">
        <f>12.1991* CHOOSE(CONTROL!$C$22, $C$13, 100%, $E$13)</f>
        <v>12.1991</v>
      </c>
      <c r="I380" s="61">
        <f>12.1993 * CHOOSE(CONTROL!$C$22, $C$13, 100%, $E$13)</f>
        <v>12.199299999999999</v>
      </c>
      <c r="J380" s="61">
        <f>6.9463 * CHOOSE(CONTROL!$C$22, $C$13, 100%, $E$13)</f>
        <v>6.9462999999999999</v>
      </c>
      <c r="K380" s="61">
        <f>6.9464 * CHOOSE(CONTROL!$C$22, $C$13, 100%, $E$13)</f>
        <v>6.9463999999999997</v>
      </c>
    </row>
    <row r="381" spans="1:11" ht="15">
      <c r="A381" s="13">
        <v>53448</v>
      </c>
      <c r="B381" s="60">
        <f>5.9783 * CHOOSE(CONTROL!$C$22, $C$13, 100%, $E$13)</f>
        <v>5.9782999999999999</v>
      </c>
      <c r="C381" s="60">
        <f>5.9783 * CHOOSE(CONTROL!$C$22, $C$13, 100%, $E$13)</f>
        <v>5.9782999999999999</v>
      </c>
      <c r="D381" s="60">
        <f>6.0033 * CHOOSE(CONTROL!$C$22, $C$13, 100%, $E$13)</f>
        <v>6.0033000000000003</v>
      </c>
      <c r="E381" s="61">
        <f>6.9702 * CHOOSE(CONTROL!$C$22, $C$13, 100%, $E$13)</f>
        <v>6.9702000000000002</v>
      </c>
      <c r="F381" s="61">
        <f>6.9702 * CHOOSE(CONTROL!$C$22, $C$13, 100%, $E$13)</f>
        <v>6.9702000000000002</v>
      </c>
      <c r="G381" s="61">
        <f>6.9718 * CHOOSE(CONTROL!$C$22, $C$13, 100%, $E$13)</f>
        <v>6.9718</v>
      </c>
      <c r="H381" s="61">
        <f>12.2245* CHOOSE(CONTROL!$C$22, $C$13, 100%, $E$13)</f>
        <v>12.224500000000001</v>
      </c>
      <c r="I381" s="61">
        <f>12.2261 * CHOOSE(CONTROL!$C$22, $C$13, 100%, $E$13)</f>
        <v>12.226100000000001</v>
      </c>
      <c r="J381" s="61">
        <f>6.9702 * CHOOSE(CONTROL!$C$22, $C$13, 100%, $E$13)</f>
        <v>6.9702000000000002</v>
      </c>
      <c r="K381" s="61">
        <f>6.9718 * CHOOSE(CONTROL!$C$22, $C$13, 100%, $E$13)</f>
        <v>6.9718</v>
      </c>
    </row>
    <row r="382" spans="1:11" ht="15">
      <c r="A382" s="13">
        <v>53479</v>
      </c>
      <c r="B382" s="60">
        <f>5.9843 * CHOOSE(CONTROL!$C$22, $C$13, 100%, $E$13)</f>
        <v>5.9843000000000002</v>
      </c>
      <c r="C382" s="60">
        <f>5.9843 * CHOOSE(CONTROL!$C$22, $C$13, 100%, $E$13)</f>
        <v>5.9843000000000002</v>
      </c>
      <c r="D382" s="60">
        <f>6.0094 * CHOOSE(CONTROL!$C$22, $C$13, 100%, $E$13)</f>
        <v>6.0094000000000003</v>
      </c>
      <c r="E382" s="61">
        <f>6.9505 * CHOOSE(CONTROL!$C$22, $C$13, 100%, $E$13)</f>
        <v>6.9504999999999999</v>
      </c>
      <c r="F382" s="61">
        <f>6.9505 * CHOOSE(CONTROL!$C$22, $C$13, 100%, $E$13)</f>
        <v>6.9504999999999999</v>
      </c>
      <c r="G382" s="61">
        <f>6.9521 * CHOOSE(CONTROL!$C$22, $C$13, 100%, $E$13)</f>
        <v>6.9520999999999997</v>
      </c>
      <c r="H382" s="61">
        <f>12.25* CHOOSE(CONTROL!$C$22, $C$13, 100%, $E$13)</f>
        <v>12.25</v>
      </c>
      <c r="I382" s="61">
        <f>12.2516 * CHOOSE(CONTROL!$C$22, $C$13, 100%, $E$13)</f>
        <v>12.2516</v>
      </c>
      <c r="J382" s="61">
        <f>6.9505 * CHOOSE(CONTROL!$C$22, $C$13, 100%, $E$13)</f>
        <v>6.9504999999999999</v>
      </c>
      <c r="K382" s="61">
        <f>6.9521 * CHOOSE(CONTROL!$C$22, $C$13, 100%, $E$13)</f>
        <v>6.9520999999999997</v>
      </c>
    </row>
    <row r="383" spans="1:11" ht="15">
      <c r="A383" s="13">
        <v>53509</v>
      </c>
      <c r="B383" s="60">
        <f>6.084 * CHOOSE(CONTROL!$C$22, $C$13, 100%, $E$13)</f>
        <v>6.0839999999999996</v>
      </c>
      <c r="C383" s="60">
        <f>6.084 * CHOOSE(CONTROL!$C$22, $C$13, 100%, $E$13)</f>
        <v>6.0839999999999996</v>
      </c>
      <c r="D383" s="60">
        <f>6.1091 * CHOOSE(CONTROL!$C$22, $C$13, 100%, $E$13)</f>
        <v>6.1090999999999998</v>
      </c>
      <c r="E383" s="61">
        <f>7.0886 * CHOOSE(CONTROL!$C$22, $C$13, 100%, $E$13)</f>
        <v>7.0885999999999996</v>
      </c>
      <c r="F383" s="61">
        <f>7.0886 * CHOOSE(CONTROL!$C$22, $C$13, 100%, $E$13)</f>
        <v>7.0885999999999996</v>
      </c>
      <c r="G383" s="61">
        <f>7.0902 * CHOOSE(CONTROL!$C$22, $C$13, 100%, $E$13)</f>
        <v>7.0902000000000003</v>
      </c>
      <c r="H383" s="61">
        <f>12.2755* CHOOSE(CONTROL!$C$22, $C$13, 100%, $E$13)</f>
        <v>12.275499999999999</v>
      </c>
      <c r="I383" s="61">
        <f>12.2771 * CHOOSE(CONTROL!$C$22, $C$13, 100%, $E$13)</f>
        <v>12.277100000000001</v>
      </c>
      <c r="J383" s="61">
        <f>7.0886 * CHOOSE(CONTROL!$C$22, $C$13, 100%, $E$13)</f>
        <v>7.0885999999999996</v>
      </c>
      <c r="K383" s="61">
        <f>7.0902 * CHOOSE(CONTROL!$C$22, $C$13, 100%, $E$13)</f>
        <v>7.0902000000000003</v>
      </c>
    </row>
    <row r="384" spans="1:11" ht="15">
      <c r="A384" s="13">
        <v>53540</v>
      </c>
      <c r="B384" s="60">
        <f>6.0907 * CHOOSE(CONTROL!$C$22, $C$13, 100%, $E$13)</f>
        <v>6.0907</v>
      </c>
      <c r="C384" s="60">
        <f>6.0907 * CHOOSE(CONTROL!$C$22, $C$13, 100%, $E$13)</f>
        <v>6.0907</v>
      </c>
      <c r="D384" s="60">
        <f>6.1158 * CHOOSE(CONTROL!$C$22, $C$13, 100%, $E$13)</f>
        <v>6.1158000000000001</v>
      </c>
      <c r="E384" s="61">
        <f>7.0214 * CHOOSE(CONTROL!$C$22, $C$13, 100%, $E$13)</f>
        <v>7.0213999999999999</v>
      </c>
      <c r="F384" s="61">
        <f>7.0214 * CHOOSE(CONTROL!$C$22, $C$13, 100%, $E$13)</f>
        <v>7.0213999999999999</v>
      </c>
      <c r="G384" s="61">
        <f>7.023 * CHOOSE(CONTROL!$C$22, $C$13, 100%, $E$13)</f>
        <v>7.0229999999999997</v>
      </c>
      <c r="H384" s="61">
        <f>12.3011* CHOOSE(CONTROL!$C$22, $C$13, 100%, $E$13)</f>
        <v>12.3011</v>
      </c>
      <c r="I384" s="61">
        <f>12.3027 * CHOOSE(CONTROL!$C$22, $C$13, 100%, $E$13)</f>
        <v>12.3027</v>
      </c>
      <c r="J384" s="61">
        <f>7.0214 * CHOOSE(CONTROL!$C$22, $C$13, 100%, $E$13)</f>
        <v>7.0213999999999999</v>
      </c>
      <c r="K384" s="61">
        <f>7.023 * CHOOSE(CONTROL!$C$22, $C$13, 100%, $E$13)</f>
        <v>7.0229999999999997</v>
      </c>
    </row>
    <row r="385" spans="1:11" ht="15">
      <c r="A385" s="13">
        <v>53571</v>
      </c>
      <c r="B385" s="60">
        <f>6.0877 * CHOOSE(CONTROL!$C$22, $C$13, 100%, $E$13)</f>
        <v>6.0876999999999999</v>
      </c>
      <c r="C385" s="60">
        <f>6.0877 * CHOOSE(CONTROL!$C$22, $C$13, 100%, $E$13)</f>
        <v>6.0876999999999999</v>
      </c>
      <c r="D385" s="60">
        <f>6.1128 * CHOOSE(CONTROL!$C$22, $C$13, 100%, $E$13)</f>
        <v>6.1128</v>
      </c>
      <c r="E385" s="61">
        <f>7.0113 * CHOOSE(CONTROL!$C$22, $C$13, 100%, $E$13)</f>
        <v>7.0113000000000003</v>
      </c>
      <c r="F385" s="61">
        <f>7.0113 * CHOOSE(CONTROL!$C$22, $C$13, 100%, $E$13)</f>
        <v>7.0113000000000003</v>
      </c>
      <c r="G385" s="61">
        <f>7.0129 * CHOOSE(CONTROL!$C$22, $C$13, 100%, $E$13)</f>
        <v>7.0129000000000001</v>
      </c>
      <c r="H385" s="61">
        <f>12.3267* CHOOSE(CONTROL!$C$22, $C$13, 100%, $E$13)</f>
        <v>12.326700000000001</v>
      </c>
      <c r="I385" s="61">
        <f>12.3283 * CHOOSE(CONTROL!$C$22, $C$13, 100%, $E$13)</f>
        <v>12.3283</v>
      </c>
      <c r="J385" s="61">
        <f>7.0113 * CHOOSE(CONTROL!$C$22, $C$13, 100%, $E$13)</f>
        <v>7.0113000000000003</v>
      </c>
      <c r="K385" s="61">
        <f>7.0129 * CHOOSE(CONTROL!$C$22, $C$13, 100%, $E$13)</f>
        <v>7.0129000000000001</v>
      </c>
    </row>
    <row r="386" spans="1:11" ht="15">
      <c r="A386" s="13">
        <v>53601</v>
      </c>
      <c r="B386" s="60">
        <f>6.0899 * CHOOSE(CONTROL!$C$22, $C$13, 100%, $E$13)</f>
        <v>6.0899000000000001</v>
      </c>
      <c r="C386" s="60">
        <f>6.0899 * CHOOSE(CONTROL!$C$22, $C$13, 100%, $E$13)</f>
        <v>6.0899000000000001</v>
      </c>
      <c r="D386" s="60">
        <f>6.1025 * CHOOSE(CONTROL!$C$22, $C$13, 100%, $E$13)</f>
        <v>6.1025</v>
      </c>
      <c r="E386" s="61">
        <f>7.0298 * CHOOSE(CONTROL!$C$22, $C$13, 100%, $E$13)</f>
        <v>7.0297999999999998</v>
      </c>
      <c r="F386" s="61">
        <f>7.0298 * CHOOSE(CONTROL!$C$22, $C$13, 100%, $E$13)</f>
        <v>7.0297999999999998</v>
      </c>
      <c r="G386" s="61">
        <f>7.03 * CHOOSE(CONTROL!$C$22, $C$13, 100%, $E$13)</f>
        <v>7.03</v>
      </c>
      <c r="H386" s="61">
        <f>12.3524* CHOOSE(CONTROL!$C$22, $C$13, 100%, $E$13)</f>
        <v>12.352399999999999</v>
      </c>
      <c r="I386" s="61">
        <f>12.3525 * CHOOSE(CONTROL!$C$22, $C$13, 100%, $E$13)</f>
        <v>12.352499999999999</v>
      </c>
      <c r="J386" s="61">
        <f>7.0298 * CHOOSE(CONTROL!$C$22, $C$13, 100%, $E$13)</f>
        <v>7.0297999999999998</v>
      </c>
      <c r="K386" s="61">
        <f>7.03 * CHOOSE(CONTROL!$C$22, $C$13, 100%, $E$13)</f>
        <v>7.03</v>
      </c>
    </row>
    <row r="387" spans="1:11" ht="15">
      <c r="A387" s="13">
        <v>53632</v>
      </c>
      <c r="B387" s="60">
        <f>6.093 * CHOOSE(CONTROL!$C$22, $C$13, 100%, $E$13)</f>
        <v>6.093</v>
      </c>
      <c r="C387" s="60">
        <f>6.093 * CHOOSE(CONTROL!$C$22, $C$13, 100%, $E$13)</f>
        <v>6.093</v>
      </c>
      <c r="D387" s="60">
        <f>6.1055 * CHOOSE(CONTROL!$C$22, $C$13, 100%, $E$13)</f>
        <v>6.1055000000000001</v>
      </c>
      <c r="E387" s="61">
        <f>7.0479 * CHOOSE(CONTROL!$C$22, $C$13, 100%, $E$13)</f>
        <v>7.0479000000000003</v>
      </c>
      <c r="F387" s="61">
        <f>7.0479 * CHOOSE(CONTROL!$C$22, $C$13, 100%, $E$13)</f>
        <v>7.0479000000000003</v>
      </c>
      <c r="G387" s="61">
        <f>7.0481 * CHOOSE(CONTROL!$C$22, $C$13, 100%, $E$13)</f>
        <v>7.0480999999999998</v>
      </c>
      <c r="H387" s="61">
        <f>12.3781* CHOOSE(CONTROL!$C$22, $C$13, 100%, $E$13)</f>
        <v>12.3781</v>
      </c>
      <c r="I387" s="61">
        <f>12.3783 * CHOOSE(CONTROL!$C$22, $C$13, 100%, $E$13)</f>
        <v>12.378299999999999</v>
      </c>
      <c r="J387" s="61">
        <f>7.0479 * CHOOSE(CONTROL!$C$22, $C$13, 100%, $E$13)</f>
        <v>7.0479000000000003</v>
      </c>
      <c r="K387" s="61">
        <f>7.0481 * CHOOSE(CONTROL!$C$22, $C$13, 100%, $E$13)</f>
        <v>7.0480999999999998</v>
      </c>
    </row>
    <row r="388" spans="1:11" ht="15">
      <c r="A388" s="13">
        <v>53662</v>
      </c>
      <c r="B388" s="60">
        <f>6.093 * CHOOSE(CONTROL!$C$22, $C$13, 100%, $E$13)</f>
        <v>6.093</v>
      </c>
      <c r="C388" s="60">
        <f>6.093 * CHOOSE(CONTROL!$C$22, $C$13, 100%, $E$13)</f>
        <v>6.093</v>
      </c>
      <c r="D388" s="60">
        <f>6.1055 * CHOOSE(CONTROL!$C$22, $C$13, 100%, $E$13)</f>
        <v>6.1055000000000001</v>
      </c>
      <c r="E388" s="61">
        <f>7.008 * CHOOSE(CONTROL!$C$22, $C$13, 100%, $E$13)</f>
        <v>7.008</v>
      </c>
      <c r="F388" s="61">
        <f>7.008 * CHOOSE(CONTROL!$C$22, $C$13, 100%, $E$13)</f>
        <v>7.008</v>
      </c>
      <c r="G388" s="61">
        <f>7.0082 * CHOOSE(CONTROL!$C$22, $C$13, 100%, $E$13)</f>
        <v>7.0082000000000004</v>
      </c>
      <c r="H388" s="61">
        <f>12.4039* CHOOSE(CONTROL!$C$22, $C$13, 100%, $E$13)</f>
        <v>12.4039</v>
      </c>
      <c r="I388" s="61">
        <f>12.4041 * CHOOSE(CONTROL!$C$22, $C$13, 100%, $E$13)</f>
        <v>12.4041</v>
      </c>
      <c r="J388" s="61">
        <f>7.008 * CHOOSE(CONTROL!$C$22, $C$13, 100%, $E$13)</f>
        <v>7.008</v>
      </c>
      <c r="K388" s="61">
        <f>7.0082 * CHOOSE(CONTROL!$C$22, $C$13, 100%, $E$13)</f>
        <v>7.0082000000000004</v>
      </c>
    </row>
    <row r="389" spans="1:11" ht="15">
      <c r="A389" s="13">
        <v>53693</v>
      </c>
      <c r="B389" s="60">
        <f>6.148 * CHOOSE(CONTROL!$C$22, $C$13, 100%, $E$13)</f>
        <v>6.1479999999999997</v>
      </c>
      <c r="C389" s="60">
        <f>6.148 * CHOOSE(CONTROL!$C$22, $C$13, 100%, $E$13)</f>
        <v>6.1479999999999997</v>
      </c>
      <c r="D389" s="60">
        <f>6.1606 * CHOOSE(CONTROL!$C$22, $C$13, 100%, $E$13)</f>
        <v>6.1605999999999996</v>
      </c>
      <c r="E389" s="61">
        <f>7.1001 * CHOOSE(CONTROL!$C$22, $C$13, 100%, $E$13)</f>
        <v>7.1001000000000003</v>
      </c>
      <c r="F389" s="61">
        <f>7.1001 * CHOOSE(CONTROL!$C$22, $C$13, 100%, $E$13)</f>
        <v>7.1001000000000003</v>
      </c>
      <c r="G389" s="61">
        <f>7.1003 * CHOOSE(CONTROL!$C$22, $C$13, 100%, $E$13)</f>
        <v>7.1002999999999998</v>
      </c>
      <c r="H389" s="61">
        <f>12.4297* CHOOSE(CONTROL!$C$22, $C$13, 100%, $E$13)</f>
        <v>12.4297</v>
      </c>
      <c r="I389" s="61">
        <f>12.4299 * CHOOSE(CONTROL!$C$22, $C$13, 100%, $E$13)</f>
        <v>12.4299</v>
      </c>
      <c r="J389" s="61">
        <f>7.1001 * CHOOSE(CONTROL!$C$22, $C$13, 100%, $E$13)</f>
        <v>7.1001000000000003</v>
      </c>
      <c r="K389" s="61">
        <f>7.1003 * CHOOSE(CONTROL!$C$22, $C$13, 100%, $E$13)</f>
        <v>7.1002999999999998</v>
      </c>
    </row>
    <row r="390" spans="1:11" ht="15">
      <c r="A390" s="13">
        <v>53724</v>
      </c>
      <c r="B390" s="60">
        <f>6.145 * CHOOSE(CONTROL!$C$22, $C$13, 100%, $E$13)</f>
        <v>6.1449999999999996</v>
      </c>
      <c r="C390" s="60">
        <f>6.145 * CHOOSE(CONTROL!$C$22, $C$13, 100%, $E$13)</f>
        <v>6.1449999999999996</v>
      </c>
      <c r="D390" s="60">
        <f>6.1575 * CHOOSE(CONTROL!$C$22, $C$13, 100%, $E$13)</f>
        <v>6.1574999999999998</v>
      </c>
      <c r="E390" s="61">
        <f>7.0205 * CHOOSE(CONTROL!$C$22, $C$13, 100%, $E$13)</f>
        <v>7.0205000000000002</v>
      </c>
      <c r="F390" s="61">
        <f>7.0205 * CHOOSE(CONTROL!$C$22, $C$13, 100%, $E$13)</f>
        <v>7.0205000000000002</v>
      </c>
      <c r="G390" s="61">
        <f>7.0206 * CHOOSE(CONTROL!$C$22, $C$13, 100%, $E$13)</f>
        <v>7.0206</v>
      </c>
      <c r="H390" s="61">
        <f>12.4556* CHOOSE(CONTROL!$C$22, $C$13, 100%, $E$13)</f>
        <v>12.4556</v>
      </c>
      <c r="I390" s="61">
        <f>12.4558 * CHOOSE(CONTROL!$C$22, $C$13, 100%, $E$13)</f>
        <v>12.4558</v>
      </c>
      <c r="J390" s="61">
        <f>7.0205 * CHOOSE(CONTROL!$C$22, $C$13, 100%, $E$13)</f>
        <v>7.0205000000000002</v>
      </c>
      <c r="K390" s="61">
        <f>7.0206 * CHOOSE(CONTROL!$C$22, $C$13, 100%, $E$13)</f>
        <v>7.0206</v>
      </c>
    </row>
    <row r="391" spans="1:11" ht="15">
      <c r="A391" s="13">
        <v>53752</v>
      </c>
      <c r="B391" s="60">
        <f>6.1419 * CHOOSE(CONTROL!$C$22, $C$13, 100%, $E$13)</f>
        <v>6.1418999999999997</v>
      </c>
      <c r="C391" s="60">
        <f>6.1419 * CHOOSE(CONTROL!$C$22, $C$13, 100%, $E$13)</f>
        <v>6.1418999999999997</v>
      </c>
      <c r="D391" s="60">
        <f>6.1545 * CHOOSE(CONTROL!$C$22, $C$13, 100%, $E$13)</f>
        <v>6.1544999999999996</v>
      </c>
      <c r="E391" s="61">
        <f>7.0795 * CHOOSE(CONTROL!$C$22, $C$13, 100%, $E$13)</f>
        <v>7.0795000000000003</v>
      </c>
      <c r="F391" s="61">
        <f>7.0795 * CHOOSE(CONTROL!$C$22, $C$13, 100%, $E$13)</f>
        <v>7.0795000000000003</v>
      </c>
      <c r="G391" s="61">
        <f>7.0797 * CHOOSE(CONTROL!$C$22, $C$13, 100%, $E$13)</f>
        <v>7.0796999999999999</v>
      </c>
      <c r="H391" s="61">
        <f>12.4816* CHOOSE(CONTROL!$C$22, $C$13, 100%, $E$13)</f>
        <v>12.4816</v>
      </c>
      <c r="I391" s="61">
        <f>12.4817 * CHOOSE(CONTROL!$C$22, $C$13, 100%, $E$13)</f>
        <v>12.4817</v>
      </c>
      <c r="J391" s="61">
        <f>7.0795 * CHOOSE(CONTROL!$C$22, $C$13, 100%, $E$13)</f>
        <v>7.0795000000000003</v>
      </c>
      <c r="K391" s="61">
        <f>7.0797 * CHOOSE(CONTROL!$C$22, $C$13, 100%, $E$13)</f>
        <v>7.0796999999999999</v>
      </c>
    </row>
    <row r="392" spans="1:11" ht="15">
      <c r="A392" s="13">
        <v>53783</v>
      </c>
      <c r="B392" s="60">
        <f>6.1415 * CHOOSE(CONTROL!$C$22, $C$13, 100%, $E$13)</f>
        <v>6.1414999999999997</v>
      </c>
      <c r="C392" s="60">
        <f>6.1415 * CHOOSE(CONTROL!$C$22, $C$13, 100%, $E$13)</f>
        <v>6.1414999999999997</v>
      </c>
      <c r="D392" s="60">
        <f>6.1541 * CHOOSE(CONTROL!$C$22, $C$13, 100%, $E$13)</f>
        <v>6.1540999999999997</v>
      </c>
      <c r="E392" s="61">
        <f>7.1409 * CHOOSE(CONTROL!$C$22, $C$13, 100%, $E$13)</f>
        <v>7.1409000000000002</v>
      </c>
      <c r="F392" s="61">
        <f>7.1409 * CHOOSE(CONTROL!$C$22, $C$13, 100%, $E$13)</f>
        <v>7.1409000000000002</v>
      </c>
      <c r="G392" s="61">
        <f>7.1411 * CHOOSE(CONTROL!$C$22, $C$13, 100%, $E$13)</f>
        <v>7.1410999999999998</v>
      </c>
      <c r="H392" s="61">
        <f>12.5076* CHOOSE(CONTROL!$C$22, $C$13, 100%, $E$13)</f>
        <v>12.5076</v>
      </c>
      <c r="I392" s="61">
        <f>12.5078 * CHOOSE(CONTROL!$C$22, $C$13, 100%, $E$13)</f>
        <v>12.5078</v>
      </c>
      <c r="J392" s="61">
        <f>7.1409 * CHOOSE(CONTROL!$C$22, $C$13, 100%, $E$13)</f>
        <v>7.1409000000000002</v>
      </c>
      <c r="K392" s="61">
        <f>7.1411 * CHOOSE(CONTROL!$C$22, $C$13, 100%, $E$13)</f>
        <v>7.1410999999999998</v>
      </c>
    </row>
    <row r="393" spans="1:11" ht="15">
      <c r="A393" s="13">
        <v>53813</v>
      </c>
      <c r="B393" s="60">
        <f>6.1415 * CHOOSE(CONTROL!$C$22, $C$13, 100%, $E$13)</f>
        <v>6.1414999999999997</v>
      </c>
      <c r="C393" s="60">
        <f>6.1415 * CHOOSE(CONTROL!$C$22, $C$13, 100%, $E$13)</f>
        <v>6.1414999999999997</v>
      </c>
      <c r="D393" s="60">
        <f>6.1666 * CHOOSE(CONTROL!$C$22, $C$13, 100%, $E$13)</f>
        <v>6.1665999999999999</v>
      </c>
      <c r="E393" s="61">
        <f>7.1655 * CHOOSE(CONTROL!$C$22, $C$13, 100%, $E$13)</f>
        <v>7.1654999999999998</v>
      </c>
      <c r="F393" s="61">
        <f>7.1655 * CHOOSE(CONTROL!$C$22, $C$13, 100%, $E$13)</f>
        <v>7.1654999999999998</v>
      </c>
      <c r="G393" s="61">
        <f>7.1671 * CHOOSE(CONTROL!$C$22, $C$13, 100%, $E$13)</f>
        <v>7.1670999999999996</v>
      </c>
      <c r="H393" s="61">
        <f>12.5336* CHOOSE(CONTROL!$C$22, $C$13, 100%, $E$13)</f>
        <v>12.5336</v>
      </c>
      <c r="I393" s="61">
        <f>12.5352 * CHOOSE(CONTROL!$C$22, $C$13, 100%, $E$13)</f>
        <v>12.5352</v>
      </c>
      <c r="J393" s="61">
        <f>7.1655 * CHOOSE(CONTROL!$C$22, $C$13, 100%, $E$13)</f>
        <v>7.1654999999999998</v>
      </c>
      <c r="K393" s="61">
        <f>7.1671 * CHOOSE(CONTROL!$C$22, $C$13, 100%, $E$13)</f>
        <v>7.1670999999999996</v>
      </c>
    </row>
    <row r="394" spans="1:11" ht="15">
      <c r="A394" s="13">
        <v>53844</v>
      </c>
      <c r="B394" s="60">
        <f>6.1476 * CHOOSE(CONTROL!$C$22, $C$13, 100%, $E$13)</f>
        <v>6.1475999999999997</v>
      </c>
      <c r="C394" s="60">
        <f>6.1476 * CHOOSE(CONTROL!$C$22, $C$13, 100%, $E$13)</f>
        <v>6.1475999999999997</v>
      </c>
      <c r="D394" s="60">
        <f>6.1727 * CHOOSE(CONTROL!$C$22, $C$13, 100%, $E$13)</f>
        <v>6.1726999999999999</v>
      </c>
      <c r="E394" s="61">
        <f>7.1451 * CHOOSE(CONTROL!$C$22, $C$13, 100%, $E$13)</f>
        <v>7.1451000000000002</v>
      </c>
      <c r="F394" s="61">
        <f>7.1451 * CHOOSE(CONTROL!$C$22, $C$13, 100%, $E$13)</f>
        <v>7.1451000000000002</v>
      </c>
      <c r="G394" s="61">
        <f>7.1467 * CHOOSE(CONTROL!$C$22, $C$13, 100%, $E$13)</f>
        <v>7.1467000000000001</v>
      </c>
      <c r="H394" s="61">
        <f>12.5597* CHOOSE(CONTROL!$C$22, $C$13, 100%, $E$13)</f>
        <v>12.559699999999999</v>
      </c>
      <c r="I394" s="61">
        <f>12.5613 * CHOOSE(CONTROL!$C$22, $C$13, 100%, $E$13)</f>
        <v>12.561299999999999</v>
      </c>
      <c r="J394" s="61">
        <f>7.1451 * CHOOSE(CONTROL!$C$22, $C$13, 100%, $E$13)</f>
        <v>7.1451000000000002</v>
      </c>
      <c r="K394" s="61">
        <f>7.1467 * CHOOSE(CONTROL!$C$22, $C$13, 100%, $E$13)</f>
        <v>7.1467000000000001</v>
      </c>
    </row>
    <row r="395" spans="1:11" ht="15">
      <c r="A395" s="13">
        <v>53874</v>
      </c>
      <c r="B395" s="60">
        <f>6.2497 * CHOOSE(CONTROL!$C$22, $C$13, 100%, $E$13)</f>
        <v>6.2496999999999998</v>
      </c>
      <c r="C395" s="60">
        <f>6.2497 * CHOOSE(CONTROL!$C$22, $C$13, 100%, $E$13)</f>
        <v>6.2496999999999998</v>
      </c>
      <c r="D395" s="60">
        <f>6.2748 * CHOOSE(CONTROL!$C$22, $C$13, 100%, $E$13)</f>
        <v>6.2747999999999999</v>
      </c>
      <c r="E395" s="61">
        <f>7.2868 * CHOOSE(CONTROL!$C$22, $C$13, 100%, $E$13)</f>
        <v>7.2868000000000004</v>
      </c>
      <c r="F395" s="61">
        <f>7.2868 * CHOOSE(CONTROL!$C$22, $C$13, 100%, $E$13)</f>
        <v>7.2868000000000004</v>
      </c>
      <c r="G395" s="61">
        <f>7.2884 * CHOOSE(CONTROL!$C$22, $C$13, 100%, $E$13)</f>
        <v>7.2884000000000002</v>
      </c>
      <c r="H395" s="61">
        <f>12.5859* CHOOSE(CONTROL!$C$22, $C$13, 100%, $E$13)</f>
        <v>12.585900000000001</v>
      </c>
      <c r="I395" s="61">
        <f>12.5875 * CHOOSE(CONTROL!$C$22, $C$13, 100%, $E$13)</f>
        <v>12.5875</v>
      </c>
      <c r="J395" s="61">
        <f>7.2868 * CHOOSE(CONTROL!$C$22, $C$13, 100%, $E$13)</f>
        <v>7.2868000000000004</v>
      </c>
      <c r="K395" s="61">
        <f>7.2884 * CHOOSE(CONTROL!$C$22, $C$13, 100%, $E$13)</f>
        <v>7.2884000000000002</v>
      </c>
    </row>
    <row r="396" spans="1:11" ht="15">
      <c r="A396" s="13">
        <v>53905</v>
      </c>
      <c r="B396" s="60">
        <f>6.2564 * CHOOSE(CONTROL!$C$22, $C$13, 100%, $E$13)</f>
        <v>6.2564000000000002</v>
      </c>
      <c r="C396" s="60">
        <f>6.2564 * CHOOSE(CONTROL!$C$22, $C$13, 100%, $E$13)</f>
        <v>6.2564000000000002</v>
      </c>
      <c r="D396" s="60">
        <f>6.2815 * CHOOSE(CONTROL!$C$22, $C$13, 100%, $E$13)</f>
        <v>6.2815000000000003</v>
      </c>
      <c r="E396" s="61">
        <f>7.2176 * CHOOSE(CONTROL!$C$22, $C$13, 100%, $E$13)</f>
        <v>7.2176</v>
      </c>
      <c r="F396" s="61">
        <f>7.2176 * CHOOSE(CONTROL!$C$22, $C$13, 100%, $E$13)</f>
        <v>7.2176</v>
      </c>
      <c r="G396" s="61">
        <f>7.2192 * CHOOSE(CONTROL!$C$22, $C$13, 100%, $E$13)</f>
        <v>7.2191999999999998</v>
      </c>
      <c r="H396" s="61">
        <f>12.6121* CHOOSE(CONTROL!$C$22, $C$13, 100%, $E$13)</f>
        <v>12.6121</v>
      </c>
      <c r="I396" s="61">
        <f>12.6137 * CHOOSE(CONTROL!$C$22, $C$13, 100%, $E$13)</f>
        <v>12.6137</v>
      </c>
      <c r="J396" s="61">
        <f>7.2176 * CHOOSE(CONTROL!$C$22, $C$13, 100%, $E$13)</f>
        <v>7.2176</v>
      </c>
      <c r="K396" s="61">
        <f>7.2192 * CHOOSE(CONTROL!$C$22, $C$13, 100%, $E$13)</f>
        <v>7.2191999999999998</v>
      </c>
    </row>
    <row r="397" spans="1:11" ht="15">
      <c r="A397" s="13">
        <v>53936</v>
      </c>
      <c r="B397" s="60">
        <f>6.2534 * CHOOSE(CONTROL!$C$22, $C$13, 100%, $E$13)</f>
        <v>6.2534000000000001</v>
      </c>
      <c r="C397" s="60">
        <f>6.2534 * CHOOSE(CONTROL!$C$22, $C$13, 100%, $E$13)</f>
        <v>6.2534000000000001</v>
      </c>
      <c r="D397" s="60">
        <f>6.2784 * CHOOSE(CONTROL!$C$22, $C$13, 100%, $E$13)</f>
        <v>6.2784000000000004</v>
      </c>
      <c r="E397" s="61">
        <f>7.2073 * CHOOSE(CONTROL!$C$22, $C$13, 100%, $E$13)</f>
        <v>7.2073</v>
      </c>
      <c r="F397" s="61">
        <f>7.2073 * CHOOSE(CONTROL!$C$22, $C$13, 100%, $E$13)</f>
        <v>7.2073</v>
      </c>
      <c r="G397" s="61">
        <f>7.2089 * CHOOSE(CONTROL!$C$22, $C$13, 100%, $E$13)</f>
        <v>7.2088999999999999</v>
      </c>
      <c r="H397" s="61">
        <f>12.6384* CHOOSE(CONTROL!$C$22, $C$13, 100%, $E$13)</f>
        <v>12.638400000000001</v>
      </c>
      <c r="I397" s="61">
        <f>12.64 * CHOOSE(CONTROL!$C$22, $C$13, 100%, $E$13)</f>
        <v>12.64</v>
      </c>
      <c r="J397" s="61">
        <f>7.2073 * CHOOSE(CONTROL!$C$22, $C$13, 100%, $E$13)</f>
        <v>7.2073</v>
      </c>
      <c r="K397" s="61">
        <f>7.2089 * CHOOSE(CONTROL!$C$22, $C$13, 100%, $E$13)</f>
        <v>7.2088999999999999</v>
      </c>
    </row>
    <row r="398" spans="1:11" ht="15">
      <c r="A398" s="13">
        <v>53966</v>
      </c>
      <c r="B398" s="60">
        <f>6.2562 * CHOOSE(CONTROL!$C$22, $C$13, 100%, $E$13)</f>
        <v>6.2561999999999998</v>
      </c>
      <c r="C398" s="60">
        <f>6.2562 * CHOOSE(CONTROL!$C$22, $C$13, 100%, $E$13)</f>
        <v>6.2561999999999998</v>
      </c>
      <c r="D398" s="60">
        <f>6.2687 * CHOOSE(CONTROL!$C$22, $C$13, 100%, $E$13)</f>
        <v>6.2686999999999999</v>
      </c>
      <c r="E398" s="61">
        <f>7.2267 * CHOOSE(CONTROL!$C$22, $C$13, 100%, $E$13)</f>
        <v>7.2267000000000001</v>
      </c>
      <c r="F398" s="61">
        <f>7.2267 * CHOOSE(CONTROL!$C$22, $C$13, 100%, $E$13)</f>
        <v>7.2267000000000001</v>
      </c>
      <c r="G398" s="61">
        <f>7.2269 * CHOOSE(CONTROL!$C$22, $C$13, 100%, $E$13)</f>
        <v>7.2268999999999997</v>
      </c>
      <c r="H398" s="61">
        <f>12.6647* CHOOSE(CONTROL!$C$22, $C$13, 100%, $E$13)</f>
        <v>12.6647</v>
      </c>
      <c r="I398" s="61">
        <f>12.6649 * CHOOSE(CONTROL!$C$22, $C$13, 100%, $E$13)</f>
        <v>12.664899999999999</v>
      </c>
      <c r="J398" s="61">
        <f>7.2267 * CHOOSE(CONTROL!$C$22, $C$13, 100%, $E$13)</f>
        <v>7.2267000000000001</v>
      </c>
      <c r="K398" s="61">
        <f>7.2269 * CHOOSE(CONTROL!$C$22, $C$13, 100%, $E$13)</f>
        <v>7.2268999999999997</v>
      </c>
    </row>
    <row r="399" spans="1:11" ht="15">
      <c r="A399" s="13">
        <v>53997</v>
      </c>
      <c r="B399" s="60">
        <f>6.2592 * CHOOSE(CONTROL!$C$22, $C$13, 100%, $E$13)</f>
        <v>6.2591999999999999</v>
      </c>
      <c r="C399" s="60">
        <f>6.2592 * CHOOSE(CONTROL!$C$22, $C$13, 100%, $E$13)</f>
        <v>6.2591999999999999</v>
      </c>
      <c r="D399" s="60">
        <f>6.2718 * CHOOSE(CONTROL!$C$22, $C$13, 100%, $E$13)</f>
        <v>6.2717999999999998</v>
      </c>
      <c r="E399" s="61">
        <f>7.2452 * CHOOSE(CONTROL!$C$22, $C$13, 100%, $E$13)</f>
        <v>7.2451999999999996</v>
      </c>
      <c r="F399" s="61">
        <f>7.2452 * CHOOSE(CONTROL!$C$22, $C$13, 100%, $E$13)</f>
        <v>7.2451999999999996</v>
      </c>
      <c r="G399" s="61">
        <f>7.2454 * CHOOSE(CONTROL!$C$22, $C$13, 100%, $E$13)</f>
        <v>7.2454000000000001</v>
      </c>
      <c r="H399" s="61">
        <f>12.6911* CHOOSE(CONTROL!$C$22, $C$13, 100%, $E$13)</f>
        <v>12.6911</v>
      </c>
      <c r="I399" s="61">
        <f>12.6913 * CHOOSE(CONTROL!$C$22, $C$13, 100%, $E$13)</f>
        <v>12.6913</v>
      </c>
      <c r="J399" s="61">
        <f>7.2452 * CHOOSE(CONTROL!$C$22, $C$13, 100%, $E$13)</f>
        <v>7.2451999999999996</v>
      </c>
      <c r="K399" s="61">
        <f>7.2454 * CHOOSE(CONTROL!$C$22, $C$13, 100%, $E$13)</f>
        <v>7.2454000000000001</v>
      </c>
    </row>
    <row r="400" spans="1:11" ht="15">
      <c r="A400" s="13">
        <v>54027</v>
      </c>
      <c r="B400" s="60">
        <f>6.2592 * CHOOSE(CONTROL!$C$22, $C$13, 100%, $E$13)</f>
        <v>6.2591999999999999</v>
      </c>
      <c r="C400" s="60">
        <f>6.2592 * CHOOSE(CONTROL!$C$22, $C$13, 100%, $E$13)</f>
        <v>6.2591999999999999</v>
      </c>
      <c r="D400" s="60">
        <f>6.2718 * CHOOSE(CONTROL!$C$22, $C$13, 100%, $E$13)</f>
        <v>6.2717999999999998</v>
      </c>
      <c r="E400" s="61">
        <f>7.2042 * CHOOSE(CONTROL!$C$22, $C$13, 100%, $E$13)</f>
        <v>7.2042000000000002</v>
      </c>
      <c r="F400" s="61">
        <f>7.2042 * CHOOSE(CONTROL!$C$22, $C$13, 100%, $E$13)</f>
        <v>7.2042000000000002</v>
      </c>
      <c r="G400" s="61">
        <f>7.2044 * CHOOSE(CONTROL!$C$22, $C$13, 100%, $E$13)</f>
        <v>7.2043999999999997</v>
      </c>
      <c r="H400" s="61">
        <f>12.7176* CHOOSE(CONTROL!$C$22, $C$13, 100%, $E$13)</f>
        <v>12.717599999999999</v>
      </c>
      <c r="I400" s="61">
        <f>12.7177 * CHOOSE(CONTROL!$C$22, $C$13, 100%, $E$13)</f>
        <v>12.717700000000001</v>
      </c>
      <c r="J400" s="61">
        <f>7.2042 * CHOOSE(CONTROL!$C$22, $C$13, 100%, $E$13)</f>
        <v>7.2042000000000002</v>
      </c>
      <c r="K400" s="61">
        <f>7.2044 * CHOOSE(CONTROL!$C$22, $C$13, 100%, $E$13)</f>
        <v>7.2043999999999997</v>
      </c>
    </row>
    <row r="401" spans="1:11" ht="15">
      <c r="A401" s="13">
        <v>54058</v>
      </c>
      <c r="B401" s="60">
        <f>6.3156 * CHOOSE(CONTROL!$C$22, $C$13, 100%, $E$13)</f>
        <v>6.3155999999999999</v>
      </c>
      <c r="C401" s="60">
        <f>6.3156 * CHOOSE(CONTROL!$C$22, $C$13, 100%, $E$13)</f>
        <v>6.3155999999999999</v>
      </c>
      <c r="D401" s="60">
        <f>6.3282 * CHOOSE(CONTROL!$C$22, $C$13, 100%, $E$13)</f>
        <v>6.3281999999999998</v>
      </c>
      <c r="E401" s="61">
        <f>7.2988 * CHOOSE(CONTROL!$C$22, $C$13, 100%, $E$13)</f>
        <v>7.2988</v>
      </c>
      <c r="F401" s="61">
        <f>7.2988 * CHOOSE(CONTROL!$C$22, $C$13, 100%, $E$13)</f>
        <v>7.2988</v>
      </c>
      <c r="G401" s="61">
        <f>7.299 * CHOOSE(CONTROL!$C$22, $C$13, 100%, $E$13)</f>
        <v>7.2990000000000004</v>
      </c>
      <c r="H401" s="61">
        <f>12.7441* CHOOSE(CONTROL!$C$22, $C$13, 100%, $E$13)</f>
        <v>12.7441</v>
      </c>
      <c r="I401" s="61">
        <f>12.7442 * CHOOSE(CONTROL!$C$22, $C$13, 100%, $E$13)</f>
        <v>12.744199999999999</v>
      </c>
      <c r="J401" s="61">
        <f>7.2988 * CHOOSE(CONTROL!$C$22, $C$13, 100%, $E$13)</f>
        <v>7.2988</v>
      </c>
      <c r="K401" s="61">
        <f>7.299 * CHOOSE(CONTROL!$C$22, $C$13, 100%, $E$13)</f>
        <v>7.2990000000000004</v>
      </c>
    </row>
    <row r="402" spans="1:11" ht="15">
      <c r="A402" s="13">
        <v>54089</v>
      </c>
      <c r="B402" s="60">
        <f>6.3126 * CHOOSE(CONTROL!$C$22, $C$13, 100%, $E$13)</f>
        <v>6.3125999999999998</v>
      </c>
      <c r="C402" s="60">
        <f>6.3126 * CHOOSE(CONTROL!$C$22, $C$13, 100%, $E$13)</f>
        <v>6.3125999999999998</v>
      </c>
      <c r="D402" s="60">
        <f>6.3252 * CHOOSE(CONTROL!$C$22, $C$13, 100%, $E$13)</f>
        <v>6.3251999999999997</v>
      </c>
      <c r="E402" s="61">
        <f>7.217 * CHOOSE(CONTROL!$C$22, $C$13, 100%, $E$13)</f>
        <v>7.2169999999999996</v>
      </c>
      <c r="F402" s="61">
        <f>7.217 * CHOOSE(CONTROL!$C$22, $C$13, 100%, $E$13)</f>
        <v>7.2169999999999996</v>
      </c>
      <c r="G402" s="61">
        <f>7.2172 * CHOOSE(CONTROL!$C$22, $C$13, 100%, $E$13)</f>
        <v>7.2172000000000001</v>
      </c>
      <c r="H402" s="61">
        <f>12.7706* CHOOSE(CONTROL!$C$22, $C$13, 100%, $E$13)</f>
        <v>12.7706</v>
      </c>
      <c r="I402" s="61">
        <f>12.7708 * CHOOSE(CONTROL!$C$22, $C$13, 100%, $E$13)</f>
        <v>12.770799999999999</v>
      </c>
      <c r="J402" s="61">
        <f>7.217 * CHOOSE(CONTROL!$C$22, $C$13, 100%, $E$13)</f>
        <v>7.2169999999999996</v>
      </c>
      <c r="K402" s="61">
        <f>7.2172 * CHOOSE(CONTROL!$C$22, $C$13, 100%, $E$13)</f>
        <v>7.2172000000000001</v>
      </c>
    </row>
    <row r="403" spans="1:11" ht="15">
      <c r="A403" s="13">
        <v>54118</v>
      </c>
      <c r="B403" s="60">
        <f>6.3096 * CHOOSE(CONTROL!$C$22, $C$13, 100%, $E$13)</f>
        <v>6.3095999999999997</v>
      </c>
      <c r="C403" s="60">
        <f>6.3096 * CHOOSE(CONTROL!$C$22, $C$13, 100%, $E$13)</f>
        <v>6.3095999999999997</v>
      </c>
      <c r="D403" s="60">
        <f>6.3221 * CHOOSE(CONTROL!$C$22, $C$13, 100%, $E$13)</f>
        <v>6.3220999999999998</v>
      </c>
      <c r="E403" s="61">
        <f>7.2777 * CHOOSE(CONTROL!$C$22, $C$13, 100%, $E$13)</f>
        <v>7.2777000000000003</v>
      </c>
      <c r="F403" s="61">
        <f>7.2777 * CHOOSE(CONTROL!$C$22, $C$13, 100%, $E$13)</f>
        <v>7.2777000000000003</v>
      </c>
      <c r="G403" s="61">
        <f>7.2779 * CHOOSE(CONTROL!$C$22, $C$13, 100%, $E$13)</f>
        <v>7.2778999999999998</v>
      </c>
      <c r="H403" s="61">
        <f>12.7972* CHOOSE(CONTROL!$C$22, $C$13, 100%, $E$13)</f>
        <v>12.7972</v>
      </c>
      <c r="I403" s="61">
        <f>12.7974 * CHOOSE(CONTROL!$C$22, $C$13, 100%, $E$13)</f>
        <v>12.7974</v>
      </c>
      <c r="J403" s="61">
        <f>7.2777 * CHOOSE(CONTROL!$C$22, $C$13, 100%, $E$13)</f>
        <v>7.2777000000000003</v>
      </c>
      <c r="K403" s="61">
        <f>7.2779 * CHOOSE(CONTROL!$C$22, $C$13, 100%, $E$13)</f>
        <v>7.2778999999999998</v>
      </c>
    </row>
    <row r="404" spans="1:11" ht="15">
      <c r="A404" s="13">
        <v>54149</v>
      </c>
      <c r="B404" s="60">
        <f>6.3093 * CHOOSE(CONTROL!$C$22, $C$13, 100%, $E$13)</f>
        <v>6.3093000000000004</v>
      </c>
      <c r="C404" s="60">
        <f>6.3093 * CHOOSE(CONTROL!$C$22, $C$13, 100%, $E$13)</f>
        <v>6.3093000000000004</v>
      </c>
      <c r="D404" s="60">
        <f>6.3218 * CHOOSE(CONTROL!$C$22, $C$13, 100%, $E$13)</f>
        <v>6.3217999999999996</v>
      </c>
      <c r="E404" s="61">
        <f>7.3409 * CHOOSE(CONTROL!$C$22, $C$13, 100%, $E$13)</f>
        <v>7.3409000000000004</v>
      </c>
      <c r="F404" s="61">
        <f>7.3409 * CHOOSE(CONTROL!$C$22, $C$13, 100%, $E$13)</f>
        <v>7.3409000000000004</v>
      </c>
      <c r="G404" s="61">
        <f>7.3411 * CHOOSE(CONTROL!$C$22, $C$13, 100%, $E$13)</f>
        <v>7.3411</v>
      </c>
      <c r="H404" s="61">
        <f>12.8239* CHOOSE(CONTROL!$C$22, $C$13, 100%, $E$13)</f>
        <v>12.8239</v>
      </c>
      <c r="I404" s="61">
        <f>12.824 * CHOOSE(CONTROL!$C$22, $C$13, 100%, $E$13)</f>
        <v>12.824</v>
      </c>
      <c r="J404" s="61">
        <f>7.3409 * CHOOSE(CONTROL!$C$22, $C$13, 100%, $E$13)</f>
        <v>7.3409000000000004</v>
      </c>
      <c r="K404" s="61">
        <f>7.3411 * CHOOSE(CONTROL!$C$22, $C$13, 100%, $E$13)</f>
        <v>7.3411</v>
      </c>
    </row>
    <row r="405" spans="1:11" ht="15">
      <c r="A405" s="13">
        <v>54179</v>
      </c>
      <c r="B405" s="60">
        <f>6.3093 * CHOOSE(CONTROL!$C$22, $C$13, 100%, $E$13)</f>
        <v>6.3093000000000004</v>
      </c>
      <c r="C405" s="60">
        <f>6.3093 * CHOOSE(CONTROL!$C$22, $C$13, 100%, $E$13)</f>
        <v>6.3093000000000004</v>
      </c>
      <c r="D405" s="60">
        <f>6.3344 * CHOOSE(CONTROL!$C$22, $C$13, 100%, $E$13)</f>
        <v>6.3343999999999996</v>
      </c>
      <c r="E405" s="61">
        <f>7.3663 * CHOOSE(CONTROL!$C$22, $C$13, 100%, $E$13)</f>
        <v>7.3662999999999998</v>
      </c>
      <c r="F405" s="61">
        <f>7.3663 * CHOOSE(CONTROL!$C$22, $C$13, 100%, $E$13)</f>
        <v>7.3662999999999998</v>
      </c>
      <c r="G405" s="61">
        <f>7.3679 * CHOOSE(CONTROL!$C$22, $C$13, 100%, $E$13)</f>
        <v>7.3678999999999997</v>
      </c>
      <c r="H405" s="61">
        <f>12.8506* CHOOSE(CONTROL!$C$22, $C$13, 100%, $E$13)</f>
        <v>12.8506</v>
      </c>
      <c r="I405" s="61">
        <f>12.8522 * CHOOSE(CONTROL!$C$22, $C$13, 100%, $E$13)</f>
        <v>12.8522</v>
      </c>
      <c r="J405" s="61">
        <f>7.3663 * CHOOSE(CONTROL!$C$22, $C$13, 100%, $E$13)</f>
        <v>7.3662999999999998</v>
      </c>
      <c r="K405" s="61">
        <f>7.3679 * CHOOSE(CONTROL!$C$22, $C$13, 100%, $E$13)</f>
        <v>7.3678999999999997</v>
      </c>
    </row>
    <row r="406" spans="1:11" ht="15">
      <c r="A406" s="13">
        <v>54210</v>
      </c>
      <c r="B406" s="60">
        <f>6.3154 * CHOOSE(CONTROL!$C$22, $C$13, 100%, $E$13)</f>
        <v>6.3154000000000003</v>
      </c>
      <c r="C406" s="60">
        <f>6.3154 * CHOOSE(CONTROL!$C$22, $C$13, 100%, $E$13)</f>
        <v>6.3154000000000003</v>
      </c>
      <c r="D406" s="60">
        <f>6.3405 * CHOOSE(CONTROL!$C$22, $C$13, 100%, $E$13)</f>
        <v>6.3404999999999996</v>
      </c>
      <c r="E406" s="61">
        <f>7.3452 * CHOOSE(CONTROL!$C$22, $C$13, 100%, $E$13)</f>
        <v>7.3452000000000002</v>
      </c>
      <c r="F406" s="61">
        <f>7.3452 * CHOOSE(CONTROL!$C$22, $C$13, 100%, $E$13)</f>
        <v>7.3452000000000002</v>
      </c>
      <c r="G406" s="61">
        <f>7.3468 * CHOOSE(CONTROL!$C$22, $C$13, 100%, $E$13)</f>
        <v>7.3468</v>
      </c>
      <c r="H406" s="61">
        <f>12.8774* CHOOSE(CONTROL!$C$22, $C$13, 100%, $E$13)</f>
        <v>12.8774</v>
      </c>
      <c r="I406" s="61">
        <f>12.879 * CHOOSE(CONTROL!$C$22, $C$13, 100%, $E$13)</f>
        <v>12.879</v>
      </c>
      <c r="J406" s="61">
        <f>7.3452 * CHOOSE(CONTROL!$C$22, $C$13, 100%, $E$13)</f>
        <v>7.3452000000000002</v>
      </c>
      <c r="K406" s="61">
        <f>7.3468 * CHOOSE(CONTROL!$C$22, $C$13, 100%, $E$13)</f>
        <v>7.3468</v>
      </c>
    </row>
    <row r="407" spans="1:11" ht="15">
      <c r="A407" s="13">
        <v>54240</v>
      </c>
      <c r="B407" s="60">
        <f>6.42 * CHOOSE(CONTROL!$C$22, $C$13, 100%, $E$13)</f>
        <v>6.42</v>
      </c>
      <c r="C407" s="60">
        <f>6.42 * CHOOSE(CONTROL!$C$22, $C$13, 100%, $E$13)</f>
        <v>6.42</v>
      </c>
      <c r="D407" s="60">
        <f>6.445 * CHOOSE(CONTROL!$C$22, $C$13, 100%, $E$13)</f>
        <v>6.4450000000000003</v>
      </c>
      <c r="E407" s="61">
        <f>7.4906 * CHOOSE(CONTROL!$C$22, $C$13, 100%, $E$13)</f>
        <v>7.4905999999999997</v>
      </c>
      <c r="F407" s="61">
        <f>7.4906 * CHOOSE(CONTROL!$C$22, $C$13, 100%, $E$13)</f>
        <v>7.4905999999999997</v>
      </c>
      <c r="G407" s="61">
        <f>7.4922 * CHOOSE(CONTROL!$C$22, $C$13, 100%, $E$13)</f>
        <v>7.4922000000000004</v>
      </c>
      <c r="H407" s="61">
        <f>12.9042* CHOOSE(CONTROL!$C$22, $C$13, 100%, $E$13)</f>
        <v>12.904199999999999</v>
      </c>
      <c r="I407" s="61">
        <f>12.9058 * CHOOSE(CONTROL!$C$22, $C$13, 100%, $E$13)</f>
        <v>12.905799999999999</v>
      </c>
      <c r="J407" s="61">
        <f>7.4906 * CHOOSE(CONTROL!$C$22, $C$13, 100%, $E$13)</f>
        <v>7.4905999999999997</v>
      </c>
      <c r="K407" s="61">
        <f>7.4922 * CHOOSE(CONTROL!$C$22, $C$13, 100%, $E$13)</f>
        <v>7.4922000000000004</v>
      </c>
    </row>
    <row r="408" spans="1:11" ht="15">
      <c r="A408" s="13">
        <v>54271</v>
      </c>
      <c r="B408" s="60">
        <f>6.4266 * CHOOSE(CONTROL!$C$22, $C$13, 100%, $E$13)</f>
        <v>6.4265999999999996</v>
      </c>
      <c r="C408" s="60">
        <f>6.4266 * CHOOSE(CONTROL!$C$22, $C$13, 100%, $E$13)</f>
        <v>6.4265999999999996</v>
      </c>
      <c r="D408" s="60">
        <f>6.4517 * CHOOSE(CONTROL!$C$22, $C$13, 100%, $E$13)</f>
        <v>6.4516999999999998</v>
      </c>
      <c r="E408" s="61">
        <f>7.4193 * CHOOSE(CONTROL!$C$22, $C$13, 100%, $E$13)</f>
        <v>7.4192999999999998</v>
      </c>
      <c r="F408" s="61">
        <f>7.4193 * CHOOSE(CONTROL!$C$22, $C$13, 100%, $E$13)</f>
        <v>7.4192999999999998</v>
      </c>
      <c r="G408" s="61">
        <f>7.4209 * CHOOSE(CONTROL!$C$22, $C$13, 100%, $E$13)</f>
        <v>7.4208999999999996</v>
      </c>
      <c r="H408" s="61">
        <f>12.9311* CHOOSE(CONTROL!$C$22, $C$13, 100%, $E$13)</f>
        <v>12.931100000000001</v>
      </c>
      <c r="I408" s="61">
        <f>12.9327 * CHOOSE(CONTROL!$C$22, $C$13, 100%, $E$13)</f>
        <v>12.932700000000001</v>
      </c>
      <c r="J408" s="61">
        <f>7.4193 * CHOOSE(CONTROL!$C$22, $C$13, 100%, $E$13)</f>
        <v>7.4192999999999998</v>
      </c>
      <c r="K408" s="61">
        <f>7.4209 * CHOOSE(CONTROL!$C$22, $C$13, 100%, $E$13)</f>
        <v>7.4208999999999996</v>
      </c>
    </row>
    <row r="409" spans="1:11" ht="15">
      <c r="A409" s="13">
        <v>54302</v>
      </c>
      <c r="B409" s="60">
        <f>6.4236 * CHOOSE(CONTROL!$C$22, $C$13, 100%, $E$13)</f>
        <v>6.4236000000000004</v>
      </c>
      <c r="C409" s="60">
        <f>6.4236 * CHOOSE(CONTROL!$C$22, $C$13, 100%, $E$13)</f>
        <v>6.4236000000000004</v>
      </c>
      <c r="D409" s="60">
        <f>6.4487 * CHOOSE(CONTROL!$C$22, $C$13, 100%, $E$13)</f>
        <v>6.4486999999999997</v>
      </c>
      <c r="E409" s="61">
        <f>7.4088 * CHOOSE(CONTROL!$C$22, $C$13, 100%, $E$13)</f>
        <v>7.4088000000000003</v>
      </c>
      <c r="F409" s="61">
        <f>7.4088 * CHOOSE(CONTROL!$C$22, $C$13, 100%, $E$13)</f>
        <v>7.4088000000000003</v>
      </c>
      <c r="G409" s="61">
        <f>7.4104 * CHOOSE(CONTROL!$C$22, $C$13, 100%, $E$13)</f>
        <v>7.4104000000000001</v>
      </c>
      <c r="H409" s="61">
        <f>12.958* CHOOSE(CONTROL!$C$22, $C$13, 100%, $E$13)</f>
        <v>12.958</v>
      </c>
      <c r="I409" s="61">
        <f>12.9596 * CHOOSE(CONTROL!$C$22, $C$13, 100%, $E$13)</f>
        <v>12.9596</v>
      </c>
      <c r="J409" s="61">
        <f>7.4088 * CHOOSE(CONTROL!$C$22, $C$13, 100%, $E$13)</f>
        <v>7.4088000000000003</v>
      </c>
      <c r="K409" s="61">
        <f>7.4104 * CHOOSE(CONTROL!$C$22, $C$13, 100%, $E$13)</f>
        <v>7.4104000000000001</v>
      </c>
    </row>
    <row r="410" spans="1:11" ht="15">
      <c r="A410" s="13">
        <v>54332</v>
      </c>
      <c r="B410" s="60">
        <f>6.427 * CHOOSE(CONTROL!$C$22, $C$13, 100%, $E$13)</f>
        <v>6.4269999999999996</v>
      </c>
      <c r="C410" s="60">
        <f>6.427 * CHOOSE(CONTROL!$C$22, $C$13, 100%, $E$13)</f>
        <v>6.4269999999999996</v>
      </c>
      <c r="D410" s="60">
        <f>6.4395 * CHOOSE(CONTROL!$C$22, $C$13, 100%, $E$13)</f>
        <v>6.4394999999999998</v>
      </c>
      <c r="E410" s="61">
        <f>7.4291 * CHOOSE(CONTROL!$C$22, $C$13, 100%, $E$13)</f>
        <v>7.4291</v>
      </c>
      <c r="F410" s="61">
        <f>7.4291 * CHOOSE(CONTROL!$C$22, $C$13, 100%, $E$13)</f>
        <v>7.4291</v>
      </c>
      <c r="G410" s="61">
        <f>7.4293 * CHOOSE(CONTROL!$C$22, $C$13, 100%, $E$13)</f>
        <v>7.4292999999999996</v>
      </c>
      <c r="H410" s="61">
        <f>12.985* CHOOSE(CONTROL!$C$22, $C$13, 100%, $E$13)</f>
        <v>12.984999999999999</v>
      </c>
      <c r="I410" s="61">
        <f>12.9852 * CHOOSE(CONTROL!$C$22, $C$13, 100%, $E$13)</f>
        <v>12.985200000000001</v>
      </c>
      <c r="J410" s="61">
        <f>7.4291 * CHOOSE(CONTROL!$C$22, $C$13, 100%, $E$13)</f>
        <v>7.4291</v>
      </c>
      <c r="K410" s="61">
        <f>7.4293 * CHOOSE(CONTROL!$C$22, $C$13, 100%, $E$13)</f>
        <v>7.4292999999999996</v>
      </c>
    </row>
    <row r="411" spans="1:11" ht="15">
      <c r="A411" s="13">
        <v>54363</v>
      </c>
      <c r="B411" s="60">
        <f>6.43 * CHOOSE(CONTROL!$C$22, $C$13, 100%, $E$13)</f>
        <v>6.43</v>
      </c>
      <c r="C411" s="60">
        <f>6.43 * CHOOSE(CONTROL!$C$22, $C$13, 100%, $E$13)</f>
        <v>6.43</v>
      </c>
      <c r="D411" s="60">
        <f>6.4426 * CHOOSE(CONTROL!$C$22, $C$13, 100%, $E$13)</f>
        <v>6.4425999999999997</v>
      </c>
      <c r="E411" s="61">
        <f>7.4481 * CHOOSE(CONTROL!$C$22, $C$13, 100%, $E$13)</f>
        <v>7.4481000000000002</v>
      </c>
      <c r="F411" s="61">
        <f>7.4481 * CHOOSE(CONTROL!$C$22, $C$13, 100%, $E$13)</f>
        <v>7.4481000000000002</v>
      </c>
      <c r="G411" s="61">
        <f>7.4483 * CHOOSE(CONTROL!$C$22, $C$13, 100%, $E$13)</f>
        <v>7.4482999999999997</v>
      </c>
      <c r="H411" s="61">
        <f>13.0121* CHOOSE(CONTROL!$C$22, $C$13, 100%, $E$13)</f>
        <v>13.0121</v>
      </c>
      <c r="I411" s="61">
        <f>13.0122 * CHOOSE(CONTROL!$C$22, $C$13, 100%, $E$13)</f>
        <v>13.0122</v>
      </c>
      <c r="J411" s="61">
        <f>7.4481 * CHOOSE(CONTROL!$C$22, $C$13, 100%, $E$13)</f>
        <v>7.4481000000000002</v>
      </c>
      <c r="K411" s="61">
        <f>7.4483 * CHOOSE(CONTROL!$C$22, $C$13, 100%, $E$13)</f>
        <v>7.4482999999999997</v>
      </c>
    </row>
    <row r="412" spans="1:11" ht="15">
      <c r="A412" s="13">
        <v>54393</v>
      </c>
      <c r="B412" s="60">
        <f>6.43 * CHOOSE(CONTROL!$C$22, $C$13, 100%, $E$13)</f>
        <v>6.43</v>
      </c>
      <c r="C412" s="60">
        <f>6.43 * CHOOSE(CONTROL!$C$22, $C$13, 100%, $E$13)</f>
        <v>6.43</v>
      </c>
      <c r="D412" s="60">
        <f>6.4426 * CHOOSE(CONTROL!$C$22, $C$13, 100%, $E$13)</f>
        <v>6.4425999999999997</v>
      </c>
      <c r="E412" s="61">
        <f>7.4059 * CHOOSE(CONTROL!$C$22, $C$13, 100%, $E$13)</f>
        <v>7.4058999999999999</v>
      </c>
      <c r="F412" s="61">
        <f>7.4059 * CHOOSE(CONTROL!$C$22, $C$13, 100%, $E$13)</f>
        <v>7.4058999999999999</v>
      </c>
      <c r="G412" s="61">
        <f>7.4061 * CHOOSE(CONTROL!$C$22, $C$13, 100%, $E$13)</f>
        <v>7.4061000000000003</v>
      </c>
      <c r="H412" s="61">
        <f>13.0392* CHOOSE(CONTROL!$C$22, $C$13, 100%, $E$13)</f>
        <v>13.039199999999999</v>
      </c>
      <c r="I412" s="61">
        <f>13.0393 * CHOOSE(CONTROL!$C$22, $C$13, 100%, $E$13)</f>
        <v>13.039300000000001</v>
      </c>
      <c r="J412" s="61">
        <f>7.4059 * CHOOSE(CONTROL!$C$22, $C$13, 100%, $E$13)</f>
        <v>7.4058999999999999</v>
      </c>
      <c r="K412" s="61">
        <f>7.4061 * CHOOSE(CONTROL!$C$22, $C$13, 100%, $E$13)</f>
        <v>7.4061000000000003</v>
      </c>
    </row>
    <row r="413" spans="1:11" ht="15">
      <c r="A413" s="13">
        <v>54424</v>
      </c>
      <c r="B413" s="60">
        <f>6.4879 * CHOOSE(CONTROL!$C$22, $C$13, 100%, $E$13)</f>
        <v>6.4878999999999998</v>
      </c>
      <c r="C413" s="60">
        <f>6.4879 * CHOOSE(CONTROL!$C$22, $C$13, 100%, $E$13)</f>
        <v>6.4878999999999998</v>
      </c>
      <c r="D413" s="60">
        <f>6.5004 * CHOOSE(CONTROL!$C$22, $C$13, 100%, $E$13)</f>
        <v>6.5004</v>
      </c>
      <c r="E413" s="61">
        <f>7.5031 * CHOOSE(CONTROL!$C$22, $C$13, 100%, $E$13)</f>
        <v>7.5030999999999999</v>
      </c>
      <c r="F413" s="61">
        <f>7.5031 * CHOOSE(CONTROL!$C$22, $C$13, 100%, $E$13)</f>
        <v>7.5030999999999999</v>
      </c>
      <c r="G413" s="61">
        <f>7.5032 * CHOOSE(CONTROL!$C$22, $C$13, 100%, $E$13)</f>
        <v>7.5031999999999996</v>
      </c>
      <c r="H413" s="61">
        <f>13.0663* CHOOSE(CONTROL!$C$22, $C$13, 100%, $E$13)</f>
        <v>13.0663</v>
      </c>
      <c r="I413" s="61">
        <f>13.0665 * CHOOSE(CONTROL!$C$22, $C$13, 100%, $E$13)</f>
        <v>13.0665</v>
      </c>
      <c r="J413" s="61">
        <f>7.5031 * CHOOSE(CONTROL!$C$22, $C$13, 100%, $E$13)</f>
        <v>7.5030999999999999</v>
      </c>
      <c r="K413" s="61">
        <f>7.5032 * CHOOSE(CONTROL!$C$22, $C$13, 100%, $E$13)</f>
        <v>7.5031999999999996</v>
      </c>
    </row>
    <row r="414" spans="1:11" ht="15">
      <c r="A414" s="13">
        <v>54455</v>
      </c>
      <c r="B414" s="60">
        <f>6.4848 * CHOOSE(CONTROL!$C$22, $C$13, 100%, $E$13)</f>
        <v>6.4847999999999999</v>
      </c>
      <c r="C414" s="60">
        <f>6.4848 * CHOOSE(CONTROL!$C$22, $C$13, 100%, $E$13)</f>
        <v>6.4847999999999999</v>
      </c>
      <c r="D414" s="60">
        <f>6.4974 * CHOOSE(CONTROL!$C$22, $C$13, 100%, $E$13)</f>
        <v>6.4973999999999998</v>
      </c>
      <c r="E414" s="61">
        <f>7.419 * CHOOSE(CONTROL!$C$22, $C$13, 100%, $E$13)</f>
        <v>7.4189999999999996</v>
      </c>
      <c r="F414" s="61">
        <f>7.419 * CHOOSE(CONTROL!$C$22, $C$13, 100%, $E$13)</f>
        <v>7.4189999999999996</v>
      </c>
      <c r="G414" s="61">
        <f>7.4192 * CHOOSE(CONTROL!$C$22, $C$13, 100%, $E$13)</f>
        <v>7.4192</v>
      </c>
      <c r="H414" s="61">
        <f>13.0936* CHOOSE(CONTROL!$C$22, $C$13, 100%, $E$13)</f>
        <v>13.0936</v>
      </c>
      <c r="I414" s="61">
        <f>13.0937 * CHOOSE(CONTROL!$C$22, $C$13, 100%, $E$13)</f>
        <v>13.0937</v>
      </c>
      <c r="J414" s="61">
        <f>7.419 * CHOOSE(CONTROL!$C$22, $C$13, 100%, $E$13)</f>
        <v>7.4189999999999996</v>
      </c>
      <c r="K414" s="61">
        <f>7.4192 * CHOOSE(CONTROL!$C$22, $C$13, 100%, $E$13)</f>
        <v>7.4192</v>
      </c>
    </row>
    <row r="415" spans="1:11" ht="15">
      <c r="A415" s="13">
        <v>54483</v>
      </c>
      <c r="B415" s="60">
        <f>6.4818 * CHOOSE(CONTROL!$C$22, $C$13, 100%, $E$13)</f>
        <v>6.4817999999999998</v>
      </c>
      <c r="C415" s="60">
        <f>6.4818 * CHOOSE(CONTROL!$C$22, $C$13, 100%, $E$13)</f>
        <v>6.4817999999999998</v>
      </c>
      <c r="D415" s="60">
        <f>6.4943 * CHOOSE(CONTROL!$C$22, $C$13, 100%, $E$13)</f>
        <v>6.4943</v>
      </c>
      <c r="E415" s="61">
        <f>7.4815 * CHOOSE(CONTROL!$C$22, $C$13, 100%, $E$13)</f>
        <v>7.4814999999999996</v>
      </c>
      <c r="F415" s="61">
        <f>7.4815 * CHOOSE(CONTROL!$C$22, $C$13, 100%, $E$13)</f>
        <v>7.4814999999999996</v>
      </c>
      <c r="G415" s="61">
        <f>7.4817 * CHOOSE(CONTROL!$C$22, $C$13, 100%, $E$13)</f>
        <v>7.4817</v>
      </c>
      <c r="H415" s="61">
        <f>13.1208* CHOOSE(CONTROL!$C$22, $C$13, 100%, $E$13)</f>
        <v>13.120799999999999</v>
      </c>
      <c r="I415" s="61">
        <f>13.121 * CHOOSE(CONTROL!$C$22, $C$13, 100%, $E$13)</f>
        <v>13.121</v>
      </c>
      <c r="J415" s="61">
        <f>7.4815 * CHOOSE(CONTROL!$C$22, $C$13, 100%, $E$13)</f>
        <v>7.4814999999999996</v>
      </c>
      <c r="K415" s="61">
        <f>7.4817 * CHOOSE(CONTROL!$C$22, $C$13, 100%, $E$13)</f>
        <v>7.4817</v>
      </c>
    </row>
    <row r="416" spans="1:11" ht="15">
      <c r="A416" s="13">
        <v>54514</v>
      </c>
      <c r="B416" s="60">
        <f>6.4817 * CHOOSE(CONTROL!$C$22, $C$13, 100%, $E$13)</f>
        <v>6.4817</v>
      </c>
      <c r="C416" s="60">
        <f>6.4817 * CHOOSE(CONTROL!$C$22, $C$13, 100%, $E$13)</f>
        <v>6.4817</v>
      </c>
      <c r="D416" s="60">
        <f>6.4942 * CHOOSE(CONTROL!$C$22, $C$13, 100%, $E$13)</f>
        <v>6.4942000000000002</v>
      </c>
      <c r="E416" s="61">
        <f>7.5466 * CHOOSE(CONTROL!$C$22, $C$13, 100%, $E$13)</f>
        <v>7.5465999999999998</v>
      </c>
      <c r="F416" s="61">
        <f>7.5466 * CHOOSE(CONTROL!$C$22, $C$13, 100%, $E$13)</f>
        <v>7.5465999999999998</v>
      </c>
      <c r="G416" s="61">
        <f>7.5468 * CHOOSE(CONTROL!$C$22, $C$13, 100%, $E$13)</f>
        <v>7.5468000000000002</v>
      </c>
      <c r="H416" s="61">
        <f>13.1482* CHOOSE(CONTROL!$C$22, $C$13, 100%, $E$13)</f>
        <v>13.148199999999999</v>
      </c>
      <c r="I416" s="61">
        <f>13.1483 * CHOOSE(CONTROL!$C$22, $C$13, 100%, $E$13)</f>
        <v>13.148300000000001</v>
      </c>
      <c r="J416" s="61">
        <f>7.5466 * CHOOSE(CONTROL!$C$22, $C$13, 100%, $E$13)</f>
        <v>7.5465999999999998</v>
      </c>
      <c r="K416" s="61">
        <f>7.5468 * CHOOSE(CONTROL!$C$22, $C$13, 100%, $E$13)</f>
        <v>7.5468000000000002</v>
      </c>
    </row>
    <row r="417" spans="1:11" ht="15">
      <c r="A417" s="13">
        <v>54544</v>
      </c>
      <c r="B417" s="60">
        <f>6.4817 * CHOOSE(CONTROL!$C$22, $C$13, 100%, $E$13)</f>
        <v>6.4817</v>
      </c>
      <c r="C417" s="60">
        <f>6.4817 * CHOOSE(CONTROL!$C$22, $C$13, 100%, $E$13)</f>
        <v>6.4817</v>
      </c>
      <c r="D417" s="60">
        <f>6.5067 * CHOOSE(CONTROL!$C$22, $C$13, 100%, $E$13)</f>
        <v>6.5067000000000004</v>
      </c>
      <c r="E417" s="61">
        <f>7.5726 * CHOOSE(CONTROL!$C$22, $C$13, 100%, $E$13)</f>
        <v>7.5726000000000004</v>
      </c>
      <c r="F417" s="61">
        <f>7.5726 * CHOOSE(CONTROL!$C$22, $C$13, 100%, $E$13)</f>
        <v>7.5726000000000004</v>
      </c>
      <c r="G417" s="61">
        <f>7.5742 * CHOOSE(CONTROL!$C$22, $C$13, 100%, $E$13)</f>
        <v>7.5742000000000003</v>
      </c>
      <c r="H417" s="61">
        <f>13.1756* CHOOSE(CONTROL!$C$22, $C$13, 100%, $E$13)</f>
        <v>13.175599999999999</v>
      </c>
      <c r="I417" s="61">
        <f>13.1772 * CHOOSE(CONTROL!$C$22, $C$13, 100%, $E$13)</f>
        <v>13.177199999999999</v>
      </c>
      <c r="J417" s="61">
        <f>7.5726 * CHOOSE(CONTROL!$C$22, $C$13, 100%, $E$13)</f>
        <v>7.5726000000000004</v>
      </c>
      <c r="K417" s="61">
        <f>7.5742 * CHOOSE(CONTROL!$C$22, $C$13, 100%, $E$13)</f>
        <v>7.5742000000000003</v>
      </c>
    </row>
    <row r="418" spans="1:11" ht="15">
      <c r="A418" s="13">
        <v>54575</v>
      </c>
      <c r="B418" s="60">
        <f>6.4877 * CHOOSE(CONTROL!$C$22, $C$13, 100%, $E$13)</f>
        <v>6.4877000000000002</v>
      </c>
      <c r="C418" s="60">
        <f>6.4877 * CHOOSE(CONTROL!$C$22, $C$13, 100%, $E$13)</f>
        <v>6.4877000000000002</v>
      </c>
      <c r="D418" s="60">
        <f>6.5128 * CHOOSE(CONTROL!$C$22, $C$13, 100%, $E$13)</f>
        <v>6.5128000000000004</v>
      </c>
      <c r="E418" s="61">
        <f>7.5509 * CHOOSE(CONTROL!$C$22, $C$13, 100%, $E$13)</f>
        <v>7.5509000000000004</v>
      </c>
      <c r="F418" s="61">
        <f>7.5509 * CHOOSE(CONTROL!$C$22, $C$13, 100%, $E$13)</f>
        <v>7.5509000000000004</v>
      </c>
      <c r="G418" s="61">
        <f>7.5525 * CHOOSE(CONTROL!$C$22, $C$13, 100%, $E$13)</f>
        <v>7.5525000000000002</v>
      </c>
      <c r="H418" s="61">
        <f>13.203* CHOOSE(CONTROL!$C$22, $C$13, 100%, $E$13)</f>
        <v>13.202999999999999</v>
      </c>
      <c r="I418" s="61">
        <f>13.2046 * CHOOSE(CONTROL!$C$22, $C$13, 100%, $E$13)</f>
        <v>13.204599999999999</v>
      </c>
      <c r="J418" s="61">
        <f>7.5509 * CHOOSE(CONTROL!$C$22, $C$13, 100%, $E$13)</f>
        <v>7.5509000000000004</v>
      </c>
      <c r="K418" s="61">
        <f>7.5525 * CHOOSE(CONTROL!$C$22, $C$13, 100%, $E$13)</f>
        <v>7.5525000000000002</v>
      </c>
    </row>
    <row r="419" spans="1:11" ht="15">
      <c r="A419" s="13">
        <v>54605</v>
      </c>
      <c r="B419" s="60">
        <f>6.5949 * CHOOSE(CONTROL!$C$22, $C$13, 100%, $E$13)</f>
        <v>6.5949</v>
      </c>
      <c r="C419" s="60">
        <f>6.5949 * CHOOSE(CONTROL!$C$22, $C$13, 100%, $E$13)</f>
        <v>6.5949</v>
      </c>
      <c r="D419" s="60">
        <f>6.62 * CHOOSE(CONTROL!$C$22, $C$13, 100%, $E$13)</f>
        <v>6.62</v>
      </c>
      <c r="E419" s="61">
        <f>7.7 * CHOOSE(CONTROL!$C$22, $C$13, 100%, $E$13)</f>
        <v>7.7</v>
      </c>
      <c r="F419" s="61">
        <f>7.7 * CHOOSE(CONTROL!$C$22, $C$13, 100%, $E$13)</f>
        <v>7.7</v>
      </c>
      <c r="G419" s="61">
        <f>7.7016 * CHOOSE(CONTROL!$C$22, $C$13, 100%, $E$13)</f>
        <v>7.7016</v>
      </c>
      <c r="H419" s="61">
        <f>13.2305* CHOOSE(CONTROL!$C$22, $C$13, 100%, $E$13)</f>
        <v>13.230499999999999</v>
      </c>
      <c r="I419" s="61">
        <f>13.2321 * CHOOSE(CONTROL!$C$22, $C$13, 100%, $E$13)</f>
        <v>13.232100000000001</v>
      </c>
      <c r="J419" s="61">
        <f>7.7 * CHOOSE(CONTROL!$C$22, $C$13, 100%, $E$13)</f>
        <v>7.7</v>
      </c>
      <c r="K419" s="61">
        <f>7.7016 * CHOOSE(CONTROL!$C$22, $C$13, 100%, $E$13)</f>
        <v>7.7016</v>
      </c>
    </row>
    <row r="420" spans="1:11" ht="15">
      <c r="A420" s="13">
        <v>54636</v>
      </c>
      <c r="B420" s="60">
        <f>6.6016 * CHOOSE(CONTROL!$C$22, $C$13, 100%, $E$13)</f>
        <v>6.6016000000000004</v>
      </c>
      <c r="C420" s="60">
        <f>6.6016 * CHOOSE(CONTROL!$C$22, $C$13, 100%, $E$13)</f>
        <v>6.6016000000000004</v>
      </c>
      <c r="D420" s="60">
        <f>6.6267 * CHOOSE(CONTROL!$C$22, $C$13, 100%, $E$13)</f>
        <v>6.6266999999999996</v>
      </c>
      <c r="E420" s="61">
        <f>7.6266 * CHOOSE(CONTROL!$C$22, $C$13, 100%, $E$13)</f>
        <v>7.6265999999999998</v>
      </c>
      <c r="F420" s="61">
        <f>7.6266 * CHOOSE(CONTROL!$C$22, $C$13, 100%, $E$13)</f>
        <v>7.6265999999999998</v>
      </c>
      <c r="G420" s="61">
        <f>7.6282 * CHOOSE(CONTROL!$C$22, $C$13, 100%, $E$13)</f>
        <v>7.6281999999999996</v>
      </c>
      <c r="H420" s="61">
        <f>13.2581* CHOOSE(CONTROL!$C$22, $C$13, 100%, $E$13)</f>
        <v>13.258100000000001</v>
      </c>
      <c r="I420" s="61">
        <f>13.2597 * CHOOSE(CONTROL!$C$22, $C$13, 100%, $E$13)</f>
        <v>13.2597</v>
      </c>
      <c r="J420" s="61">
        <f>7.6266 * CHOOSE(CONTROL!$C$22, $C$13, 100%, $E$13)</f>
        <v>7.6265999999999998</v>
      </c>
      <c r="K420" s="61">
        <f>7.6282 * CHOOSE(CONTROL!$C$22, $C$13, 100%, $E$13)</f>
        <v>7.6281999999999996</v>
      </c>
    </row>
    <row r="421" spans="1:11" ht="15">
      <c r="A421" s="13">
        <v>54667</v>
      </c>
      <c r="B421" s="60">
        <f>6.5985 * CHOOSE(CONTROL!$C$22, $C$13, 100%, $E$13)</f>
        <v>6.5984999999999996</v>
      </c>
      <c r="C421" s="60">
        <f>6.5985 * CHOOSE(CONTROL!$C$22, $C$13, 100%, $E$13)</f>
        <v>6.5984999999999996</v>
      </c>
      <c r="D421" s="60">
        <f>6.6236 * CHOOSE(CONTROL!$C$22, $C$13, 100%, $E$13)</f>
        <v>6.6235999999999997</v>
      </c>
      <c r="E421" s="61">
        <f>7.6159 * CHOOSE(CONTROL!$C$22, $C$13, 100%, $E$13)</f>
        <v>7.6158999999999999</v>
      </c>
      <c r="F421" s="61">
        <f>7.6159 * CHOOSE(CONTROL!$C$22, $C$13, 100%, $E$13)</f>
        <v>7.6158999999999999</v>
      </c>
      <c r="G421" s="61">
        <f>7.6175 * CHOOSE(CONTROL!$C$22, $C$13, 100%, $E$13)</f>
        <v>7.6174999999999997</v>
      </c>
      <c r="H421" s="61">
        <f>13.2857* CHOOSE(CONTROL!$C$22, $C$13, 100%, $E$13)</f>
        <v>13.2857</v>
      </c>
      <c r="I421" s="61">
        <f>13.2873 * CHOOSE(CONTROL!$C$22, $C$13, 100%, $E$13)</f>
        <v>13.2873</v>
      </c>
      <c r="J421" s="61">
        <f>7.6159 * CHOOSE(CONTROL!$C$22, $C$13, 100%, $E$13)</f>
        <v>7.6158999999999999</v>
      </c>
      <c r="K421" s="61">
        <f>7.6175 * CHOOSE(CONTROL!$C$22, $C$13, 100%, $E$13)</f>
        <v>7.6174999999999997</v>
      </c>
    </row>
    <row r="422" spans="1:11" ht="15">
      <c r="A422" s="13">
        <v>54697</v>
      </c>
      <c r="B422" s="60">
        <f>6.6025 * CHOOSE(CONTROL!$C$22, $C$13, 100%, $E$13)</f>
        <v>6.6025</v>
      </c>
      <c r="C422" s="60">
        <f>6.6025 * CHOOSE(CONTROL!$C$22, $C$13, 100%, $E$13)</f>
        <v>6.6025</v>
      </c>
      <c r="D422" s="60">
        <f>6.6151 * CHOOSE(CONTROL!$C$22, $C$13, 100%, $E$13)</f>
        <v>6.6151</v>
      </c>
      <c r="E422" s="61">
        <f>7.6371 * CHOOSE(CONTROL!$C$22, $C$13, 100%, $E$13)</f>
        <v>7.6371000000000002</v>
      </c>
      <c r="F422" s="61">
        <f>7.6371 * CHOOSE(CONTROL!$C$22, $C$13, 100%, $E$13)</f>
        <v>7.6371000000000002</v>
      </c>
      <c r="G422" s="61">
        <f>7.6373 * CHOOSE(CONTROL!$C$22, $C$13, 100%, $E$13)</f>
        <v>7.6372999999999998</v>
      </c>
      <c r="H422" s="61">
        <f>13.3134* CHOOSE(CONTROL!$C$22, $C$13, 100%, $E$13)</f>
        <v>13.3134</v>
      </c>
      <c r="I422" s="61">
        <f>13.3136 * CHOOSE(CONTROL!$C$22, $C$13, 100%, $E$13)</f>
        <v>13.313599999999999</v>
      </c>
      <c r="J422" s="61">
        <f>7.6371 * CHOOSE(CONTROL!$C$22, $C$13, 100%, $E$13)</f>
        <v>7.6371000000000002</v>
      </c>
      <c r="K422" s="61">
        <f>7.6373 * CHOOSE(CONTROL!$C$22, $C$13, 100%, $E$13)</f>
        <v>7.6372999999999998</v>
      </c>
    </row>
    <row r="423" spans="1:11" ht="15">
      <c r="A423" s="13">
        <v>54728</v>
      </c>
      <c r="B423" s="60">
        <f>6.6056 * CHOOSE(CONTROL!$C$22, $C$13, 100%, $E$13)</f>
        <v>6.6055999999999999</v>
      </c>
      <c r="C423" s="60">
        <f>6.6056 * CHOOSE(CONTROL!$C$22, $C$13, 100%, $E$13)</f>
        <v>6.6055999999999999</v>
      </c>
      <c r="D423" s="60">
        <f>6.6181 * CHOOSE(CONTROL!$C$22, $C$13, 100%, $E$13)</f>
        <v>6.6181000000000001</v>
      </c>
      <c r="E423" s="61">
        <f>7.6566 * CHOOSE(CONTROL!$C$22, $C$13, 100%, $E$13)</f>
        <v>7.6566000000000001</v>
      </c>
      <c r="F423" s="61">
        <f>7.6566 * CHOOSE(CONTROL!$C$22, $C$13, 100%, $E$13)</f>
        <v>7.6566000000000001</v>
      </c>
      <c r="G423" s="61">
        <f>7.6568 * CHOOSE(CONTROL!$C$22, $C$13, 100%, $E$13)</f>
        <v>7.6567999999999996</v>
      </c>
      <c r="H423" s="61">
        <f>13.3411* CHOOSE(CONTROL!$C$22, $C$13, 100%, $E$13)</f>
        <v>13.341100000000001</v>
      </c>
      <c r="I423" s="61">
        <f>13.3413 * CHOOSE(CONTROL!$C$22, $C$13, 100%, $E$13)</f>
        <v>13.3413</v>
      </c>
      <c r="J423" s="61">
        <f>7.6566 * CHOOSE(CONTROL!$C$22, $C$13, 100%, $E$13)</f>
        <v>7.6566000000000001</v>
      </c>
      <c r="K423" s="61">
        <f>7.6568 * CHOOSE(CONTROL!$C$22, $C$13, 100%, $E$13)</f>
        <v>7.6567999999999996</v>
      </c>
    </row>
    <row r="424" spans="1:11" ht="15">
      <c r="A424" s="13">
        <v>54758</v>
      </c>
      <c r="B424" s="60">
        <f>6.6056 * CHOOSE(CONTROL!$C$22, $C$13, 100%, $E$13)</f>
        <v>6.6055999999999999</v>
      </c>
      <c r="C424" s="60">
        <f>6.6056 * CHOOSE(CONTROL!$C$22, $C$13, 100%, $E$13)</f>
        <v>6.6055999999999999</v>
      </c>
      <c r="D424" s="60">
        <f>6.6181 * CHOOSE(CONTROL!$C$22, $C$13, 100%, $E$13)</f>
        <v>6.6181000000000001</v>
      </c>
      <c r="E424" s="61">
        <f>7.6132 * CHOOSE(CONTROL!$C$22, $C$13, 100%, $E$13)</f>
        <v>7.6132</v>
      </c>
      <c r="F424" s="61">
        <f>7.6132 * CHOOSE(CONTROL!$C$22, $C$13, 100%, $E$13)</f>
        <v>7.6132</v>
      </c>
      <c r="G424" s="61">
        <f>7.6134 * CHOOSE(CONTROL!$C$22, $C$13, 100%, $E$13)</f>
        <v>7.6134000000000004</v>
      </c>
      <c r="H424" s="61">
        <f>13.3689* CHOOSE(CONTROL!$C$22, $C$13, 100%, $E$13)</f>
        <v>13.3689</v>
      </c>
      <c r="I424" s="61">
        <f>13.3691 * CHOOSE(CONTROL!$C$22, $C$13, 100%, $E$13)</f>
        <v>13.3691</v>
      </c>
      <c r="J424" s="61">
        <f>7.6132 * CHOOSE(CONTROL!$C$22, $C$13, 100%, $E$13)</f>
        <v>7.6132</v>
      </c>
      <c r="K424" s="61">
        <f>7.6134 * CHOOSE(CONTROL!$C$22, $C$13, 100%, $E$13)</f>
        <v>7.6134000000000004</v>
      </c>
    </row>
    <row r="425" spans="1:11" ht="15">
      <c r="A425" s="13">
        <v>54789</v>
      </c>
      <c r="B425" s="60">
        <f>6.6648 * CHOOSE(CONTROL!$C$22, $C$13, 100%, $E$13)</f>
        <v>6.6647999999999996</v>
      </c>
      <c r="C425" s="60">
        <f>6.6648 * CHOOSE(CONTROL!$C$22, $C$13, 100%, $E$13)</f>
        <v>6.6647999999999996</v>
      </c>
      <c r="D425" s="60">
        <f>6.6774 * CHOOSE(CONTROL!$C$22, $C$13, 100%, $E$13)</f>
        <v>6.6773999999999996</v>
      </c>
      <c r="E425" s="61">
        <f>7.713 * CHOOSE(CONTROL!$C$22, $C$13, 100%, $E$13)</f>
        <v>7.7130000000000001</v>
      </c>
      <c r="F425" s="61">
        <f>7.713 * CHOOSE(CONTROL!$C$22, $C$13, 100%, $E$13)</f>
        <v>7.7130000000000001</v>
      </c>
      <c r="G425" s="61">
        <f>7.7132 * CHOOSE(CONTROL!$C$22, $C$13, 100%, $E$13)</f>
        <v>7.7131999999999996</v>
      </c>
      <c r="H425" s="61">
        <f>13.3968* CHOOSE(CONTROL!$C$22, $C$13, 100%, $E$13)</f>
        <v>13.396800000000001</v>
      </c>
      <c r="I425" s="61">
        <f>13.3969 * CHOOSE(CONTROL!$C$22, $C$13, 100%, $E$13)</f>
        <v>13.3969</v>
      </c>
      <c r="J425" s="61">
        <f>7.713 * CHOOSE(CONTROL!$C$22, $C$13, 100%, $E$13)</f>
        <v>7.7130000000000001</v>
      </c>
      <c r="K425" s="61">
        <f>7.7132 * CHOOSE(CONTROL!$C$22, $C$13, 100%, $E$13)</f>
        <v>7.7131999999999996</v>
      </c>
    </row>
    <row r="426" spans="1:11" ht="15">
      <c r="A426" s="13">
        <v>54820</v>
      </c>
      <c r="B426" s="60">
        <f>6.6618 * CHOOSE(CONTROL!$C$22, $C$13, 100%, $E$13)</f>
        <v>6.6618000000000004</v>
      </c>
      <c r="C426" s="60">
        <f>6.6618 * CHOOSE(CONTROL!$C$22, $C$13, 100%, $E$13)</f>
        <v>6.6618000000000004</v>
      </c>
      <c r="D426" s="60">
        <f>6.6744 * CHOOSE(CONTROL!$C$22, $C$13, 100%, $E$13)</f>
        <v>6.6744000000000003</v>
      </c>
      <c r="E426" s="61">
        <f>7.6267 * CHOOSE(CONTROL!$C$22, $C$13, 100%, $E$13)</f>
        <v>7.6266999999999996</v>
      </c>
      <c r="F426" s="61">
        <f>7.6267 * CHOOSE(CONTROL!$C$22, $C$13, 100%, $E$13)</f>
        <v>7.6266999999999996</v>
      </c>
      <c r="G426" s="61">
        <f>7.6268 * CHOOSE(CONTROL!$C$22, $C$13, 100%, $E$13)</f>
        <v>7.6268000000000002</v>
      </c>
      <c r="H426" s="61">
        <f>13.4247* CHOOSE(CONTROL!$C$22, $C$13, 100%, $E$13)</f>
        <v>13.4247</v>
      </c>
      <c r="I426" s="61">
        <f>13.4248 * CHOOSE(CONTROL!$C$22, $C$13, 100%, $E$13)</f>
        <v>13.424799999999999</v>
      </c>
      <c r="J426" s="61">
        <f>7.6267 * CHOOSE(CONTROL!$C$22, $C$13, 100%, $E$13)</f>
        <v>7.6266999999999996</v>
      </c>
      <c r="K426" s="61">
        <f>7.6268 * CHOOSE(CONTROL!$C$22, $C$13, 100%, $E$13)</f>
        <v>7.6268000000000002</v>
      </c>
    </row>
    <row r="427" spans="1:11" ht="15">
      <c r="A427" s="13">
        <v>54848</v>
      </c>
      <c r="B427" s="60">
        <f>6.6588 * CHOOSE(CONTROL!$C$22, $C$13, 100%, $E$13)</f>
        <v>6.6588000000000003</v>
      </c>
      <c r="C427" s="60">
        <f>6.6588 * CHOOSE(CONTROL!$C$22, $C$13, 100%, $E$13)</f>
        <v>6.6588000000000003</v>
      </c>
      <c r="D427" s="60">
        <f>6.6713 * CHOOSE(CONTROL!$C$22, $C$13, 100%, $E$13)</f>
        <v>6.6712999999999996</v>
      </c>
      <c r="E427" s="61">
        <f>7.691 * CHOOSE(CONTROL!$C$22, $C$13, 100%, $E$13)</f>
        <v>7.6909999999999998</v>
      </c>
      <c r="F427" s="61">
        <f>7.691 * CHOOSE(CONTROL!$C$22, $C$13, 100%, $E$13)</f>
        <v>7.6909999999999998</v>
      </c>
      <c r="G427" s="61">
        <f>7.6911 * CHOOSE(CONTROL!$C$22, $C$13, 100%, $E$13)</f>
        <v>7.6910999999999996</v>
      </c>
      <c r="H427" s="61">
        <f>13.4526* CHOOSE(CONTROL!$C$22, $C$13, 100%, $E$13)</f>
        <v>13.4526</v>
      </c>
      <c r="I427" s="61">
        <f>13.4528 * CHOOSE(CONTROL!$C$22, $C$13, 100%, $E$13)</f>
        <v>13.4528</v>
      </c>
      <c r="J427" s="61">
        <f>7.691 * CHOOSE(CONTROL!$C$22, $C$13, 100%, $E$13)</f>
        <v>7.6909999999999998</v>
      </c>
      <c r="K427" s="61">
        <f>7.6911 * CHOOSE(CONTROL!$C$22, $C$13, 100%, $E$13)</f>
        <v>7.6910999999999996</v>
      </c>
    </row>
    <row r="428" spans="1:11" ht="15">
      <c r="A428" s="13">
        <v>54879</v>
      </c>
      <c r="B428" s="60">
        <f>6.6588 * CHOOSE(CONTROL!$C$22, $C$13, 100%, $E$13)</f>
        <v>6.6588000000000003</v>
      </c>
      <c r="C428" s="60">
        <f>6.6588 * CHOOSE(CONTROL!$C$22, $C$13, 100%, $E$13)</f>
        <v>6.6588000000000003</v>
      </c>
      <c r="D428" s="60">
        <f>6.6713 * CHOOSE(CONTROL!$C$22, $C$13, 100%, $E$13)</f>
        <v>6.6712999999999996</v>
      </c>
      <c r="E428" s="61">
        <f>7.758 * CHOOSE(CONTROL!$C$22, $C$13, 100%, $E$13)</f>
        <v>7.758</v>
      </c>
      <c r="F428" s="61">
        <f>7.758 * CHOOSE(CONTROL!$C$22, $C$13, 100%, $E$13)</f>
        <v>7.758</v>
      </c>
      <c r="G428" s="61">
        <f>7.7582 * CHOOSE(CONTROL!$C$22, $C$13, 100%, $E$13)</f>
        <v>7.7582000000000004</v>
      </c>
      <c r="H428" s="61">
        <f>13.4807* CHOOSE(CONTROL!$C$22, $C$13, 100%, $E$13)</f>
        <v>13.480700000000001</v>
      </c>
      <c r="I428" s="61">
        <f>13.4808 * CHOOSE(CONTROL!$C$22, $C$13, 100%, $E$13)</f>
        <v>13.4808</v>
      </c>
      <c r="J428" s="61">
        <f>7.758 * CHOOSE(CONTROL!$C$22, $C$13, 100%, $E$13)</f>
        <v>7.758</v>
      </c>
      <c r="K428" s="61">
        <f>7.7582 * CHOOSE(CONTROL!$C$22, $C$13, 100%, $E$13)</f>
        <v>7.7582000000000004</v>
      </c>
    </row>
    <row r="429" spans="1:11" ht="15">
      <c r="A429" s="13">
        <v>54909</v>
      </c>
      <c r="B429" s="60">
        <f>6.6588 * CHOOSE(CONTROL!$C$22, $C$13, 100%, $E$13)</f>
        <v>6.6588000000000003</v>
      </c>
      <c r="C429" s="60">
        <f>6.6588 * CHOOSE(CONTROL!$C$22, $C$13, 100%, $E$13)</f>
        <v>6.6588000000000003</v>
      </c>
      <c r="D429" s="60">
        <f>6.6839 * CHOOSE(CONTROL!$C$22, $C$13, 100%, $E$13)</f>
        <v>6.6839000000000004</v>
      </c>
      <c r="E429" s="61">
        <f>7.7848 * CHOOSE(CONTROL!$C$22, $C$13, 100%, $E$13)</f>
        <v>7.7847999999999997</v>
      </c>
      <c r="F429" s="61">
        <f>7.7848 * CHOOSE(CONTROL!$C$22, $C$13, 100%, $E$13)</f>
        <v>7.7847999999999997</v>
      </c>
      <c r="G429" s="61">
        <f>7.7864 * CHOOSE(CONTROL!$C$22, $C$13, 100%, $E$13)</f>
        <v>7.7864000000000004</v>
      </c>
      <c r="H429" s="61">
        <f>13.5087* CHOOSE(CONTROL!$C$22, $C$13, 100%, $E$13)</f>
        <v>13.508699999999999</v>
      </c>
      <c r="I429" s="61">
        <f>13.5103 * CHOOSE(CONTROL!$C$22, $C$13, 100%, $E$13)</f>
        <v>13.510300000000001</v>
      </c>
      <c r="J429" s="61">
        <f>7.7848 * CHOOSE(CONTROL!$C$22, $C$13, 100%, $E$13)</f>
        <v>7.7847999999999997</v>
      </c>
      <c r="K429" s="61">
        <f>7.7864 * CHOOSE(CONTROL!$C$22, $C$13, 100%, $E$13)</f>
        <v>7.7864000000000004</v>
      </c>
    </row>
    <row r="430" spans="1:11" ht="15">
      <c r="A430" s="13">
        <v>54940</v>
      </c>
      <c r="B430" s="60">
        <f>6.6649 * CHOOSE(CONTROL!$C$22, $C$13, 100%, $E$13)</f>
        <v>6.6649000000000003</v>
      </c>
      <c r="C430" s="60">
        <f>6.6649 * CHOOSE(CONTROL!$C$22, $C$13, 100%, $E$13)</f>
        <v>6.6649000000000003</v>
      </c>
      <c r="D430" s="60">
        <f>6.69 * CHOOSE(CONTROL!$C$22, $C$13, 100%, $E$13)</f>
        <v>6.69</v>
      </c>
      <c r="E430" s="61">
        <f>7.7623 * CHOOSE(CONTROL!$C$22, $C$13, 100%, $E$13)</f>
        <v>7.7622999999999998</v>
      </c>
      <c r="F430" s="61">
        <f>7.7623 * CHOOSE(CONTROL!$C$22, $C$13, 100%, $E$13)</f>
        <v>7.7622999999999998</v>
      </c>
      <c r="G430" s="61">
        <f>7.7639 * CHOOSE(CONTROL!$C$22, $C$13, 100%, $E$13)</f>
        <v>7.7638999999999996</v>
      </c>
      <c r="H430" s="61">
        <f>13.5369* CHOOSE(CONTROL!$C$22, $C$13, 100%, $E$13)</f>
        <v>13.536899999999999</v>
      </c>
      <c r="I430" s="61">
        <f>13.5385 * CHOOSE(CONTROL!$C$22, $C$13, 100%, $E$13)</f>
        <v>13.538500000000001</v>
      </c>
      <c r="J430" s="61">
        <f>7.7623 * CHOOSE(CONTROL!$C$22, $C$13, 100%, $E$13)</f>
        <v>7.7622999999999998</v>
      </c>
      <c r="K430" s="61">
        <f>7.7639 * CHOOSE(CONTROL!$C$22, $C$13, 100%, $E$13)</f>
        <v>7.7638999999999996</v>
      </c>
    </row>
    <row r="431" spans="1:11" ht="15">
      <c r="A431" s="13">
        <v>54970</v>
      </c>
      <c r="B431" s="60">
        <f>6.7747 * CHOOSE(CONTROL!$C$22, $C$13, 100%, $E$13)</f>
        <v>6.7747000000000002</v>
      </c>
      <c r="C431" s="60">
        <f>6.7747 * CHOOSE(CONTROL!$C$22, $C$13, 100%, $E$13)</f>
        <v>6.7747000000000002</v>
      </c>
      <c r="D431" s="60">
        <f>6.7997 * CHOOSE(CONTROL!$C$22, $C$13, 100%, $E$13)</f>
        <v>6.7996999999999996</v>
      </c>
      <c r="E431" s="61">
        <f>7.9154 * CHOOSE(CONTROL!$C$22, $C$13, 100%, $E$13)</f>
        <v>7.9154</v>
      </c>
      <c r="F431" s="61">
        <f>7.9154 * CHOOSE(CONTROL!$C$22, $C$13, 100%, $E$13)</f>
        <v>7.9154</v>
      </c>
      <c r="G431" s="61">
        <f>7.917 * CHOOSE(CONTROL!$C$22, $C$13, 100%, $E$13)</f>
        <v>7.9169999999999998</v>
      </c>
      <c r="H431" s="61">
        <f>13.5651* CHOOSE(CONTROL!$C$22, $C$13, 100%, $E$13)</f>
        <v>13.565099999999999</v>
      </c>
      <c r="I431" s="61">
        <f>13.5667 * CHOOSE(CONTROL!$C$22, $C$13, 100%, $E$13)</f>
        <v>13.566700000000001</v>
      </c>
      <c r="J431" s="61">
        <f>7.9154 * CHOOSE(CONTROL!$C$22, $C$13, 100%, $E$13)</f>
        <v>7.9154</v>
      </c>
      <c r="K431" s="61">
        <f>7.917 * CHOOSE(CONTROL!$C$22, $C$13, 100%, $E$13)</f>
        <v>7.9169999999999998</v>
      </c>
    </row>
    <row r="432" spans="1:11" ht="15">
      <c r="A432" s="13">
        <v>55001</v>
      </c>
      <c r="B432" s="60">
        <f>6.7813 * CHOOSE(CONTROL!$C$22, $C$13, 100%, $E$13)</f>
        <v>6.7812999999999999</v>
      </c>
      <c r="C432" s="60">
        <f>6.7813 * CHOOSE(CONTROL!$C$22, $C$13, 100%, $E$13)</f>
        <v>6.7812999999999999</v>
      </c>
      <c r="D432" s="60">
        <f>6.8064 * CHOOSE(CONTROL!$C$22, $C$13, 100%, $E$13)</f>
        <v>6.8064</v>
      </c>
      <c r="E432" s="61">
        <f>7.8398 * CHOOSE(CONTROL!$C$22, $C$13, 100%, $E$13)</f>
        <v>7.8398000000000003</v>
      </c>
      <c r="F432" s="61">
        <f>7.8398 * CHOOSE(CONTROL!$C$22, $C$13, 100%, $E$13)</f>
        <v>7.8398000000000003</v>
      </c>
      <c r="G432" s="61">
        <f>7.8414 * CHOOSE(CONTROL!$C$22, $C$13, 100%, $E$13)</f>
        <v>7.8414000000000001</v>
      </c>
      <c r="H432" s="61">
        <f>13.5934* CHOOSE(CONTROL!$C$22, $C$13, 100%, $E$13)</f>
        <v>13.593400000000001</v>
      </c>
      <c r="I432" s="61">
        <f>13.595 * CHOOSE(CONTROL!$C$22, $C$13, 100%, $E$13)</f>
        <v>13.595000000000001</v>
      </c>
      <c r="J432" s="61">
        <f>7.8398 * CHOOSE(CONTROL!$C$22, $C$13, 100%, $E$13)</f>
        <v>7.8398000000000003</v>
      </c>
      <c r="K432" s="61">
        <f>7.8414 * CHOOSE(CONTROL!$C$22, $C$13, 100%, $E$13)</f>
        <v>7.8414000000000001</v>
      </c>
    </row>
    <row r="433" spans="1:11" ht="15">
      <c r="A433" s="13">
        <v>55032</v>
      </c>
      <c r="B433" s="60">
        <f>6.7783 * CHOOSE(CONTROL!$C$22, $C$13, 100%, $E$13)</f>
        <v>6.7782999999999998</v>
      </c>
      <c r="C433" s="60">
        <f>6.7783 * CHOOSE(CONTROL!$C$22, $C$13, 100%, $E$13)</f>
        <v>6.7782999999999998</v>
      </c>
      <c r="D433" s="60">
        <f>6.8034 * CHOOSE(CONTROL!$C$22, $C$13, 100%, $E$13)</f>
        <v>6.8033999999999999</v>
      </c>
      <c r="E433" s="61">
        <f>7.8288 * CHOOSE(CONTROL!$C$22, $C$13, 100%, $E$13)</f>
        <v>7.8288000000000002</v>
      </c>
      <c r="F433" s="61">
        <f>7.8288 * CHOOSE(CONTROL!$C$22, $C$13, 100%, $E$13)</f>
        <v>7.8288000000000002</v>
      </c>
      <c r="G433" s="61">
        <f>7.8304 * CHOOSE(CONTROL!$C$22, $C$13, 100%, $E$13)</f>
        <v>7.8304</v>
      </c>
      <c r="H433" s="61">
        <f>13.6217* CHOOSE(CONTROL!$C$22, $C$13, 100%, $E$13)</f>
        <v>13.621700000000001</v>
      </c>
      <c r="I433" s="61">
        <f>13.6233 * CHOOSE(CONTROL!$C$22, $C$13, 100%, $E$13)</f>
        <v>13.6233</v>
      </c>
      <c r="J433" s="61">
        <f>7.8288 * CHOOSE(CONTROL!$C$22, $C$13, 100%, $E$13)</f>
        <v>7.8288000000000002</v>
      </c>
      <c r="K433" s="61">
        <f>7.8304 * CHOOSE(CONTROL!$C$22, $C$13, 100%, $E$13)</f>
        <v>7.8304</v>
      </c>
    </row>
    <row r="434" spans="1:11" ht="15">
      <c r="A434" s="13">
        <v>55062</v>
      </c>
      <c r="B434" s="60">
        <f>6.7829 * CHOOSE(CONTROL!$C$22, $C$13, 100%, $E$13)</f>
        <v>6.7828999999999997</v>
      </c>
      <c r="C434" s="60">
        <f>6.7829 * CHOOSE(CONTROL!$C$22, $C$13, 100%, $E$13)</f>
        <v>6.7828999999999997</v>
      </c>
      <c r="D434" s="60">
        <f>6.7954 * CHOOSE(CONTROL!$C$22, $C$13, 100%, $E$13)</f>
        <v>6.7953999999999999</v>
      </c>
      <c r="E434" s="61">
        <f>7.851 * CHOOSE(CONTROL!$C$22, $C$13, 100%, $E$13)</f>
        <v>7.851</v>
      </c>
      <c r="F434" s="61">
        <f>7.851 * CHOOSE(CONTROL!$C$22, $C$13, 100%, $E$13)</f>
        <v>7.851</v>
      </c>
      <c r="G434" s="61">
        <f>7.8512 * CHOOSE(CONTROL!$C$22, $C$13, 100%, $E$13)</f>
        <v>7.8512000000000004</v>
      </c>
      <c r="H434" s="61">
        <f>13.6501* CHOOSE(CONTROL!$C$22, $C$13, 100%, $E$13)</f>
        <v>13.6501</v>
      </c>
      <c r="I434" s="61">
        <f>13.6502 * CHOOSE(CONTROL!$C$22, $C$13, 100%, $E$13)</f>
        <v>13.6502</v>
      </c>
      <c r="J434" s="61">
        <f>7.851 * CHOOSE(CONTROL!$C$22, $C$13, 100%, $E$13)</f>
        <v>7.851</v>
      </c>
      <c r="K434" s="61">
        <f>7.8512 * CHOOSE(CONTROL!$C$22, $C$13, 100%, $E$13)</f>
        <v>7.8512000000000004</v>
      </c>
    </row>
    <row r="435" spans="1:11" ht="15">
      <c r="A435" s="13">
        <v>55093</v>
      </c>
      <c r="B435" s="60">
        <f>6.7859 * CHOOSE(CONTROL!$C$22, $C$13, 100%, $E$13)</f>
        <v>6.7858999999999998</v>
      </c>
      <c r="C435" s="60">
        <f>6.7859 * CHOOSE(CONTROL!$C$22, $C$13, 100%, $E$13)</f>
        <v>6.7858999999999998</v>
      </c>
      <c r="D435" s="60">
        <f>6.7984 * CHOOSE(CONTROL!$C$22, $C$13, 100%, $E$13)</f>
        <v>6.7984</v>
      </c>
      <c r="E435" s="61">
        <f>7.8709 * CHOOSE(CONTROL!$C$22, $C$13, 100%, $E$13)</f>
        <v>7.8708999999999998</v>
      </c>
      <c r="F435" s="61">
        <f>7.8709 * CHOOSE(CONTROL!$C$22, $C$13, 100%, $E$13)</f>
        <v>7.8708999999999998</v>
      </c>
      <c r="G435" s="61">
        <f>7.8711 * CHOOSE(CONTROL!$C$22, $C$13, 100%, $E$13)</f>
        <v>7.8711000000000002</v>
      </c>
      <c r="H435" s="61">
        <f>13.6785* CHOOSE(CONTROL!$C$22, $C$13, 100%, $E$13)</f>
        <v>13.6785</v>
      </c>
      <c r="I435" s="61">
        <f>13.6787 * CHOOSE(CONTROL!$C$22, $C$13, 100%, $E$13)</f>
        <v>13.678699999999999</v>
      </c>
      <c r="J435" s="61">
        <f>7.8709 * CHOOSE(CONTROL!$C$22, $C$13, 100%, $E$13)</f>
        <v>7.8708999999999998</v>
      </c>
      <c r="K435" s="61">
        <f>7.8711 * CHOOSE(CONTROL!$C$22, $C$13, 100%, $E$13)</f>
        <v>7.8711000000000002</v>
      </c>
    </row>
    <row r="436" spans="1:11" ht="15">
      <c r="A436" s="13">
        <v>55123</v>
      </c>
      <c r="B436" s="60">
        <f>6.7859 * CHOOSE(CONTROL!$C$22, $C$13, 100%, $E$13)</f>
        <v>6.7858999999999998</v>
      </c>
      <c r="C436" s="60">
        <f>6.7859 * CHOOSE(CONTROL!$C$22, $C$13, 100%, $E$13)</f>
        <v>6.7858999999999998</v>
      </c>
      <c r="D436" s="60">
        <f>6.7984 * CHOOSE(CONTROL!$C$22, $C$13, 100%, $E$13)</f>
        <v>6.7984</v>
      </c>
      <c r="E436" s="61">
        <f>7.8264 * CHOOSE(CONTROL!$C$22, $C$13, 100%, $E$13)</f>
        <v>7.8263999999999996</v>
      </c>
      <c r="F436" s="61">
        <f>7.8264 * CHOOSE(CONTROL!$C$22, $C$13, 100%, $E$13)</f>
        <v>7.8263999999999996</v>
      </c>
      <c r="G436" s="61">
        <f>7.8265 * CHOOSE(CONTROL!$C$22, $C$13, 100%, $E$13)</f>
        <v>7.8265000000000002</v>
      </c>
      <c r="H436" s="61">
        <f>13.707* CHOOSE(CONTROL!$C$22, $C$13, 100%, $E$13)</f>
        <v>13.707000000000001</v>
      </c>
      <c r="I436" s="61">
        <f>13.7072 * CHOOSE(CONTROL!$C$22, $C$13, 100%, $E$13)</f>
        <v>13.7072</v>
      </c>
      <c r="J436" s="61">
        <f>7.8264 * CHOOSE(CONTROL!$C$22, $C$13, 100%, $E$13)</f>
        <v>7.8263999999999996</v>
      </c>
      <c r="K436" s="61">
        <f>7.8265 * CHOOSE(CONTROL!$C$22, $C$13, 100%, $E$13)</f>
        <v>7.8265000000000002</v>
      </c>
    </row>
    <row r="437" spans="1:11" ht="15">
      <c r="A437" s="13">
        <v>55154</v>
      </c>
      <c r="B437" s="60">
        <f>6.8467 * CHOOSE(CONTROL!$C$22, $C$13, 100%, $E$13)</f>
        <v>6.8467000000000002</v>
      </c>
      <c r="C437" s="60">
        <f>6.8467 * CHOOSE(CONTROL!$C$22, $C$13, 100%, $E$13)</f>
        <v>6.8467000000000002</v>
      </c>
      <c r="D437" s="60">
        <f>6.8592 * CHOOSE(CONTROL!$C$22, $C$13, 100%, $E$13)</f>
        <v>6.8592000000000004</v>
      </c>
      <c r="E437" s="61">
        <f>7.9289 * CHOOSE(CONTROL!$C$22, $C$13, 100%, $E$13)</f>
        <v>7.9288999999999996</v>
      </c>
      <c r="F437" s="61">
        <f>7.9289 * CHOOSE(CONTROL!$C$22, $C$13, 100%, $E$13)</f>
        <v>7.9288999999999996</v>
      </c>
      <c r="G437" s="61">
        <f>7.929 * CHOOSE(CONTROL!$C$22, $C$13, 100%, $E$13)</f>
        <v>7.9290000000000003</v>
      </c>
      <c r="H437" s="61">
        <f>13.7355* CHOOSE(CONTROL!$C$22, $C$13, 100%, $E$13)</f>
        <v>13.7355</v>
      </c>
      <c r="I437" s="61">
        <f>13.7357 * CHOOSE(CONTROL!$C$22, $C$13, 100%, $E$13)</f>
        <v>13.7357</v>
      </c>
      <c r="J437" s="61">
        <f>7.9289 * CHOOSE(CONTROL!$C$22, $C$13, 100%, $E$13)</f>
        <v>7.9288999999999996</v>
      </c>
      <c r="K437" s="61">
        <f>7.929 * CHOOSE(CONTROL!$C$22, $C$13, 100%, $E$13)</f>
        <v>7.9290000000000003</v>
      </c>
    </row>
    <row r="438" spans="1:11" ht="15">
      <c r="A438" s="13">
        <v>55185</v>
      </c>
      <c r="B438" s="60">
        <f>6.8437 * CHOOSE(CONTROL!$C$22, $C$13, 100%, $E$13)</f>
        <v>6.8437000000000001</v>
      </c>
      <c r="C438" s="60">
        <f>6.8437 * CHOOSE(CONTROL!$C$22, $C$13, 100%, $E$13)</f>
        <v>6.8437000000000001</v>
      </c>
      <c r="D438" s="60">
        <f>6.8562 * CHOOSE(CONTROL!$C$22, $C$13, 100%, $E$13)</f>
        <v>6.8562000000000003</v>
      </c>
      <c r="E438" s="61">
        <f>7.8401 * CHOOSE(CONTROL!$C$22, $C$13, 100%, $E$13)</f>
        <v>7.8400999999999996</v>
      </c>
      <c r="F438" s="61">
        <f>7.8401 * CHOOSE(CONTROL!$C$22, $C$13, 100%, $E$13)</f>
        <v>7.8400999999999996</v>
      </c>
      <c r="G438" s="61">
        <f>7.8403 * CHOOSE(CONTROL!$C$22, $C$13, 100%, $E$13)</f>
        <v>7.8403</v>
      </c>
      <c r="H438" s="61">
        <f>13.7642* CHOOSE(CONTROL!$C$22, $C$13, 100%, $E$13)</f>
        <v>13.764200000000001</v>
      </c>
      <c r="I438" s="61">
        <f>13.7643 * CHOOSE(CONTROL!$C$22, $C$13, 100%, $E$13)</f>
        <v>13.7643</v>
      </c>
      <c r="J438" s="61">
        <f>7.8401 * CHOOSE(CONTROL!$C$22, $C$13, 100%, $E$13)</f>
        <v>7.8400999999999996</v>
      </c>
      <c r="K438" s="61">
        <f>7.8403 * CHOOSE(CONTROL!$C$22, $C$13, 100%, $E$13)</f>
        <v>7.8403</v>
      </c>
    </row>
    <row r="439" spans="1:11" ht="15">
      <c r="A439" s="13">
        <v>55213</v>
      </c>
      <c r="B439" s="60">
        <f>6.8406 * CHOOSE(CONTROL!$C$22, $C$13, 100%, $E$13)</f>
        <v>6.8406000000000002</v>
      </c>
      <c r="C439" s="60">
        <f>6.8406 * CHOOSE(CONTROL!$C$22, $C$13, 100%, $E$13)</f>
        <v>6.8406000000000002</v>
      </c>
      <c r="D439" s="60">
        <f>6.8532 * CHOOSE(CONTROL!$C$22, $C$13, 100%, $E$13)</f>
        <v>6.8532000000000002</v>
      </c>
      <c r="E439" s="61">
        <f>7.9063 * CHOOSE(CONTROL!$C$22, $C$13, 100%, $E$13)</f>
        <v>7.9062999999999999</v>
      </c>
      <c r="F439" s="61">
        <f>7.9063 * CHOOSE(CONTROL!$C$22, $C$13, 100%, $E$13)</f>
        <v>7.9062999999999999</v>
      </c>
      <c r="G439" s="61">
        <f>7.9065 * CHOOSE(CONTROL!$C$22, $C$13, 100%, $E$13)</f>
        <v>7.9065000000000003</v>
      </c>
      <c r="H439" s="61">
        <f>13.7928* CHOOSE(CONTROL!$C$22, $C$13, 100%, $E$13)</f>
        <v>13.7928</v>
      </c>
      <c r="I439" s="61">
        <f>13.793 * CHOOSE(CONTROL!$C$22, $C$13, 100%, $E$13)</f>
        <v>13.792999999999999</v>
      </c>
      <c r="J439" s="61">
        <f>7.9063 * CHOOSE(CONTROL!$C$22, $C$13, 100%, $E$13)</f>
        <v>7.9062999999999999</v>
      </c>
      <c r="K439" s="61">
        <f>7.9065 * CHOOSE(CONTROL!$C$22, $C$13, 100%, $E$13)</f>
        <v>7.9065000000000003</v>
      </c>
    </row>
    <row r="440" spans="1:11" ht="15">
      <c r="A440" s="13">
        <v>55244</v>
      </c>
      <c r="B440" s="60">
        <f>6.8408 * CHOOSE(CONTROL!$C$22, $C$13, 100%, $E$13)</f>
        <v>6.8407999999999998</v>
      </c>
      <c r="C440" s="60">
        <f>6.8408 * CHOOSE(CONTROL!$C$22, $C$13, 100%, $E$13)</f>
        <v>6.8407999999999998</v>
      </c>
      <c r="D440" s="60">
        <f>6.8533 * CHOOSE(CONTROL!$C$22, $C$13, 100%, $E$13)</f>
        <v>6.8532999999999999</v>
      </c>
      <c r="E440" s="61">
        <f>7.9754 * CHOOSE(CONTROL!$C$22, $C$13, 100%, $E$13)</f>
        <v>7.9753999999999996</v>
      </c>
      <c r="F440" s="61">
        <f>7.9754 * CHOOSE(CONTROL!$C$22, $C$13, 100%, $E$13)</f>
        <v>7.9753999999999996</v>
      </c>
      <c r="G440" s="61">
        <f>7.9756 * CHOOSE(CONTROL!$C$22, $C$13, 100%, $E$13)</f>
        <v>7.9756</v>
      </c>
      <c r="H440" s="61">
        <f>13.8216* CHOOSE(CONTROL!$C$22, $C$13, 100%, $E$13)</f>
        <v>13.8216</v>
      </c>
      <c r="I440" s="61">
        <f>13.8217 * CHOOSE(CONTROL!$C$22, $C$13, 100%, $E$13)</f>
        <v>13.8217</v>
      </c>
      <c r="J440" s="61">
        <f>7.9754 * CHOOSE(CONTROL!$C$22, $C$13, 100%, $E$13)</f>
        <v>7.9753999999999996</v>
      </c>
      <c r="K440" s="61">
        <f>7.9756 * CHOOSE(CONTROL!$C$22, $C$13, 100%, $E$13)</f>
        <v>7.9756</v>
      </c>
    </row>
    <row r="441" spans="1:11" ht="15">
      <c r="A441" s="13">
        <v>55274</v>
      </c>
      <c r="B441" s="60">
        <f>6.8408 * CHOOSE(CONTROL!$C$22, $C$13, 100%, $E$13)</f>
        <v>6.8407999999999998</v>
      </c>
      <c r="C441" s="60">
        <f>6.8408 * CHOOSE(CONTROL!$C$22, $C$13, 100%, $E$13)</f>
        <v>6.8407999999999998</v>
      </c>
      <c r="D441" s="60">
        <f>6.8659 * CHOOSE(CONTROL!$C$22, $C$13, 100%, $E$13)</f>
        <v>6.8658999999999999</v>
      </c>
      <c r="E441" s="61">
        <f>8.0029 * CHOOSE(CONTROL!$C$22, $C$13, 100%, $E$13)</f>
        <v>8.0029000000000003</v>
      </c>
      <c r="F441" s="61">
        <f>8.0029 * CHOOSE(CONTROL!$C$22, $C$13, 100%, $E$13)</f>
        <v>8.0029000000000003</v>
      </c>
      <c r="G441" s="61">
        <f>8.0045 * CHOOSE(CONTROL!$C$22, $C$13, 100%, $E$13)</f>
        <v>8.0045000000000002</v>
      </c>
      <c r="H441" s="61">
        <f>13.8504* CHOOSE(CONTROL!$C$22, $C$13, 100%, $E$13)</f>
        <v>13.8504</v>
      </c>
      <c r="I441" s="61">
        <f>13.852 * CHOOSE(CONTROL!$C$22, $C$13, 100%, $E$13)</f>
        <v>13.852</v>
      </c>
      <c r="J441" s="61">
        <f>8.0029 * CHOOSE(CONTROL!$C$22, $C$13, 100%, $E$13)</f>
        <v>8.0029000000000003</v>
      </c>
      <c r="K441" s="61">
        <f>8.0045 * CHOOSE(CONTROL!$C$22, $C$13, 100%, $E$13)</f>
        <v>8.0045000000000002</v>
      </c>
    </row>
    <row r="442" spans="1:11" ht="15">
      <c r="A442" s="13">
        <v>55305</v>
      </c>
      <c r="B442" s="60">
        <f>6.8469 * CHOOSE(CONTROL!$C$22, $C$13, 100%, $E$13)</f>
        <v>6.8468999999999998</v>
      </c>
      <c r="C442" s="60">
        <f>6.8469 * CHOOSE(CONTROL!$C$22, $C$13, 100%, $E$13)</f>
        <v>6.8468999999999998</v>
      </c>
      <c r="D442" s="60">
        <f>6.872 * CHOOSE(CONTROL!$C$22, $C$13, 100%, $E$13)</f>
        <v>6.8719999999999999</v>
      </c>
      <c r="E442" s="61">
        <f>7.9796 * CHOOSE(CONTROL!$C$22, $C$13, 100%, $E$13)</f>
        <v>7.9795999999999996</v>
      </c>
      <c r="F442" s="61">
        <f>7.9796 * CHOOSE(CONTROL!$C$22, $C$13, 100%, $E$13)</f>
        <v>7.9795999999999996</v>
      </c>
      <c r="G442" s="61">
        <f>7.9812 * CHOOSE(CONTROL!$C$22, $C$13, 100%, $E$13)</f>
        <v>7.9812000000000003</v>
      </c>
      <c r="H442" s="61">
        <f>13.8792* CHOOSE(CONTROL!$C$22, $C$13, 100%, $E$13)</f>
        <v>13.879200000000001</v>
      </c>
      <c r="I442" s="61">
        <f>13.8808 * CHOOSE(CONTROL!$C$22, $C$13, 100%, $E$13)</f>
        <v>13.880800000000001</v>
      </c>
      <c r="J442" s="61">
        <f>7.9796 * CHOOSE(CONTROL!$C$22, $C$13, 100%, $E$13)</f>
        <v>7.9795999999999996</v>
      </c>
      <c r="K442" s="61">
        <f>7.9812 * CHOOSE(CONTROL!$C$22, $C$13, 100%, $E$13)</f>
        <v>7.9812000000000003</v>
      </c>
    </row>
    <row r="443" spans="1:11" ht="15">
      <c r="A443" s="13">
        <v>55335</v>
      </c>
      <c r="B443" s="60">
        <f>6.9594 * CHOOSE(CONTROL!$C$22, $C$13, 100%, $E$13)</f>
        <v>6.9593999999999996</v>
      </c>
      <c r="C443" s="60">
        <f>6.9594 * CHOOSE(CONTROL!$C$22, $C$13, 100%, $E$13)</f>
        <v>6.9593999999999996</v>
      </c>
      <c r="D443" s="60">
        <f>6.9845 * CHOOSE(CONTROL!$C$22, $C$13, 100%, $E$13)</f>
        <v>6.9844999999999997</v>
      </c>
      <c r="E443" s="61">
        <f>8.1367 * CHOOSE(CONTROL!$C$22, $C$13, 100%, $E$13)</f>
        <v>8.1366999999999994</v>
      </c>
      <c r="F443" s="61">
        <f>8.1367 * CHOOSE(CONTROL!$C$22, $C$13, 100%, $E$13)</f>
        <v>8.1366999999999994</v>
      </c>
      <c r="G443" s="61">
        <f>8.1383 * CHOOSE(CONTROL!$C$22, $C$13, 100%, $E$13)</f>
        <v>8.1382999999999992</v>
      </c>
      <c r="H443" s="61">
        <f>13.9081* CHOOSE(CONTROL!$C$22, $C$13, 100%, $E$13)</f>
        <v>13.908099999999999</v>
      </c>
      <c r="I443" s="61">
        <f>13.9097 * CHOOSE(CONTROL!$C$22, $C$13, 100%, $E$13)</f>
        <v>13.909700000000001</v>
      </c>
      <c r="J443" s="61">
        <f>8.1367 * CHOOSE(CONTROL!$C$22, $C$13, 100%, $E$13)</f>
        <v>8.1366999999999994</v>
      </c>
      <c r="K443" s="61">
        <f>8.1383 * CHOOSE(CONTROL!$C$22, $C$13, 100%, $E$13)</f>
        <v>8.1382999999999992</v>
      </c>
    </row>
    <row r="444" spans="1:11" ht="15">
      <c r="A444" s="13">
        <v>55366</v>
      </c>
      <c r="B444" s="60">
        <f>6.9661 * CHOOSE(CONTROL!$C$22, $C$13, 100%, $E$13)</f>
        <v>6.9661</v>
      </c>
      <c r="C444" s="60">
        <f>6.9661 * CHOOSE(CONTROL!$C$22, $C$13, 100%, $E$13)</f>
        <v>6.9661</v>
      </c>
      <c r="D444" s="60">
        <f>6.9911 * CHOOSE(CONTROL!$C$22, $C$13, 100%, $E$13)</f>
        <v>6.9911000000000003</v>
      </c>
      <c r="E444" s="61">
        <f>8.0589 * CHOOSE(CONTROL!$C$22, $C$13, 100%, $E$13)</f>
        <v>8.0588999999999995</v>
      </c>
      <c r="F444" s="61">
        <f>8.0589 * CHOOSE(CONTROL!$C$22, $C$13, 100%, $E$13)</f>
        <v>8.0588999999999995</v>
      </c>
      <c r="G444" s="61">
        <f>8.0605 * CHOOSE(CONTROL!$C$22, $C$13, 100%, $E$13)</f>
        <v>8.0604999999999993</v>
      </c>
      <c r="H444" s="61">
        <f>13.9371* CHOOSE(CONTROL!$C$22, $C$13, 100%, $E$13)</f>
        <v>13.937099999999999</v>
      </c>
      <c r="I444" s="61">
        <f>13.9387 * CHOOSE(CONTROL!$C$22, $C$13, 100%, $E$13)</f>
        <v>13.938700000000001</v>
      </c>
      <c r="J444" s="61">
        <f>8.0589 * CHOOSE(CONTROL!$C$22, $C$13, 100%, $E$13)</f>
        <v>8.0588999999999995</v>
      </c>
      <c r="K444" s="61">
        <f>8.0605 * CHOOSE(CONTROL!$C$22, $C$13, 100%, $E$13)</f>
        <v>8.0604999999999993</v>
      </c>
    </row>
    <row r="445" spans="1:11" ht="15">
      <c r="A445" s="13">
        <v>55397</v>
      </c>
      <c r="B445" s="60">
        <f>6.963 * CHOOSE(CONTROL!$C$22, $C$13, 100%, $E$13)</f>
        <v>6.9630000000000001</v>
      </c>
      <c r="C445" s="60">
        <f>6.963 * CHOOSE(CONTROL!$C$22, $C$13, 100%, $E$13)</f>
        <v>6.9630000000000001</v>
      </c>
      <c r="D445" s="60">
        <f>6.9881 * CHOOSE(CONTROL!$C$22, $C$13, 100%, $E$13)</f>
        <v>6.9881000000000002</v>
      </c>
      <c r="E445" s="61">
        <f>8.0476 * CHOOSE(CONTROL!$C$22, $C$13, 100%, $E$13)</f>
        <v>8.0475999999999992</v>
      </c>
      <c r="F445" s="61">
        <f>8.0476 * CHOOSE(CONTROL!$C$22, $C$13, 100%, $E$13)</f>
        <v>8.0475999999999992</v>
      </c>
      <c r="G445" s="61">
        <f>8.0492 * CHOOSE(CONTROL!$C$22, $C$13, 100%, $E$13)</f>
        <v>8.0492000000000008</v>
      </c>
      <c r="H445" s="61">
        <f>13.9661* CHOOSE(CONTROL!$C$22, $C$13, 100%, $E$13)</f>
        <v>13.966100000000001</v>
      </c>
      <c r="I445" s="61">
        <f>13.9677 * CHOOSE(CONTROL!$C$22, $C$13, 100%, $E$13)</f>
        <v>13.967700000000001</v>
      </c>
      <c r="J445" s="61">
        <f>8.0476 * CHOOSE(CONTROL!$C$22, $C$13, 100%, $E$13)</f>
        <v>8.0475999999999992</v>
      </c>
      <c r="K445" s="61">
        <f>8.0492 * CHOOSE(CONTROL!$C$22, $C$13, 100%, $E$13)</f>
        <v>8.0492000000000008</v>
      </c>
    </row>
    <row r="446" spans="1:11" ht="15">
      <c r="A446" s="13">
        <v>55427</v>
      </c>
      <c r="B446" s="60">
        <f>6.9682 * CHOOSE(CONTROL!$C$22, $C$13, 100%, $E$13)</f>
        <v>6.9682000000000004</v>
      </c>
      <c r="C446" s="60">
        <f>6.9682 * CHOOSE(CONTROL!$C$22, $C$13, 100%, $E$13)</f>
        <v>6.9682000000000004</v>
      </c>
      <c r="D446" s="60">
        <f>6.9807 * CHOOSE(CONTROL!$C$22, $C$13, 100%, $E$13)</f>
        <v>6.9806999999999997</v>
      </c>
      <c r="E446" s="61">
        <f>8.0709 * CHOOSE(CONTROL!$C$22, $C$13, 100%, $E$13)</f>
        <v>8.0709</v>
      </c>
      <c r="F446" s="61">
        <f>8.0709 * CHOOSE(CONTROL!$C$22, $C$13, 100%, $E$13)</f>
        <v>8.0709</v>
      </c>
      <c r="G446" s="61">
        <f>8.071 * CHOOSE(CONTROL!$C$22, $C$13, 100%, $E$13)</f>
        <v>8.0709999999999997</v>
      </c>
      <c r="H446" s="61">
        <f>13.9952* CHOOSE(CONTROL!$C$22, $C$13, 100%, $E$13)</f>
        <v>13.995200000000001</v>
      </c>
      <c r="I446" s="61">
        <f>13.9954 * CHOOSE(CONTROL!$C$22, $C$13, 100%, $E$13)</f>
        <v>13.9954</v>
      </c>
      <c r="J446" s="61">
        <f>8.0709 * CHOOSE(CONTROL!$C$22, $C$13, 100%, $E$13)</f>
        <v>8.0709</v>
      </c>
      <c r="K446" s="61">
        <f>8.071 * CHOOSE(CONTROL!$C$22, $C$13, 100%, $E$13)</f>
        <v>8.0709999999999997</v>
      </c>
    </row>
    <row r="447" spans="1:11" ht="15">
      <c r="A447" s="13">
        <v>55458</v>
      </c>
      <c r="B447" s="60">
        <f>6.9712 * CHOOSE(CONTROL!$C$22, $C$13, 100%, $E$13)</f>
        <v>6.9711999999999996</v>
      </c>
      <c r="C447" s="60">
        <f>6.9712 * CHOOSE(CONTROL!$C$22, $C$13, 100%, $E$13)</f>
        <v>6.9711999999999996</v>
      </c>
      <c r="D447" s="60">
        <f>6.9838 * CHOOSE(CONTROL!$C$22, $C$13, 100%, $E$13)</f>
        <v>6.9837999999999996</v>
      </c>
      <c r="E447" s="61">
        <f>8.0913 * CHOOSE(CONTROL!$C$22, $C$13, 100%, $E$13)</f>
        <v>8.0913000000000004</v>
      </c>
      <c r="F447" s="61">
        <f>8.0913 * CHOOSE(CONTROL!$C$22, $C$13, 100%, $E$13)</f>
        <v>8.0913000000000004</v>
      </c>
      <c r="G447" s="61">
        <f>8.0915 * CHOOSE(CONTROL!$C$22, $C$13, 100%, $E$13)</f>
        <v>8.0914999999999999</v>
      </c>
      <c r="H447" s="61">
        <f>14.0244* CHOOSE(CONTROL!$C$22, $C$13, 100%, $E$13)</f>
        <v>14.0244</v>
      </c>
      <c r="I447" s="61">
        <f>14.0246 * CHOOSE(CONTROL!$C$22, $C$13, 100%, $E$13)</f>
        <v>14.0246</v>
      </c>
      <c r="J447" s="61">
        <f>8.0913 * CHOOSE(CONTROL!$C$22, $C$13, 100%, $E$13)</f>
        <v>8.0913000000000004</v>
      </c>
      <c r="K447" s="61">
        <f>8.0915 * CHOOSE(CONTROL!$C$22, $C$13, 100%, $E$13)</f>
        <v>8.0914999999999999</v>
      </c>
    </row>
    <row r="448" spans="1:11" ht="15">
      <c r="A448" s="13">
        <v>55488</v>
      </c>
      <c r="B448" s="60">
        <f>6.9712 * CHOOSE(CONTROL!$C$22, $C$13, 100%, $E$13)</f>
        <v>6.9711999999999996</v>
      </c>
      <c r="C448" s="60">
        <f>6.9712 * CHOOSE(CONTROL!$C$22, $C$13, 100%, $E$13)</f>
        <v>6.9711999999999996</v>
      </c>
      <c r="D448" s="60">
        <f>6.9838 * CHOOSE(CONTROL!$C$22, $C$13, 100%, $E$13)</f>
        <v>6.9837999999999996</v>
      </c>
      <c r="E448" s="61">
        <f>8.0455 * CHOOSE(CONTROL!$C$22, $C$13, 100%, $E$13)</f>
        <v>8.0455000000000005</v>
      </c>
      <c r="F448" s="61">
        <f>8.0455 * CHOOSE(CONTROL!$C$22, $C$13, 100%, $E$13)</f>
        <v>8.0455000000000005</v>
      </c>
      <c r="G448" s="61">
        <f>8.0456 * CHOOSE(CONTROL!$C$22, $C$13, 100%, $E$13)</f>
        <v>8.0456000000000003</v>
      </c>
      <c r="H448" s="61">
        <f>14.0536* CHOOSE(CONTROL!$C$22, $C$13, 100%, $E$13)</f>
        <v>14.053599999999999</v>
      </c>
      <c r="I448" s="61">
        <f>14.0538 * CHOOSE(CONTROL!$C$22, $C$13, 100%, $E$13)</f>
        <v>14.053800000000001</v>
      </c>
      <c r="J448" s="61">
        <f>8.0455 * CHOOSE(CONTROL!$C$22, $C$13, 100%, $E$13)</f>
        <v>8.0455000000000005</v>
      </c>
      <c r="K448" s="61">
        <f>8.0456 * CHOOSE(CONTROL!$C$22, $C$13, 100%, $E$13)</f>
        <v>8.0456000000000003</v>
      </c>
    </row>
    <row r="449" spans="1:11" ht="15">
      <c r="A449" s="13">
        <v>55519</v>
      </c>
      <c r="B449" s="60">
        <f>7.0336 * CHOOSE(CONTROL!$C$22, $C$13, 100%, $E$13)</f>
        <v>7.0335999999999999</v>
      </c>
      <c r="C449" s="60">
        <f>7.0336 * CHOOSE(CONTROL!$C$22, $C$13, 100%, $E$13)</f>
        <v>7.0335999999999999</v>
      </c>
      <c r="D449" s="60">
        <f>7.0461 * CHOOSE(CONTROL!$C$22, $C$13, 100%, $E$13)</f>
        <v>7.0461</v>
      </c>
      <c r="E449" s="61">
        <f>8.1507 * CHOOSE(CONTROL!$C$22, $C$13, 100%, $E$13)</f>
        <v>8.1507000000000005</v>
      </c>
      <c r="F449" s="61">
        <f>8.1507 * CHOOSE(CONTROL!$C$22, $C$13, 100%, $E$13)</f>
        <v>8.1507000000000005</v>
      </c>
      <c r="G449" s="61">
        <f>8.1509 * CHOOSE(CONTROL!$C$22, $C$13, 100%, $E$13)</f>
        <v>8.1509</v>
      </c>
      <c r="H449" s="61">
        <f>14.0829* CHOOSE(CONTROL!$C$22, $C$13, 100%, $E$13)</f>
        <v>14.0829</v>
      </c>
      <c r="I449" s="61">
        <f>14.0831 * CHOOSE(CONTROL!$C$22, $C$13, 100%, $E$13)</f>
        <v>14.0831</v>
      </c>
      <c r="J449" s="61">
        <f>8.1507 * CHOOSE(CONTROL!$C$22, $C$13, 100%, $E$13)</f>
        <v>8.1507000000000005</v>
      </c>
      <c r="K449" s="61">
        <f>8.1509 * CHOOSE(CONTROL!$C$22, $C$13, 100%, $E$13)</f>
        <v>8.1509</v>
      </c>
    </row>
    <row r="450" spans="1:11" ht="15">
      <c r="A450" s="13">
        <v>55550</v>
      </c>
      <c r="B450" s="60">
        <f>7.0305 * CHOOSE(CONTROL!$C$22, $C$13, 100%, $E$13)</f>
        <v>7.0305</v>
      </c>
      <c r="C450" s="60">
        <f>7.0305 * CHOOSE(CONTROL!$C$22, $C$13, 100%, $E$13)</f>
        <v>7.0305</v>
      </c>
      <c r="D450" s="60">
        <f>7.0431 * CHOOSE(CONTROL!$C$22, $C$13, 100%, $E$13)</f>
        <v>7.0430999999999999</v>
      </c>
      <c r="E450" s="61">
        <f>8.0596 * CHOOSE(CONTROL!$C$22, $C$13, 100%, $E$13)</f>
        <v>8.0595999999999997</v>
      </c>
      <c r="F450" s="61">
        <f>8.0596 * CHOOSE(CONTROL!$C$22, $C$13, 100%, $E$13)</f>
        <v>8.0595999999999997</v>
      </c>
      <c r="G450" s="61">
        <f>8.0598 * CHOOSE(CONTROL!$C$22, $C$13, 100%, $E$13)</f>
        <v>8.0597999999999992</v>
      </c>
      <c r="H450" s="61">
        <f>14.1122* CHOOSE(CONTROL!$C$22, $C$13, 100%, $E$13)</f>
        <v>14.1122</v>
      </c>
      <c r="I450" s="61">
        <f>14.1124 * CHOOSE(CONTROL!$C$22, $C$13, 100%, $E$13)</f>
        <v>14.112399999999999</v>
      </c>
      <c r="J450" s="61">
        <f>8.0596 * CHOOSE(CONTROL!$C$22, $C$13, 100%, $E$13)</f>
        <v>8.0595999999999997</v>
      </c>
      <c r="K450" s="61">
        <f>8.0598 * CHOOSE(CONTROL!$C$22, $C$13, 100%, $E$13)</f>
        <v>8.0597999999999992</v>
      </c>
    </row>
    <row r="451" spans="1:11" ht="15">
      <c r="A451" s="13">
        <v>55579</v>
      </c>
      <c r="B451" s="60">
        <f>7.0275 * CHOOSE(CONTROL!$C$22, $C$13, 100%, $E$13)</f>
        <v>7.0274999999999999</v>
      </c>
      <c r="C451" s="60">
        <f>7.0275 * CHOOSE(CONTROL!$C$22, $C$13, 100%, $E$13)</f>
        <v>7.0274999999999999</v>
      </c>
      <c r="D451" s="60">
        <f>7.04 * CHOOSE(CONTROL!$C$22, $C$13, 100%, $E$13)</f>
        <v>7.04</v>
      </c>
      <c r="E451" s="61">
        <f>8.1277 * CHOOSE(CONTROL!$C$22, $C$13, 100%, $E$13)</f>
        <v>8.1277000000000008</v>
      </c>
      <c r="F451" s="61">
        <f>8.1277 * CHOOSE(CONTROL!$C$22, $C$13, 100%, $E$13)</f>
        <v>8.1277000000000008</v>
      </c>
      <c r="G451" s="61">
        <f>8.1278 * CHOOSE(CONTROL!$C$22, $C$13, 100%, $E$13)</f>
        <v>8.1278000000000006</v>
      </c>
      <c r="H451" s="61">
        <f>14.1416* CHOOSE(CONTROL!$C$22, $C$13, 100%, $E$13)</f>
        <v>14.1416</v>
      </c>
      <c r="I451" s="61">
        <f>14.1418 * CHOOSE(CONTROL!$C$22, $C$13, 100%, $E$13)</f>
        <v>14.1418</v>
      </c>
      <c r="J451" s="61">
        <f>8.1277 * CHOOSE(CONTROL!$C$22, $C$13, 100%, $E$13)</f>
        <v>8.1277000000000008</v>
      </c>
      <c r="K451" s="61">
        <f>8.1278 * CHOOSE(CONTROL!$C$22, $C$13, 100%, $E$13)</f>
        <v>8.1278000000000006</v>
      </c>
    </row>
    <row r="452" spans="1:11" ht="15">
      <c r="A452" s="13">
        <v>55610</v>
      </c>
      <c r="B452" s="60">
        <f>7.0278 * CHOOSE(CONTROL!$C$22, $C$13, 100%, $E$13)</f>
        <v>7.0278</v>
      </c>
      <c r="C452" s="60">
        <f>7.0278 * CHOOSE(CONTROL!$C$22, $C$13, 100%, $E$13)</f>
        <v>7.0278</v>
      </c>
      <c r="D452" s="60">
        <f>7.0404 * CHOOSE(CONTROL!$C$22, $C$13, 100%, $E$13)</f>
        <v>7.0404</v>
      </c>
      <c r="E452" s="61">
        <f>8.1988 * CHOOSE(CONTROL!$C$22, $C$13, 100%, $E$13)</f>
        <v>8.1988000000000003</v>
      </c>
      <c r="F452" s="61">
        <f>8.1988 * CHOOSE(CONTROL!$C$22, $C$13, 100%, $E$13)</f>
        <v>8.1988000000000003</v>
      </c>
      <c r="G452" s="61">
        <f>8.199 * CHOOSE(CONTROL!$C$22, $C$13, 100%, $E$13)</f>
        <v>8.1989999999999998</v>
      </c>
      <c r="H452" s="61">
        <f>14.1711* CHOOSE(CONTROL!$C$22, $C$13, 100%, $E$13)</f>
        <v>14.171099999999999</v>
      </c>
      <c r="I452" s="61">
        <f>14.1713 * CHOOSE(CONTROL!$C$22, $C$13, 100%, $E$13)</f>
        <v>14.1713</v>
      </c>
      <c r="J452" s="61">
        <f>8.1988 * CHOOSE(CONTROL!$C$22, $C$13, 100%, $E$13)</f>
        <v>8.1988000000000003</v>
      </c>
      <c r="K452" s="61">
        <f>8.199 * CHOOSE(CONTROL!$C$22, $C$13, 100%, $E$13)</f>
        <v>8.1989999999999998</v>
      </c>
    </row>
    <row r="453" spans="1:11" ht="15">
      <c r="A453" s="13">
        <v>55640</v>
      </c>
      <c r="B453" s="60">
        <f>7.0278 * CHOOSE(CONTROL!$C$22, $C$13, 100%, $E$13)</f>
        <v>7.0278</v>
      </c>
      <c r="C453" s="60">
        <f>7.0278 * CHOOSE(CONTROL!$C$22, $C$13, 100%, $E$13)</f>
        <v>7.0278</v>
      </c>
      <c r="D453" s="60">
        <f>7.0529 * CHOOSE(CONTROL!$C$22, $C$13, 100%, $E$13)</f>
        <v>7.0529000000000002</v>
      </c>
      <c r="E453" s="61">
        <f>8.2271 * CHOOSE(CONTROL!$C$22, $C$13, 100%, $E$13)</f>
        <v>8.2271000000000001</v>
      </c>
      <c r="F453" s="61">
        <f>8.2271 * CHOOSE(CONTROL!$C$22, $C$13, 100%, $E$13)</f>
        <v>8.2271000000000001</v>
      </c>
      <c r="G453" s="61">
        <f>8.2287 * CHOOSE(CONTROL!$C$22, $C$13, 100%, $E$13)</f>
        <v>8.2286999999999999</v>
      </c>
      <c r="H453" s="61">
        <f>14.2006* CHOOSE(CONTROL!$C$22, $C$13, 100%, $E$13)</f>
        <v>14.2006</v>
      </c>
      <c r="I453" s="61">
        <f>14.2022 * CHOOSE(CONTROL!$C$22, $C$13, 100%, $E$13)</f>
        <v>14.202199999999999</v>
      </c>
      <c r="J453" s="61">
        <f>8.2271 * CHOOSE(CONTROL!$C$22, $C$13, 100%, $E$13)</f>
        <v>8.2271000000000001</v>
      </c>
      <c r="K453" s="61">
        <f>8.2287 * CHOOSE(CONTROL!$C$22, $C$13, 100%, $E$13)</f>
        <v>8.2286999999999999</v>
      </c>
    </row>
    <row r="454" spans="1:11" ht="15">
      <c r="A454" s="13">
        <v>55671</v>
      </c>
      <c r="B454" s="60">
        <f>7.0339 * CHOOSE(CONTROL!$C$22, $C$13, 100%, $E$13)</f>
        <v>7.0339</v>
      </c>
      <c r="C454" s="60">
        <f>7.0339 * CHOOSE(CONTROL!$C$22, $C$13, 100%, $E$13)</f>
        <v>7.0339</v>
      </c>
      <c r="D454" s="60">
        <f>7.059 * CHOOSE(CONTROL!$C$22, $C$13, 100%, $E$13)</f>
        <v>7.0590000000000002</v>
      </c>
      <c r="E454" s="61">
        <f>8.203 * CHOOSE(CONTROL!$C$22, $C$13, 100%, $E$13)</f>
        <v>8.2029999999999994</v>
      </c>
      <c r="F454" s="61">
        <f>8.203 * CHOOSE(CONTROL!$C$22, $C$13, 100%, $E$13)</f>
        <v>8.2029999999999994</v>
      </c>
      <c r="G454" s="61">
        <f>8.2046 * CHOOSE(CONTROL!$C$22, $C$13, 100%, $E$13)</f>
        <v>8.2045999999999992</v>
      </c>
      <c r="H454" s="61">
        <f>14.2302* CHOOSE(CONTROL!$C$22, $C$13, 100%, $E$13)</f>
        <v>14.2302</v>
      </c>
      <c r="I454" s="61">
        <f>14.2318 * CHOOSE(CONTROL!$C$22, $C$13, 100%, $E$13)</f>
        <v>14.2318</v>
      </c>
      <c r="J454" s="61">
        <f>8.203 * CHOOSE(CONTROL!$C$22, $C$13, 100%, $E$13)</f>
        <v>8.2029999999999994</v>
      </c>
      <c r="K454" s="61">
        <f>8.2046 * CHOOSE(CONTROL!$C$22, $C$13, 100%, $E$13)</f>
        <v>8.2045999999999992</v>
      </c>
    </row>
    <row r="455" spans="1:11" ht="15">
      <c r="A455" s="13">
        <v>55701</v>
      </c>
      <c r="B455" s="60">
        <f>7.1492 * CHOOSE(CONTROL!$C$22, $C$13, 100%, $E$13)</f>
        <v>7.1492000000000004</v>
      </c>
      <c r="C455" s="60">
        <f>7.1492 * CHOOSE(CONTROL!$C$22, $C$13, 100%, $E$13)</f>
        <v>7.1492000000000004</v>
      </c>
      <c r="D455" s="60">
        <f>7.1743 * CHOOSE(CONTROL!$C$22, $C$13, 100%, $E$13)</f>
        <v>7.1742999999999997</v>
      </c>
      <c r="E455" s="61">
        <f>8.3643 * CHOOSE(CONTROL!$C$22, $C$13, 100%, $E$13)</f>
        <v>8.3643000000000001</v>
      </c>
      <c r="F455" s="61">
        <f>8.3643 * CHOOSE(CONTROL!$C$22, $C$13, 100%, $E$13)</f>
        <v>8.3643000000000001</v>
      </c>
      <c r="G455" s="61">
        <f>8.3659 * CHOOSE(CONTROL!$C$22, $C$13, 100%, $E$13)</f>
        <v>8.3658999999999999</v>
      </c>
      <c r="H455" s="61">
        <f>14.2598* CHOOSE(CONTROL!$C$22, $C$13, 100%, $E$13)</f>
        <v>14.2598</v>
      </c>
      <c r="I455" s="61">
        <f>14.2615 * CHOOSE(CONTROL!$C$22, $C$13, 100%, $E$13)</f>
        <v>14.2615</v>
      </c>
      <c r="J455" s="61">
        <f>8.3643 * CHOOSE(CONTROL!$C$22, $C$13, 100%, $E$13)</f>
        <v>8.3643000000000001</v>
      </c>
      <c r="K455" s="61">
        <f>8.3659 * CHOOSE(CONTROL!$C$22, $C$13, 100%, $E$13)</f>
        <v>8.3658999999999999</v>
      </c>
    </row>
    <row r="456" spans="1:11" ht="15">
      <c r="A456" s="13">
        <v>55732</v>
      </c>
      <c r="B456" s="60">
        <f>7.1559 * CHOOSE(CONTROL!$C$22, $C$13, 100%, $E$13)</f>
        <v>7.1558999999999999</v>
      </c>
      <c r="C456" s="60">
        <f>7.1559 * CHOOSE(CONTROL!$C$22, $C$13, 100%, $E$13)</f>
        <v>7.1558999999999999</v>
      </c>
      <c r="D456" s="60">
        <f>7.1809 * CHOOSE(CONTROL!$C$22, $C$13, 100%, $E$13)</f>
        <v>7.1809000000000003</v>
      </c>
      <c r="E456" s="61">
        <f>8.2841 * CHOOSE(CONTROL!$C$22, $C$13, 100%, $E$13)</f>
        <v>8.2841000000000005</v>
      </c>
      <c r="F456" s="61">
        <f>8.2841 * CHOOSE(CONTROL!$C$22, $C$13, 100%, $E$13)</f>
        <v>8.2841000000000005</v>
      </c>
      <c r="G456" s="61">
        <f>8.2857 * CHOOSE(CONTROL!$C$22, $C$13, 100%, $E$13)</f>
        <v>8.2857000000000003</v>
      </c>
      <c r="H456" s="61">
        <f>14.2896* CHOOSE(CONTROL!$C$22, $C$13, 100%, $E$13)</f>
        <v>14.2896</v>
      </c>
      <c r="I456" s="61">
        <f>14.2912 * CHOOSE(CONTROL!$C$22, $C$13, 100%, $E$13)</f>
        <v>14.2912</v>
      </c>
      <c r="J456" s="61">
        <f>8.2841 * CHOOSE(CONTROL!$C$22, $C$13, 100%, $E$13)</f>
        <v>8.2841000000000005</v>
      </c>
      <c r="K456" s="61">
        <f>8.2857 * CHOOSE(CONTROL!$C$22, $C$13, 100%, $E$13)</f>
        <v>8.2857000000000003</v>
      </c>
    </row>
    <row r="457" spans="1:11" ht="15">
      <c r="A457" s="13">
        <v>55763</v>
      </c>
      <c r="B457" s="60">
        <f>7.1528 * CHOOSE(CONTROL!$C$22, $C$13, 100%, $E$13)</f>
        <v>7.1528</v>
      </c>
      <c r="C457" s="60">
        <f>7.1528 * CHOOSE(CONTROL!$C$22, $C$13, 100%, $E$13)</f>
        <v>7.1528</v>
      </c>
      <c r="D457" s="60">
        <f>7.1779 * CHOOSE(CONTROL!$C$22, $C$13, 100%, $E$13)</f>
        <v>7.1779000000000002</v>
      </c>
      <c r="E457" s="61">
        <f>8.2726 * CHOOSE(CONTROL!$C$22, $C$13, 100%, $E$13)</f>
        <v>8.2726000000000006</v>
      </c>
      <c r="F457" s="61">
        <f>8.2726 * CHOOSE(CONTROL!$C$22, $C$13, 100%, $E$13)</f>
        <v>8.2726000000000006</v>
      </c>
      <c r="G457" s="61">
        <f>8.2742 * CHOOSE(CONTROL!$C$22, $C$13, 100%, $E$13)</f>
        <v>8.2742000000000004</v>
      </c>
      <c r="H457" s="61">
        <f>14.3193* CHOOSE(CONTROL!$C$22, $C$13, 100%, $E$13)</f>
        <v>14.3193</v>
      </c>
      <c r="I457" s="61">
        <f>14.3209 * CHOOSE(CONTROL!$C$22, $C$13, 100%, $E$13)</f>
        <v>14.3209</v>
      </c>
      <c r="J457" s="61">
        <f>8.2726 * CHOOSE(CONTROL!$C$22, $C$13, 100%, $E$13)</f>
        <v>8.2726000000000006</v>
      </c>
      <c r="K457" s="61">
        <f>8.2742 * CHOOSE(CONTROL!$C$22, $C$13, 100%, $E$13)</f>
        <v>8.2742000000000004</v>
      </c>
    </row>
    <row r="458" spans="1:11" ht="15">
      <c r="A458" s="13">
        <v>55793</v>
      </c>
      <c r="B458" s="60">
        <f>7.1586 * CHOOSE(CONTROL!$C$22, $C$13, 100%, $E$13)</f>
        <v>7.1585999999999999</v>
      </c>
      <c r="C458" s="60">
        <f>7.1586 * CHOOSE(CONTROL!$C$22, $C$13, 100%, $E$13)</f>
        <v>7.1585999999999999</v>
      </c>
      <c r="D458" s="60">
        <f>7.1711 * CHOOSE(CONTROL!$C$22, $C$13, 100%, $E$13)</f>
        <v>7.1711</v>
      </c>
      <c r="E458" s="61">
        <f>8.2969 * CHOOSE(CONTROL!$C$22, $C$13, 100%, $E$13)</f>
        <v>8.2969000000000008</v>
      </c>
      <c r="F458" s="61">
        <f>8.2969 * CHOOSE(CONTROL!$C$22, $C$13, 100%, $E$13)</f>
        <v>8.2969000000000008</v>
      </c>
      <c r="G458" s="61">
        <f>8.297 * CHOOSE(CONTROL!$C$22, $C$13, 100%, $E$13)</f>
        <v>8.2970000000000006</v>
      </c>
      <c r="H458" s="61">
        <f>14.3492* CHOOSE(CONTROL!$C$22, $C$13, 100%, $E$13)</f>
        <v>14.3492</v>
      </c>
      <c r="I458" s="61">
        <f>14.3493 * CHOOSE(CONTROL!$C$22, $C$13, 100%, $E$13)</f>
        <v>14.349299999999999</v>
      </c>
      <c r="J458" s="61">
        <f>8.2969 * CHOOSE(CONTROL!$C$22, $C$13, 100%, $E$13)</f>
        <v>8.2969000000000008</v>
      </c>
      <c r="K458" s="61">
        <f>8.297 * CHOOSE(CONTROL!$C$22, $C$13, 100%, $E$13)</f>
        <v>8.2970000000000006</v>
      </c>
    </row>
    <row r="459" spans="1:11" ht="15">
      <c r="A459" s="13">
        <v>55824</v>
      </c>
      <c r="B459" s="60">
        <f>7.1616 * CHOOSE(CONTROL!$C$22, $C$13, 100%, $E$13)</f>
        <v>7.1616</v>
      </c>
      <c r="C459" s="60">
        <f>7.1616 * CHOOSE(CONTROL!$C$22, $C$13, 100%, $E$13)</f>
        <v>7.1616</v>
      </c>
      <c r="D459" s="60">
        <f>7.1742 * CHOOSE(CONTROL!$C$22, $C$13, 100%, $E$13)</f>
        <v>7.1741999999999999</v>
      </c>
      <c r="E459" s="61">
        <f>8.3178 * CHOOSE(CONTROL!$C$22, $C$13, 100%, $E$13)</f>
        <v>8.3178000000000001</v>
      </c>
      <c r="F459" s="61">
        <f>8.3178 * CHOOSE(CONTROL!$C$22, $C$13, 100%, $E$13)</f>
        <v>8.3178000000000001</v>
      </c>
      <c r="G459" s="61">
        <f>8.318 * CHOOSE(CONTROL!$C$22, $C$13, 100%, $E$13)</f>
        <v>8.3179999999999996</v>
      </c>
      <c r="H459" s="61">
        <f>14.3791* CHOOSE(CONTROL!$C$22, $C$13, 100%, $E$13)</f>
        <v>14.379099999999999</v>
      </c>
      <c r="I459" s="61">
        <f>14.3792 * CHOOSE(CONTROL!$C$22, $C$13, 100%, $E$13)</f>
        <v>14.379200000000001</v>
      </c>
      <c r="J459" s="61">
        <f>8.3178 * CHOOSE(CONTROL!$C$22, $C$13, 100%, $E$13)</f>
        <v>8.3178000000000001</v>
      </c>
      <c r="K459" s="61">
        <f>8.318 * CHOOSE(CONTROL!$C$22, $C$13, 100%, $E$13)</f>
        <v>8.3179999999999996</v>
      </c>
    </row>
    <row r="460" spans="1:11" ht="15">
      <c r="A460" s="13">
        <v>55854</v>
      </c>
      <c r="B460" s="60">
        <f>7.1616 * CHOOSE(CONTROL!$C$22, $C$13, 100%, $E$13)</f>
        <v>7.1616</v>
      </c>
      <c r="C460" s="60">
        <f>7.1616 * CHOOSE(CONTROL!$C$22, $C$13, 100%, $E$13)</f>
        <v>7.1616</v>
      </c>
      <c r="D460" s="60">
        <f>7.1742 * CHOOSE(CONTROL!$C$22, $C$13, 100%, $E$13)</f>
        <v>7.1741999999999999</v>
      </c>
      <c r="E460" s="61">
        <f>8.2707 * CHOOSE(CONTROL!$C$22, $C$13, 100%, $E$13)</f>
        <v>8.2706999999999997</v>
      </c>
      <c r="F460" s="61">
        <f>8.2707 * CHOOSE(CONTROL!$C$22, $C$13, 100%, $E$13)</f>
        <v>8.2706999999999997</v>
      </c>
      <c r="G460" s="61">
        <f>8.2709 * CHOOSE(CONTROL!$C$22, $C$13, 100%, $E$13)</f>
        <v>8.2708999999999993</v>
      </c>
      <c r="H460" s="61">
        <f>14.409* CHOOSE(CONTROL!$C$22, $C$13, 100%, $E$13)</f>
        <v>14.409000000000001</v>
      </c>
      <c r="I460" s="61">
        <f>14.4092 * CHOOSE(CONTROL!$C$22, $C$13, 100%, $E$13)</f>
        <v>14.4092</v>
      </c>
      <c r="J460" s="61">
        <f>8.2707 * CHOOSE(CONTROL!$C$22, $C$13, 100%, $E$13)</f>
        <v>8.2706999999999997</v>
      </c>
      <c r="K460" s="61">
        <f>8.2709 * CHOOSE(CONTROL!$C$22, $C$13, 100%, $E$13)</f>
        <v>8.2708999999999993</v>
      </c>
    </row>
    <row r="461" spans="1:11" ht="15">
      <c r="A461" s="13">
        <v>55885</v>
      </c>
      <c r="B461" s="60">
        <f>7.2256 * CHOOSE(CONTROL!$C$22, $C$13, 100%, $E$13)</f>
        <v>7.2256</v>
      </c>
      <c r="C461" s="60">
        <f>7.2256 * CHOOSE(CONTROL!$C$22, $C$13, 100%, $E$13)</f>
        <v>7.2256</v>
      </c>
      <c r="D461" s="60">
        <f>7.2381 * CHOOSE(CONTROL!$C$22, $C$13, 100%, $E$13)</f>
        <v>7.2381000000000002</v>
      </c>
      <c r="E461" s="61">
        <f>8.3788 * CHOOSE(CONTROL!$C$22, $C$13, 100%, $E$13)</f>
        <v>8.3788</v>
      </c>
      <c r="F461" s="61">
        <f>8.3788 * CHOOSE(CONTROL!$C$22, $C$13, 100%, $E$13)</f>
        <v>8.3788</v>
      </c>
      <c r="G461" s="61">
        <f>8.379 * CHOOSE(CONTROL!$C$22, $C$13, 100%, $E$13)</f>
        <v>8.3789999999999996</v>
      </c>
      <c r="H461" s="61">
        <f>14.439* CHOOSE(CONTROL!$C$22, $C$13, 100%, $E$13)</f>
        <v>14.439</v>
      </c>
      <c r="I461" s="61">
        <f>14.4392 * CHOOSE(CONTROL!$C$22, $C$13, 100%, $E$13)</f>
        <v>14.4392</v>
      </c>
      <c r="J461" s="61">
        <f>8.3788 * CHOOSE(CONTROL!$C$22, $C$13, 100%, $E$13)</f>
        <v>8.3788</v>
      </c>
      <c r="K461" s="61">
        <f>8.379 * CHOOSE(CONTROL!$C$22, $C$13, 100%, $E$13)</f>
        <v>8.3789999999999996</v>
      </c>
    </row>
    <row r="462" spans="1:11" ht="15">
      <c r="A462" s="13">
        <v>55916</v>
      </c>
      <c r="B462" s="60">
        <f>7.2225 * CHOOSE(CONTROL!$C$22, $C$13, 100%, $E$13)</f>
        <v>7.2225000000000001</v>
      </c>
      <c r="C462" s="60">
        <f>7.2225 * CHOOSE(CONTROL!$C$22, $C$13, 100%, $E$13)</f>
        <v>7.2225000000000001</v>
      </c>
      <c r="D462" s="60">
        <f>7.2351 * CHOOSE(CONTROL!$C$22, $C$13, 100%, $E$13)</f>
        <v>7.2351000000000001</v>
      </c>
      <c r="E462" s="61">
        <f>8.2852 * CHOOSE(CONTROL!$C$22, $C$13, 100%, $E$13)</f>
        <v>8.2851999999999997</v>
      </c>
      <c r="F462" s="61">
        <f>8.2852 * CHOOSE(CONTROL!$C$22, $C$13, 100%, $E$13)</f>
        <v>8.2851999999999997</v>
      </c>
      <c r="G462" s="61">
        <f>8.2854 * CHOOSE(CONTROL!$C$22, $C$13, 100%, $E$13)</f>
        <v>8.2853999999999992</v>
      </c>
      <c r="H462" s="61">
        <f>14.4691* CHOOSE(CONTROL!$C$22, $C$13, 100%, $E$13)</f>
        <v>14.469099999999999</v>
      </c>
      <c r="I462" s="61">
        <f>14.4693 * CHOOSE(CONTROL!$C$22, $C$13, 100%, $E$13)</f>
        <v>14.4693</v>
      </c>
      <c r="J462" s="61">
        <f>8.2852 * CHOOSE(CONTROL!$C$22, $C$13, 100%, $E$13)</f>
        <v>8.2851999999999997</v>
      </c>
      <c r="K462" s="61">
        <f>8.2854 * CHOOSE(CONTROL!$C$22, $C$13, 100%, $E$13)</f>
        <v>8.2853999999999992</v>
      </c>
    </row>
    <row r="463" spans="1:11" ht="15">
      <c r="A463" s="13">
        <v>55944</v>
      </c>
      <c r="B463" s="60">
        <f>7.2195 * CHOOSE(CONTROL!$C$22, $C$13, 100%, $E$13)</f>
        <v>7.2195</v>
      </c>
      <c r="C463" s="60">
        <f>7.2195 * CHOOSE(CONTROL!$C$22, $C$13, 100%, $E$13)</f>
        <v>7.2195</v>
      </c>
      <c r="D463" s="60">
        <f>7.232 * CHOOSE(CONTROL!$C$22, $C$13, 100%, $E$13)</f>
        <v>7.2320000000000002</v>
      </c>
      <c r="E463" s="61">
        <f>8.3552 * CHOOSE(CONTROL!$C$22, $C$13, 100%, $E$13)</f>
        <v>8.3552</v>
      </c>
      <c r="F463" s="61">
        <f>8.3552 * CHOOSE(CONTROL!$C$22, $C$13, 100%, $E$13)</f>
        <v>8.3552</v>
      </c>
      <c r="G463" s="61">
        <f>8.3554 * CHOOSE(CONTROL!$C$22, $C$13, 100%, $E$13)</f>
        <v>8.3553999999999995</v>
      </c>
      <c r="H463" s="61">
        <f>14.4993* CHOOSE(CONTROL!$C$22, $C$13, 100%, $E$13)</f>
        <v>14.4993</v>
      </c>
      <c r="I463" s="61">
        <f>14.4994 * CHOOSE(CONTROL!$C$22, $C$13, 100%, $E$13)</f>
        <v>14.4994</v>
      </c>
      <c r="J463" s="61">
        <f>8.3552 * CHOOSE(CONTROL!$C$22, $C$13, 100%, $E$13)</f>
        <v>8.3552</v>
      </c>
      <c r="K463" s="61">
        <f>8.3554 * CHOOSE(CONTROL!$C$22, $C$13, 100%, $E$13)</f>
        <v>8.3553999999999995</v>
      </c>
    </row>
    <row r="464" spans="1:11" ht="15">
      <c r="A464" s="13">
        <v>55975</v>
      </c>
      <c r="B464" s="60">
        <f>7.22 * CHOOSE(CONTROL!$C$22, $C$13, 100%, $E$13)</f>
        <v>7.22</v>
      </c>
      <c r="C464" s="60">
        <f>7.22 * CHOOSE(CONTROL!$C$22, $C$13, 100%, $E$13)</f>
        <v>7.22</v>
      </c>
      <c r="D464" s="60">
        <f>7.2325 * CHOOSE(CONTROL!$C$22, $C$13, 100%, $E$13)</f>
        <v>7.2324999999999999</v>
      </c>
      <c r="E464" s="61">
        <f>8.4285 * CHOOSE(CONTROL!$C$22, $C$13, 100%, $E$13)</f>
        <v>8.4284999999999997</v>
      </c>
      <c r="F464" s="61">
        <f>8.4285 * CHOOSE(CONTROL!$C$22, $C$13, 100%, $E$13)</f>
        <v>8.4284999999999997</v>
      </c>
      <c r="G464" s="61">
        <f>8.4287 * CHOOSE(CONTROL!$C$22, $C$13, 100%, $E$13)</f>
        <v>8.4286999999999992</v>
      </c>
      <c r="H464" s="61">
        <f>14.5295* CHOOSE(CONTROL!$C$22, $C$13, 100%, $E$13)</f>
        <v>14.529500000000001</v>
      </c>
      <c r="I464" s="61">
        <f>14.5296 * CHOOSE(CONTROL!$C$22, $C$13, 100%, $E$13)</f>
        <v>14.5296</v>
      </c>
      <c r="J464" s="61">
        <f>8.4285 * CHOOSE(CONTROL!$C$22, $C$13, 100%, $E$13)</f>
        <v>8.4284999999999997</v>
      </c>
      <c r="K464" s="61">
        <f>8.4287 * CHOOSE(CONTROL!$C$22, $C$13, 100%, $E$13)</f>
        <v>8.4286999999999992</v>
      </c>
    </row>
    <row r="465" spans="1:11" ht="15">
      <c r="A465" s="13">
        <v>56005</v>
      </c>
      <c r="B465" s="60">
        <f>7.22 * CHOOSE(CONTROL!$C$22, $C$13, 100%, $E$13)</f>
        <v>7.22</v>
      </c>
      <c r="C465" s="60">
        <f>7.22 * CHOOSE(CONTROL!$C$22, $C$13, 100%, $E$13)</f>
        <v>7.22</v>
      </c>
      <c r="D465" s="60">
        <f>7.2451 * CHOOSE(CONTROL!$C$22, $C$13, 100%, $E$13)</f>
        <v>7.2450999999999999</v>
      </c>
      <c r="E465" s="61">
        <f>8.4576 * CHOOSE(CONTROL!$C$22, $C$13, 100%, $E$13)</f>
        <v>8.4575999999999993</v>
      </c>
      <c r="F465" s="61">
        <f>8.4576 * CHOOSE(CONTROL!$C$22, $C$13, 100%, $E$13)</f>
        <v>8.4575999999999993</v>
      </c>
      <c r="G465" s="61">
        <f>8.4592 * CHOOSE(CONTROL!$C$22, $C$13, 100%, $E$13)</f>
        <v>8.4591999999999992</v>
      </c>
      <c r="H465" s="61">
        <f>14.5597* CHOOSE(CONTROL!$C$22, $C$13, 100%, $E$13)</f>
        <v>14.559699999999999</v>
      </c>
      <c r="I465" s="61">
        <f>14.5613 * CHOOSE(CONTROL!$C$22, $C$13, 100%, $E$13)</f>
        <v>14.561299999999999</v>
      </c>
      <c r="J465" s="61">
        <f>8.4576 * CHOOSE(CONTROL!$C$22, $C$13, 100%, $E$13)</f>
        <v>8.4575999999999993</v>
      </c>
      <c r="K465" s="61">
        <f>8.4592 * CHOOSE(CONTROL!$C$22, $C$13, 100%, $E$13)</f>
        <v>8.4591999999999992</v>
      </c>
    </row>
    <row r="466" spans="1:11" ht="15">
      <c r="A466" s="13">
        <v>56036</v>
      </c>
      <c r="B466" s="60">
        <f>7.2261 * CHOOSE(CONTROL!$C$22, $C$13, 100%, $E$13)</f>
        <v>7.2260999999999997</v>
      </c>
      <c r="C466" s="60">
        <f>7.2261 * CHOOSE(CONTROL!$C$22, $C$13, 100%, $E$13)</f>
        <v>7.2260999999999997</v>
      </c>
      <c r="D466" s="60">
        <f>7.2511 * CHOOSE(CONTROL!$C$22, $C$13, 100%, $E$13)</f>
        <v>7.2511000000000001</v>
      </c>
      <c r="E466" s="61">
        <f>8.4327 * CHOOSE(CONTROL!$C$22, $C$13, 100%, $E$13)</f>
        <v>8.4327000000000005</v>
      </c>
      <c r="F466" s="61">
        <f>8.4327 * CHOOSE(CONTROL!$C$22, $C$13, 100%, $E$13)</f>
        <v>8.4327000000000005</v>
      </c>
      <c r="G466" s="61">
        <f>8.4343 * CHOOSE(CONTROL!$C$22, $C$13, 100%, $E$13)</f>
        <v>8.4343000000000004</v>
      </c>
      <c r="H466" s="61">
        <f>14.5901* CHOOSE(CONTROL!$C$22, $C$13, 100%, $E$13)</f>
        <v>14.5901</v>
      </c>
      <c r="I466" s="61">
        <f>14.5917 * CHOOSE(CONTROL!$C$22, $C$13, 100%, $E$13)</f>
        <v>14.591699999999999</v>
      </c>
      <c r="J466" s="61">
        <f>8.4327 * CHOOSE(CONTROL!$C$22, $C$13, 100%, $E$13)</f>
        <v>8.4327000000000005</v>
      </c>
      <c r="K466" s="61">
        <f>8.4343 * CHOOSE(CONTROL!$C$22, $C$13, 100%, $E$13)</f>
        <v>8.4343000000000004</v>
      </c>
    </row>
    <row r="467" spans="1:11" ht="15">
      <c r="A467" s="13">
        <v>56066</v>
      </c>
      <c r="B467" s="60">
        <f>7.3442 * CHOOSE(CONTROL!$C$22, $C$13, 100%, $E$13)</f>
        <v>7.3441999999999998</v>
      </c>
      <c r="C467" s="60">
        <f>7.3442 * CHOOSE(CONTROL!$C$22, $C$13, 100%, $E$13)</f>
        <v>7.3441999999999998</v>
      </c>
      <c r="D467" s="60">
        <f>7.3693 * CHOOSE(CONTROL!$C$22, $C$13, 100%, $E$13)</f>
        <v>7.3693</v>
      </c>
      <c r="E467" s="61">
        <f>8.5982 * CHOOSE(CONTROL!$C$22, $C$13, 100%, $E$13)</f>
        <v>8.5982000000000003</v>
      </c>
      <c r="F467" s="61">
        <f>8.5982 * CHOOSE(CONTROL!$C$22, $C$13, 100%, $E$13)</f>
        <v>8.5982000000000003</v>
      </c>
      <c r="G467" s="61">
        <f>8.5998 * CHOOSE(CONTROL!$C$22, $C$13, 100%, $E$13)</f>
        <v>8.5998000000000001</v>
      </c>
      <c r="H467" s="61">
        <f>14.6205* CHOOSE(CONTROL!$C$22, $C$13, 100%, $E$13)</f>
        <v>14.6205</v>
      </c>
      <c r="I467" s="61">
        <f>14.6221 * CHOOSE(CONTROL!$C$22, $C$13, 100%, $E$13)</f>
        <v>14.6221</v>
      </c>
      <c r="J467" s="61">
        <f>8.5982 * CHOOSE(CONTROL!$C$22, $C$13, 100%, $E$13)</f>
        <v>8.5982000000000003</v>
      </c>
      <c r="K467" s="61">
        <f>8.5998 * CHOOSE(CONTROL!$C$22, $C$13, 100%, $E$13)</f>
        <v>8.5998000000000001</v>
      </c>
    </row>
    <row r="468" spans="1:11" ht="15">
      <c r="A468" s="13">
        <v>56097</v>
      </c>
      <c r="B468" s="60">
        <f>7.3509 * CHOOSE(CONTROL!$C$22, $C$13, 100%, $E$13)</f>
        <v>7.3509000000000002</v>
      </c>
      <c r="C468" s="60">
        <f>7.3509 * CHOOSE(CONTROL!$C$22, $C$13, 100%, $E$13)</f>
        <v>7.3509000000000002</v>
      </c>
      <c r="D468" s="60">
        <f>7.376 * CHOOSE(CONTROL!$C$22, $C$13, 100%, $E$13)</f>
        <v>7.3760000000000003</v>
      </c>
      <c r="E468" s="61">
        <f>8.5157 * CHOOSE(CONTROL!$C$22, $C$13, 100%, $E$13)</f>
        <v>8.5157000000000007</v>
      </c>
      <c r="F468" s="61">
        <f>8.5157 * CHOOSE(CONTROL!$C$22, $C$13, 100%, $E$13)</f>
        <v>8.5157000000000007</v>
      </c>
      <c r="G468" s="61">
        <f>8.5173 * CHOOSE(CONTROL!$C$22, $C$13, 100%, $E$13)</f>
        <v>8.5173000000000005</v>
      </c>
      <c r="H468" s="61">
        <f>14.6509* CHOOSE(CONTROL!$C$22, $C$13, 100%, $E$13)</f>
        <v>14.6509</v>
      </c>
      <c r="I468" s="61">
        <f>14.6525 * CHOOSE(CONTROL!$C$22, $C$13, 100%, $E$13)</f>
        <v>14.6525</v>
      </c>
      <c r="J468" s="61">
        <f>8.5157 * CHOOSE(CONTROL!$C$22, $C$13, 100%, $E$13)</f>
        <v>8.5157000000000007</v>
      </c>
      <c r="K468" s="61">
        <f>8.5173 * CHOOSE(CONTROL!$C$22, $C$13, 100%, $E$13)</f>
        <v>8.5173000000000005</v>
      </c>
    </row>
    <row r="469" spans="1:11" ht="15">
      <c r="A469" s="13">
        <v>56128</v>
      </c>
      <c r="B469" s="60">
        <f>7.3479 * CHOOSE(CONTROL!$C$22, $C$13, 100%, $E$13)</f>
        <v>7.3479000000000001</v>
      </c>
      <c r="C469" s="60">
        <f>7.3479 * CHOOSE(CONTROL!$C$22, $C$13, 100%, $E$13)</f>
        <v>7.3479000000000001</v>
      </c>
      <c r="D469" s="60">
        <f>7.3729 * CHOOSE(CONTROL!$C$22, $C$13, 100%, $E$13)</f>
        <v>7.3728999999999996</v>
      </c>
      <c r="E469" s="61">
        <f>8.5039 * CHOOSE(CONTROL!$C$22, $C$13, 100%, $E$13)</f>
        <v>8.5038999999999998</v>
      </c>
      <c r="F469" s="61">
        <f>8.5039 * CHOOSE(CONTROL!$C$22, $C$13, 100%, $E$13)</f>
        <v>8.5038999999999998</v>
      </c>
      <c r="G469" s="61">
        <f>8.5055 * CHOOSE(CONTROL!$C$22, $C$13, 100%, $E$13)</f>
        <v>8.5054999999999996</v>
      </c>
      <c r="H469" s="61">
        <f>14.6814* CHOOSE(CONTROL!$C$22, $C$13, 100%, $E$13)</f>
        <v>14.6814</v>
      </c>
      <c r="I469" s="61">
        <f>14.683 * CHOOSE(CONTROL!$C$22, $C$13, 100%, $E$13)</f>
        <v>14.683</v>
      </c>
      <c r="J469" s="61">
        <f>8.5039 * CHOOSE(CONTROL!$C$22, $C$13, 100%, $E$13)</f>
        <v>8.5038999999999998</v>
      </c>
      <c r="K469" s="61">
        <f>8.5055 * CHOOSE(CONTROL!$C$22, $C$13, 100%, $E$13)</f>
        <v>8.5054999999999996</v>
      </c>
    </row>
    <row r="470" spans="1:11" ht="15">
      <c r="A470" s="13">
        <v>56158</v>
      </c>
      <c r="B470" s="60">
        <f>7.3543 * CHOOSE(CONTROL!$C$22, $C$13, 100%, $E$13)</f>
        <v>7.3543000000000003</v>
      </c>
      <c r="C470" s="60">
        <f>7.3543 * CHOOSE(CONTROL!$C$22, $C$13, 100%, $E$13)</f>
        <v>7.3543000000000003</v>
      </c>
      <c r="D470" s="60">
        <f>7.3668 * CHOOSE(CONTROL!$C$22, $C$13, 100%, $E$13)</f>
        <v>7.3667999999999996</v>
      </c>
      <c r="E470" s="61">
        <f>8.5292 * CHOOSE(CONTROL!$C$22, $C$13, 100%, $E$13)</f>
        <v>8.5291999999999994</v>
      </c>
      <c r="F470" s="61">
        <f>8.5292 * CHOOSE(CONTROL!$C$22, $C$13, 100%, $E$13)</f>
        <v>8.5291999999999994</v>
      </c>
      <c r="G470" s="61">
        <f>8.5294 * CHOOSE(CONTROL!$C$22, $C$13, 100%, $E$13)</f>
        <v>8.5294000000000008</v>
      </c>
      <c r="H470" s="61">
        <f>14.712* CHOOSE(CONTROL!$C$22, $C$13, 100%, $E$13)</f>
        <v>14.712</v>
      </c>
      <c r="I470" s="61">
        <f>14.7122 * CHOOSE(CONTROL!$C$22, $C$13, 100%, $E$13)</f>
        <v>14.712199999999999</v>
      </c>
      <c r="J470" s="61">
        <f>8.5292 * CHOOSE(CONTROL!$C$22, $C$13, 100%, $E$13)</f>
        <v>8.5291999999999994</v>
      </c>
      <c r="K470" s="61">
        <f>8.5294 * CHOOSE(CONTROL!$C$22, $C$13, 100%, $E$13)</f>
        <v>8.5294000000000008</v>
      </c>
    </row>
    <row r="471" spans="1:11" ht="15">
      <c r="A471" s="13">
        <v>56189</v>
      </c>
      <c r="B471" s="60">
        <f>7.3573 * CHOOSE(CONTROL!$C$22, $C$13, 100%, $E$13)</f>
        <v>7.3573000000000004</v>
      </c>
      <c r="C471" s="60">
        <f>7.3573 * CHOOSE(CONTROL!$C$22, $C$13, 100%, $E$13)</f>
        <v>7.3573000000000004</v>
      </c>
      <c r="D471" s="60">
        <f>7.3699 * CHOOSE(CONTROL!$C$22, $C$13, 100%, $E$13)</f>
        <v>7.3699000000000003</v>
      </c>
      <c r="E471" s="61">
        <f>8.5507 * CHOOSE(CONTROL!$C$22, $C$13, 100%, $E$13)</f>
        <v>8.5507000000000009</v>
      </c>
      <c r="F471" s="61">
        <f>8.5507 * CHOOSE(CONTROL!$C$22, $C$13, 100%, $E$13)</f>
        <v>8.5507000000000009</v>
      </c>
      <c r="G471" s="61">
        <f>8.5509 * CHOOSE(CONTROL!$C$22, $C$13, 100%, $E$13)</f>
        <v>8.5509000000000004</v>
      </c>
      <c r="H471" s="61">
        <f>14.7427* CHOOSE(CONTROL!$C$22, $C$13, 100%, $E$13)</f>
        <v>14.742699999999999</v>
      </c>
      <c r="I471" s="61">
        <f>14.7429 * CHOOSE(CONTROL!$C$22, $C$13, 100%, $E$13)</f>
        <v>14.742900000000001</v>
      </c>
      <c r="J471" s="61">
        <f>8.5507 * CHOOSE(CONTROL!$C$22, $C$13, 100%, $E$13)</f>
        <v>8.5507000000000009</v>
      </c>
      <c r="K471" s="61">
        <f>8.5509 * CHOOSE(CONTROL!$C$22, $C$13, 100%, $E$13)</f>
        <v>8.5509000000000004</v>
      </c>
    </row>
    <row r="472" spans="1:11" ht="15">
      <c r="A472" s="13">
        <v>56219</v>
      </c>
      <c r="B472" s="60">
        <f>7.3573 * CHOOSE(CONTROL!$C$22, $C$13, 100%, $E$13)</f>
        <v>7.3573000000000004</v>
      </c>
      <c r="C472" s="60">
        <f>7.3573 * CHOOSE(CONTROL!$C$22, $C$13, 100%, $E$13)</f>
        <v>7.3573000000000004</v>
      </c>
      <c r="D472" s="60">
        <f>7.3699 * CHOOSE(CONTROL!$C$22, $C$13, 100%, $E$13)</f>
        <v>7.3699000000000003</v>
      </c>
      <c r="E472" s="61">
        <f>8.5022 * CHOOSE(CONTROL!$C$22, $C$13, 100%, $E$13)</f>
        <v>8.5022000000000002</v>
      </c>
      <c r="F472" s="61">
        <f>8.5022 * CHOOSE(CONTROL!$C$22, $C$13, 100%, $E$13)</f>
        <v>8.5022000000000002</v>
      </c>
      <c r="G472" s="61">
        <f>8.5024 * CHOOSE(CONTROL!$C$22, $C$13, 100%, $E$13)</f>
        <v>8.5023999999999997</v>
      </c>
      <c r="H472" s="61">
        <f>14.7734* CHOOSE(CONTROL!$C$22, $C$13, 100%, $E$13)</f>
        <v>14.773400000000001</v>
      </c>
      <c r="I472" s="61">
        <f>14.7736 * CHOOSE(CONTROL!$C$22, $C$13, 100%, $E$13)</f>
        <v>14.7736</v>
      </c>
      <c r="J472" s="61">
        <f>8.5022 * CHOOSE(CONTROL!$C$22, $C$13, 100%, $E$13)</f>
        <v>8.5022000000000002</v>
      </c>
      <c r="K472" s="61">
        <f>8.5024 * CHOOSE(CONTROL!$C$22, $C$13, 100%, $E$13)</f>
        <v>8.5023999999999997</v>
      </c>
    </row>
    <row r="473" spans="1:11" ht="15">
      <c r="A473" s="13">
        <v>56250</v>
      </c>
      <c r="B473" s="60">
        <f>7.4229 * CHOOSE(CONTROL!$C$22, $C$13, 100%, $E$13)</f>
        <v>7.4229000000000003</v>
      </c>
      <c r="C473" s="60">
        <f>7.4229 * CHOOSE(CONTROL!$C$22, $C$13, 100%, $E$13)</f>
        <v>7.4229000000000003</v>
      </c>
      <c r="D473" s="60">
        <f>7.4354 * CHOOSE(CONTROL!$C$22, $C$13, 100%, $E$13)</f>
        <v>7.4353999999999996</v>
      </c>
      <c r="E473" s="61">
        <f>8.6133 * CHOOSE(CONTROL!$C$22, $C$13, 100%, $E$13)</f>
        <v>8.6133000000000006</v>
      </c>
      <c r="F473" s="61">
        <f>8.6133 * CHOOSE(CONTROL!$C$22, $C$13, 100%, $E$13)</f>
        <v>8.6133000000000006</v>
      </c>
      <c r="G473" s="61">
        <f>8.6135 * CHOOSE(CONTROL!$C$22, $C$13, 100%, $E$13)</f>
        <v>8.6135000000000002</v>
      </c>
      <c r="H473" s="61">
        <f>14.8042* CHOOSE(CONTROL!$C$22, $C$13, 100%, $E$13)</f>
        <v>14.8042</v>
      </c>
      <c r="I473" s="61">
        <f>14.8043 * CHOOSE(CONTROL!$C$22, $C$13, 100%, $E$13)</f>
        <v>14.8043</v>
      </c>
      <c r="J473" s="61">
        <f>8.6133 * CHOOSE(CONTROL!$C$22, $C$13, 100%, $E$13)</f>
        <v>8.6133000000000006</v>
      </c>
      <c r="K473" s="61">
        <f>8.6135 * CHOOSE(CONTROL!$C$22, $C$13, 100%, $E$13)</f>
        <v>8.6135000000000002</v>
      </c>
    </row>
    <row r="474" spans="1:11" ht="15">
      <c r="A474" s="13">
        <v>56281</v>
      </c>
      <c r="B474" s="60">
        <f>7.4198 * CHOOSE(CONTROL!$C$22, $C$13, 100%, $E$13)</f>
        <v>7.4198000000000004</v>
      </c>
      <c r="C474" s="60">
        <f>7.4198 * CHOOSE(CONTROL!$C$22, $C$13, 100%, $E$13)</f>
        <v>7.4198000000000004</v>
      </c>
      <c r="D474" s="60">
        <f>7.4324 * CHOOSE(CONTROL!$C$22, $C$13, 100%, $E$13)</f>
        <v>7.4324000000000003</v>
      </c>
      <c r="E474" s="61">
        <f>8.5171 * CHOOSE(CONTROL!$C$22, $C$13, 100%, $E$13)</f>
        <v>8.5170999999999992</v>
      </c>
      <c r="F474" s="61">
        <f>8.5171 * CHOOSE(CONTROL!$C$22, $C$13, 100%, $E$13)</f>
        <v>8.5170999999999992</v>
      </c>
      <c r="G474" s="61">
        <f>8.5173 * CHOOSE(CONTROL!$C$22, $C$13, 100%, $E$13)</f>
        <v>8.5173000000000005</v>
      </c>
      <c r="H474" s="61">
        <f>14.835* CHOOSE(CONTROL!$C$22, $C$13, 100%, $E$13)</f>
        <v>14.835000000000001</v>
      </c>
      <c r="I474" s="61">
        <f>14.8352 * CHOOSE(CONTROL!$C$22, $C$13, 100%, $E$13)</f>
        <v>14.8352</v>
      </c>
      <c r="J474" s="61">
        <f>8.5171 * CHOOSE(CONTROL!$C$22, $C$13, 100%, $E$13)</f>
        <v>8.5170999999999992</v>
      </c>
      <c r="K474" s="61">
        <f>8.5173 * CHOOSE(CONTROL!$C$22, $C$13, 100%, $E$13)</f>
        <v>8.5173000000000005</v>
      </c>
    </row>
    <row r="475" spans="1:11" ht="15">
      <c r="A475" s="13">
        <v>56309</v>
      </c>
      <c r="B475" s="60">
        <f>7.4168 * CHOOSE(CONTROL!$C$22, $C$13, 100%, $E$13)</f>
        <v>7.4168000000000003</v>
      </c>
      <c r="C475" s="60">
        <f>7.4168 * CHOOSE(CONTROL!$C$22, $C$13, 100%, $E$13)</f>
        <v>7.4168000000000003</v>
      </c>
      <c r="D475" s="60">
        <f>7.4293 * CHOOSE(CONTROL!$C$22, $C$13, 100%, $E$13)</f>
        <v>7.4292999999999996</v>
      </c>
      <c r="E475" s="61">
        <f>8.5892 * CHOOSE(CONTROL!$C$22, $C$13, 100%, $E$13)</f>
        <v>8.5891999999999999</v>
      </c>
      <c r="F475" s="61">
        <f>8.5892 * CHOOSE(CONTROL!$C$22, $C$13, 100%, $E$13)</f>
        <v>8.5891999999999999</v>
      </c>
      <c r="G475" s="61">
        <f>8.5893 * CHOOSE(CONTROL!$C$22, $C$13, 100%, $E$13)</f>
        <v>8.5892999999999997</v>
      </c>
      <c r="H475" s="61">
        <f>14.8659* CHOOSE(CONTROL!$C$22, $C$13, 100%, $E$13)</f>
        <v>14.8659</v>
      </c>
      <c r="I475" s="61">
        <f>14.8661 * CHOOSE(CONTROL!$C$22, $C$13, 100%, $E$13)</f>
        <v>14.866099999999999</v>
      </c>
      <c r="J475" s="61">
        <f>8.5892 * CHOOSE(CONTROL!$C$22, $C$13, 100%, $E$13)</f>
        <v>8.5891999999999999</v>
      </c>
      <c r="K475" s="61">
        <f>8.5893 * CHOOSE(CONTROL!$C$22, $C$13, 100%, $E$13)</f>
        <v>8.5892999999999997</v>
      </c>
    </row>
    <row r="476" spans="1:11" ht="15">
      <c r="A476" s="13">
        <v>56340</v>
      </c>
      <c r="B476" s="60">
        <f>7.4175 * CHOOSE(CONTROL!$C$22, $C$13, 100%, $E$13)</f>
        <v>7.4175000000000004</v>
      </c>
      <c r="C476" s="60">
        <f>7.4175 * CHOOSE(CONTROL!$C$22, $C$13, 100%, $E$13)</f>
        <v>7.4175000000000004</v>
      </c>
      <c r="D476" s="60">
        <f>7.43 * CHOOSE(CONTROL!$C$22, $C$13, 100%, $E$13)</f>
        <v>7.43</v>
      </c>
      <c r="E476" s="61">
        <f>8.6646 * CHOOSE(CONTROL!$C$22, $C$13, 100%, $E$13)</f>
        <v>8.6646000000000001</v>
      </c>
      <c r="F476" s="61">
        <f>8.6646 * CHOOSE(CONTROL!$C$22, $C$13, 100%, $E$13)</f>
        <v>8.6646000000000001</v>
      </c>
      <c r="G476" s="61">
        <f>8.6648 * CHOOSE(CONTROL!$C$22, $C$13, 100%, $E$13)</f>
        <v>8.6647999999999996</v>
      </c>
      <c r="H476" s="61">
        <f>14.8969* CHOOSE(CONTROL!$C$22, $C$13, 100%, $E$13)</f>
        <v>14.8969</v>
      </c>
      <c r="I476" s="61">
        <f>14.8971 * CHOOSE(CONTROL!$C$22, $C$13, 100%, $E$13)</f>
        <v>14.8971</v>
      </c>
      <c r="J476" s="61">
        <f>8.6646 * CHOOSE(CONTROL!$C$22, $C$13, 100%, $E$13)</f>
        <v>8.6646000000000001</v>
      </c>
      <c r="K476" s="61">
        <f>8.6648 * CHOOSE(CONTROL!$C$22, $C$13, 100%, $E$13)</f>
        <v>8.6647999999999996</v>
      </c>
    </row>
    <row r="477" spans="1:11" ht="15">
      <c r="A477" s="13">
        <v>56370</v>
      </c>
      <c r="B477" s="60">
        <f>7.4175 * CHOOSE(CONTROL!$C$22, $C$13, 100%, $E$13)</f>
        <v>7.4175000000000004</v>
      </c>
      <c r="C477" s="60">
        <f>7.4175 * CHOOSE(CONTROL!$C$22, $C$13, 100%, $E$13)</f>
        <v>7.4175000000000004</v>
      </c>
      <c r="D477" s="60">
        <f>7.4425 * CHOOSE(CONTROL!$C$22, $C$13, 100%, $E$13)</f>
        <v>7.4424999999999999</v>
      </c>
      <c r="E477" s="61">
        <f>8.6945 * CHOOSE(CONTROL!$C$22, $C$13, 100%, $E$13)</f>
        <v>8.6944999999999997</v>
      </c>
      <c r="F477" s="61">
        <f>8.6945 * CHOOSE(CONTROL!$C$22, $C$13, 100%, $E$13)</f>
        <v>8.6944999999999997</v>
      </c>
      <c r="G477" s="61">
        <f>8.6961 * CHOOSE(CONTROL!$C$22, $C$13, 100%, $E$13)</f>
        <v>8.6960999999999995</v>
      </c>
      <c r="H477" s="61">
        <f>14.9279* CHOOSE(CONTROL!$C$22, $C$13, 100%, $E$13)</f>
        <v>14.927899999999999</v>
      </c>
      <c r="I477" s="61">
        <f>14.9295 * CHOOSE(CONTROL!$C$22, $C$13, 100%, $E$13)</f>
        <v>14.929500000000001</v>
      </c>
      <c r="J477" s="61">
        <f>8.6945 * CHOOSE(CONTROL!$C$22, $C$13, 100%, $E$13)</f>
        <v>8.6944999999999997</v>
      </c>
      <c r="K477" s="61">
        <f>8.6961 * CHOOSE(CONTROL!$C$22, $C$13, 100%, $E$13)</f>
        <v>8.6960999999999995</v>
      </c>
    </row>
    <row r="478" spans="1:11" ht="15">
      <c r="A478" s="13">
        <v>56401</v>
      </c>
      <c r="B478" s="60">
        <f>7.4235 * CHOOSE(CONTROL!$C$22, $C$13, 100%, $E$13)</f>
        <v>7.4234999999999998</v>
      </c>
      <c r="C478" s="60">
        <f>7.4235 * CHOOSE(CONTROL!$C$22, $C$13, 100%, $E$13)</f>
        <v>7.4234999999999998</v>
      </c>
      <c r="D478" s="60">
        <f>7.4486 * CHOOSE(CONTROL!$C$22, $C$13, 100%, $E$13)</f>
        <v>7.4485999999999999</v>
      </c>
      <c r="E478" s="61">
        <f>8.6688 * CHOOSE(CONTROL!$C$22, $C$13, 100%, $E$13)</f>
        <v>8.6687999999999992</v>
      </c>
      <c r="F478" s="61">
        <f>8.6688 * CHOOSE(CONTROL!$C$22, $C$13, 100%, $E$13)</f>
        <v>8.6687999999999992</v>
      </c>
      <c r="G478" s="61">
        <f>8.6704 * CHOOSE(CONTROL!$C$22, $C$13, 100%, $E$13)</f>
        <v>8.6704000000000008</v>
      </c>
      <c r="H478" s="61">
        <f>14.959* CHOOSE(CONTROL!$C$22, $C$13, 100%, $E$13)</f>
        <v>14.959</v>
      </c>
      <c r="I478" s="61">
        <f>14.9606 * CHOOSE(CONTROL!$C$22, $C$13, 100%, $E$13)</f>
        <v>14.960599999999999</v>
      </c>
      <c r="J478" s="61">
        <f>8.6688 * CHOOSE(CONTROL!$C$22, $C$13, 100%, $E$13)</f>
        <v>8.6687999999999992</v>
      </c>
      <c r="K478" s="61">
        <f>8.6704 * CHOOSE(CONTROL!$C$22, $C$13, 100%, $E$13)</f>
        <v>8.6704000000000008</v>
      </c>
    </row>
    <row r="479" spans="1:11" ht="15">
      <c r="A479" s="13">
        <v>56431</v>
      </c>
      <c r="B479" s="60">
        <f>7.5446 * CHOOSE(CONTROL!$C$22, $C$13, 100%, $E$13)</f>
        <v>7.5446</v>
      </c>
      <c r="C479" s="60">
        <f>7.5446 * CHOOSE(CONTROL!$C$22, $C$13, 100%, $E$13)</f>
        <v>7.5446</v>
      </c>
      <c r="D479" s="60">
        <f>7.5697 * CHOOSE(CONTROL!$C$22, $C$13, 100%, $E$13)</f>
        <v>7.5697000000000001</v>
      </c>
      <c r="E479" s="61">
        <f>8.8387 * CHOOSE(CONTROL!$C$22, $C$13, 100%, $E$13)</f>
        <v>8.8386999999999993</v>
      </c>
      <c r="F479" s="61">
        <f>8.8387 * CHOOSE(CONTROL!$C$22, $C$13, 100%, $E$13)</f>
        <v>8.8386999999999993</v>
      </c>
      <c r="G479" s="61">
        <f>8.8403 * CHOOSE(CONTROL!$C$22, $C$13, 100%, $E$13)</f>
        <v>8.8402999999999992</v>
      </c>
      <c r="H479" s="61">
        <f>14.9902* CHOOSE(CONTROL!$C$22, $C$13, 100%, $E$13)</f>
        <v>14.9902</v>
      </c>
      <c r="I479" s="61">
        <f>14.9918 * CHOOSE(CONTROL!$C$22, $C$13, 100%, $E$13)</f>
        <v>14.9918</v>
      </c>
      <c r="J479" s="61">
        <f>8.8387 * CHOOSE(CONTROL!$C$22, $C$13, 100%, $E$13)</f>
        <v>8.8386999999999993</v>
      </c>
      <c r="K479" s="61">
        <f>8.8403 * CHOOSE(CONTROL!$C$22, $C$13, 100%, $E$13)</f>
        <v>8.8402999999999992</v>
      </c>
    </row>
    <row r="480" spans="1:11" ht="15">
      <c r="A480" s="13">
        <v>56462</v>
      </c>
      <c r="B480" s="60">
        <f>7.5513 * CHOOSE(CONTROL!$C$22, $C$13, 100%, $E$13)</f>
        <v>7.5513000000000003</v>
      </c>
      <c r="C480" s="60">
        <f>7.5513 * CHOOSE(CONTROL!$C$22, $C$13, 100%, $E$13)</f>
        <v>7.5513000000000003</v>
      </c>
      <c r="D480" s="60">
        <f>7.5764 * CHOOSE(CONTROL!$C$22, $C$13, 100%, $E$13)</f>
        <v>7.5763999999999996</v>
      </c>
      <c r="E480" s="61">
        <f>8.7537 * CHOOSE(CONTROL!$C$22, $C$13, 100%, $E$13)</f>
        <v>8.7537000000000003</v>
      </c>
      <c r="F480" s="61">
        <f>8.7537 * CHOOSE(CONTROL!$C$22, $C$13, 100%, $E$13)</f>
        <v>8.7537000000000003</v>
      </c>
      <c r="G480" s="61">
        <f>8.7553 * CHOOSE(CONTROL!$C$22, $C$13, 100%, $E$13)</f>
        <v>8.7553000000000001</v>
      </c>
      <c r="H480" s="61">
        <f>15.0214* CHOOSE(CONTROL!$C$22, $C$13, 100%, $E$13)</f>
        <v>15.0214</v>
      </c>
      <c r="I480" s="61">
        <f>15.023 * CHOOSE(CONTROL!$C$22, $C$13, 100%, $E$13)</f>
        <v>15.023</v>
      </c>
      <c r="J480" s="61">
        <f>8.7537 * CHOOSE(CONTROL!$C$22, $C$13, 100%, $E$13)</f>
        <v>8.7537000000000003</v>
      </c>
      <c r="K480" s="61">
        <f>8.7553 * CHOOSE(CONTROL!$C$22, $C$13, 100%, $E$13)</f>
        <v>8.7553000000000001</v>
      </c>
    </row>
    <row r="481" spans="1:11" ht="15">
      <c r="A481" s="13">
        <v>56493</v>
      </c>
      <c r="B481" s="60">
        <f>7.5483 * CHOOSE(CONTROL!$C$22, $C$13, 100%, $E$13)</f>
        <v>7.5483000000000002</v>
      </c>
      <c r="C481" s="60">
        <f>7.5483 * CHOOSE(CONTROL!$C$22, $C$13, 100%, $E$13)</f>
        <v>7.5483000000000002</v>
      </c>
      <c r="D481" s="60">
        <f>7.5734 * CHOOSE(CONTROL!$C$22, $C$13, 100%, $E$13)</f>
        <v>7.5734000000000004</v>
      </c>
      <c r="E481" s="61">
        <f>8.7416 * CHOOSE(CONTROL!$C$22, $C$13, 100%, $E$13)</f>
        <v>8.7416</v>
      </c>
      <c r="F481" s="61">
        <f>8.7416 * CHOOSE(CONTROL!$C$22, $C$13, 100%, $E$13)</f>
        <v>8.7416</v>
      </c>
      <c r="G481" s="61">
        <f>8.7432 * CHOOSE(CONTROL!$C$22, $C$13, 100%, $E$13)</f>
        <v>8.7431999999999999</v>
      </c>
      <c r="H481" s="61">
        <f>15.0527* CHOOSE(CONTROL!$C$22, $C$13, 100%, $E$13)</f>
        <v>15.0527</v>
      </c>
      <c r="I481" s="61">
        <f>15.0543 * CHOOSE(CONTROL!$C$22, $C$13, 100%, $E$13)</f>
        <v>15.0543</v>
      </c>
      <c r="J481" s="61">
        <f>8.7416 * CHOOSE(CONTROL!$C$22, $C$13, 100%, $E$13)</f>
        <v>8.7416</v>
      </c>
      <c r="K481" s="61">
        <f>8.7432 * CHOOSE(CONTROL!$C$22, $C$13, 100%, $E$13)</f>
        <v>8.7431999999999999</v>
      </c>
    </row>
    <row r="482" spans="1:11" ht="15">
      <c r="A482" s="13">
        <v>56523</v>
      </c>
      <c r="B482" s="60">
        <f>7.5554 * CHOOSE(CONTROL!$C$22, $C$13, 100%, $E$13)</f>
        <v>7.5553999999999997</v>
      </c>
      <c r="C482" s="60">
        <f>7.5554 * CHOOSE(CONTROL!$C$22, $C$13, 100%, $E$13)</f>
        <v>7.5553999999999997</v>
      </c>
      <c r="D482" s="60">
        <f>7.5679 * CHOOSE(CONTROL!$C$22, $C$13, 100%, $E$13)</f>
        <v>7.5678999999999998</v>
      </c>
      <c r="E482" s="61">
        <f>8.768 * CHOOSE(CONTROL!$C$22, $C$13, 100%, $E$13)</f>
        <v>8.7680000000000007</v>
      </c>
      <c r="F482" s="61">
        <f>8.768 * CHOOSE(CONTROL!$C$22, $C$13, 100%, $E$13)</f>
        <v>8.7680000000000007</v>
      </c>
      <c r="G482" s="61">
        <f>8.7682 * CHOOSE(CONTROL!$C$22, $C$13, 100%, $E$13)</f>
        <v>8.7682000000000002</v>
      </c>
      <c r="H482" s="61">
        <f>15.0841* CHOOSE(CONTROL!$C$22, $C$13, 100%, $E$13)</f>
        <v>15.084099999999999</v>
      </c>
      <c r="I482" s="61">
        <f>15.0842 * CHOOSE(CONTROL!$C$22, $C$13, 100%, $E$13)</f>
        <v>15.084199999999999</v>
      </c>
      <c r="J482" s="61">
        <f>8.768 * CHOOSE(CONTROL!$C$22, $C$13, 100%, $E$13)</f>
        <v>8.7680000000000007</v>
      </c>
      <c r="K482" s="61">
        <f>8.7682 * CHOOSE(CONTROL!$C$22, $C$13, 100%, $E$13)</f>
        <v>8.7682000000000002</v>
      </c>
    </row>
    <row r="483" spans="1:11" ht="15">
      <c r="A483" s="13">
        <v>56554</v>
      </c>
      <c r="B483" s="60">
        <f>7.5584 * CHOOSE(CONTROL!$C$22, $C$13, 100%, $E$13)</f>
        <v>7.5583999999999998</v>
      </c>
      <c r="C483" s="60">
        <f>7.5584 * CHOOSE(CONTROL!$C$22, $C$13, 100%, $E$13)</f>
        <v>7.5583999999999998</v>
      </c>
      <c r="D483" s="60">
        <f>7.5709 * CHOOSE(CONTROL!$C$22, $C$13, 100%, $E$13)</f>
        <v>7.5709</v>
      </c>
      <c r="E483" s="61">
        <f>8.7901 * CHOOSE(CONTROL!$C$22, $C$13, 100%, $E$13)</f>
        <v>8.7901000000000007</v>
      </c>
      <c r="F483" s="61">
        <f>8.7901 * CHOOSE(CONTROL!$C$22, $C$13, 100%, $E$13)</f>
        <v>8.7901000000000007</v>
      </c>
      <c r="G483" s="61">
        <f>8.7902 * CHOOSE(CONTROL!$C$22, $C$13, 100%, $E$13)</f>
        <v>8.7902000000000005</v>
      </c>
      <c r="H483" s="61">
        <f>15.1155* CHOOSE(CONTROL!$C$22, $C$13, 100%, $E$13)</f>
        <v>15.115500000000001</v>
      </c>
      <c r="I483" s="61">
        <f>15.1157 * CHOOSE(CONTROL!$C$22, $C$13, 100%, $E$13)</f>
        <v>15.1157</v>
      </c>
      <c r="J483" s="61">
        <f>8.7901 * CHOOSE(CONTROL!$C$22, $C$13, 100%, $E$13)</f>
        <v>8.7901000000000007</v>
      </c>
      <c r="K483" s="61">
        <f>8.7902 * CHOOSE(CONTROL!$C$22, $C$13, 100%, $E$13)</f>
        <v>8.7902000000000005</v>
      </c>
    </row>
    <row r="484" spans="1:11" ht="15">
      <c r="A484" s="13">
        <v>56584</v>
      </c>
      <c r="B484" s="60">
        <f>7.5584 * CHOOSE(CONTROL!$C$22, $C$13, 100%, $E$13)</f>
        <v>7.5583999999999998</v>
      </c>
      <c r="C484" s="60">
        <f>7.5584 * CHOOSE(CONTROL!$C$22, $C$13, 100%, $E$13)</f>
        <v>7.5583999999999998</v>
      </c>
      <c r="D484" s="60">
        <f>7.5709 * CHOOSE(CONTROL!$C$22, $C$13, 100%, $E$13)</f>
        <v>7.5709</v>
      </c>
      <c r="E484" s="61">
        <f>8.7403 * CHOOSE(CONTROL!$C$22, $C$13, 100%, $E$13)</f>
        <v>8.7402999999999995</v>
      </c>
      <c r="F484" s="61">
        <f>8.7403 * CHOOSE(CONTROL!$C$22, $C$13, 100%, $E$13)</f>
        <v>8.7402999999999995</v>
      </c>
      <c r="G484" s="61">
        <f>8.7404 * CHOOSE(CONTROL!$C$22, $C$13, 100%, $E$13)</f>
        <v>8.7403999999999993</v>
      </c>
      <c r="H484" s="61">
        <f>15.147* CHOOSE(CONTROL!$C$22, $C$13, 100%, $E$13)</f>
        <v>15.147</v>
      </c>
      <c r="I484" s="61">
        <f>15.1472 * CHOOSE(CONTROL!$C$22, $C$13, 100%, $E$13)</f>
        <v>15.1472</v>
      </c>
      <c r="J484" s="61">
        <f>8.7403 * CHOOSE(CONTROL!$C$22, $C$13, 100%, $E$13)</f>
        <v>8.7402999999999995</v>
      </c>
      <c r="K484" s="61">
        <f>8.7404 * CHOOSE(CONTROL!$C$22, $C$13, 100%, $E$13)</f>
        <v>8.7403999999999993</v>
      </c>
    </row>
    <row r="485" spans="1:11" ht="15">
      <c r="A485" s="13">
        <v>56615</v>
      </c>
      <c r="B485" s="60">
        <f>7.6256 * CHOOSE(CONTROL!$C$22, $C$13, 100%, $E$13)</f>
        <v>7.6256000000000004</v>
      </c>
      <c r="C485" s="60">
        <f>7.6256 * CHOOSE(CONTROL!$C$22, $C$13, 100%, $E$13)</f>
        <v>7.6256000000000004</v>
      </c>
      <c r="D485" s="60">
        <f>7.6381 * CHOOSE(CONTROL!$C$22, $C$13, 100%, $E$13)</f>
        <v>7.6380999999999997</v>
      </c>
      <c r="E485" s="61">
        <f>8.8543 * CHOOSE(CONTROL!$C$22, $C$13, 100%, $E$13)</f>
        <v>8.8543000000000003</v>
      </c>
      <c r="F485" s="61">
        <f>8.8543 * CHOOSE(CONTROL!$C$22, $C$13, 100%, $E$13)</f>
        <v>8.8543000000000003</v>
      </c>
      <c r="G485" s="61">
        <f>8.8545 * CHOOSE(CONTROL!$C$22, $C$13, 100%, $E$13)</f>
        <v>8.8544999999999998</v>
      </c>
      <c r="H485" s="61">
        <f>15.1785* CHOOSE(CONTROL!$C$22, $C$13, 100%, $E$13)</f>
        <v>15.1785</v>
      </c>
      <c r="I485" s="61">
        <f>15.1787 * CHOOSE(CONTROL!$C$22, $C$13, 100%, $E$13)</f>
        <v>15.178699999999999</v>
      </c>
      <c r="J485" s="61">
        <f>8.8543 * CHOOSE(CONTROL!$C$22, $C$13, 100%, $E$13)</f>
        <v>8.8543000000000003</v>
      </c>
      <c r="K485" s="61">
        <f>8.8545 * CHOOSE(CONTROL!$C$22, $C$13, 100%, $E$13)</f>
        <v>8.8544999999999998</v>
      </c>
    </row>
    <row r="486" spans="1:11" ht="15">
      <c r="A486" s="13">
        <v>56646</v>
      </c>
      <c r="B486" s="60">
        <f>7.6226 * CHOOSE(CONTROL!$C$22, $C$13, 100%, $E$13)</f>
        <v>7.6226000000000003</v>
      </c>
      <c r="C486" s="60">
        <f>7.6226 * CHOOSE(CONTROL!$C$22, $C$13, 100%, $E$13)</f>
        <v>7.6226000000000003</v>
      </c>
      <c r="D486" s="60">
        <f>7.6351 * CHOOSE(CONTROL!$C$22, $C$13, 100%, $E$13)</f>
        <v>7.6351000000000004</v>
      </c>
      <c r="E486" s="61">
        <f>8.7555 * CHOOSE(CONTROL!$C$22, $C$13, 100%, $E$13)</f>
        <v>8.7554999999999996</v>
      </c>
      <c r="F486" s="61">
        <f>8.7555 * CHOOSE(CONTROL!$C$22, $C$13, 100%, $E$13)</f>
        <v>8.7554999999999996</v>
      </c>
      <c r="G486" s="61">
        <f>8.7557 * CHOOSE(CONTROL!$C$22, $C$13, 100%, $E$13)</f>
        <v>8.7556999999999992</v>
      </c>
      <c r="H486" s="61">
        <f>15.2102* CHOOSE(CONTROL!$C$22, $C$13, 100%, $E$13)</f>
        <v>15.2102</v>
      </c>
      <c r="I486" s="61">
        <f>15.2103 * CHOOSE(CONTROL!$C$22, $C$13, 100%, $E$13)</f>
        <v>15.2103</v>
      </c>
      <c r="J486" s="61">
        <f>8.7555 * CHOOSE(CONTROL!$C$22, $C$13, 100%, $E$13)</f>
        <v>8.7554999999999996</v>
      </c>
      <c r="K486" s="61">
        <f>8.7557 * CHOOSE(CONTROL!$C$22, $C$13, 100%, $E$13)</f>
        <v>8.7556999999999992</v>
      </c>
    </row>
    <row r="487" spans="1:11" ht="15">
      <c r="A487" s="13">
        <v>56674</v>
      </c>
      <c r="B487" s="60">
        <f>7.6195 * CHOOSE(CONTROL!$C$22, $C$13, 100%, $E$13)</f>
        <v>7.6195000000000004</v>
      </c>
      <c r="C487" s="60">
        <f>7.6195 * CHOOSE(CONTROL!$C$22, $C$13, 100%, $E$13)</f>
        <v>7.6195000000000004</v>
      </c>
      <c r="D487" s="60">
        <f>7.6321 * CHOOSE(CONTROL!$C$22, $C$13, 100%, $E$13)</f>
        <v>7.6321000000000003</v>
      </c>
      <c r="E487" s="61">
        <f>8.8296 * CHOOSE(CONTROL!$C$22, $C$13, 100%, $E$13)</f>
        <v>8.8295999999999992</v>
      </c>
      <c r="F487" s="61">
        <f>8.8296 * CHOOSE(CONTROL!$C$22, $C$13, 100%, $E$13)</f>
        <v>8.8295999999999992</v>
      </c>
      <c r="G487" s="61">
        <f>8.8298 * CHOOSE(CONTROL!$C$22, $C$13, 100%, $E$13)</f>
        <v>8.8298000000000005</v>
      </c>
      <c r="H487" s="61">
        <f>15.2419* CHOOSE(CONTROL!$C$22, $C$13, 100%, $E$13)</f>
        <v>15.241899999999999</v>
      </c>
      <c r="I487" s="61">
        <f>15.242 * CHOOSE(CONTROL!$C$22, $C$13, 100%, $E$13)</f>
        <v>15.242000000000001</v>
      </c>
      <c r="J487" s="61">
        <f>8.8296 * CHOOSE(CONTROL!$C$22, $C$13, 100%, $E$13)</f>
        <v>8.8295999999999992</v>
      </c>
      <c r="K487" s="61">
        <f>8.8298 * CHOOSE(CONTROL!$C$22, $C$13, 100%, $E$13)</f>
        <v>8.8298000000000005</v>
      </c>
    </row>
    <row r="488" spans="1:11" ht="15">
      <c r="A488" s="13">
        <v>56705</v>
      </c>
      <c r="B488" s="60">
        <f>7.6204 * CHOOSE(CONTROL!$C$22, $C$13, 100%, $E$13)</f>
        <v>7.6204000000000001</v>
      </c>
      <c r="C488" s="60">
        <f>7.6204 * CHOOSE(CONTROL!$C$22, $C$13, 100%, $E$13)</f>
        <v>7.6204000000000001</v>
      </c>
      <c r="D488" s="60">
        <f>7.6329 * CHOOSE(CONTROL!$C$22, $C$13, 100%, $E$13)</f>
        <v>7.6329000000000002</v>
      </c>
      <c r="E488" s="61">
        <f>8.9073 * CHOOSE(CONTROL!$C$22, $C$13, 100%, $E$13)</f>
        <v>8.9072999999999993</v>
      </c>
      <c r="F488" s="61">
        <f>8.9073 * CHOOSE(CONTROL!$C$22, $C$13, 100%, $E$13)</f>
        <v>8.9072999999999993</v>
      </c>
      <c r="G488" s="61">
        <f>8.9075 * CHOOSE(CONTROL!$C$22, $C$13, 100%, $E$13)</f>
        <v>8.9075000000000006</v>
      </c>
      <c r="H488" s="61">
        <f>15.2736* CHOOSE(CONTROL!$C$22, $C$13, 100%, $E$13)</f>
        <v>15.2736</v>
      </c>
      <c r="I488" s="61">
        <f>15.2738 * CHOOSE(CONTROL!$C$22, $C$13, 100%, $E$13)</f>
        <v>15.2738</v>
      </c>
      <c r="J488" s="61">
        <f>8.9073 * CHOOSE(CONTROL!$C$22, $C$13, 100%, $E$13)</f>
        <v>8.9072999999999993</v>
      </c>
      <c r="K488" s="61">
        <f>8.9075 * CHOOSE(CONTROL!$C$22, $C$13, 100%, $E$13)</f>
        <v>8.9075000000000006</v>
      </c>
    </row>
    <row r="489" spans="1:11" ht="15">
      <c r="A489" s="13">
        <v>56735</v>
      </c>
      <c r="B489" s="60">
        <f>7.6204 * CHOOSE(CONTROL!$C$22, $C$13, 100%, $E$13)</f>
        <v>7.6204000000000001</v>
      </c>
      <c r="C489" s="60">
        <f>7.6204 * CHOOSE(CONTROL!$C$22, $C$13, 100%, $E$13)</f>
        <v>7.6204000000000001</v>
      </c>
      <c r="D489" s="60">
        <f>7.6454 * CHOOSE(CONTROL!$C$22, $C$13, 100%, $E$13)</f>
        <v>7.6454000000000004</v>
      </c>
      <c r="E489" s="61">
        <f>8.938 * CHOOSE(CONTROL!$C$22, $C$13, 100%, $E$13)</f>
        <v>8.9380000000000006</v>
      </c>
      <c r="F489" s="61">
        <f>8.938 * CHOOSE(CONTROL!$C$22, $C$13, 100%, $E$13)</f>
        <v>8.9380000000000006</v>
      </c>
      <c r="G489" s="61">
        <f>8.9396 * CHOOSE(CONTROL!$C$22, $C$13, 100%, $E$13)</f>
        <v>8.9396000000000004</v>
      </c>
      <c r="H489" s="61">
        <f>15.3054* CHOOSE(CONTROL!$C$22, $C$13, 100%, $E$13)</f>
        <v>15.305400000000001</v>
      </c>
      <c r="I489" s="61">
        <f>15.307 * CHOOSE(CONTROL!$C$22, $C$13, 100%, $E$13)</f>
        <v>15.307</v>
      </c>
      <c r="J489" s="61">
        <f>8.938 * CHOOSE(CONTROL!$C$22, $C$13, 100%, $E$13)</f>
        <v>8.9380000000000006</v>
      </c>
      <c r="K489" s="61">
        <f>8.9396 * CHOOSE(CONTROL!$C$22, $C$13, 100%, $E$13)</f>
        <v>8.9396000000000004</v>
      </c>
    </row>
    <row r="490" spans="1:11" ht="15">
      <c r="A490" s="13">
        <v>56766</v>
      </c>
      <c r="B490" s="60">
        <f>7.6264 * CHOOSE(CONTROL!$C$22, $C$13, 100%, $E$13)</f>
        <v>7.6264000000000003</v>
      </c>
      <c r="C490" s="60">
        <f>7.6264 * CHOOSE(CONTROL!$C$22, $C$13, 100%, $E$13)</f>
        <v>7.6264000000000003</v>
      </c>
      <c r="D490" s="60">
        <f>7.6515 * CHOOSE(CONTROL!$C$22, $C$13, 100%, $E$13)</f>
        <v>7.6515000000000004</v>
      </c>
      <c r="E490" s="61">
        <f>8.9115 * CHOOSE(CONTROL!$C$22, $C$13, 100%, $E$13)</f>
        <v>8.9115000000000002</v>
      </c>
      <c r="F490" s="61">
        <f>8.9115 * CHOOSE(CONTROL!$C$22, $C$13, 100%, $E$13)</f>
        <v>8.9115000000000002</v>
      </c>
      <c r="G490" s="61">
        <f>8.9131 * CHOOSE(CONTROL!$C$22, $C$13, 100%, $E$13)</f>
        <v>8.9131</v>
      </c>
      <c r="H490" s="61">
        <f>15.3373* CHOOSE(CONTROL!$C$22, $C$13, 100%, $E$13)</f>
        <v>15.337300000000001</v>
      </c>
      <c r="I490" s="61">
        <f>15.3389 * CHOOSE(CONTROL!$C$22, $C$13, 100%, $E$13)</f>
        <v>15.338900000000001</v>
      </c>
      <c r="J490" s="61">
        <f>8.9115 * CHOOSE(CONTROL!$C$22, $C$13, 100%, $E$13)</f>
        <v>8.9115000000000002</v>
      </c>
      <c r="K490" s="61">
        <f>8.9131 * CHOOSE(CONTROL!$C$22, $C$13, 100%, $E$13)</f>
        <v>8.9131</v>
      </c>
    </row>
    <row r="491" spans="1:11" ht="15">
      <c r="A491" s="13">
        <v>56796</v>
      </c>
      <c r="B491" s="60">
        <f>7.7506 * CHOOSE(CONTROL!$C$22, $C$13, 100%, $E$13)</f>
        <v>7.7506000000000004</v>
      </c>
      <c r="C491" s="60">
        <f>7.7506 * CHOOSE(CONTROL!$C$22, $C$13, 100%, $E$13)</f>
        <v>7.7506000000000004</v>
      </c>
      <c r="D491" s="60">
        <f>7.7756 * CHOOSE(CONTROL!$C$22, $C$13, 100%, $E$13)</f>
        <v>7.7755999999999998</v>
      </c>
      <c r="E491" s="61">
        <f>9.0859 * CHOOSE(CONTROL!$C$22, $C$13, 100%, $E$13)</f>
        <v>9.0859000000000005</v>
      </c>
      <c r="F491" s="61">
        <f>9.0859 * CHOOSE(CONTROL!$C$22, $C$13, 100%, $E$13)</f>
        <v>9.0859000000000005</v>
      </c>
      <c r="G491" s="61">
        <f>9.0875 * CHOOSE(CONTROL!$C$22, $C$13, 100%, $E$13)</f>
        <v>9.0875000000000004</v>
      </c>
      <c r="H491" s="61">
        <f>15.3693* CHOOSE(CONTROL!$C$22, $C$13, 100%, $E$13)</f>
        <v>15.369300000000001</v>
      </c>
      <c r="I491" s="61">
        <f>15.3709 * CHOOSE(CONTROL!$C$22, $C$13, 100%, $E$13)</f>
        <v>15.370900000000001</v>
      </c>
      <c r="J491" s="61">
        <f>9.0859 * CHOOSE(CONTROL!$C$22, $C$13, 100%, $E$13)</f>
        <v>9.0859000000000005</v>
      </c>
      <c r="K491" s="61">
        <f>9.0875 * CHOOSE(CONTROL!$C$22, $C$13, 100%, $E$13)</f>
        <v>9.0875000000000004</v>
      </c>
    </row>
    <row r="492" spans="1:11" ht="15">
      <c r="A492" s="13">
        <v>56827</v>
      </c>
      <c r="B492" s="60">
        <f>7.7573 * CHOOSE(CONTROL!$C$22, $C$13, 100%, $E$13)</f>
        <v>7.7572999999999999</v>
      </c>
      <c r="C492" s="60">
        <f>7.7573 * CHOOSE(CONTROL!$C$22, $C$13, 100%, $E$13)</f>
        <v>7.7572999999999999</v>
      </c>
      <c r="D492" s="60">
        <f>7.7823 * CHOOSE(CONTROL!$C$22, $C$13, 100%, $E$13)</f>
        <v>7.7823000000000002</v>
      </c>
      <c r="E492" s="61">
        <f>8.9984 * CHOOSE(CONTROL!$C$22, $C$13, 100%, $E$13)</f>
        <v>8.9984000000000002</v>
      </c>
      <c r="F492" s="61">
        <f>8.9984 * CHOOSE(CONTROL!$C$22, $C$13, 100%, $E$13)</f>
        <v>8.9984000000000002</v>
      </c>
      <c r="G492" s="61">
        <f>9 * CHOOSE(CONTROL!$C$22, $C$13, 100%, $E$13)</f>
        <v>9</v>
      </c>
      <c r="H492" s="61">
        <f>15.4013* CHOOSE(CONTROL!$C$22, $C$13, 100%, $E$13)</f>
        <v>15.401300000000001</v>
      </c>
      <c r="I492" s="61">
        <f>15.4029 * CHOOSE(CONTROL!$C$22, $C$13, 100%, $E$13)</f>
        <v>15.402900000000001</v>
      </c>
      <c r="J492" s="61">
        <f>8.9984 * CHOOSE(CONTROL!$C$22, $C$13, 100%, $E$13)</f>
        <v>8.9984000000000002</v>
      </c>
      <c r="K492" s="61">
        <f>9 * CHOOSE(CONTROL!$C$22, $C$13, 100%, $E$13)</f>
        <v>9</v>
      </c>
    </row>
    <row r="493" spans="1:11" ht="15">
      <c r="A493" s="13">
        <v>56858</v>
      </c>
      <c r="B493" s="60">
        <f>7.7542 * CHOOSE(CONTROL!$C$22, $C$13, 100%, $E$13)</f>
        <v>7.7542</v>
      </c>
      <c r="C493" s="60">
        <f>7.7542 * CHOOSE(CONTROL!$C$22, $C$13, 100%, $E$13)</f>
        <v>7.7542</v>
      </c>
      <c r="D493" s="60">
        <f>7.7793 * CHOOSE(CONTROL!$C$22, $C$13, 100%, $E$13)</f>
        <v>7.7793000000000001</v>
      </c>
      <c r="E493" s="61">
        <f>8.986 * CHOOSE(CONTROL!$C$22, $C$13, 100%, $E$13)</f>
        <v>8.9860000000000007</v>
      </c>
      <c r="F493" s="61">
        <f>8.986 * CHOOSE(CONTROL!$C$22, $C$13, 100%, $E$13)</f>
        <v>8.9860000000000007</v>
      </c>
      <c r="G493" s="61">
        <f>8.9876 * CHOOSE(CONTROL!$C$22, $C$13, 100%, $E$13)</f>
        <v>8.9876000000000005</v>
      </c>
      <c r="H493" s="61">
        <f>15.4334* CHOOSE(CONTROL!$C$22, $C$13, 100%, $E$13)</f>
        <v>15.433400000000001</v>
      </c>
      <c r="I493" s="61">
        <f>15.435 * CHOOSE(CONTROL!$C$22, $C$13, 100%, $E$13)</f>
        <v>15.435</v>
      </c>
      <c r="J493" s="61">
        <f>8.986 * CHOOSE(CONTROL!$C$22, $C$13, 100%, $E$13)</f>
        <v>8.9860000000000007</v>
      </c>
      <c r="K493" s="61">
        <f>8.9876 * CHOOSE(CONTROL!$C$22, $C$13, 100%, $E$13)</f>
        <v>8.9876000000000005</v>
      </c>
    </row>
    <row r="494" spans="1:11" ht="15">
      <c r="A494" s="13">
        <v>56888</v>
      </c>
      <c r="B494" s="60">
        <f>7.762 * CHOOSE(CONTROL!$C$22, $C$13, 100%, $E$13)</f>
        <v>7.7619999999999996</v>
      </c>
      <c r="C494" s="60">
        <f>7.762 * CHOOSE(CONTROL!$C$22, $C$13, 100%, $E$13)</f>
        <v>7.7619999999999996</v>
      </c>
      <c r="D494" s="60">
        <f>7.7745 * CHOOSE(CONTROL!$C$22, $C$13, 100%, $E$13)</f>
        <v>7.7744999999999997</v>
      </c>
      <c r="E494" s="61">
        <f>9.0135 * CHOOSE(CONTROL!$C$22, $C$13, 100%, $E$13)</f>
        <v>9.0135000000000005</v>
      </c>
      <c r="F494" s="61">
        <f>9.0135 * CHOOSE(CONTROL!$C$22, $C$13, 100%, $E$13)</f>
        <v>9.0135000000000005</v>
      </c>
      <c r="G494" s="61">
        <f>9.0137 * CHOOSE(CONTROL!$C$22, $C$13, 100%, $E$13)</f>
        <v>9.0137</v>
      </c>
      <c r="H494" s="61">
        <f>15.4655* CHOOSE(CONTROL!$C$22, $C$13, 100%, $E$13)</f>
        <v>15.4655</v>
      </c>
      <c r="I494" s="61">
        <f>15.4657 * CHOOSE(CONTROL!$C$22, $C$13, 100%, $E$13)</f>
        <v>15.4657</v>
      </c>
      <c r="J494" s="61">
        <f>9.0135 * CHOOSE(CONTROL!$C$22, $C$13, 100%, $E$13)</f>
        <v>9.0135000000000005</v>
      </c>
      <c r="K494" s="61">
        <f>9.0137 * CHOOSE(CONTROL!$C$22, $C$13, 100%, $E$13)</f>
        <v>9.0137</v>
      </c>
    </row>
    <row r="495" spans="1:11" ht="15">
      <c r="A495" s="13">
        <v>56919</v>
      </c>
      <c r="B495" s="60">
        <f>7.765 * CHOOSE(CONTROL!$C$22, $C$13, 100%, $E$13)</f>
        <v>7.7649999999999997</v>
      </c>
      <c r="C495" s="60">
        <f>7.765 * CHOOSE(CONTROL!$C$22, $C$13, 100%, $E$13)</f>
        <v>7.7649999999999997</v>
      </c>
      <c r="D495" s="60">
        <f>7.7776 * CHOOSE(CONTROL!$C$22, $C$13, 100%, $E$13)</f>
        <v>7.7775999999999996</v>
      </c>
      <c r="E495" s="61">
        <f>9.0361 * CHOOSE(CONTROL!$C$22, $C$13, 100%, $E$13)</f>
        <v>9.0360999999999994</v>
      </c>
      <c r="F495" s="61">
        <f>9.0361 * CHOOSE(CONTROL!$C$22, $C$13, 100%, $E$13)</f>
        <v>9.0360999999999994</v>
      </c>
      <c r="G495" s="61">
        <f>9.0363 * CHOOSE(CONTROL!$C$22, $C$13, 100%, $E$13)</f>
        <v>9.0363000000000007</v>
      </c>
      <c r="H495" s="61">
        <f>15.4977* CHOOSE(CONTROL!$C$22, $C$13, 100%, $E$13)</f>
        <v>15.4977</v>
      </c>
      <c r="I495" s="61">
        <f>15.4979 * CHOOSE(CONTROL!$C$22, $C$13, 100%, $E$13)</f>
        <v>15.4979</v>
      </c>
      <c r="J495" s="61">
        <f>9.0361 * CHOOSE(CONTROL!$C$22, $C$13, 100%, $E$13)</f>
        <v>9.0360999999999994</v>
      </c>
      <c r="K495" s="61">
        <f>9.0363 * CHOOSE(CONTROL!$C$22, $C$13, 100%, $E$13)</f>
        <v>9.0363000000000007</v>
      </c>
    </row>
    <row r="496" spans="1:11" ht="15">
      <c r="A496" s="13">
        <v>56949</v>
      </c>
      <c r="B496" s="60">
        <f>7.765 * CHOOSE(CONTROL!$C$22, $C$13, 100%, $E$13)</f>
        <v>7.7649999999999997</v>
      </c>
      <c r="C496" s="60">
        <f>7.765 * CHOOSE(CONTROL!$C$22, $C$13, 100%, $E$13)</f>
        <v>7.7649999999999997</v>
      </c>
      <c r="D496" s="60">
        <f>7.7776 * CHOOSE(CONTROL!$C$22, $C$13, 100%, $E$13)</f>
        <v>7.7775999999999996</v>
      </c>
      <c r="E496" s="61">
        <f>8.9849 * CHOOSE(CONTROL!$C$22, $C$13, 100%, $E$13)</f>
        <v>8.9848999999999997</v>
      </c>
      <c r="F496" s="61">
        <f>8.9849 * CHOOSE(CONTROL!$C$22, $C$13, 100%, $E$13)</f>
        <v>8.9848999999999997</v>
      </c>
      <c r="G496" s="61">
        <f>8.9851 * CHOOSE(CONTROL!$C$22, $C$13, 100%, $E$13)</f>
        <v>8.9850999999999992</v>
      </c>
      <c r="H496" s="61">
        <f>15.53* CHOOSE(CONTROL!$C$22, $C$13, 100%, $E$13)</f>
        <v>15.53</v>
      </c>
      <c r="I496" s="61">
        <f>15.5302 * CHOOSE(CONTROL!$C$22, $C$13, 100%, $E$13)</f>
        <v>15.530200000000001</v>
      </c>
      <c r="J496" s="61">
        <f>8.9849 * CHOOSE(CONTROL!$C$22, $C$13, 100%, $E$13)</f>
        <v>8.9848999999999997</v>
      </c>
      <c r="K496" s="61">
        <f>8.9851 * CHOOSE(CONTROL!$C$22, $C$13, 100%, $E$13)</f>
        <v>8.9850999999999992</v>
      </c>
    </row>
    <row r="497" spans="1:11" ht="15">
      <c r="A497" s="13">
        <v>56980</v>
      </c>
      <c r="B497" s="60">
        <f>7.8339 * CHOOSE(CONTROL!$C$22, $C$13, 100%, $E$13)</f>
        <v>7.8338999999999999</v>
      </c>
      <c r="C497" s="60">
        <f>7.8339 * CHOOSE(CONTROL!$C$22, $C$13, 100%, $E$13)</f>
        <v>7.8338999999999999</v>
      </c>
      <c r="D497" s="60">
        <f>7.8465 * CHOOSE(CONTROL!$C$22, $C$13, 100%, $E$13)</f>
        <v>7.8464999999999998</v>
      </c>
      <c r="E497" s="61">
        <f>9.1021 * CHOOSE(CONTROL!$C$22, $C$13, 100%, $E$13)</f>
        <v>9.1021000000000001</v>
      </c>
      <c r="F497" s="61">
        <f>9.1021 * CHOOSE(CONTROL!$C$22, $C$13, 100%, $E$13)</f>
        <v>9.1021000000000001</v>
      </c>
      <c r="G497" s="61">
        <f>9.1023 * CHOOSE(CONTROL!$C$22, $C$13, 100%, $E$13)</f>
        <v>9.1022999999999996</v>
      </c>
      <c r="H497" s="61">
        <f>15.5624* CHOOSE(CONTROL!$C$22, $C$13, 100%, $E$13)</f>
        <v>15.5624</v>
      </c>
      <c r="I497" s="61">
        <f>15.5626 * CHOOSE(CONTROL!$C$22, $C$13, 100%, $E$13)</f>
        <v>15.5626</v>
      </c>
      <c r="J497" s="61">
        <f>9.1021 * CHOOSE(CONTROL!$C$22, $C$13, 100%, $E$13)</f>
        <v>9.1021000000000001</v>
      </c>
      <c r="K497" s="61">
        <f>9.1023 * CHOOSE(CONTROL!$C$22, $C$13, 100%, $E$13)</f>
        <v>9.1022999999999996</v>
      </c>
    </row>
    <row r="498" spans="1:11" ht="15">
      <c r="A498" s="13">
        <v>57011</v>
      </c>
      <c r="B498" s="60">
        <f>7.8309 * CHOOSE(CONTROL!$C$22, $C$13, 100%, $E$13)</f>
        <v>7.8308999999999997</v>
      </c>
      <c r="C498" s="60">
        <f>7.8309 * CHOOSE(CONTROL!$C$22, $C$13, 100%, $E$13)</f>
        <v>7.8308999999999997</v>
      </c>
      <c r="D498" s="60">
        <f>7.8434 * CHOOSE(CONTROL!$C$22, $C$13, 100%, $E$13)</f>
        <v>7.8433999999999999</v>
      </c>
      <c r="E498" s="61">
        <f>9.0005 * CHOOSE(CONTROL!$C$22, $C$13, 100%, $E$13)</f>
        <v>9.0005000000000006</v>
      </c>
      <c r="F498" s="61">
        <f>9.0005 * CHOOSE(CONTROL!$C$22, $C$13, 100%, $E$13)</f>
        <v>9.0005000000000006</v>
      </c>
      <c r="G498" s="61">
        <f>9.0007 * CHOOSE(CONTROL!$C$22, $C$13, 100%, $E$13)</f>
        <v>9.0007000000000001</v>
      </c>
      <c r="H498" s="61">
        <f>15.5948* CHOOSE(CONTROL!$C$22, $C$13, 100%, $E$13)</f>
        <v>15.594799999999999</v>
      </c>
      <c r="I498" s="61">
        <f>15.595 * CHOOSE(CONTROL!$C$22, $C$13, 100%, $E$13)</f>
        <v>15.595000000000001</v>
      </c>
      <c r="J498" s="61">
        <f>9.0005 * CHOOSE(CONTROL!$C$22, $C$13, 100%, $E$13)</f>
        <v>9.0005000000000006</v>
      </c>
      <c r="K498" s="61">
        <f>9.0007 * CHOOSE(CONTROL!$C$22, $C$13, 100%, $E$13)</f>
        <v>9.0007000000000001</v>
      </c>
    </row>
    <row r="499" spans="1:11" ht="15">
      <c r="A499" s="13">
        <v>57040</v>
      </c>
      <c r="B499" s="60">
        <f>7.8279 * CHOOSE(CONTROL!$C$22, $C$13, 100%, $E$13)</f>
        <v>7.8278999999999996</v>
      </c>
      <c r="C499" s="60">
        <f>7.8279 * CHOOSE(CONTROL!$C$22, $C$13, 100%, $E$13)</f>
        <v>7.8278999999999996</v>
      </c>
      <c r="D499" s="60">
        <f>7.8404 * CHOOSE(CONTROL!$C$22, $C$13, 100%, $E$13)</f>
        <v>7.8403999999999998</v>
      </c>
      <c r="E499" s="61">
        <f>9.0768 * CHOOSE(CONTROL!$C$22, $C$13, 100%, $E$13)</f>
        <v>9.0768000000000004</v>
      </c>
      <c r="F499" s="61">
        <f>9.0768 * CHOOSE(CONTROL!$C$22, $C$13, 100%, $E$13)</f>
        <v>9.0768000000000004</v>
      </c>
      <c r="G499" s="61">
        <f>9.077 * CHOOSE(CONTROL!$C$22, $C$13, 100%, $E$13)</f>
        <v>9.077</v>
      </c>
      <c r="H499" s="61">
        <f>15.6273* CHOOSE(CONTROL!$C$22, $C$13, 100%, $E$13)</f>
        <v>15.6273</v>
      </c>
      <c r="I499" s="61">
        <f>15.6275 * CHOOSE(CONTROL!$C$22, $C$13, 100%, $E$13)</f>
        <v>15.6275</v>
      </c>
      <c r="J499" s="61">
        <f>9.0768 * CHOOSE(CONTROL!$C$22, $C$13, 100%, $E$13)</f>
        <v>9.0768000000000004</v>
      </c>
      <c r="K499" s="61">
        <f>9.077 * CHOOSE(CONTROL!$C$22, $C$13, 100%, $E$13)</f>
        <v>9.077</v>
      </c>
    </row>
    <row r="500" spans="1:11" ht="15">
      <c r="A500" s="13">
        <v>57071</v>
      </c>
      <c r="B500" s="60">
        <f>7.8289 * CHOOSE(CONTROL!$C$22, $C$13, 100%, $E$13)</f>
        <v>7.8289</v>
      </c>
      <c r="C500" s="60">
        <f>7.8289 * CHOOSE(CONTROL!$C$22, $C$13, 100%, $E$13)</f>
        <v>7.8289</v>
      </c>
      <c r="D500" s="60">
        <f>7.8414 * CHOOSE(CONTROL!$C$22, $C$13, 100%, $E$13)</f>
        <v>7.8414000000000001</v>
      </c>
      <c r="E500" s="61">
        <f>9.1568 * CHOOSE(CONTROL!$C$22, $C$13, 100%, $E$13)</f>
        <v>9.1568000000000005</v>
      </c>
      <c r="F500" s="61">
        <f>9.1568 * CHOOSE(CONTROL!$C$22, $C$13, 100%, $E$13)</f>
        <v>9.1568000000000005</v>
      </c>
      <c r="G500" s="61">
        <f>9.157 * CHOOSE(CONTROL!$C$22, $C$13, 100%, $E$13)</f>
        <v>9.157</v>
      </c>
      <c r="H500" s="61">
        <f>15.6599* CHOOSE(CONTROL!$C$22, $C$13, 100%, $E$13)</f>
        <v>15.6599</v>
      </c>
      <c r="I500" s="61">
        <f>15.66 * CHOOSE(CONTROL!$C$22, $C$13, 100%, $E$13)</f>
        <v>15.66</v>
      </c>
      <c r="J500" s="61">
        <f>9.1568 * CHOOSE(CONTROL!$C$22, $C$13, 100%, $E$13)</f>
        <v>9.1568000000000005</v>
      </c>
      <c r="K500" s="61">
        <f>9.157 * CHOOSE(CONTROL!$C$22, $C$13, 100%, $E$13)</f>
        <v>9.157</v>
      </c>
    </row>
    <row r="501" spans="1:11" ht="15">
      <c r="A501" s="13">
        <v>57101</v>
      </c>
      <c r="B501" s="60">
        <f>7.8289 * CHOOSE(CONTROL!$C$22, $C$13, 100%, $E$13)</f>
        <v>7.8289</v>
      </c>
      <c r="C501" s="60">
        <f>7.8289 * CHOOSE(CONTROL!$C$22, $C$13, 100%, $E$13)</f>
        <v>7.8289</v>
      </c>
      <c r="D501" s="60">
        <f>7.854 * CHOOSE(CONTROL!$C$22, $C$13, 100%, $E$13)</f>
        <v>7.8540000000000001</v>
      </c>
      <c r="E501" s="61">
        <f>9.1884 * CHOOSE(CONTROL!$C$22, $C$13, 100%, $E$13)</f>
        <v>9.1883999999999997</v>
      </c>
      <c r="F501" s="61">
        <f>9.1884 * CHOOSE(CONTROL!$C$22, $C$13, 100%, $E$13)</f>
        <v>9.1883999999999997</v>
      </c>
      <c r="G501" s="61">
        <f>9.19 * CHOOSE(CONTROL!$C$22, $C$13, 100%, $E$13)</f>
        <v>9.19</v>
      </c>
      <c r="H501" s="61">
        <f>15.6925* CHOOSE(CONTROL!$C$22, $C$13, 100%, $E$13)</f>
        <v>15.692500000000001</v>
      </c>
      <c r="I501" s="61">
        <f>15.6941 * CHOOSE(CONTROL!$C$22, $C$13, 100%, $E$13)</f>
        <v>15.694100000000001</v>
      </c>
      <c r="J501" s="61">
        <f>9.1884 * CHOOSE(CONTROL!$C$22, $C$13, 100%, $E$13)</f>
        <v>9.1883999999999997</v>
      </c>
      <c r="K501" s="61">
        <f>9.19 * CHOOSE(CONTROL!$C$22, $C$13, 100%, $E$13)</f>
        <v>9.19</v>
      </c>
    </row>
    <row r="502" spans="1:11" ht="15">
      <c r="A502" s="13">
        <v>57132</v>
      </c>
      <c r="B502" s="60">
        <f>7.835 * CHOOSE(CONTROL!$C$22, $C$13, 100%, $E$13)</f>
        <v>7.835</v>
      </c>
      <c r="C502" s="60">
        <f>7.835 * CHOOSE(CONTROL!$C$22, $C$13, 100%, $E$13)</f>
        <v>7.835</v>
      </c>
      <c r="D502" s="60">
        <f>7.86 * CHOOSE(CONTROL!$C$22, $C$13, 100%, $E$13)</f>
        <v>7.86</v>
      </c>
      <c r="E502" s="61">
        <f>9.1611 * CHOOSE(CONTROL!$C$22, $C$13, 100%, $E$13)</f>
        <v>9.1610999999999994</v>
      </c>
      <c r="F502" s="61">
        <f>9.1611 * CHOOSE(CONTROL!$C$22, $C$13, 100%, $E$13)</f>
        <v>9.1610999999999994</v>
      </c>
      <c r="G502" s="61">
        <f>9.1627 * CHOOSE(CONTROL!$C$22, $C$13, 100%, $E$13)</f>
        <v>9.1626999999999992</v>
      </c>
      <c r="H502" s="61">
        <f>15.7252* CHOOSE(CONTROL!$C$22, $C$13, 100%, $E$13)</f>
        <v>15.725199999999999</v>
      </c>
      <c r="I502" s="61">
        <f>15.7268 * CHOOSE(CONTROL!$C$22, $C$13, 100%, $E$13)</f>
        <v>15.726800000000001</v>
      </c>
      <c r="J502" s="61">
        <f>9.1611 * CHOOSE(CONTROL!$C$22, $C$13, 100%, $E$13)</f>
        <v>9.1610999999999994</v>
      </c>
      <c r="K502" s="61">
        <f>9.1627 * CHOOSE(CONTROL!$C$22, $C$13, 100%, $E$13)</f>
        <v>9.1626999999999992</v>
      </c>
    </row>
    <row r="503" spans="1:11" ht="15">
      <c r="A503" s="13">
        <v>57162</v>
      </c>
      <c r="B503" s="60">
        <f>7.9622 * CHOOSE(CONTROL!$C$22, $C$13, 100%, $E$13)</f>
        <v>7.9622000000000002</v>
      </c>
      <c r="C503" s="60">
        <f>7.9622 * CHOOSE(CONTROL!$C$22, $C$13, 100%, $E$13)</f>
        <v>7.9622000000000002</v>
      </c>
      <c r="D503" s="60">
        <f>7.9873 * CHOOSE(CONTROL!$C$22, $C$13, 100%, $E$13)</f>
        <v>7.9873000000000003</v>
      </c>
      <c r="E503" s="61">
        <f>9.34 * CHOOSE(CONTROL!$C$22, $C$13, 100%, $E$13)</f>
        <v>9.34</v>
      </c>
      <c r="F503" s="61">
        <f>9.34 * CHOOSE(CONTROL!$C$22, $C$13, 100%, $E$13)</f>
        <v>9.34</v>
      </c>
      <c r="G503" s="61">
        <f>9.3416 * CHOOSE(CONTROL!$C$22, $C$13, 100%, $E$13)</f>
        <v>9.3415999999999997</v>
      </c>
      <c r="H503" s="61">
        <f>15.7579* CHOOSE(CONTROL!$C$22, $C$13, 100%, $E$13)</f>
        <v>15.757899999999999</v>
      </c>
      <c r="I503" s="61">
        <f>15.7595 * CHOOSE(CONTROL!$C$22, $C$13, 100%, $E$13)</f>
        <v>15.759499999999999</v>
      </c>
      <c r="J503" s="61">
        <f>9.34 * CHOOSE(CONTROL!$C$22, $C$13, 100%, $E$13)</f>
        <v>9.34</v>
      </c>
      <c r="K503" s="61">
        <f>9.3416 * CHOOSE(CONTROL!$C$22, $C$13, 100%, $E$13)</f>
        <v>9.3415999999999997</v>
      </c>
    </row>
    <row r="504" spans="1:11" ht="15">
      <c r="A504" s="13">
        <v>57193</v>
      </c>
      <c r="B504" s="60">
        <f>7.9689 * CHOOSE(CONTROL!$C$22, $C$13, 100%, $E$13)</f>
        <v>7.9688999999999997</v>
      </c>
      <c r="C504" s="60">
        <f>7.9689 * CHOOSE(CONTROL!$C$22, $C$13, 100%, $E$13)</f>
        <v>7.9688999999999997</v>
      </c>
      <c r="D504" s="60">
        <f>7.994 * CHOOSE(CONTROL!$C$22, $C$13, 100%, $E$13)</f>
        <v>7.9939999999999998</v>
      </c>
      <c r="E504" s="61">
        <f>9.2499 * CHOOSE(CONTROL!$C$22, $C$13, 100%, $E$13)</f>
        <v>9.2499000000000002</v>
      </c>
      <c r="F504" s="61">
        <f>9.2499 * CHOOSE(CONTROL!$C$22, $C$13, 100%, $E$13)</f>
        <v>9.2499000000000002</v>
      </c>
      <c r="G504" s="61">
        <f>9.2515 * CHOOSE(CONTROL!$C$22, $C$13, 100%, $E$13)</f>
        <v>9.2515000000000001</v>
      </c>
      <c r="H504" s="61">
        <f>15.7908* CHOOSE(CONTROL!$C$22, $C$13, 100%, $E$13)</f>
        <v>15.790800000000001</v>
      </c>
      <c r="I504" s="61">
        <f>15.7924 * CHOOSE(CONTROL!$C$22, $C$13, 100%, $E$13)</f>
        <v>15.792400000000001</v>
      </c>
      <c r="J504" s="61">
        <f>9.2499 * CHOOSE(CONTROL!$C$22, $C$13, 100%, $E$13)</f>
        <v>9.2499000000000002</v>
      </c>
      <c r="K504" s="61">
        <f>9.2515 * CHOOSE(CONTROL!$C$22, $C$13, 100%, $E$13)</f>
        <v>9.2515000000000001</v>
      </c>
    </row>
    <row r="505" spans="1:11" ht="15">
      <c r="A505" s="13">
        <v>57224</v>
      </c>
      <c r="B505" s="60">
        <f>7.9658 * CHOOSE(CONTROL!$C$22, $C$13, 100%, $E$13)</f>
        <v>7.9657999999999998</v>
      </c>
      <c r="C505" s="60">
        <f>7.9658 * CHOOSE(CONTROL!$C$22, $C$13, 100%, $E$13)</f>
        <v>7.9657999999999998</v>
      </c>
      <c r="D505" s="60">
        <f>7.9909 * CHOOSE(CONTROL!$C$22, $C$13, 100%, $E$13)</f>
        <v>7.9908999999999999</v>
      </c>
      <c r="E505" s="61">
        <f>9.2372 * CHOOSE(CONTROL!$C$22, $C$13, 100%, $E$13)</f>
        <v>9.2371999999999996</v>
      </c>
      <c r="F505" s="61">
        <f>9.2372 * CHOOSE(CONTROL!$C$22, $C$13, 100%, $E$13)</f>
        <v>9.2371999999999996</v>
      </c>
      <c r="G505" s="61">
        <f>9.2388 * CHOOSE(CONTROL!$C$22, $C$13, 100%, $E$13)</f>
        <v>9.2387999999999995</v>
      </c>
      <c r="H505" s="61">
        <f>15.8237* CHOOSE(CONTROL!$C$22, $C$13, 100%, $E$13)</f>
        <v>15.823700000000001</v>
      </c>
      <c r="I505" s="61">
        <f>15.8253 * CHOOSE(CONTROL!$C$22, $C$13, 100%, $E$13)</f>
        <v>15.8253</v>
      </c>
      <c r="J505" s="61">
        <f>9.2372 * CHOOSE(CONTROL!$C$22, $C$13, 100%, $E$13)</f>
        <v>9.2371999999999996</v>
      </c>
      <c r="K505" s="61">
        <f>9.2388 * CHOOSE(CONTROL!$C$22, $C$13, 100%, $E$13)</f>
        <v>9.2387999999999995</v>
      </c>
    </row>
    <row r="506" spans="1:11" ht="15">
      <c r="A506" s="13">
        <v>57254</v>
      </c>
      <c r="B506" s="60">
        <f>7.9743 * CHOOSE(CONTROL!$C$22, $C$13, 100%, $E$13)</f>
        <v>7.9743000000000004</v>
      </c>
      <c r="C506" s="60">
        <f>7.9743 * CHOOSE(CONTROL!$C$22, $C$13, 100%, $E$13)</f>
        <v>7.9743000000000004</v>
      </c>
      <c r="D506" s="60">
        <f>7.9868 * CHOOSE(CONTROL!$C$22, $C$13, 100%, $E$13)</f>
        <v>7.9867999999999997</v>
      </c>
      <c r="E506" s="61">
        <f>9.2659 * CHOOSE(CONTROL!$C$22, $C$13, 100%, $E$13)</f>
        <v>9.2659000000000002</v>
      </c>
      <c r="F506" s="61">
        <f>9.2659 * CHOOSE(CONTROL!$C$22, $C$13, 100%, $E$13)</f>
        <v>9.2659000000000002</v>
      </c>
      <c r="G506" s="61">
        <f>9.2661 * CHOOSE(CONTROL!$C$22, $C$13, 100%, $E$13)</f>
        <v>9.2660999999999998</v>
      </c>
      <c r="H506" s="61">
        <f>15.8566* CHOOSE(CONTROL!$C$22, $C$13, 100%, $E$13)</f>
        <v>15.8566</v>
      </c>
      <c r="I506" s="61">
        <f>15.8568 * CHOOSE(CONTROL!$C$22, $C$13, 100%, $E$13)</f>
        <v>15.8568</v>
      </c>
      <c r="J506" s="61">
        <f>9.2659 * CHOOSE(CONTROL!$C$22, $C$13, 100%, $E$13)</f>
        <v>9.2659000000000002</v>
      </c>
      <c r="K506" s="61">
        <f>9.2661 * CHOOSE(CONTROL!$C$22, $C$13, 100%, $E$13)</f>
        <v>9.2660999999999998</v>
      </c>
    </row>
    <row r="507" spans="1:11" ht="15">
      <c r="A507" s="13">
        <v>57285</v>
      </c>
      <c r="B507" s="60">
        <f>7.9773 * CHOOSE(CONTROL!$C$22, $C$13, 100%, $E$13)</f>
        <v>7.9772999999999996</v>
      </c>
      <c r="C507" s="60">
        <f>7.9773 * CHOOSE(CONTROL!$C$22, $C$13, 100%, $E$13)</f>
        <v>7.9772999999999996</v>
      </c>
      <c r="D507" s="60">
        <f>7.9899 * CHOOSE(CONTROL!$C$22, $C$13, 100%, $E$13)</f>
        <v>7.9898999999999996</v>
      </c>
      <c r="E507" s="61">
        <f>9.2891 * CHOOSE(CONTROL!$C$22, $C$13, 100%, $E$13)</f>
        <v>9.2890999999999995</v>
      </c>
      <c r="F507" s="61">
        <f>9.2891 * CHOOSE(CONTROL!$C$22, $C$13, 100%, $E$13)</f>
        <v>9.2890999999999995</v>
      </c>
      <c r="G507" s="61">
        <f>9.2893 * CHOOSE(CONTROL!$C$22, $C$13, 100%, $E$13)</f>
        <v>9.2893000000000008</v>
      </c>
      <c r="H507" s="61">
        <f>15.8897* CHOOSE(CONTROL!$C$22, $C$13, 100%, $E$13)</f>
        <v>15.889699999999999</v>
      </c>
      <c r="I507" s="61">
        <f>15.8898 * CHOOSE(CONTROL!$C$22, $C$13, 100%, $E$13)</f>
        <v>15.889799999999999</v>
      </c>
      <c r="J507" s="61">
        <f>9.2891 * CHOOSE(CONTROL!$C$22, $C$13, 100%, $E$13)</f>
        <v>9.2890999999999995</v>
      </c>
      <c r="K507" s="61">
        <f>9.2893 * CHOOSE(CONTROL!$C$22, $C$13, 100%, $E$13)</f>
        <v>9.2893000000000008</v>
      </c>
    </row>
    <row r="508" spans="1:11" ht="15">
      <c r="A508" s="13">
        <v>57315</v>
      </c>
      <c r="B508" s="60">
        <f>7.9773 * CHOOSE(CONTROL!$C$22, $C$13, 100%, $E$13)</f>
        <v>7.9772999999999996</v>
      </c>
      <c r="C508" s="60">
        <f>7.9773 * CHOOSE(CONTROL!$C$22, $C$13, 100%, $E$13)</f>
        <v>7.9772999999999996</v>
      </c>
      <c r="D508" s="60">
        <f>7.9899 * CHOOSE(CONTROL!$C$22, $C$13, 100%, $E$13)</f>
        <v>7.9898999999999996</v>
      </c>
      <c r="E508" s="61">
        <f>9.2365 * CHOOSE(CONTROL!$C$22, $C$13, 100%, $E$13)</f>
        <v>9.2364999999999995</v>
      </c>
      <c r="F508" s="61">
        <f>9.2365 * CHOOSE(CONTROL!$C$22, $C$13, 100%, $E$13)</f>
        <v>9.2364999999999995</v>
      </c>
      <c r="G508" s="61">
        <f>9.2366 * CHOOSE(CONTROL!$C$22, $C$13, 100%, $E$13)</f>
        <v>9.2365999999999993</v>
      </c>
      <c r="H508" s="61">
        <f>15.9228* CHOOSE(CONTROL!$C$22, $C$13, 100%, $E$13)</f>
        <v>15.922800000000001</v>
      </c>
      <c r="I508" s="61">
        <f>15.9229 * CHOOSE(CONTROL!$C$22, $C$13, 100%, $E$13)</f>
        <v>15.9229</v>
      </c>
      <c r="J508" s="61">
        <f>9.2365 * CHOOSE(CONTROL!$C$22, $C$13, 100%, $E$13)</f>
        <v>9.2364999999999995</v>
      </c>
      <c r="K508" s="61">
        <f>9.2366 * CHOOSE(CONTROL!$C$22, $C$13, 100%, $E$13)</f>
        <v>9.2365999999999993</v>
      </c>
    </row>
    <row r="509" spans="1:11" ht="15">
      <c r="A509" s="13">
        <v>57346</v>
      </c>
      <c r="B509" s="60">
        <f>8.048 * CHOOSE(CONTROL!$C$22, $C$13, 100%, $E$13)</f>
        <v>8.048</v>
      </c>
      <c r="C509" s="60">
        <f>8.048 * CHOOSE(CONTROL!$C$22, $C$13, 100%, $E$13)</f>
        <v>8.048</v>
      </c>
      <c r="D509" s="60">
        <f>8.0606 * CHOOSE(CONTROL!$C$22, $C$13, 100%, $E$13)</f>
        <v>8.0606000000000009</v>
      </c>
      <c r="E509" s="61">
        <f>9.3568 * CHOOSE(CONTROL!$C$22, $C$13, 100%, $E$13)</f>
        <v>9.3567999999999998</v>
      </c>
      <c r="F509" s="61">
        <f>9.3568 * CHOOSE(CONTROL!$C$22, $C$13, 100%, $E$13)</f>
        <v>9.3567999999999998</v>
      </c>
      <c r="G509" s="61">
        <f>9.357 * CHOOSE(CONTROL!$C$22, $C$13, 100%, $E$13)</f>
        <v>9.3569999999999993</v>
      </c>
      <c r="H509" s="61">
        <f>15.9559* CHOOSE(CONTROL!$C$22, $C$13, 100%, $E$13)</f>
        <v>15.9559</v>
      </c>
      <c r="I509" s="61">
        <f>15.9561 * CHOOSE(CONTROL!$C$22, $C$13, 100%, $E$13)</f>
        <v>15.956099999999999</v>
      </c>
      <c r="J509" s="61">
        <f>9.3568 * CHOOSE(CONTROL!$C$22, $C$13, 100%, $E$13)</f>
        <v>9.3567999999999998</v>
      </c>
      <c r="K509" s="61">
        <f>9.357 * CHOOSE(CONTROL!$C$22, $C$13, 100%, $E$13)</f>
        <v>9.3569999999999993</v>
      </c>
    </row>
    <row r="510" spans="1:11" ht="15">
      <c r="A510" s="13">
        <v>57377</v>
      </c>
      <c r="B510" s="60">
        <f>8.045 * CHOOSE(CONTROL!$C$22, $C$13, 100%, $E$13)</f>
        <v>8.0449999999999999</v>
      </c>
      <c r="C510" s="60">
        <f>8.045 * CHOOSE(CONTROL!$C$22, $C$13, 100%, $E$13)</f>
        <v>8.0449999999999999</v>
      </c>
      <c r="D510" s="60">
        <f>8.0575 * CHOOSE(CONTROL!$C$22, $C$13, 100%, $E$13)</f>
        <v>8.0574999999999992</v>
      </c>
      <c r="E510" s="61">
        <f>9.2525 * CHOOSE(CONTROL!$C$22, $C$13, 100%, $E$13)</f>
        <v>9.2524999999999995</v>
      </c>
      <c r="F510" s="61">
        <f>9.2525 * CHOOSE(CONTROL!$C$22, $C$13, 100%, $E$13)</f>
        <v>9.2524999999999995</v>
      </c>
      <c r="G510" s="61">
        <f>9.2526 * CHOOSE(CONTROL!$C$22, $C$13, 100%, $E$13)</f>
        <v>9.2525999999999993</v>
      </c>
      <c r="H510" s="61">
        <f>15.9892* CHOOSE(CONTROL!$C$22, $C$13, 100%, $E$13)</f>
        <v>15.9892</v>
      </c>
      <c r="I510" s="61">
        <f>15.9894 * CHOOSE(CONTROL!$C$22, $C$13, 100%, $E$13)</f>
        <v>15.9894</v>
      </c>
      <c r="J510" s="61">
        <f>9.2525 * CHOOSE(CONTROL!$C$22, $C$13, 100%, $E$13)</f>
        <v>9.2524999999999995</v>
      </c>
      <c r="K510" s="61">
        <f>9.2526 * CHOOSE(CONTROL!$C$22, $C$13, 100%, $E$13)</f>
        <v>9.2525999999999993</v>
      </c>
    </row>
    <row r="511" spans="1:11" ht="15">
      <c r="A511" s="13">
        <v>57405</v>
      </c>
      <c r="B511" s="60">
        <f>8.0419 * CHOOSE(CONTROL!$C$22, $C$13, 100%, $E$13)</f>
        <v>8.0419</v>
      </c>
      <c r="C511" s="60">
        <f>8.0419 * CHOOSE(CONTROL!$C$22, $C$13, 100%, $E$13)</f>
        <v>8.0419</v>
      </c>
      <c r="D511" s="60">
        <f>8.0545 * CHOOSE(CONTROL!$C$22, $C$13, 100%, $E$13)</f>
        <v>8.0545000000000009</v>
      </c>
      <c r="E511" s="61">
        <f>9.331 * CHOOSE(CONTROL!$C$22, $C$13, 100%, $E$13)</f>
        <v>9.3309999999999995</v>
      </c>
      <c r="F511" s="61">
        <f>9.331 * CHOOSE(CONTROL!$C$22, $C$13, 100%, $E$13)</f>
        <v>9.3309999999999995</v>
      </c>
      <c r="G511" s="61">
        <f>9.3311 * CHOOSE(CONTROL!$C$22, $C$13, 100%, $E$13)</f>
        <v>9.3310999999999993</v>
      </c>
      <c r="H511" s="61">
        <f>16.0225* CHOOSE(CONTROL!$C$22, $C$13, 100%, $E$13)</f>
        <v>16.022500000000001</v>
      </c>
      <c r="I511" s="61">
        <f>16.0227 * CHOOSE(CONTROL!$C$22, $C$13, 100%, $E$13)</f>
        <v>16.0227</v>
      </c>
      <c r="J511" s="61">
        <f>9.331 * CHOOSE(CONTROL!$C$22, $C$13, 100%, $E$13)</f>
        <v>9.3309999999999995</v>
      </c>
      <c r="K511" s="61">
        <f>9.3311 * CHOOSE(CONTROL!$C$22, $C$13, 100%, $E$13)</f>
        <v>9.3310999999999993</v>
      </c>
    </row>
    <row r="512" spans="1:11" ht="15">
      <c r="A512" s="13">
        <v>57436</v>
      </c>
      <c r="B512" s="60">
        <f>8.0431 * CHOOSE(CONTROL!$C$22, $C$13, 100%, $E$13)</f>
        <v>8.0431000000000008</v>
      </c>
      <c r="C512" s="60">
        <f>8.0431 * CHOOSE(CONTROL!$C$22, $C$13, 100%, $E$13)</f>
        <v>8.0431000000000008</v>
      </c>
      <c r="D512" s="60">
        <f>8.0557 * CHOOSE(CONTROL!$C$22, $C$13, 100%, $E$13)</f>
        <v>8.0556999999999999</v>
      </c>
      <c r="E512" s="61">
        <f>9.4133 * CHOOSE(CONTROL!$C$22, $C$13, 100%, $E$13)</f>
        <v>9.4132999999999996</v>
      </c>
      <c r="F512" s="61">
        <f>9.4133 * CHOOSE(CONTROL!$C$22, $C$13, 100%, $E$13)</f>
        <v>9.4132999999999996</v>
      </c>
      <c r="G512" s="61">
        <f>9.4135 * CHOOSE(CONTROL!$C$22, $C$13, 100%, $E$13)</f>
        <v>9.4135000000000009</v>
      </c>
      <c r="H512" s="61">
        <f>16.0559* CHOOSE(CONTROL!$C$22, $C$13, 100%, $E$13)</f>
        <v>16.055900000000001</v>
      </c>
      <c r="I512" s="61">
        <f>16.056 * CHOOSE(CONTROL!$C$22, $C$13, 100%, $E$13)</f>
        <v>16.056000000000001</v>
      </c>
      <c r="J512" s="61">
        <f>9.4133 * CHOOSE(CONTROL!$C$22, $C$13, 100%, $E$13)</f>
        <v>9.4132999999999996</v>
      </c>
      <c r="K512" s="61">
        <f>9.4135 * CHOOSE(CONTROL!$C$22, $C$13, 100%, $E$13)</f>
        <v>9.4135000000000009</v>
      </c>
    </row>
    <row r="513" spans="1:11" ht="15">
      <c r="A513" s="13">
        <v>57466</v>
      </c>
      <c r="B513" s="60">
        <f>8.0431 * CHOOSE(CONTROL!$C$22, $C$13, 100%, $E$13)</f>
        <v>8.0431000000000008</v>
      </c>
      <c r="C513" s="60">
        <f>8.0431 * CHOOSE(CONTROL!$C$22, $C$13, 100%, $E$13)</f>
        <v>8.0431000000000008</v>
      </c>
      <c r="D513" s="60">
        <f>8.0682 * CHOOSE(CONTROL!$C$22, $C$13, 100%, $E$13)</f>
        <v>8.0681999999999992</v>
      </c>
      <c r="E513" s="61">
        <f>9.4458 * CHOOSE(CONTROL!$C$22, $C$13, 100%, $E$13)</f>
        <v>9.4458000000000002</v>
      </c>
      <c r="F513" s="61">
        <f>9.4458 * CHOOSE(CONTROL!$C$22, $C$13, 100%, $E$13)</f>
        <v>9.4458000000000002</v>
      </c>
      <c r="G513" s="61">
        <f>9.4474 * CHOOSE(CONTROL!$C$22, $C$13, 100%, $E$13)</f>
        <v>9.4474</v>
      </c>
      <c r="H513" s="61">
        <f>16.0893* CHOOSE(CONTROL!$C$22, $C$13, 100%, $E$13)</f>
        <v>16.089300000000001</v>
      </c>
      <c r="I513" s="61">
        <f>16.0909 * CHOOSE(CONTROL!$C$22, $C$13, 100%, $E$13)</f>
        <v>16.090900000000001</v>
      </c>
      <c r="J513" s="61">
        <f>9.4458 * CHOOSE(CONTROL!$C$22, $C$13, 100%, $E$13)</f>
        <v>9.4458000000000002</v>
      </c>
      <c r="K513" s="61">
        <f>9.4474 * CHOOSE(CONTROL!$C$22, $C$13, 100%, $E$13)</f>
        <v>9.4474</v>
      </c>
    </row>
    <row r="514" spans="1:11" ht="15">
      <c r="A514" s="13">
        <v>57497</v>
      </c>
      <c r="B514" s="60">
        <f>8.0492 * CHOOSE(CONTROL!$C$22, $C$13, 100%, $E$13)</f>
        <v>8.0492000000000008</v>
      </c>
      <c r="C514" s="60">
        <f>8.0492 * CHOOSE(CONTROL!$C$22, $C$13, 100%, $E$13)</f>
        <v>8.0492000000000008</v>
      </c>
      <c r="D514" s="60">
        <f>8.0743 * CHOOSE(CONTROL!$C$22, $C$13, 100%, $E$13)</f>
        <v>8.0742999999999991</v>
      </c>
      <c r="E514" s="61">
        <f>9.4175 * CHOOSE(CONTROL!$C$22, $C$13, 100%, $E$13)</f>
        <v>9.4175000000000004</v>
      </c>
      <c r="F514" s="61">
        <f>9.4175 * CHOOSE(CONTROL!$C$22, $C$13, 100%, $E$13)</f>
        <v>9.4175000000000004</v>
      </c>
      <c r="G514" s="61">
        <f>9.4191 * CHOOSE(CONTROL!$C$22, $C$13, 100%, $E$13)</f>
        <v>9.4191000000000003</v>
      </c>
      <c r="H514" s="61">
        <f>16.1228* CHOOSE(CONTROL!$C$22, $C$13, 100%, $E$13)</f>
        <v>16.122800000000002</v>
      </c>
      <c r="I514" s="61">
        <f>16.1244 * CHOOSE(CONTROL!$C$22, $C$13, 100%, $E$13)</f>
        <v>16.124400000000001</v>
      </c>
      <c r="J514" s="61">
        <f>9.4175 * CHOOSE(CONTROL!$C$22, $C$13, 100%, $E$13)</f>
        <v>9.4175000000000004</v>
      </c>
      <c r="K514" s="61">
        <f>9.4191 * CHOOSE(CONTROL!$C$22, $C$13, 100%, $E$13)</f>
        <v>9.4191000000000003</v>
      </c>
    </row>
    <row r="515" spans="1:11" ht="15">
      <c r="A515" s="13">
        <v>57527</v>
      </c>
      <c r="B515" s="60">
        <f>8.1797 * CHOOSE(CONTROL!$C$22, $C$13, 100%, $E$13)</f>
        <v>8.1797000000000004</v>
      </c>
      <c r="C515" s="60">
        <f>8.1797 * CHOOSE(CONTROL!$C$22, $C$13, 100%, $E$13)</f>
        <v>8.1797000000000004</v>
      </c>
      <c r="D515" s="60">
        <f>8.2047 * CHOOSE(CONTROL!$C$22, $C$13, 100%, $E$13)</f>
        <v>8.2047000000000008</v>
      </c>
      <c r="E515" s="61">
        <f>9.6012 * CHOOSE(CONTROL!$C$22, $C$13, 100%, $E$13)</f>
        <v>9.6012000000000004</v>
      </c>
      <c r="F515" s="61">
        <f>9.6012 * CHOOSE(CONTROL!$C$22, $C$13, 100%, $E$13)</f>
        <v>9.6012000000000004</v>
      </c>
      <c r="G515" s="61">
        <f>9.6028 * CHOOSE(CONTROL!$C$22, $C$13, 100%, $E$13)</f>
        <v>9.6028000000000002</v>
      </c>
      <c r="H515" s="61">
        <f>16.1564* CHOOSE(CONTROL!$C$22, $C$13, 100%, $E$13)</f>
        <v>16.156400000000001</v>
      </c>
      <c r="I515" s="61">
        <f>16.158 * CHOOSE(CONTROL!$C$22, $C$13, 100%, $E$13)</f>
        <v>16.158000000000001</v>
      </c>
      <c r="J515" s="61">
        <f>9.6012 * CHOOSE(CONTROL!$C$22, $C$13, 100%, $E$13)</f>
        <v>9.6012000000000004</v>
      </c>
      <c r="K515" s="61">
        <f>9.6028 * CHOOSE(CONTROL!$C$22, $C$13, 100%, $E$13)</f>
        <v>9.6028000000000002</v>
      </c>
    </row>
    <row r="516" spans="1:11" ht="15">
      <c r="A516" s="13">
        <v>57558</v>
      </c>
      <c r="B516" s="60">
        <f>8.1863 * CHOOSE(CONTROL!$C$22, $C$13, 100%, $E$13)</f>
        <v>8.1862999999999992</v>
      </c>
      <c r="C516" s="60">
        <f>8.1863 * CHOOSE(CONTROL!$C$22, $C$13, 100%, $E$13)</f>
        <v>8.1862999999999992</v>
      </c>
      <c r="D516" s="60">
        <f>8.2114 * CHOOSE(CONTROL!$C$22, $C$13, 100%, $E$13)</f>
        <v>8.2113999999999994</v>
      </c>
      <c r="E516" s="61">
        <f>9.5085 * CHOOSE(CONTROL!$C$22, $C$13, 100%, $E$13)</f>
        <v>9.5084999999999997</v>
      </c>
      <c r="F516" s="61">
        <f>9.5085 * CHOOSE(CONTROL!$C$22, $C$13, 100%, $E$13)</f>
        <v>9.5084999999999997</v>
      </c>
      <c r="G516" s="61">
        <f>9.5101 * CHOOSE(CONTROL!$C$22, $C$13, 100%, $E$13)</f>
        <v>9.5100999999999996</v>
      </c>
      <c r="H516" s="61">
        <f>16.1901* CHOOSE(CONTROL!$C$22, $C$13, 100%, $E$13)</f>
        <v>16.190100000000001</v>
      </c>
      <c r="I516" s="61">
        <f>16.1917 * CHOOSE(CONTROL!$C$22, $C$13, 100%, $E$13)</f>
        <v>16.191700000000001</v>
      </c>
      <c r="J516" s="61">
        <f>9.5085 * CHOOSE(CONTROL!$C$22, $C$13, 100%, $E$13)</f>
        <v>9.5084999999999997</v>
      </c>
      <c r="K516" s="61">
        <f>9.5101 * CHOOSE(CONTROL!$C$22, $C$13, 100%, $E$13)</f>
        <v>9.5100999999999996</v>
      </c>
    </row>
    <row r="517" spans="1:11" ht="15">
      <c r="A517" s="13">
        <v>57589</v>
      </c>
      <c r="B517" s="60">
        <f>8.1833 * CHOOSE(CONTROL!$C$22, $C$13, 100%, $E$13)</f>
        <v>8.1832999999999991</v>
      </c>
      <c r="C517" s="60">
        <f>8.1833 * CHOOSE(CONTROL!$C$22, $C$13, 100%, $E$13)</f>
        <v>8.1832999999999991</v>
      </c>
      <c r="D517" s="60">
        <f>8.2084 * CHOOSE(CONTROL!$C$22, $C$13, 100%, $E$13)</f>
        <v>8.2083999999999993</v>
      </c>
      <c r="E517" s="61">
        <f>9.4955 * CHOOSE(CONTROL!$C$22, $C$13, 100%, $E$13)</f>
        <v>9.4954999999999998</v>
      </c>
      <c r="F517" s="61">
        <f>9.4955 * CHOOSE(CONTROL!$C$22, $C$13, 100%, $E$13)</f>
        <v>9.4954999999999998</v>
      </c>
      <c r="G517" s="61">
        <f>9.4971 * CHOOSE(CONTROL!$C$22, $C$13, 100%, $E$13)</f>
        <v>9.4970999999999997</v>
      </c>
      <c r="H517" s="61">
        <f>16.2238* CHOOSE(CONTROL!$C$22, $C$13, 100%, $E$13)</f>
        <v>16.223800000000001</v>
      </c>
      <c r="I517" s="61">
        <f>16.2254 * CHOOSE(CONTROL!$C$22, $C$13, 100%, $E$13)</f>
        <v>16.2254</v>
      </c>
      <c r="J517" s="61">
        <f>9.4955 * CHOOSE(CONTROL!$C$22, $C$13, 100%, $E$13)</f>
        <v>9.4954999999999998</v>
      </c>
      <c r="K517" s="61">
        <f>9.4971 * CHOOSE(CONTROL!$C$22, $C$13, 100%, $E$13)</f>
        <v>9.4970999999999997</v>
      </c>
    </row>
    <row r="518" spans="1:11" ht="15">
      <c r="A518" s="13">
        <v>57619</v>
      </c>
      <c r="B518" s="60">
        <f>8.1925 * CHOOSE(CONTROL!$C$22, $C$13, 100%, $E$13)</f>
        <v>8.1925000000000008</v>
      </c>
      <c r="C518" s="60">
        <f>8.1925 * CHOOSE(CONTROL!$C$22, $C$13, 100%, $E$13)</f>
        <v>8.1925000000000008</v>
      </c>
      <c r="D518" s="60">
        <f>8.205 * CHOOSE(CONTROL!$C$22, $C$13, 100%, $E$13)</f>
        <v>8.2050000000000001</v>
      </c>
      <c r="E518" s="61">
        <f>9.5254 * CHOOSE(CONTROL!$C$22, $C$13, 100%, $E$13)</f>
        <v>9.5253999999999994</v>
      </c>
      <c r="F518" s="61">
        <f>9.5254 * CHOOSE(CONTROL!$C$22, $C$13, 100%, $E$13)</f>
        <v>9.5253999999999994</v>
      </c>
      <c r="G518" s="61">
        <f>9.5256 * CHOOSE(CONTROL!$C$22, $C$13, 100%, $E$13)</f>
        <v>9.5256000000000007</v>
      </c>
      <c r="H518" s="61">
        <f>16.2576* CHOOSE(CONTROL!$C$22, $C$13, 100%, $E$13)</f>
        <v>16.2576</v>
      </c>
      <c r="I518" s="61">
        <f>16.2578 * CHOOSE(CONTROL!$C$22, $C$13, 100%, $E$13)</f>
        <v>16.2578</v>
      </c>
      <c r="J518" s="61">
        <f>9.5254 * CHOOSE(CONTROL!$C$22, $C$13, 100%, $E$13)</f>
        <v>9.5253999999999994</v>
      </c>
      <c r="K518" s="61">
        <f>9.5256 * CHOOSE(CONTROL!$C$22, $C$13, 100%, $E$13)</f>
        <v>9.5256000000000007</v>
      </c>
    </row>
    <row r="519" spans="1:11" ht="15">
      <c r="A519" s="13">
        <v>57650</v>
      </c>
      <c r="B519" s="60">
        <f>8.1955 * CHOOSE(CONTROL!$C$22, $C$13, 100%, $E$13)</f>
        <v>8.1954999999999991</v>
      </c>
      <c r="C519" s="60">
        <f>8.1955 * CHOOSE(CONTROL!$C$22, $C$13, 100%, $E$13)</f>
        <v>8.1954999999999991</v>
      </c>
      <c r="D519" s="60">
        <f>8.208 * CHOOSE(CONTROL!$C$22, $C$13, 100%, $E$13)</f>
        <v>8.2080000000000002</v>
      </c>
      <c r="E519" s="61">
        <f>9.5491 * CHOOSE(CONTROL!$C$22, $C$13, 100%, $E$13)</f>
        <v>9.5490999999999993</v>
      </c>
      <c r="F519" s="61">
        <f>9.5491 * CHOOSE(CONTROL!$C$22, $C$13, 100%, $E$13)</f>
        <v>9.5490999999999993</v>
      </c>
      <c r="G519" s="61">
        <f>9.5493 * CHOOSE(CONTROL!$C$22, $C$13, 100%, $E$13)</f>
        <v>9.5493000000000006</v>
      </c>
      <c r="H519" s="61">
        <f>16.2915* CHOOSE(CONTROL!$C$22, $C$13, 100%, $E$13)</f>
        <v>16.291499999999999</v>
      </c>
      <c r="I519" s="61">
        <f>16.2917 * CHOOSE(CONTROL!$C$22, $C$13, 100%, $E$13)</f>
        <v>16.291699999999999</v>
      </c>
      <c r="J519" s="61">
        <f>9.5491 * CHOOSE(CONTROL!$C$22, $C$13, 100%, $E$13)</f>
        <v>9.5490999999999993</v>
      </c>
      <c r="K519" s="61">
        <f>9.5493 * CHOOSE(CONTROL!$C$22, $C$13, 100%, $E$13)</f>
        <v>9.5493000000000006</v>
      </c>
    </row>
    <row r="520" spans="1:11" ht="15">
      <c r="A520" s="13">
        <v>57680</v>
      </c>
      <c r="B520" s="60">
        <f>8.1955 * CHOOSE(CONTROL!$C$22, $C$13, 100%, $E$13)</f>
        <v>8.1954999999999991</v>
      </c>
      <c r="C520" s="60">
        <f>8.1955 * CHOOSE(CONTROL!$C$22, $C$13, 100%, $E$13)</f>
        <v>8.1954999999999991</v>
      </c>
      <c r="D520" s="60">
        <f>8.208 * CHOOSE(CONTROL!$C$22, $C$13, 100%, $E$13)</f>
        <v>8.2080000000000002</v>
      </c>
      <c r="E520" s="61">
        <f>9.495 * CHOOSE(CONTROL!$C$22, $C$13, 100%, $E$13)</f>
        <v>9.4949999999999992</v>
      </c>
      <c r="F520" s="61">
        <f>9.495 * CHOOSE(CONTROL!$C$22, $C$13, 100%, $E$13)</f>
        <v>9.4949999999999992</v>
      </c>
      <c r="G520" s="61">
        <f>9.4952 * CHOOSE(CONTROL!$C$22, $C$13, 100%, $E$13)</f>
        <v>9.4952000000000005</v>
      </c>
      <c r="H520" s="61">
        <f>16.3254* CHOOSE(CONTROL!$C$22, $C$13, 100%, $E$13)</f>
        <v>16.325399999999998</v>
      </c>
      <c r="I520" s="61">
        <f>16.3256 * CHOOSE(CONTROL!$C$22, $C$13, 100%, $E$13)</f>
        <v>16.325600000000001</v>
      </c>
      <c r="J520" s="61">
        <f>9.495 * CHOOSE(CONTROL!$C$22, $C$13, 100%, $E$13)</f>
        <v>9.4949999999999992</v>
      </c>
      <c r="K520" s="61">
        <f>9.4952 * CHOOSE(CONTROL!$C$22, $C$13, 100%, $E$13)</f>
        <v>9.4952000000000005</v>
      </c>
    </row>
    <row r="521" spans="1:11" ht="15">
      <c r="A521" s="13">
        <v>57711</v>
      </c>
      <c r="B521" s="60">
        <f>8.268 * CHOOSE(CONTROL!$C$22, $C$13, 100%, $E$13)</f>
        <v>8.2680000000000007</v>
      </c>
      <c r="C521" s="60">
        <f>8.268 * CHOOSE(CONTROL!$C$22, $C$13, 100%, $E$13)</f>
        <v>8.2680000000000007</v>
      </c>
      <c r="D521" s="60">
        <f>8.2806 * CHOOSE(CONTROL!$C$22, $C$13, 100%, $E$13)</f>
        <v>8.2805999999999997</v>
      </c>
      <c r="E521" s="61">
        <f>9.6187 * CHOOSE(CONTROL!$C$22, $C$13, 100%, $E$13)</f>
        <v>9.6187000000000005</v>
      </c>
      <c r="F521" s="61">
        <f>9.6187 * CHOOSE(CONTROL!$C$22, $C$13, 100%, $E$13)</f>
        <v>9.6187000000000005</v>
      </c>
      <c r="G521" s="61">
        <f>9.6189 * CHOOSE(CONTROL!$C$22, $C$13, 100%, $E$13)</f>
        <v>9.6189</v>
      </c>
      <c r="H521" s="61">
        <f>16.3594* CHOOSE(CONTROL!$C$22, $C$13, 100%, $E$13)</f>
        <v>16.359400000000001</v>
      </c>
      <c r="I521" s="61">
        <f>16.3596 * CHOOSE(CONTROL!$C$22, $C$13, 100%, $E$13)</f>
        <v>16.3596</v>
      </c>
      <c r="J521" s="61">
        <f>9.6187 * CHOOSE(CONTROL!$C$22, $C$13, 100%, $E$13)</f>
        <v>9.6187000000000005</v>
      </c>
      <c r="K521" s="61">
        <f>9.6189 * CHOOSE(CONTROL!$C$22, $C$13, 100%, $E$13)</f>
        <v>9.6189</v>
      </c>
    </row>
    <row r="522" spans="1:11" ht="15">
      <c r="A522" s="13">
        <v>57742</v>
      </c>
      <c r="B522" s="60">
        <f>8.265 * CHOOSE(CONTROL!$C$22, $C$13, 100%, $E$13)</f>
        <v>8.2650000000000006</v>
      </c>
      <c r="C522" s="60">
        <f>8.265 * CHOOSE(CONTROL!$C$22, $C$13, 100%, $E$13)</f>
        <v>8.2650000000000006</v>
      </c>
      <c r="D522" s="60">
        <f>8.2775 * CHOOSE(CONTROL!$C$22, $C$13, 100%, $E$13)</f>
        <v>8.2774999999999999</v>
      </c>
      <c r="E522" s="61">
        <f>9.5114 * CHOOSE(CONTROL!$C$22, $C$13, 100%, $E$13)</f>
        <v>9.5114000000000001</v>
      </c>
      <c r="F522" s="61">
        <f>9.5114 * CHOOSE(CONTROL!$C$22, $C$13, 100%, $E$13)</f>
        <v>9.5114000000000001</v>
      </c>
      <c r="G522" s="61">
        <f>9.5116 * CHOOSE(CONTROL!$C$22, $C$13, 100%, $E$13)</f>
        <v>9.5115999999999996</v>
      </c>
      <c r="H522" s="61">
        <f>16.3935* CHOOSE(CONTROL!$C$22, $C$13, 100%, $E$13)</f>
        <v>16.3935</v>
      </c>
      <c r="I522" s="61">
        <f>16.3937 * CHOOSE(CONTROL!$C$22, $C$13, 100%, $E$13)</f>
        <v>16.393699999999999</v>
      </c>
      <c r="J522" s="61">
        <f>9.5114 * CHOOSE(CONTROL!$C$22, $C$13, 100%, $E$13)</f>
        <v>9.5114000000000001</v>
      </c>
      <c r="K522" s="61">
        <f>9.5116 * CHOOSE(CONTROL!$C$22, $C$13, 100%, $E$13)</f>
        <v>9.5115999999999996</v>
      </c>
    </row>
    <row r="523" spans="1:11" ht="15">
      <c r="A523" s="13">
        <v>57770</v>
      </c>
      <c r="B523" s="60">
        <f>8.2619 * CHOOSE(CONTROL!$C$22, $C$13, 100%, $E$13)</f>
        <v>8.2619000000000007</v>
      </c>
      <c r="C523" s="60">
        <f>8.2619 * CHOOSE(CONTROL!$C$22, $C$13, 100%, $E$13)</f>
        <v>8.2619000000000007</v>
      </c>
      <c r="D523" s="60">
        <f>8.2745 * CHOOSE(CONTROL!$C$22, $C$13, 100%, $E$13)</f>
        <v>8.2744999999999997</v>
      </c>
      <c r="E523" s="61">
        <f>9.5922 * CHOOSE(CONTROL!$C$22, $C$13, 100%, $E$13)</f>
        <v>9.5922000000000001</v>
      </c>
      <c r="F523" s="61">
        <f>9.5922 * CHOOSE(CONTROL!$C$22, $C$13, 100%, $E$13)</f>
        <v>9.5922000000000001</v>
      </c>
      <c r="G523" s="61">
        <f>9.5924 * CHOOSE(CONTROL!$C$22, $C$13, 100%, $E$13)</f>
        <v>9.5923999999999996</v>
      </c>
      <c r="H523" s="61">
        <f>16.4277* CHOOSE(CONTROL!$C$22, $C$13, 100%, $E$13)</f>
        <v>16.427700000000002</v>
      </c>
      <c r="I523" s="61">
        <f>16.4278 * CHOOSE(CONTROL!$C$22, $C$13, 100%, $E$13)</f>
        <v>16.427800000000001</v>
      </c>
      <c r="J523" s="61">
        <f>9.5922 * CHOOSE(CONTROL!$C$22, $C$13, 100%, $E$13)</f>
        <v>9.5922000000000001</v>
      </c>
      <c r="K523" s="61">
        <f>9.5924 * CHOOSE(CONTROL!$C$22, $C$13, 100%, $E$13)</f>
        <v>9.5923999999999996</v>
      </c>
    </row>
    <row r="524" spans="1:11" ht="15">
      <c r="A524" s="13">
        <v>57801</v>
      </c>
      <c r="B524" s="60">
        <f>8.2633 * CHOOSE(CONTROL!$C$22, $C$13, 100%, $E$13)</f>
        <v>8.2632999999999992</v>
      </c>
      <c r="C524" s="60">
        <f>8.2633 * CHOOSE(CONTROL!$C$22, $C$13, 100%, $E$13)</f>
        <v>8.2632999999999992</v>
      </c>
      <c r="D524" s="60">
        <f>8.2759 * CHOOSE(CONTROL!$C$22, $C$13, 100%, $E$13)</f>
        <v>8.2759</v>
      </c>
      <c r="E524" s="61">
        <f>9.677 * CHOOSE(CONTROL!$C$22, $C$13, 100%, $E$13)</f>
        <v>9.6769999999999996</v>
      </c>
      <c r="F524" s="61">
        <f>9.677 * CHOOSE(CONTROL!$C$22, $C$13, 100%, $E$13)</f>
        <v>9.6769999999999996</v>
      </c>
      <c r="G524" s="61">
        <f>9.6771 * CHOOSE(CONTROL!$C$22, $C$13, 100%, $E$13)</f>
        <v>9.6770999999999994</v>
      </c>
      <c r="H524" s="61">
        <f>16.4619* CHOOSE(CONTROL!$C$22, $C$13, 100%, $E$13)</f>
        <v>16.4619</v>
      </c>
      <c r="I524" s="61">
        <f>16.4621 * CHOOSE(CONTROL!$C$22, $C$13, 100%, $E$13)</f>
        <v>16.4621</v>
      </c>
      <c r="J524" s="61">
        <f>9.677 * CHOOSE(CONTROL!$C$22, $C$13, 100%, $E$13)</f>
        <v>9.6769999999999996</v>
      </c>
      <c r="K524" s="61">
        <f>9.6771 * CHOOSE(CONTROL!$C$22, $C$13, 100%, $E$13)</f>
        <v>9.6770999999999994</v>
      </c>
    </row>
    <row r="525" spans="1:11" ht="15">
      <c r="A525" s="13">
        <v>57831</v>
      </c>
      <c r="B525" s="60">
        <f>8.2633 * CHOOSE(CONTROL!$C$22, $C$13, 100%, $E$13)</f>
        <v>8.2632999999999992</v>
      </c>
      <c r="C525" s="60">
        <f>8.2633 * CHOOSE(CONTROL!$C$22, $C$13, 100%, $E$13)</f>
        <v>8.2632999999999992</v>
      </c>
      <c r="D525" s="60">
        <f>8.2884 * CHOOSE(CONTROL!$C$22, $C$13, 100%, $E$13)</f>
        <v>8.2883999999999993</v>
      </c>
      <c r="E525" s="61">
        <f>9.7103 * CHOOSE(CONTROL!$C$22, $C$13, 100%, $E$13)</f>
        <v>9.7103000000000002</v>
      </c>
      <c r="F525" s="61">
        <f>9.7103 * CHOOSE(CONTROL!$C$22, $C$13, 100%, $E$13)</f>
        <v>9.7103000000000002</v>
      </c>
      <c r="G525" s="61">
        <f>9.7119 * CHOOSE(CONTROL!$C$22, $C$13, 100%, $E$13)</f>
        <v>9.7119</v>
      </c>
      <c r="H525" s="61">
        <f>16.4962* CHOOSE(CONTROL!$C$22, $C$13, 100%, $E$13)</f>
        <v>16.496200000000002</v>
      </c>
      <c r="I525" s="61">
        <f>16.4978 * CHOOSE(CONTROL!$C$22, $C$13, 100%, $E$13)</f>
        <v>16.497800000000002</v>
      </c>
      <c r="J525" s="61">
        <f>9.7103 * CHOOSE(CONTROL!$C$22, $C$13, 100%, $E$13)</f>
        <v>9.7103000000000002</v>
      </c>
      <c r="K525" s="61">
        <f>9.7119 * CHOOSE(CONTROL!$C$22, $C$13, 100%, $E$13)</f>
        <v>9.7119</v>
      </c>
    </row>
    <row r="526" spans="1:11" ht="15">
      <c r="A526" s="13">
        <v>57862</v>
      </c>
      <c r="B526" s="60">
        <f>8.2694 * CHOOSE(CONTROL!$C$22, $C$13, 100%, $E$13)</f>
        <v>8.2693999999999992</v>
      </c>
      <c r="C526" s="60">
        <f>8.2694 * CHOOSE(CONTROL!$C$22, $C$13, 100%, $E$13)</f>
        <v>8.2693999999999992</v>
      </c>
      <c r="D526" s="60">
        <f>8.2945 * CHOOSE(CONTROL!$C$22, $C$13, 100%, $E$13)</f>
        <v>8.2944999999999993</v>
      </c>
      <c r="E526" s="61">
        <f>9.6812 * CHOOSE(CONTROL!$C$22, $C$13, 100%, $E$13)</f>
        <v>9.6812000000000005</v>
      </c>
      <c r="F526" s="61">
        <f>9.6812 * CHOOSE(CONTROL!$C$22, $C$13, 100%, $E$13)</f>
        <v>9.6812000000000005</v>
      </c>
      <c r="G526" s="61">
        <f>9.6828 * CHOOSE(CONTROL!$C$22, $C$13, 100%, $E$13)</f>
        <v>9.6828000000000003</v>
      </c>
      <c r="H526" s="61">
        <f>16.5306* CHOOSE(CONTROL!$C$22, $C$13, 100%, $E$13)</f>
        <v>16.5306</v>
      </c>
      <c r="I526" s="61">
        <f>16.5322 * CHOOSE(CONTROL!$C$22, $C$13, 100%, $E$13)</f>
        <v>16.5322</v>
      </c>
      <c r="J526" s="61">
        <f>9.6812 * CHOOSE(CONTROL!$C$22, $C$13, 100%, $E$13)</f>
        <v>9.6812000000000005</v>
      </c>
      <c r="K526" s="61">
        <f>9.6828 * CHOOSE(CONTROL!$C$22, $C$13, 100%, $E$13)</f>
        <v>9.6828000000000003</v>
      </c>
    </row>
    <row r="527" spans="1:11" ht="15">
      <c r="A527" s="13">
        <v>57892</v>
      </c>
      <c r="B527" s="60">
        <f>8.4031 * CHOOSE(CONTROL!$C$22, $C$13, 100%, $E$13)</f>
        <v>8.4031000000000002</v>
      </c>
      <c r="C527" s="60">
        <f>8.4031 * CHOOSE(CONTROL!$C$22, $C$13, 100%, $E$13)</f>
        <v>8.4031000000000002</v>
      </c>
      <c r="D527" s="60">
        <f>8.4282 * CHOOSE(CONTROL!$C$22, $C$13, 100%, $E$13)</f>
        <v>8.4282000000000004</v>
      </c>
      <c r="E527" s="61">
        <f>9.8697 * CHOOSE(CONTROL!$C$22, $C$13, 100%, $E$13)</f>
        <v>9.8696999999999999</v>
      </c>
      <c r="F527" s="61">
        <f>9.8697 * CHOOSE(CONTROL!$C$22, $C$13, 100%, $E$13)</f>
        <v>9.8696999999999999</v>
      </c>
      <c r="G527" s="61">
        <f>9.8713 * CHOOSE(CONTROL!$C$22, $C$13, 100%, $E$13)</f>
        <v>9.8712999999999997</v>
      </c>
      <c r="H527" s="61">
        <f>16.565* CHOOSE(CONTROL!$C$22, $C$13, 100%, $E$13)</f>
        <v>16.565000000000001</v>
      </c>
      <c r="I527" s="61">
        <f>16.5666 * CHOOSE(CONTROL!$C$22, $C$13, 100%, $E$13)</f>
        <v>16.566600000000001</v>
      </c>
      <c r="J527" s="61">
        <f>9.8697 * CHOOSE(CONTROL!$C$22, $C$13, 100%, $E$13)</f>
        <v>9.8696999999999999</v>
      </c>
      <c r="K527" s="61">
        <f>9.8713 * CHOOSE(CONTROL!$C$22, $C$13, 100%, $E$13)</f>
        <v>9.8712999999999997</v>
      </c>
    </row>
    <row r="528" spans="1:11" ht="15">
      <c r="A528" s="13">
        <v>57923</v>
      </c>
      <c r="B528" s="60">
        <f>8.4098 * CHOOSE(CONTROL!$C$22, $C$13, 100%, $E$13)</f>
        <v>8.4098000000000006</v>
      </c>
      <c r="C528" s="60">
        <f>8.4098 * CHOOSE(CONTROL!$C$22, $C$13, 100%, $E$13)</f>
        <v>8.4098000000000006</v>
      </c>
      <c r="D528" s="60">
        <f>8.4349 * CHOOSE(CONTROL!$C$22, $C$13, 100%, $E$13)</f>
        <v>8.4349000000000007</v>
      </c>
      <c r="E528" s="61">
        <f>9.7743 * CHOOSE(CONTROL!$C$22, $C$13, 100%, $E$13)</f>
        <v>9.7743000000000002</v>
      </c>
      <c r="F528" s="61">
        <f>9.7743 * CHOOSE(CONTROL!$C$22, $C$13, 100%, $E$13)</f>
        <v>9.7743000000000002</v>
      </c>
      <c r="G528" s="61">
        <f>9.7759 * CHOOSE(CONTROL!$C$22, $C$13, 100%, $E$13)</f>
        <v>9.7759</v>
      </c>
      <c r="H528" s="61">
        <f>16.5995* CHOOSE(CONTROL!$C$22, $C$13, 100%, $E$13)</f>
        <v>16.599499999999999</v>
      </c>
      <c r="I528" s="61">
        <f>16.6011 * CHOOSE(CONTROL!$C$22, $C$13, 100%, $E$13)</f>
        <v>16.601099999999999</v>
      </c>
      <c r="J528" s="61">
        <f>9.7743 * CHOOSE(CONTROL!$C$22, $C$13, 100%, $E$13)</f>
        <v>9.7743000000000002</v>
      </c>
      <c r="K528" s="61">
        <f>9.7759 * CHOOSE(CONTROL!$C$22, $C$13, 100%, $E$13)</f>
        <v>9.7759</v>
      </c>
    </row>
    <row r="529" spans="1:11" ht="15">
      <c r="A529" s="13">
        <v>57954</v>
      </c>
      <c r="B529" s="60">
        <f>8.4068 * CHOOSE(CONTROL!$C$22, $C$13, 100%, $E$13)</f>
        <v>8.4068000000000005</v>
      </c>
      <c r="C529" s="60">
        <f>8.4068 * CHOOSE(CONTROL!$C$22, $C$13, 100%, $E$13)</f>
        <v>8.4068000000000005</v>
      </c>
      <c r="D529" s="60">
        <f>8.4319 * CHOOSE(CONTROL!$C$22, $C$13, 100%, $E$13)</f>
        <v>8.4319000000000006</v>
      </c>
      <c r="E529" s="61">
        <f>9.761 * CHOOSE(CONTROL!$C$22, $C$13, 100%, $E$13)</f>
        <v>9.7609999999999992</v>
      </c>
      <c r="F529" s="61">
        <f>9.761 * CHOOSE(CONTROL!$C$22, $C$13, 100%, $E$13)</f>
        <v>9.7609999999999992</v>
      </c>
      <c r="G529" s="61">
        <f>9.7626 * CHOOSE(CONTROL!$C$22, $C$13, 100%, $E$13)</f>
        <v>9.7626000000000008</v>
      </c>
      <c r="H529" s="61">
        <f>16.6341* CHOOSE(CONTROL!$C$22, $C$13, 100%, $E$13)</f>
        <v>16.6341</v>
      </c>
      <c r="I529" s="61">
        <f>16.6357 * CHOOSE(CONTROL!$C$22, $C$13, 100%, $E$13)</f>
        <v>16.6357</v>
      </c>
      <c r="J529" s="61">
        <f>9.761 * CHOOSE(CONTROL!$C$22, $C$13, 100%, $E$13)</f>
        <v>9.7609999999999992</v>
      </c>
      <c r="K529" s="61">
        <f>9.7626 * CHOOSE(CONTROL!$C$22, $C$13, 100%, $E$13)</f>
        <v>9.7626000000000008</v>
      </c>
    </row>
    <row r="530" spans="1:11" ht="15">
      <c r="A530" s="13">
        <v>57984</v>
      </c>
      <c r="B530" s="60">
        <f>8.4167 * CHOOSE(CONTROL!$C$22, $C$13, 100%, $E$13)</f>
        <v>8.4167000000000005</v>
      </c>
      <c r="C530" s="60">
        <f>8.4167 * CHOOSE(CONTROL!$C$22, $C$13, 100%, $E$13)</f>
        <v>8.4167000000000005</v>
      </c>
      <c r="D530" s="60">
        <f>8.4292 * CHOOSE(CONTROL!$C$22, $C$13, 100%, $E$13)</f>
        <v>8.4291999999999998</v>
      </c>
      <c r="E530" s="61">
        <f>9.7921 * CHOOSE(CONTROL!$C$22, $C$13, 100%, $E$13)</f>
        <v>9.7920999999999996</v>
      </c>
      <c r="F530" s="61">
        <f>9.7921 * CHOOSE(CONTROL!$C$22, $C$13, 100%, $E$13)</f>
        <v>9.7920999999999996</v>
      </c>
      <c r="G530" s="61">
        <f>9.7923 * CHOOSE(CONTROL!$C$22, $C$13, 100%, $E$13)</f>
        <v>9.7922999999999991</v>
      </c>
      <c r="H530" s="61">
        <f>16.6687* CHOOSE(CONTROL!$C$22, $C$13, 100%, $E$13)</f>
        <v>16.668700000000001</v>
      </c>
      <c r="I530" s="61">
        <f>16.6689 * CHOOSE(CONTROL!$C$22, $C$13, 100%, $E$13)</f>
        <v>16.668900000000001</v>
      </c>
      <c r="J530" s="61">
        <f>9.7921 * CHOOSE(CONTROL!$C$22, $C$13, 100%, $E$13)</f>
        <v>9.7920999999999996</v>
      </c>
      <c r="K530" s="61">
        <f>9.7923 * CHOOSE(CONTROL!$C$22, $C$13, 100%, $E$13)</f>
        <v>9.7922999999999991</v>
      </c>
    </row>
    <row r="531" spans="1:11" ht="15">
      <c r="A531" s="13">
        <v>58015</v>
      </c>
      <c r="B531" s="60">
        <f>8.4197 * CHOOSE(CONTROL!$C$22, $C$13, 100%, $E$13)</f>
        <v>8.4197000000000006</v>
      </c>
      <c r="C531" s="60">
        <f>8.4197 * CHOOSE(CONTROL!$C$22, $C$13, 100%, $E$13)</f>
        <v>8.4197000000000006</v>
      </c>
      <c r="D531" s="60">
        <f>8.4322 * CHOOSE(CONTROL!$C$22, $C$13, 100%, $E$13)</f>
        <v>8.4321999999999999</v>
      </c>
      <c r="E531" s="61">
        <f>9.8165 * CHOOSE(CONTROL!$C$22, $C$13, 100%, $E$13)</f>
        <v>9.8164999999999996</v>
      </c>
      <c r="F531" s="61">
        <f>9.8165 * CHOOSE(CONTROL!$C$22, $C$13, 100%, $E$13)</f>
        <v>9.8164999999999996</v>
      </c>
      <c r="G531" s="61">
        <f>9.8166 * CHOOSE(CONTROL!$C$22, $C$13, 100%, $E$13)</f>
        <v>9.8165999999999993</v>
      </c>
      <c r="H531" s="61">
        <f>16.7035* CHOOSE(CONTROL!$C$22, $C$13, 100%, $E$13)</f>
        <v>16.703499999999998</v>
      </c>
      <c r="I531" s="61">
        <f>16.7036 * CHOOSE(CONTROL!$C$22, $C$13, 100%, $E$13)</f>
        <v>16.703600000000002</v>
      </c>
      <c r="J531" s="61">
        <f>9.8165 * CHOOSE(CONTROL!$C$22, $C$13, 100%, $E$13)</f>
        <v>9.8164999999999996</v>
      </c>
      <c r="K531" s="61">
        <f>9.8166 * CHOOSE(CONTROL!$C$22, $C$13, 100%, $E$13)</f>
        <v>9.8165999999999993</v>
      </c>
    </row>
    <row r="532" spans="1:11" ht="15">
      <c r="A532" s="13">
        <v>58045</v>
      </c>
      <c r="B532" s="60">
        <f>8.4197 * CHOOSE(CONTROL!$C$22, $C$13, 100%, $E$13)</f>
        <v>8.4197000000000006</v>
      </c>
      <c r="C532" s="60">
        <f>8.4197 * CHOOSE(CONTROL!$C$22, $C$13, 100%, $E$13)</f>
        <v>8.4197000000000006</v>
      </c>
      <c r="D532" s="60">
        <f>8.4322 * CHOOSE(CONTROL!$C$22, $C$13, 100%, $E$13)</f>
        <v>8.4321999999999999</v>
      </c>
      <c r="E532" s="61">
        <f>9.7608 * CHOOSE(CONTROL!$C$22, $C$13, 100%, $E$13)</f>
        <v>9.7607999999999997</v>
      </c>
      <c r="F532" s="61">
        <f>9.7608 * CHOOSE(CONTROL!$C$22, $C$13, 100%, $E$13)</f>
        <v>9.7607999999999997</v>
      </c>
      <c r="G532" s="61">
        <f>9.761 * CHOOSE(CONTROL!$C$22, $C$13, 100%, $E$13)</f>
        <v>9.7609999999999992</v>
      </c>
      <c r="H532" s="61">
        <f>16.7383* CHOOSE(CONTROL!$C$22, $C$13, 100%, $E$13)</f>
        <v>16.738299999999999</v>
      </c>
      <c r="I532" s="61">
        <f>16.7384 * CHOOSE(CONTROL!$C$22, $C$13, 100%, $E$13)</f>
        <v>16.738399999999999</v>
      </c>
      <c r="J532" s="61">
        <f>9.7608 * CHOOSE(CONTROL!$C$22, $C$13, 100%, $E$13)</f>
        <v>9.7607999999999997</v>
      </c>
      <c r="K532" s="61">
        <f>9.761 * CHOOSE(CONTROL!$C$22, $C$13, 100%, $E$13)</f>
        <v>9.7609999999999992</v>
      </c>
    </row>
    <row r="533" spans="1:11" ht="15">
      <c r="A533" s="13">
        <v>58076</v>
      </c>
      <c r="B533" s="60">
        <f>8.4941 * CHOOSE(CONTROL!$C$22, $C$13, 100%, $E$13)</f>
        <v>8.4940999999999995</v>
      </c>
      <c r="C533" s="60">
        <f>8.4941 * CHOOSE(CONTROL!$C$22, $C$13, 100%, $E$13)</f>
        <v>8.4940999999999995</v>
      </c>
      <c r="D533" s="60">
        <f>8.5066 * CHOOSE(CONTROL!$C$22, $C$13, 100%, $E$13)</f>
        <v>8.5066000000000006</v>
      </c>
      <c r="E533" s="61">
        <f>9.8879 * CHOOSE(CONTROL!$C$22, $C$13, 100%, $E$13)</f>
        <v>9.8879000000000001</v>
      </c>
      <c r="F533" s="61">
        <f>9.8879 * CHOOSE(CONTROL!$C$22, $C$13, 100%, $E$13)</f>
        <v>9.8879000000000001</v>
      </c>
      <c r="G533" s="61">
        <f>9.888 * CHOOSE(CONTROL!$C$22, $C$13, 100%, $E$13)</f>
        <v>9.8879999999999999</v>
      </c>
      <c r="H533" s="61">
        <f>16.7731* CHOOSE(CONTROL!$C$22, $C$13, 100%, $E$13)</f>
        <v>16.773099999999999</v>
      </c>
      <c r="I533" s="61">
        <f>16.7733 * CHOOSE(CONTROL!$C$22, $C$13, 100%, $E$13)</f>
        <v>16.773299999999999</v>
      </c>
      <c r="J533" s="61">
        <f>9.8879 * CHOOSE(CONTROL!$C$22, $C$13, 100%, $E$13)</f>
        <v>9.8879000000000001</v>
      </c>
      <c r="K533" s="61">
        <f>9.888 * CHOOSE(CONTROL!$C$22, $C$13, 100%, $E$13)</f>
        <v>9.8879999999999999</v>
      </c>
    </row>
    <row r="534" spans="1:11" ht="15">
      <c r="A534" s="13">
        <v>58107</v>
      </c>
      <c r="B534" s="60">
        <f>8.491 * CHOOSE(CONTROL!$C$22, $C$13, 100%, $E$13)</f>
        <v>8.4909999999999997</v>
      </c>
      <c r="C534" s="60">
        <f>8.491 * CHOOSE(CONTROL!$C$22, $C$13, 100%, $E$13)</f>
        <v>8.4909999999999997</v>
      </c>
      <c r="D534" s="60">
        <f>8.5036 * CHOOSE(CONTROL!$C$22, $C$13, 100%, $E$13)</f>
        <v>8.5036000000000005</v>
      </c>
      <c r="E534" s="61">
        <f>9.7777 * CHOOSE(CONTROL!$C$22, $C$13, 100%, $E$13)</f>
        <v>9.7776999999999994</v>
      </c>
      <c r="F534" s="61">
        <f>9.7777 * CHOOSE(CONTROL!$C$22, $C$13, 100%, $E$13)</f>
        <v>9.7776999999999994</v>
      </c>
      <c r="G534" s="61">
        <f>9.7778 * CHOOSE(CONTROL!$C$22, $C$13, 100%, $E$13)</f>
        <v>9.7777999999999992</v>
      </c>
      <c r="H534" s="61">
        <f>16.8081* CHOOSE(CONTROL!$C$22, $C$13, 100%, $E$13)</f>
        <v>16.8081</v>
      </c>
      <c r="I534" s="61">
        <f>16.8083 * CHOOSE(CONTROL!$C$22, $C$13, 100%, $E$13)</f>
        <v>16.808299999999999</v>
      </c>
      <c r="J534" s="61">
        <f>9.7777 * CHOOSE(CONTROL!$C$22, $C$13, 100%, $E$13)</f>
        <v>9.7776999999999994</v>
      </c>
      <c r="K534" s="61">
        <f>9.7778 * CHOOSE(CONTROL!$C$22, $C$13, 100%, $E$13)</f>
        <v>9.7777999999999992</v>
      </c>
    </row>
    <row r="535" spans="1:11" ht="15">
      <c r="A535" s="13">
        <v>58135</v>
      </c>
      <c r="B535" s="60">
        <f>8.488 * CHOOSE(CONTROL!$C$22, $C$13, 100%, $E$13)</f>
        <v>8.4879999999999995</v>
      </c>
      <c r="C535" s="60">
        <f>8.488 * CHOOSE(CONTROL!$C$22, $C$13, 100%, $E$13)</f>
        <v>8.4879999999999995</v>
      </c>
      <c r="D535" s="60">
        <f>8.5005 * CHOOSE(CONTROL!$C$22, $C$13, 100%, $E$13)</f>
        <v>8.5005000000000006</v>
      </c>
      <c r="E535" s="61">
        <f>9.8608 * CHOOSE(CONTROL!$C$22, $C$13, 100%, $E$13)</f>
        <v>9.8607999999999993</v>
      </c>
      <c r="F535" s="61">
        <f>9.8608 * CHOOSE(CONTROL!$C$22, $C$13, 100%, $E$13)</f>
        <v>9.8607999999999993</v>
      </c>
      <c r="G535" s="61">
        <f>9.8609 * CHOOSE(CONTROL!$C$22, $C$13, 100%, $E$13)</f>
        <v>9.8609000000000009</v>
      </c>
      <c r="H535" s="61">
        <f>16.8431* CHOOSE(CONTROL!$C$22, $C$13, 100%, $E$13)</f>
        <v>16.8431</v>
      </c>
      <c r="I535" s="61">
        <f>16.8433 * CHOOSE(CONTROL!$C$22, $C$13, 100%, $E$13)</f>
        <v>16.843299999999999</v>
      </c>
      <c r="J535" s="61">
        <f>9.8608 * CHOOSE(CONTROL!$C$22, $C$13, 100%, $E$13)</f>
        <v>9.8607999999999993</v>
      </c>
      <c r="K535" s="61">
        <f>9.8609 * CHOOSE(CONTROL!$C$22, $C$13, 100%, $E$13)</f>
        <v>9.8609000000000009</v>
      </c>
    </row>
    <row r="536" spans="1:11" ht="15">
      <c r="A536" s="13">
        <v>58166</v>
      </c>
      <c r="B536" s="60">
        <f>8.4896 * CHOOSE(CONTROL!$C$22, $C$13, 100%, $E$13)</f>
        <v>8.4895999999999994</v>
      </c>
      <c r="C536" s="60">
        <f>8.4896 * CHOOSE(CONTROL!$C$22, $C$13, 100%, $E$13)</f>
        <v>8.4895999999999994</v>
      </c>
      <c r="D536" s="60">
        <f>8.5021 * CHOOSE(CONTROL!$C$22, $C$13, 100%, $E$13)</f>
        <v>8.5021000000000004</v>
      </c>
      <c r="E536" s="61">
        <f>9.948 * CHOOSE(CONTROL!$C$22, $C$13, 100%, $E$13)</f>
        <v>9.9480000000000004</v>
      </c>
      <c r="F536" s="61">
        <f>9.948 * CHOOSE(CONTROL!$C$22, $C$13, 100%, $E$13)</f>
        <v>9.9480000000000004</v>
      </c>
      <c r="G536" s="61">
        <f>9.9482 * CHOOSE(CONTROL!$C$22, $C$13, 100%, $E$13)</f>
        <v>9.9481999999999999</v>
      </c>
      <c r="H536" s="61">
        <f>16.8782* CHOOSE(CONTROL!$C$22, $C$13, 100%, $E$13)</f>
        <v>16.8782</v>
      </c>
      <c r="I536" s="61">
        <f>16.8784 * CHOOSE(CONTROL!$C$22, $C$13, 100%, $E$13)</f>
        <v>16.878399999999999</v>
      </c>
      <c r="J536" s="61">
        <f>9.948 * CHOOSE(CONTROL!$C$22, $C$13, 100%, $E$13)</f>
        <v>9.9480000000000004</v>
      </c>
      <c r="K536" s="61">
        <f>9.9482 * CHOOSE(CONTROL!$C$22, $C$13, 100%, $E$13)</f>
        <v>9.9481999999999999</v>
      </c>
    </row>
    <row r="537" spans="1:11" ht="15">
      <c r="A537" s="13">
        <v>58196</v>
      </c>
      <c r="B537" s="60">
        <f>8.4896 * CHOOSE(CONTROL!$C$22, $C$13, 100%, $E$13)</f>
        <v>8.4895999999999994</v>
      </c>
      <c r="C537" s="60">
        <f>8.4896 * CHOOSE(CONTROL!$C$22, $C$13, 100%, $E$13)</f>
        <v>8.4895999999999994</v>
      </c>
      <c r="D537" s="60">
        <f>8.5147 * CHOOSE(CONTROL!$C$22, $C$13, 100%, $E$13)</f>
        <v>8.5146999999999995</v>
      </c>
      <c r="E537" s="61">
        <f>9.9823 * CHOOSE(CONTROL!$C$22, $C$13, 100%, $E$13)</f>
        <v>9.9823000000000004</v>
      </c>
      <c r="F537" s="61">
        <f>9.9823 * CHOOSE(CONTROL!$C$22, $C$13, 100%, $E$13)</f>
        <v>9.9823000000000004</v>
      </c>
      <c r="G537" s="61">
        <f>9.9839 * CHOOSE(CONTROL!$C$22, $C$13, 100%, $E$13)</f>
        <v>9.9839000000000002</v>
      </c>
      <c r="H537" s="61">
        <f>16.9134* CHOOSE(CONTROL!$C$22, $C$13, 100%, $E$13)</f>
        <v>16.913399999999999</v>
      </c>
      <c r="I537" s="61">
        <f>16.915 * CHOOSE(CONTROL!$C$22, $C$13, 100%, $E$13)</f>
        <v>16.914999999999999</v>
      </c>
      <c r="J537" s="61">
        <f>9.9823 * CHOOSE(CONTROL!$C$22, $C$13, 100%, $E$13)</f>
        <v>9.9823000000000004</v>
      </c>
      <c r="K537" s="61">
        <f>9.9839 * CHOOSE(CONTROL!$C$22, $C$13, 100%, $E$13)</f>
        <v>9.9839000000000002</v>
      </c>
    </row>
    <row r="538" spans="1:11" ht="15">
      <c r="A538" s="13">
        <v>58227</v>
      </c>
      <c r="B538" s="60">
        <f>8.4957 * CHOOSE(CONTROL!$C$22, $C$13, 100%, $E$13)</f>
        <v>8.4956999999999994</v>
      </c>
      <c r="C538" s="60">
        <f>8.4957 * CHOOSE(CONTROL!$C$22, $C$13, 100%, $E$13)</f>
        <v>8.4956999999999994</v>
      </c>
      <c r="D538" s="60">
        <f>8.5207 * CHOOSE(CONTROL!$C$22, $C$13, 100%, $E$13)</f>
        <v>8.5206999999999997</v>
      </c>
      <c r="E538" s="61">
        <f>9.9523 * CHOOSE(CONTROL!$C$22, $C$13, 100%, $E$13)</f>
        <v>9.9522999999999993</v>
      </c>
      <c r="F538" s="61">
        <f>9.9523 * CHOOSE(CONTROL!$C$22, $C$13, 100%, $E$13)</f>
        <v>9.9522999999999993</v>
      </c>
      <c r="G538" s="61">
        <f>9.9539 * CHOOSE(CONTROL!$C$22, $C$13, 100%, $E$13)</f>
        <v>9.9539000000000009</v>
      </c>
      <c r="H538" s="61">
        <f>16.9486* CHOOSE(CONTROL!$C$22, $C$13, 100%, $E$13)</f>
        <v>16.948599999999999</v>
      </c>
      <c r="I538" s="61">
        <f>16.9502 * CHOOSE(CONTROL!$C$22, $C$13, 100%, $E$13)</f>
        <v>16.950199999999999</v>
      </c>
      <c r="J538" s="61">
        <f>9.9523 * CHOOSE(CONTROL!$C$22, $C$13, 100%, $E$13)</f>
        <v>9.9522999999999993</v>
      </c>
      <c r="K538" s="61">
        <f>9.9539 * CHOOSE(CONTROL!$C$22, $C$13, 100%, $E$13)</f>
        <v>9.9539000000000009</v>
      </c>
    </row>
    <row r="539" spans="1:11" ht="15">
      <c r="A539" s="13">
        <v>58257</v>
      </c>
      <c r="B539" s="60">
        <f>8.6328 * CHOOSE(CONTROL!$C$22, $C$13, 100%, $E$13)</f>
        <v>8.6327999999999996</v>
      </c>
      <c r="C539" s="60">
        <f>8.6328 * CHOOSE(CONTROL!$C$22, $C$13, 100%, $E$13)</f>
        <v>8.6327999999999996</v>
      </c>
      <c r="D539" s="60">
        <f>8.6579 * CHOOSE(CONTROL!$C$22, $C$13, 100%, $E$13)</f>
        <v>8.6578999999999997</v>
      </c>
      <c r="E539" s="61">
        <f>10.1458 * CHOOSE(CONTROL!$C$22, $C$13, 100%, $E$13)</f>
        <v>10.145799999999999</v>
      </c>
      <c r="F539" s="61">
        <f>10.1458 * CHOOSE(CONTROL!$C$22, $C$13, 100%, $E$13)</f>
        <v>10.145799999999999</v>
      </c>
      <c r="G539" s="61">
        <f>10.1474 * CHOOSE(CONTROL!$C$22, $C$13, 100%, $E$13)</f>
        <v>10.147399999999999</v>
      </c>
      <c r="H539" s="61">
        <f>16.9839* CHOOSE(CONTROL!$C$22, $C$13, 100%, $E$13)</f>
        <v>16.983899999999998</v>
      </c>
      <c r="I539" s="61">
        <f>16.9855 * CHOOSE(CONTROL!$C$22, $C$13, 100%, $E$13)</f>
        <v>16.985499999999998</v>
      </c>
      <c r="J539" s="61">
        <f>10.1458 * CHOOSE(CONTROL!$C$22, $C$13, 100%, $E$13)</f>
        <v>10.145799999999999</v>
      </c>
      <c r="K539" s="61">
        <f>10.1474 * CHOOSE(CONTROL!$C$22, $C$13, 100%, $E$13)</f>
        <v>10.147399999999999</v>
      </c>
    </row>
    <row r="540" spans="1:11" ht="15">
      <c r="A540" s="13">
        <v>58288</v>
      </c>
      <c r="B540" s="60">
        <f>8.6395 * CHOOSE(CONTROL!$C$22, $C$13, 100%, $E$13)</f>
        <v>8.6395</v>
      </c>
      <c r="C540" s="60">
        <f>8.6395 * CHOOSE(CONTROL!$C$22, $C$13, 100%, $E$13)</f>
        <v>8.6395</v>
      </c>
      <c r="D540" s="60">
        <f>8.6646 * CHOOSE(CONTROL!$C$22, $C$13, 100%, $E$13)</f>
        <v>8.6646000000000001</v>
      </c>
      <c r="E540" s="61">
        <f>10.0475 * CHOOSE(CONTROL!$C$22, $C$13, 100%, $E$13)</f>
        <v>10.047499999999999</v>
      </c>
      <c r="F540" s="61">
        <f>10.0475 * CHOOSE(CONTROL!$C$22, $C$13, 100%, $E$13)</f>
        <v>10.047499999999999</v>
      </c>
      <c r="G540" s="61">
        <f>10.0491 * CHOOSE(CONTROL!$C$22, $C$13, 100%, $E$13)</f>
        <v>10.049099999999999</v>
      </c>
      <c r="H540" s="61">
        <f>17.0193* CHOOSE(CONTROL!$C$22, $C$13, 100%, $E$13)</f>
        <v>17.019300000000001</v>
      </c>
      <c r="I540" s="61">
        <f>17.0209 * CHOOSE(CONTROL!$C$22, $C$13, 100%, $E$13)</f>
        <v>17.020900000000001</v>
      </c>
      <c r="J540" s="61">
        <f>10.0475 * CHOOSE(CONTROL!$C$22, $C$13, 100%, $E$13)</f>
        <v>10.047499999999999</v>
      </c>
      <c r="K540" s="61">
        <f>10.0491 * CHOOSE(CONTROL!$C$22, $C$13, 100%, $E$13)</f>
        <v>10.049099999999999</v>
      </c>
    </row>
    <row r="541" spans="1:11" ht="15">
      <c r="A541" s="13">
        <v>58319</v>
      </c>
      <c r="B541" s="60">
        <f>8.6364 * CHOOSE(CONTROL!$C$22, $C$13, 100%, $E$13)</f>
        <v>8.6364000000000001</v>
      </c>
      <c r="C541" s="60">
        <f>8.6364 * CHOOSE(CONTROL!$C$22, $C$13, 100%, $E$13)</f>
        <v>8.6364000000000001</v>
      </c>
      <c r="D541" s="60">
        <f>8.6615 * CHOOSE(CONTROL!$C$22, $C$13, 100%, $E$13)</f>
        <v>8.6615000000000002</v>
      </c>
      <c r="E541" s="61">
        <f>10.0339 * CHOOSE(CONTROL!$C$22, $C$13, 100%, $E$13)</f>
        <v>10.033899999999999</v>
      </c>
      <c r="F541" s="61">
        <f>10.0339 * CHOOSE(CONTROL!$C$22, $C$13, 100%, $E$13)</f>
        <v>10.033899999999999</v>
      </c>
      <c r="G541" s="61">
        <f>10.0355 * CHOOSE(CONTROL!$C$22, $C$13, 100%, $E$13)</f>
        <v>10.035500000000001</v>
      </c>
      <c r="H541" s="61">
        <f>17.0547* CHOOSE(CONTROL!$C$22, $C$13, 100%, $E$13)</f>
        <v>17.0547</v>
      </c>
      <c r="I541" s="61">
        <f>17.0563 * CHOOSE(CONTROL!$C$22, $C$13, 100%, $E$13)</f>
        <v>17.0563</v>
      </c>
      <c r="J541" s="61">
        <f>10.0339 * CHOOSE(CONTROL!$C$22, $C$13, 100%, $E$13)</f>
        <v>10.033899999999999</v>
      </c>
      <c r="K541" s="61">
        <f>10.0355 * CHOOSE(CONTROL!$C$22, $C$13, 100%, $E$13)</f>
        <v>10.035500000000001</v>
      </c>
    </row>
    <row r="542" spans="1:11" ht="15">
      <c r="A542" s="13">
        <v>58349</v>
      </c>
      <c r="B542" s="60">
        <f>8.6471 * CHOOSE(CONTROL!$C$22, $C$13, 100%, $E$13)</f>
        <v>8.6471</v>
      </c>
      <c r="C542" s="60">
        <f>8.6471 * CHOOSE(CONTROL!$C$22, $C$13, 100%, $E$13)</f>
        <v>8.6471</v>
      </c>
      <c r="D542" s="60">
        <f>8.6596 * CHOOSE(CONTROL!$C$22, $C$13, 100%, $E$13)</f>
        <v>8.6595999999999993</v>
      </c>
      <c r="E542" s="61">
        <f>10.0663 * CHOOSE(CONTROL!$C$22, $C$13, 100%, $E$13)</f>
        <v>10.0663</v>
      </c>
      <c r="F542" s="61">
        <f>10.0663 * CHOOSE(CONTROL!$C$22, $C$13, 100%, $E$13)</f>
        <v>10.0663</v>
      </c>
      <c r="G542" s="61">
        <f>10.0665 * CHOOSE(CONTROL!$C$22, $C$13, 100%, $E$13)</f>
        <v>10.0665</v>
      </c>
      <c r="H542" s="61">
        <f>17.0903* CHOOSE(CONTROL!$C$22, $C$13, 100%, $E$13)</f>
        <v>17.090299999999999</v>
      </c>
      <c r="I542" s="61">
        <f>17.0904 * CHOOSE(CONTROL!$C$22, $C$13, 100%, $E$13)</f>
        <v>17.090399999999999</v>
      </c>
      <c r="J542" s="61">
        <f>10.0663 * CHOOSE(CONTROL!$C$22, $C$13, 100%, $E$13)</f>
        <v>10.0663</v>
      </c>
      <c r="K542" s="61">
        <f>10.0665 * CHOOSE(CONTROL!$C$22, $C$13, 100%, $E$13)</f>
        <v>10.0665</v>
      </c>
    </row>
    <row r="543" spans="1:11" ht="15">
      <c r="A543" s="13">
        <v>58380</v>
      </c>
      <c r="B543" s="60">
        <f>8.6501 * CHOOSE(CONTROL!$C$22, $C$13, 100%, $E$13)</f>
        <v>8.6501000000000001</v>
      </c>
      <c r="C543" s="60">
        <f>8.6501 * CHOOSE(CONTROL!$C$22, $C$13, 100%, $E$13)</f>
        <v>8.6501000000000001</v>
      </c>
      <c r="D543" s="60">
        <f>8.6626 * CHOOSE(CONTROL!$C$22, $C$13, 100%, $E$13)</f>
        <v>8.6625999999999994</v>
      </c>
      <c r="E543" s="61">
        <f>10.0913 * CHOOSE(CONTROL!$C$22, $C$13, 100%, $E$13)</f>
        <v>10.0913</v>
      </c>
      <c r="F543" s="61">
        <f>10.0913 * CHOOSE(CONTROL!$C$22, $C$13, 100%, $E$13)</f>
        <v>10.0913</v>
      </c>
      <c r="G543" s="61">
        <f>10.0914 * CHOOSE(CONTROL!$C$22, $C$13, 100%, $E$13)</f>
        <v>10.0914</v>
      </c>
      <c r="H543" s="61">
        <f>17.1259* CHOOSE(CONTROL!$C$22, $C$13, 100%, $E$13)</f>
        <v>17.125900000000001</v>
      </c>
      <c r="I543" s="61">
        <f>17.1261 * CHOOSE(CONTROL!$C$22, $C$13, 100%, $E$13)</f>
        <v>17.126100000000001</v>
      </c>
      <c r="J543" s="61">
        <f>10.0913 * CHOOSE(CONTROL!$C$22, $C$13, 100%, $E$13)</f>
        <v>10.0913</v>
      </c>
      <c r="K543" s="61">
        <f>10.0914 * CHOOSE(CONTROL!$C$22, $C$13, 100%, $E$13)</f>
        <v>10.0914</v>
      </c>
    </row>
    <row r="544" spans="1:11" ht="15">
      <c r="A544" s="13">
        <v>58410</v>
      </c>
      <c r="B544" s="60">
        <f>8.6501 * CHOOSE(CONTROL!$C$22, $C$13, 100%, $E$13)</f>
        <v>8.6501000000000001</v>
      </c>
      <c r="C544" s="60">
        <f>8.6501 * CHOOSE(CONTROL!$C$22, $C$13, 100%, $E$13)</f>
        <v>8.6501000000000001</v>
      </c>
      <c r="D544" s="60">
        <f>8.6626 * CHOOSE(CONTROL!$C$22, $C$13, 100%, $E$13)</f>
        <v>8.6625999999999994</v>
      </c>
      <c r="E544" s="61">
        <f>10.0341 * CHOOSE(CONTROL!$C$22, $C$13, 100%, $E$13)</f>
        <v>10.0341</v>
      </c>
      <c r="F544" s="61">
        <f>10.0341 * CHOOSE(CONTROL!$C$22, $C$13, 100%, $E$13)</f>
        <v>10.0341</v>
      </c>
      <c r="G544" s="61">
        <f>10.0343 * CHOOSE(CONTROL!$C$22, $C$13, 100%, $E$13)</f>
        <v>10.0343</v>
      </c>
      <c r="H544" s="61">
        <f>17.1616* CHOOSE(CONTROL!$C$22, $C$13, 100%, $E$13)</f>
        <v>17.1616</v>
      </c>
      <c r="I544" s="61">
        <f>17.1617 * CHOOSE(CONTROL!$C$22, $C$13, 100%, $E$13)</f>
        <v>17.1617</v>
      </c>
      <c r="J544" s="61">
        <f>10.0341 * CHOOSE(CONTROL!$C$22, $C$13, 100%, $E$13)</f>
        <v>10.0341</v>
      </c>
      <c r="K544" s="61">
        <f>10.0343 * CHOOSE(CONTROL!$C$22, $C$13, 100%, $E$13)</f>
        <v>10.0343</v>
      </c>
    </row>
    <row r="545" spans="1:11" ht="15">
      <c r="A545" s="13">
        <v>58441</v>
      </c>
      <c r="B545" s="60">
        <f>8.7264 * CHOOSE(CONTROL!$C$22, $C$13, 100%, $E$13)</f>
        <v>8.7263999999999999</v>
      </c>
      <c r="C545" s="60">
        <f>8.7264 * CHOOSE(CONTROL!$C$22, $C$13, 100%, $E$13)</f>
        <v>8.7263999999999999</v>
      </c>
      <c r="D545" s="60">
        <f>8.7389 * CHOOSE(CONTROL!$C$22, $C$13, 100%, $E$13)</f>
        <v>8.7388999999999992</v>
      </c>
      <c r="E545" s="61">
        <f>10.1646 * CHOOSE(CONTROL!$C$22, $C$13, 100%, $E$13)</f>
        <v>10.1646</v>
      </c>
      <c r="F545" s="61">
        <f>10.1646 * CHOOSE(CONTROL!$C$22, $C$13, 100%, $E$13)</f>
        <v>10.1646</v>
      </c>
      <c r="G545" s="61">
        <f>10.1647 * CHOOSE(CONTROL!$C$22, $C$13, 100%, $E$13)</f>
        <v>10.1647</v>
      </c>
      <c r="H545" s="61">
        <f>17.1973* CHOOSE(CONTROL!$C$22, $C$13, 100%, $E$13)</f>
        <v>17.197299999999998</v>
      </c>
      <c r="I545" s="61">
        <f>17.1975 * CHOOSE(CONTROL!$C$22, $C$13, 100%, $E$13)</f>
        <v>17.197500000000002</v>
      </c>
      <c r="J545" s="61">
        <f>10.1646 * CHOOSE(CONTROL!$C$22, $C$13, 100%, $E$13)</f>
        <v>10.1646</v>
      </c>
      <c r="K545" s="61">
        <f>10.1647 * CHOOSE(CONTROL!$C$22, $C$13, 100%, $E$13)</f>
        <v>10.1647</v>
      </c>
    </row>
    <row r="546" spans="1:11" ht="15">
      <c r="A546" s="13">
        <v>58472</v>
      </c>
      <c r="B546" s="60">
        <f>8.7233 * CHOOSE(CONTROL!$C$22, $C$13, 100%, $E$13)</f>
        <v>8.7233000000000001</v>
      </c>
      <c r="C546" s="60">
        <f>8.7233 * CHOOSE(CONTROL!$C$22, $C$13, 100%, $E$13)</f>
        <v>8.7233000000000001</v>
      </c>
      <c r="D546" s="60">
        <f>8.7359 * CHOOSE(CONTROL!$C$22, $C$13, 100%, $E$13)</f>
        <v>8.7359000000000009</v>
      </c>
      <c r="E546" s="61">
        <f>10.0513 * CHOOSE(CONTROL!$C$22, $C$13, 100%, $E$13)</f>
        <v>10.051299999999999</v>
      </c>
      <c r="F546" s="61">
        <f>10.0513 * CHOOSE(CONTROL!$C$22, $C$13, 100%, $E$13)</f>
        <v>10.051299999999999</v>
      </c>
      <c r="G546" s="61">
        <f>10.0515 * CHOOSE(CONTROL!$C$22, $C$13, 100%, $E$13)</f>
        <v>10.051500000000001</v>
      </c>
      <c r="H546" s="61">
        <f>17.2331* CHOOSE(CONTROL!$C$22, $C$13, 100%, $E$13)</f>
        <v>17.2331</v>
      </c>
      <c r="I546" s="61">
        <f>17.2333 * CHOOSE(CONTROL!$C$22, $C$13, 100%, $E$13)</f>
        <v>17.2333</v>
      </c>
      <c r="J546" s="61">
        <f>10.0513 * CHOOSE(CONTROL!$C$22, $C$13, 100%, $E$13)</f>
        <v>10.051299999999999</v>
      </c>
      <c r="K546" s="61">
        <f>10.0515 * CHOOSE(CONTROL!$C$22, $C$13, 100%, $E$13)</f>
        <v>10.051500000000001</v>
      </c>
    </row>
    <row r="547" spans="1:11" ht="15">
      <c r="A547" s="13">
        <v>58501</v>
      </c>
      <c r="B547" s="60">
        <f>8.7203 * CHOOSE(CONTROL!$C$22, $C$13, 100%, $E$13)</f>
        <v>8.7202999999999999</v>
      </c>
      <c r="C547" s="60">
        <f>8.7203 * CHOOSE(CONTROL!$C$22, $C$13, 100%, $E$13)</f>
        <v>8.7202999999999999</v>
      </c>
      <c r="D547" s="60">
        <f>8.7328 * CHOOSE(CONTROL!$C$22, $C$13, 100%, $E$13)</f>
        <v>8.7327999999999992</v>
      </c>
      <c r="E547" s="61">
        <f>10.1368 * CHOOSE(CONTROL!$C$22, $C$13, 100%, $E$13)</f>
        <v>10.136799999999999</v>
      </c>
      <c r="F547" s="61">
        <f>10.1368 * CHOOSE(CONTROL!$C$22, $C$13, 100%, $E$13)</f>
        <v>10.136799999999999</v>
      </c>
      <c r="G547" s="61">
        <f>10.137 * CHOOSE(CONTROL!$C$22, $C$13, 100%, $E$13)</f>
        <v>10.137</v>
      </c>
      <c r="H547" s="61">
        <f>17.269* CHOOSE(CONTROL!$C$22, $C$13, 100%, $E$13)</f>
        <v>17.268999999999998</v>
      </c>
      <c r="I547" s="61">
        <f>17.2692 * CHOOSE(CONTROL!$C$22, $C$13, 100%, $E$13)</f>
        <v>17.269200000000001</v>
      </c>
      <c r="J547" s="61">
        <f>10.1368 * CHOOSE(CONTROL!$C$22, $C$13, 100%, $E$13)</f>
        <v>10.136799999999999</v>
      </c>
      <c r="K547" s="61">
        <f>10.137 * CHOOSE(CONTROL!$C$22, $C$13, 100%, $E$13)</f>
        <v>10.137</v>
      </c>
    </row>
    <row r="548" spans="1:11" ht="15">
      <c r="A548" s="13">
        <v>58532</v>
      </c>
      <c r="B548" s="60">
        <f>8.7221 * CHOOSE(CONTROL!$C$22, $C$13, 100%, $E$13)</f>
        <v>8.7220999999999993</v>
      </c>
      <c r="C548" s="60">
        <f>8.7221 * CHOOSE(CONTROL!$C$22, $C$13, 100%, $E$13)</f>
        <v>8.7220999999999993</v>
      </c>
      <c r="D548" s="60">
        <f>8.7346 * CHOOSE(CONTROL!$C$22, $C$13, 100%, $E$13)</f>
        <v>8.7346000000000004</v>
      </c>
      <c r="E548" s="61">
        <f>10.2266 * CHOOSE(CONTROL!$C$22, $C$13, 100%, $E$13)</f>
        <v>10.226599999999999</v>
      </c>
      <c r="F548" s="61">
        <f>10.2266 * CHOOSE(CONTROL!$C$22, $C$13, 100%, $E$13)</f>
        <v>10.226599999999999</v>
      </c>
      <c r="G548" s="61">
        <f>10.2268 * CHOOSE(CONTROL!$C$22, $C$13, 100%, $E$13)</f>
        <v>10.226800000000001</v>
      </c>
      <c r="H548" s="61">
        <f>17.305* CHOOSE(CONTROL!$C$22, $C$13, 100%, $E$13)</f>
        <v>17.305</v>
      </c>
      <c r="I548" s="61">
        <f>17.3052 * CHOOSE(CONTROL!$C$22, $C$13, 100%, $E$13)</f>
        <v>17.305199999999999</v>
      </c>
      <c r="J548" s="61">
        <f>10.2266 * CHOOSE(CONTROL!$C$22, $C$13, 100%, $E$13)</f>
        <v>10.226599999999999</v>
      </c>
      <c r="K548" s="61">
        <f>10.2268 * CHOOSE(CONTROL!$C$22, $C$13, 100%, $E$13)</f>
        <v>10.226800000000001</v>
      </c>
    </row>
    <row r="549" spans="1:11" ht="15">
      <c r="A549" s="13">
        <v>58562</v>
      </c>
      <c r="B549" s="60">
        <f>8.7221 * CHOOSE(CONTROL!$C$22, $C$13, 100%, $E$13)</f>
        <v>8.7220999999999993</v>
      </c>
      <c r="C549" s="60">
        <f>8.7221 * CHOOSE(CONTROL!$C$22, $C$13, 100%, $E$13)</f>
        <v>8.7220999999999993</v>
      </c>
      <c r="D549" s="60">
        <f>8.7472 * CHOOSE(CONTROL!$C$22, $C$13, 100%, $E$13)</f>
        <v>8.7471999999999994</v>
      </c>
      <c r="E549" s="61">
        <f>10.2619 * CHOOSE(CONTROL!$C$22, $C$13, 100%, $E$13)</f>
        <v>10.261900000000001</v>
      </c>
      <c r="F549" s="61">
        <f>10.2619 * CHOOSE(CONTROL!$C$22, $C$13, 100%, $E$13)</f>
        <v>10.261900000000001</v>
      </c>
      <c r="G549" s="61">
        <f>10.2635 * CHOOSE(CONTROL!$C$22, $C$13, 100%, $E$13)</f>
        <v>10.263500000000001</v>
      </c>
      <c r="H549" s="61">
        <f>17.3411* CHOOSE(CONTROL!$C$22, $C$13, 100%, $E$13)</f>
        <v>17.341100000000001</v>
      </c>
      <c r="I549" s="61">
        <f>17.3427 * CHOOSE(CONTROL!$C$22, $C$13, 100%, $E$13)</f>
        <v>17.342700000000001</v>
      </c>
      <c r="J549" s="61">
        <f>10.2619 * CHOOSE(CONTROL!$C$22, $C$13, 100%, $E$13)</f>
        <v>10.261900000000001</v>
      </c>
      <c r="K549" s="61">
        <f>10.2635 * CHOOSE(CONTROL!$C$22, $C$13, 100%, $E$13)</f>
        <v>10.263500000000001</v>
      </c>
    </row>
    <row r="550" spans="1:11" ht="15">
      <c r="A550" s="13">
        <v>58593</v>
      </c>
      <c r="B550" s="60">
        <f>8.7282 * CHOOSE(CONTROL!$C$22, $C$13, 100%, $E$13)</f>
        <v>8.7281999999999993</v>
      </c>
      <c r="C550" s="60">
        <f>8.7282 * CHOOSE(CONTROL!$C$22, $C$13, 100%, $E$13)</f>
        <v>8.7281999999999993</v>
      </c>
      <c r="D550" s="60">
        <f>8.7532 * CHOOSE(CONTROL!$C$22, $C$13, 100%, $E$13)</f>
        <v>8.7531999999999996</v>
      </c>
      <c r="E550" s="61">
        <f>10.2309 * CHOOSE(CONTROL!$C$22, $C$13, 100%, $E$13)</f>
        <v>10.2309</v>
      </c>
      <c r="F550" s="61">
        <f>10.2309 * CHOOSE(CONTROL!$C$22, $C$13, 100%, $E$13)</f>
        <v>10.2309</v>
      </c>
      <c r="G550" s="61">
        <f>10.2325 * CHOOSE(CONTROL!$C$22, $C$13, 100%, $E$13)</f>
        <v>10.2325</v>
      </c>
      <c r="H550" s="61">
        <f>17.3772* CHOOSE(CONTROL!$C$22, $C$13, 100%, $E$13)</f>
        <v>17.377199999999998</v>
      </c>
      <c r="I550" s="61">
        <f>17.3788 * CHOOSE(CONTROL!$C$22, $C$13, 100%, $E$13)</f>
        <v>17.378799999999998</v>
      </c>
      <c r="J550" s="61">
        <f>10.2309 * CHOOSE(CONTROL!$C$22, $C$13, 100%, $E$13)</f>
        <v>10.2309</v>
      </c>
      <c r="K550" s="61">
        <f>10.2325 * CHOOSE(CONTROL!$C$22, $C$13, 100%, $E$13)</f>
        <v>10.2325</v>
      </c>
    </row>
    <row r="551" spans="1:11" ht="15">
      <c r="A551" s="13">
        <v>58623</v>
      </c>
      <c r="B551" s="60">
        <f>8.8688 * CHOOSE(CONTROL!$C$22, $C$13, 100%, $E$13)</f>
        <v>8.8688000000000002</v>
      </c>
      <c r="C551" s="60">
        <f>8.8688 * CHOOSE(CONTROL!$C$22, $C$13, 100%, $E$13)</f>
        <v>8.8688000000000002</v>
      </c>
      <c r="D551" s="60">
        <f>8.8939 * CHOOSE(CONTROL!$C$22, $C$13, 100%, $E$13)</f>
        <v>8.8939000000000004</v>
      </c>
      <c r="E551" s="61">
        <f>10.4296 * CHOOSE(CONTROL!$C$22, $C$13, 100%, $E$13)</f>
        <v>10.429600000000001</v>
      </c>
      <c r="F551" s="61">
        <f>10.4296 * CHOOSE(CONTROL!$C$22, $C$13, 100%, $E$13)</f>
        <v>10.429600000000001</v>
      </c>
      <c r="G551" s="61">
        <f>10.4312 * CHOOSE(CONTROL!$C$22, $C$13, 100%, $E$13)</f>
        <v>10.4312</v>
      </c>
      <c r="H551" s="61">
        <f>17.4134* CHOOSE(CONTROL!$C$22, $C$13, 100%, $E$13)</f>
        <v>17.413399999999999</v>
      </c>
      <c r="I551" s="61">
        <f>17.415 * CHOOSE(CONTROL!$C$22, $C$13, 100%, $E$13)</f>
        <v>17.414999999999999</v>
      </c>
      <c r="J551" s="61">
        <f>10.4296 * CHOOSE(CONTROL!$C$22, $C$13, 100%, $E$13)</f>
        <v>10.429600000000001</v>
      </c>
      <c r="K551" s="61">
        <f>10.4312 * CHOOSE(CONTROL!$C$22, $C$13, 100%, $E$13)</f>
        <v>10.4312</v>
      </c>
    </row>
    <row r="552" spans="1:11" ht="15">
      <c r="A552" s="13">
        <v>58654</v>
      </c>
      <c r="B552" s="60">
        <f>8.8755 * CHOOSE(CONTROL!$C$22, $C$13, 100%, $E$13)</f>
        <v>8.8755000000000006</v>
      </c>
      <c r="C552" s="60">
        <f>8.8755 * CHOOSE(CONTROL!$C$22, $C$13, 100%, $E$13)</f>
        <v>8.8755000000000006</v>
      </c>
      <c r="D552" s="60">
        <f>8.9005 * CHOOSE(CONTROL!$C$22, $C$13, 100%, $E$13)</f>
        <v>8.9004999999999992</v>
      </c>
      <c r="E552" s="61">
        <f>10.3284 * CHOOSE(CONTROL!$C$22, $C$13, 100%, $E$13)</f>
        <v>10.3284</v>
      </c>
      <c r="F552" s="61">
        <f>10.3284 * CHOOSE(CONTROL!$C$22, $C$13, 100%, $E$13)</f>
        <v>10.3284</v>
      </c>
      <c r="G552" s="61">
        <f>10.33 * CHOOSE(CONTROL!$C$22, $C$13, 100%, $E$13)</f>
        <v>10.33</v>
      </c>
      <c r="H552" s="61">
        <f>17.4497* CHOOSE(CONTROL!$C$22, $C$13, 100%, $E$13)</f>
        <v>17.4497</v>
      </c>
      <c r="I552" s="61">
        <f>17.4513 * CHOOSE(CONTROL!$C$22, $C$13, 100%, $E$13)</f>
        <v>17.4513</v>
      </c>
      <c r="J552" s="61">
        <f>10.3284 * CHOOSE(CONTROL!$C$22, $C$13, 100%, $E$13)</f>
        <v>10.3284</v>
      </c>
      <c r="K552" s="61">
        <f>10.33 * CHOOSE(CONTROL!$C$22, $C$13, 100%, $E$13)</f>
        <v>10.33</v>
      </c>
    </row>
    <row r="553" spans="1:11" ht="15">
      <c r="A553" s="13">
        <v>58685</v>
      </c>
      <c r="B553" s="60">
        <f>8.8724 * CHOOSE(CONTROL!$C$22, $C$13, 100%, $E$13)</f>
        <v>8.8724000000000007</v>
      </c>
      <c r="C553" s="60">
        <f>8.8724 * CHOOSE(CONTROL!$C$22, $C$13, 100%, $E$13)</f>
        <v>8.8724000000000007</v>
      </c>
      <c r="D553" s="60">
        <f>8.8975 * CHOOSE(CONTROL!$C$22, $C$13, 100%, $E$13)</f>
        <v>8.8975000000000009</v>
      </c>
      <c r="E553" s="61">
        <f>10.3145 * CHOOSE(CONTROL!$C$22, $C$13, 100%, $E$13)</f>
        <v>10.314500000000001</v>
      </c>
      <c r="F553" s="61">
        <f>10.3145 * CHOOSE(CONTROL!$C$22, $C$13, 100%, $E$13)</f>
        <v>10.314500000000001</v>
      </c>
      <c r="G553" s="61">
        <f>10.3161 * CHOOSE(CONTROL!$C$22, $C$13, 100%, $E$13)</f>
        <v>10.3161</v>
      </c>
      <c r="H553" s="61">
        <f>17.486* CHOOSE(CONTROL!$C$22, $C$13, 100%, $E$13)</f>
        <v>17.486000000000001</v>
      </c>
      <c r="I553" s="61">
        <f>17.4876 * CHOOSE(CONTROL!$C$22, $C$13, 100%, $E$13)</f>
        <v>17.4876</v>
      </c>
      <c r="J553" s="61">
        <f>10.3145 * CHOOSE(CONTROL!$C$22, $C$13, 100%, $E$13)</f>
        <v>10.314500000000001</v>
      </c>
      <c r="K553" s="61">
        <f>10.3161 * CHOOSE(CONTROL!$C$22, $C$13, 100%, $E$13)</f>
        <v>10.3161</v>
      </c>
    </row>
    <row r="554" spans="1:11" ht="15">
      <c r="A554" s="13">
        <v>58715</v>
      </c>
      <c r="B554" s="60">
        <f>8.8838 * CHOOSE(CONTROL!$C$22, $C$13, 100%, $E$13)</f>
        <v>8.8838000000000008</v>
      </c>
      <c r="C554" s="60">
        <f>8.8838 * CHOOSE(CONTROL!$C$22, $C$13, 100%, $E$13)</f>
        <v>8.8838000000000008</v>
      </c>
      <c r="D554" s="60">
        <f>8.8963 * CHOOSE(CONTROL!$C$22, $C$13, 100%, $E$13)</f>
        <v>8.8963000000000001</v>
      </c>
      <c r="E554" s="61">
        <f>10.3481 * CHOOSE(CONTROL!$C$22, $C$13, 100%, $E$13)</f>
        <v>10.348100000000001</v>
      </c>
      <c r="F554" s="61">
        <f>10.3481 * CHOOSE(CONTROL!$C$22, $C$13, 100%, $E$13)</f>
        <v>10.348100000000001</v>
      </c>
      <c r="G554" s="61">
        <f>10.3483 * CHOOSE(CONTROL!$C$22, $C$13, 100%, $E$13)</f>
        <v>10.3483</v>
      </c>
      <c r="H554" s="61">
        <f>17.5225* CHOOSE(CONTROL!$C$22, $C$13, 100%, $E$13)</f>
        <v>17.522500000000001</v>
      </c>
      <c r="I554" s="61">
        <f>17.5226 * CHOOSE(CONTROL!$C$22, $C$13, 100%, $E$13)</f>
        <v>17.522600000000001</v>
      </c>
      <c r="J554" s="61">
        <f>10.3481 * CHOOSE(CONTROL!$C$22, $C$13, 100%, $E$13)</f>
        <v>10.348100000000001</v>
      </c>
      <c r="K554" s="61">
        <f>10.3483 * CHOOSE(CONTROL!$C$22, $C$13, 100%, $E$13)</f>
        <v>10.3483</v>
      </c>
    </row>
    <row r="555" spans="1:11" ht="15">
      <c r="A555" s="13">
        <v>58746</v>
      </c>
      <c r="B555" s="60">
        <f>8.8868 * CHOOSE(CONTROL!$C$22, $C$13, 100%, $E$13)</f>
        <v>8.8867999999999991</v>
      </c>
      <c r="C555" s="60">
        <f>8.8868 * CHOOSE(CONTROL!$C$22, $C$13, 100%, $E$13)</f>
        <v>8.8867999999999991</v>
      </c>
      <c r="D555" s="60">
        <f>8.8994 * CHOOSE(CONTROL!$C$22, $C$13, 100%, $E$13)</f>
        <v>8.8994</v>
      </c>
      <c r="E555" s="61">
        <f>10.3738 * CHOOSE(CONTROL!$C$22, $C$13, 100%, $E$13)</f>
        <v>10.373799999999999</v>
      </c>
      <c r="F555" s="61">
        <f>10.3738 * CHOOSE(CONTROL!$C$22, $C$13, 100%, $E$13)</f>
        <v>10.373799999999999</v>
      </c>
      <c r="G555" s="61">
        <f>10.3739 * CHOOSE(CONTROL!$C$22, $C$13, 100%, $E$13)</f>
        <v>10.373900000000001</v>
      </c>
      <c r="H555" s="61">
        <f>17.559* CHOOSE(CONTROL!$C$22, $C$13, 100%, $E$13)</f>
        <v>17.559000000000001</v>
      </c>
      <c r="I555" s="61">
        <f>17.5591 * CHOOSE(CONTROL!$C$22, $C$13, 100%, $E$13)</f>
        <v>17.559100000000001</v>
      </c>
      <c r="J555" s="61">
        <f>10.3738 * CHOOSE(CONTROL!$C$22, $C$13, 100%, $E$13)</f>
        <v>10.373799999999999</v>
      </c>
      <c r="K555" s="61">
        <f>10.3739 * CHOOSE(CONTROL!$C$22, $C$13, 100%, $E$13)</f>
        <v>10.373900000000001</v>
      </c>
    </row>
    <row r="556" spans="1:11" ht="15">
      <c r="A556" s="13">
        <v>58776</v>
      </c>
      <c r="B556" s="60">
        <f>8.8868 * CHOOSE(CONTROL!$C$22, $C$13, 100%, $E$13)</f>
        <v>8.8867999999999991</v>
      </c>
      <c r="C556" s="60">
        <f>8.8868 * CHOOSE(CONTROL!$C$22, $C$13, 100%, $E$13)</f>
        <v>8.8867999999999991</v>
      </c>
      <c r="D556" s="60">
        <f>8.8994 * CHOOSE(CONTROL!$C$22, $C$13, 100%, $E$13)</f>
        <v>8.8994</v>
      </c>
      <c r="E556" s="61">
        <f>10.315 * CHOOSE(CONTROL!$C$22, $C$13, 100%, $E$13)</f>
        <v>10.315</v>
      </c>
      <c r="F556" s="61">
        <f>10.315 * CHOOSE(CONTROL!$C$22, $C$13, 100%, $E$13)</f>
        <v>10.315</v>
      </c>
      <c r="G556" s="61">
        <f>10.3151 * CHOOSE(CONTROL!$C$22, $C$13, 100%, $E$13)</f>
        <v>10.315099999999999</v>
      </c>
      <c r="H556" s="61">
        <f>17.5955* CHOOSE(CONTROL!$C$22, $C$13, 100%, $E$13)</f>
        <v>17.595500000000001</v>
      </c>
      <c r="I556" s="61">
        <f>17.5957 * CHOOSE(CONTROL!$C$22, $C$13, 100%, $E$13)</f>
        <v>17.595700000000001</v>
      </c>
      <c r="J556" s="61">
        <f>10.315 * CHOOSE(CONTROL!$C$22, $C$13, 100%, $E$13)</f>
        <v>10.315</v>
      </c>
      <c r="K556" s="61">
        <f>10.3151 * CHOOSE(CONTROL!$C$22, $C$13, 100%, $E$13)</f>
        <v>10.315099999999999</v>
      </c>
    </row>
    <row r="557" spans="1:11" ht="15">
      <c r="A557" s="13">
        <v>58807</v>
      </c>
      <c r="B557" s="60">
        <f>8.9651 * CHOOSE(CONTROL!$C$22, $C$13, 100%, $E$13)</f>
        <v>8.9650999999999996</v>
      </c>
      <c r="C557" s="60">
        <f>8.9651 * CHOOSE(CONTROL!$C$22, $C$13, 100%, $E$13)</f>
        <v>8.9650999999999996</v>
      </c>
      <c r="D557" s="60">
        <f>8.9777 * CHOOSE(CONTROL!$C$22, $C$13, 100%, $E$13)</f>
        <v>8.9777000000000005</v>
      </c>
      <c r="E557" s="61">
        <f>10.449 * CHOOSE(CONTROL!$C$22, $C$13, 100%, $E$13)</f>
        <v>10.449</v>
      </c>
      <c r="F557" s="61">
        <f>10.449 * CHOOSE(CONTROL!$C$22, $C$13, 100%, $E$13)</f>
        <v>10.449</v>
      </c>
      <c r="G557" s="61">
        <f>10.4492 * CHOOSE(CONTROL!$C$22, $C$13, 100%, $E$13)</f>
        <v>10.449199999999999</v>
      </c>
      <c r="H557" s="61">
        <f>17.6322* CHOOSE(CONTROL!$C$22, $C$13, 100%, $E$13)</f>
        <v>17.632200000000001</v>
      </c>
      <c r="I557" s="61">
        <f>17.6324 * CHOOSE(CONTROL!$C$22, $C$13, 100%, $E$13)</f>
        <v>17.632400000000001</v>
      </c>
      <c r="J557" s="61">
        <f>10.449 * CHOOSE(CONTROL!$C$22, $C$13, 100%, $E$13)</f>
        <v>10.449</v>
      </c>
      <c r="K557" s="61">
        <f>10.4492 * CHOOSE(CONTROL!$C$22, $C$13, 100%, $E$13)</f>
        <v>10.449199999999999</v>
      </c>
    </row>
    <row r="558" spans="1:11" ht="15">
      <c r="A558" s="13">
        <v>58838</v>
      </c>
      <c r="B558" s="60">
        <f>8.9621 * CHOOSE(CONTROL!$C$22, $C$13, 100%, $E$13)</f>
        <v>8.9620999999999995</v>
      </c>
      <c r="C558" s="60">
        <f>8.9621 * CHOOSE(CONTROL!$C$22, $C$13, 100%, $E$13)</f>
        <v>8.9620999999999995</v>
      </c>
      <c r="D558" s="60">
        <f>8.9746 * CHOOSE(CONTROL!$C$22, $C$13, 100%, $E$13)</f>
        <v>8.9746000000000006</v>
      </c>
      <c r="E558" s="61">
        <f>10.3327 * CHOOSE(CONTROL!$C$22, $C$13, 100%, $E$13)</f>
        <v>10.332700000000001</v>
      </c>
      <c r="F558" s="61">
        <f>10.3327 * CHOOSE(CONTROL!$C$22, $C$13, 100%, $E$13)</f>
        <v>10.332700000000001</v>
      </c>
      <c r="G558" s="61">
        <f>10.3328 * CHOOSE(CONTROL!$C$22, $C$13, 100%, $E$13)</f>
        <v>10.332800000000001</v>
      </c>
      <c r="H558" s="61">
        <f>17.6689* CHOOSE(CONTROL!$C$22, $C$13, 100%, $E$13)</f>
        <v>17.668900000000001</v>
      </c>
      <c r="I558" s="61">
        <f>17.6691 * CHOOSE(CONTROL!$C$22, $C$13, 100%, $E$13)</f>
        <v>17.6691</v>
      </c>
      <c r="J558" s="61">
        <f>10.3327 * CHOOSE(CONTROL!$C$22, $C$13, 100%, $E$13)</f>
        <v>10.332700000000001</v>
      </c>
      <c r="K558" s="61">
        <f>10.3328 * CHOOSE(CONTROL!$C$22, $C$13, 100%, $E$13)</f>
        <v>10.332800000000001</v>
      </c>
    </row>
    <row r="559" spans="1:11" ht="15">
      <c r="A559" s="13">
        <v>58866</v>
      </c>
      <c r="B559" s="60">
        <f>8.959 * CHOOSE(CONTROL!$C$22, $C$13, 100%, $E$13)</f>
        <v>8.9589999999999996</v>
      </c>
      <c r="C559" s="60">
        <f>8.959 * CHOOSE(CONTROL!$C$22, $C$13, 100%, $E$13)</f>
        <v>8.9589999999999996</v>
      </c>
      <c r="D559" s="60">
        <f>8.9716 * CHOOSE(CONTROL!$C$22, $C$13, 100%, $E$13)</f>
        <v>8.9716000000000005</v>
      </c>
      <c r="E559" s="61">
        <f>10.4206 * CHOOSE(CONTROL!$C$22, $C$13, 100%, $E$13)</f>
        <v>10.4206</v>
      </c>
      <c r="F559" s="61">
        <f>10.4206 * CHOOSE(CONTROL!$C$22, $C$13, 100%, $E$13)</f>
        <v>10.4206</v>
      </c>
      <c r="G559" s="61">
        <f>10.4208 * CHOOSE(CONTROL!$C$22, $C$13, 100%, $E$13)</f>
        <v>10.4208</v>
      </c>
      <c r="H559" s="61">
        <f>17.7057* CHOOSE(CONTROL!$C$22, $C$13, 100%, $E$13)</f>
        <v>17.7057</v>
      </c>
      <c r="I559" s="61">
        <f>17.7059 * CHOOSE(CONTROL!$C$22, $C$13, 100%, $E$13)</f>
        <v>17.7059</v>
      </c>
      <c r="J559" s="61">
        <f>10.4206 * CHOOSE(CONTROL!$C$22, $C$13, 100%, $E$13)</f>
        <v>10.4206</v>
      </c>
      <c r="K559" s="61">
        <f>10.4208 * CHOOSE(CONTROL!$C$22, $C$13, 100%, $E$13)</f>
        <v>10.4208</v>
      </c>
    </row>
    <row r="560" spans="1:11" ht="15">
      <c r="A560" s="13">
        <v>58897</v>
      </c>
      <c r="B560" s="60">
        <f>8.961 * CHOOSE(CONTROL!$C$22, $C$13, 100%, $E$13)</f>
        <v>8.9610000000000003</v>
      </c>
      <c r="C560" s="60">
        <f>8.961 * CHOOSE(CONTROL!$C$22, $C$13, 100%, $E$13)</f>
        <v>8.9610000000000003</v>
      </c>
      <c r="D560" s="60">
        <f>8.9735 * CHOOSE(CONTROL!$C$22, $C$13, 100%, $E$13)</f>
        <v>8.9734999999999996</v>
      </c>
      <c r="E560" s="61">
        <f>10.5131 * CHOOSE(CONTROL!$C$22, $C$13, 100%, $E$13)</f>
        <v>10.5131</v>
      </c>
      <c r="F560" s="61">
        <f>10.5131 * CHOOSE(CONTROL!$C$22, $C$13, 100%, $E$13)</f>
        <v>10.5131</v>
      </c>
      <c r="G560" s="61">
        <f>10.5133 * CHOOSE(CONTROL!$C$22, $C$13, 100%, $E$13)</f>
        <v>10.513299999999999</v>
      </c>
      <c r="H560" s="61">
        <f>17.7426* CHOOSE(CONTROL!$C$22, $C$13, 100%, $E$13)</f>
        <v>17.742599999999999</v>
      </c>
      <c r="I560" s="61">
        <f>17.7428 * CHOOSE(CONTROL!$C$22, $C$13, 100%, $E$13)</f>
        <v>17.742799999999999</v>
      </c>
      <c r="J560" s="61">
        <f>10.5131 * CHOOSE(CONTROL!$C$22, $C$13, 100%, $E$13)</f>
        <v>10.5131</v>
      </c>
      <c r="K560" s="61">
        <f>10.5133 * CHOOSE(CONTROL!$C$22, $C$13, 100%, $E$13)</f>
        <v>10.513299999999999</v>
      </c>
    </row>
    <row r="561" spans="1:11" ht="15">
      <c r="A561" s="13">
        <v>58927</v>
      </c>
      <c r="B561" s="60">
        <f>8.961 * CHOOSE(CONTROL!$C$22, $C$13, 100%, $E$13)</f>
        <v>8.9610000000000003</v>
      </c>
      <c r="C561" s="60">
        <f>8.961 * CHOOSE(CONTROL!$C$22, $C$13, 100%, $E$13)</f>
        <v>8.9610000000000003</v>
      </c>
      <c r="D561" s="60">
        <f>8.9861 * CHOOSE(CONTROL!$C$22, $C$13, 100%, $E$13)</f>
        <v>8.9861000000000004</v>
      </c>
      <c r="E561" s="61">
        <f>10.5493 * CHOOSE(CONTROL!$C$22, $C$13, 100%, $E$13)</f>
        <v>10.549300000000001</v>
      </c>
      <c r="F561" s="61">
        <f>10.5493 * CHOOSE(CONTROL!$C$22, $C$13, 100%, $E$13)</f>
        <v>10.549300000000001</v>
      </c>
      <c r="G561" s="61">
        <f>10.5509 * CHOOSE(CONTROL!$C$22, $C$13, 100%, $E$13)</f>
        <v>10.5509</v>
      </c>
      <c r="H561" s="61">
        <f>17.7796* CHOOSE(CONTROL!$C$22, $C$13, 100%, $E$13)</f>
        <v>17.779599999999999</v>
      </c>
      <c r="I561" s="61">
        <f>17.7812 * CHOOSE(CONTROL!$C$22, $C$13, 100%, $E$13)</f>
        <v>17.781199999999998</v>
      </c>
      <c r="J561" s="61">
        <f>10.5493 * CHOOSE(CONTROL!$C$22, $C$13, 100%, $E$13)</f>
        <v>10.549300000000001</v>
      </c>
      <c r="K561" s="61">
        <f>10.5509 * CHOOSE(CONTROL!$C$22, $C$13, 100%, $E$13)</f>
        <v>10.5509</v>
      </c>
    </row>
    <row r="562" spans="1:11" ht="15">
      <c r="A562" s="13">
        <v>58958</v>
      </c>
      <c r="B562" s="60">
        <f>8.9671 * CHOOSE(CONTROL!$C$22, $C$13, 100%, $E$13)</f>
        <v>8.9671000000000003</v>
      </c>
      <c r="C562" s="60">
        <f>8.9671 * CHOOSE(CONTROL!$C$22, $C$13, 100%, $E$13)</f>
        <v>8.9671000000000003</v>
      </c>
      <c r="D562" s="60">
        <f>8.9922 * CHOOSE(CONTROL!$C$22, $C$13, 100%, $E$13)</f>
        <v>8.9922000000000004</v>
      </c>
      <c r="E562" s="61">
        <f>10.5173 * CHOOSE(CONTROL!$C$22, $C$13, 100%, $E$13)</f>
        <v>10.517300000000001</v>
      </c>
      <c r="F562" s="61">
        <f>10.5173 * CHOOSE(CONTROL!$C$22, $C$13, 100%, $E$13)</f>
        <v>10.517300000000001</v>
      </c>
      <c r="G562" s="61">
        <f>10.5189 * CHOOSE(CONTROL!$C$22, $C$13, 100%, $E$13)</f>
        <v>10.5189</v>
      </c>
      <c r="H562" s="61">
        <f>17.8166* CHOOSE(CONTROL!$C$22, $C$13, 100%, $E$13)</f>
        <v>17.816600000000001</v>
      </c>
      <c r="I562" s="61">
        <f>17.8182 * CHOOSE(CONTROL!$C$22, $C$13, 100%, $E$13)</f>
        <v>17.818200000000001</v>
      </c>
      <c r="J562" s="61">
        <f>10.5173 * CHOOSE(CONTROL!$C$22, $C$13, 100%, $E$13)</f>
        <v>10.517300000000001</v>
      </c>
      <c r="K562" s="61">
        <f>10.5189 * CHOOSE(CONTROL!$C$22, $C$13, 100%, $E$13)</f>
        <v>10.5189</v>
      </c>
    </row>
    <row r="563" spans="1:11" ht="15">
      <c r="A563" s="13">
        <v>58988</v>
      </c>
      <c r="B563" s="60">
        <f>9.1113 * CHOOSE(CONTROL!$C$22, $C$13, 100%, $E$13)</f>
        <v>9.1113</v>
      </c>
      <c r="C563" s="60">
        <f>9.1113 * CHOOSE(CONTROL!$C$22, $C$13, 100%, $E$13)</f>
        <v>9.1113</v>
      </c>
      <c r="D563" s="60">
        <f>9.1364 * CHOOSE(CONTROL!$C$22, $C$13, 100%, $E$13)</f>
        <v>9.1364000000000001</v>
      </c>
      <c r="E563" s="61">
        <f>10.7213 * CHOOSE(CONTROL!$C$22, $C$13, 100%, $E$13)</f>
        <v>10.721299999999999</v>
      </c>
      <c r="F563" s="61">
        <f>10.7213 * CHOOSE(CONTROL!$C$22, $C$13, 100%, $E$13)</f>
        <v>10.721299999999999</v>
      </c>
      <c r="G563" s="61">
        <f>10.7229 * CHOOSE(CONTROL!$C$22, $C$13, 100%, $E$13)</f>
        <v>10.722899999999999</v>
      </c>
      <c r="H563" s="61">
        <f>17.8538* CHOOSE(CONTROL!$C$22, $C$13, 100%, $E$13)</f>
        <v>17.8538</v>
      </c>
      <c r="I563" s="61">
        <f>17.8554 * CHOOSE(CONTROL!$C$22, $C$13, 100%, $E$13)</f>
        <v>17.855399999999999</v>
      </c>
      <c r="J563" s="61">
        <f>10.7213 * CHOOSE(CONTROL!$C$22, $C$13, 100%, $E$13)</f>
        <v>10.721299999999999</v>
      </c>
      <c r="K563" s="61">
        <f>10.7229 * CHOOSE(CONTROL!$C$22, $C$13, 100%, $E$13)</f>
        <v>10.722899999999999</v>
      </c>
    </row>
    <row r="564" spans="1:11" ht="15">
      <c r="A564" s="13">
        <v>59019</v>
      </c>
      <c r="B564" s="60">
        <f>9.118 * CHOOSE(CONTROL!$C$22, $C$13, 100%, $E$13)</f>
        <v>9.1180000000000003</v>
      </c>
      <c r="C564" s="60">
        <f>9.118 * CHOOSE(CONTROL!$C$22, $C$13, 100%, $E$13)</f>
        <v>9.1180000000000003</v>
      </c>
      <c r="D564" s="60">
        <f>9.1431 * CHOOSE(CONTROL!$C$22, $C$13, 100%, $E$13)</f>
        <v>9.1431000000000004</v>
      </c>
      <c r="E564" s="61">
        <f>10.6171 * CHOOSE(CONTROL!$C$22, $C$13, 100%, $E$13)</f>
        <v>10.617100000000001</v>
      </c>
      <c r="F564" s="61">
        <f>10.6171 * CHOOSE(CONTROL!$C$22, $C$13, 100%, $E$13)</f>
        <v>10.617100000000001</v>
      </c>
      <c r="G564" s="61">
        <f>10.6187 * CHOOSE(CONTROL!$C$22, $C$13, 100%, $E$13)</f>
        <v>10.6187</v>
      </c>
      <c r="H564" s="61">
        <f>17.8909* CHOOSE(CONTROL!$C$22, $C$13, 100%, $E$13)</f>
        <v>17.890899999999998</v>
      </c>
      <c r="I564" s="61">
        <f>17.8926 * CHOOSE(CONTROL!$C$22, $C$13, 100%, $E$13)</f>
        <v>17.892600000000002</v>
      </c>
      <c r="J564" s="61">
        <f>10.6171 * CHOOSE(CONTROL!$C$22, $C$13, 100%, $E$13)</f>
        <v>10.617100000000001</v>
      </c>
      <c r="K564" s="61">
        <f>10.6187 * CHOOSE(CONTROL!$C$22, $C$13, 100%, $E$13)</f>
        <v>10.6187</v>
      </c>
    </row>
    <row r="565" spans="1:11" ht="15">
      <c r="A565" s="13">
        <v>59050</v>
      </c>
      <c r="B565" s="60">
        <f>9.1149 * CHOOSE(CONTROL!$C$22, $C$13, 100%, $E$13)</f>
        <v>9.1149000000000004</v>
      </c>
      <c r="C565" s="60">
        <f>9.1149 * CHOOSE(CONTROL!$C$22, $C$13, 100%, $E$13)</f>
        <v>9.1149000000000004</v>
      </c>
      <c r="D565" s="60">
        <f>9.14 * CHOOSE(CONTROL!$C$22, $C$13, 100%, $E$13)</f>
        <v>9.14</v>
      </c>
      <c r="E565" s="61">
        <f>10.6029 * CHOOSE(CONTROL!$C$22, $C$13, 100%, $E$13)</f>
        <v>10.6029</v>
      </c>
      <c r="F565" s="61">
        <f>10.6029 * CHOOSE(CONTROL!$C$22, $C$13, 100%, $E$13)</f>
        <v>10.6029</v>
      </c>
      <c r="G565" s="61">
        <f>10.6045 * CHOOSE(CONTROL!$C$22, $C$13, 100%, $E$13)</f>
        <v>10.6045</v>
      </c>
      <c r="H565" s="61">
        <f>17.9282* CHOOSE(CONTROL!$C$22, $C$13, 100%, $E$13)</f>
        <v>17.9282</v>
      </c>
      <c r="I565" s="61">
        <f>17.9298 * CHOOSE(CONTROL!$C$22, $C$13, 100%, $E$13)</f>
        <v>17.9298</v>
      </c>
      <c r="J565" s="61">
        <f>10.6029 * CHOOSE(CONTROL!$C$22, $C$13, 100%, $E$13)</f>
        <v>10.6029</v>
      </c>
      <c r="K565" s="61">
        <f>10.6045 * CHOOSE(CONTROL!$C$22, $C$13, 100%, $E$13)</f>
        <v>10.6045</v>
      </c>
    </row>
    <row r="566" spans="1:11" ht="15">
      <c r="A566" s="13">
        <v>59080</v>
      </c>
      <c r="B566" s="60">
        <f>9.1271 * CHOOSE(CONTROL!$C$22, $C$13, 100%, $E$13)</f>
        <v>9.1271000000000004</v>
      </c>
      <c r="C566" s="60">
        <f>9.1271 * CHOOSE(CONTROL!$C$22, $C$13, 100%, $E$13)</f>
        <v>9.1271000000000004</v>
      </c>
      <c r="D566" s="60">
        <f>9.1396 * CHOOSE(CONTROL!$C$22, $C$13, 100%, $E$13)</f>
        <v>9.1395999999999997</v>
      </c>
      <c r="E566" s="61">
        <f>10.6379 * CHOOSE(CONTROL!$C$22, $C$13, 100%, $E$13)</f>
        <v>10.6379</v>
      </c>
      <c r="F566" s="61">
        <f>10.6379 * CHOOSE(CONTROL!$C$22, $C$13, 100%, $E$13)</f>
        <v>10.6379</v>
      </c>
      <c r="G566" s="61">
        <f>10.638 * CHOOSE(CONTROL!$C$22, $C$13, 100%, $E$13)</f>
        <v>10.638</v>
      </c>
      <c r="H566" s="61">
        <f>17.9656* CHOOSE(CONTROL!$C$22, $C$13, 100%, $E$13)</f>
        <v>17.965599999999998</v>
      </c>
      <c r="I566" s="61">
        <f>17.9657 * CHOOSE(CONTROL!$C$22, $C$13, 100%, $E$13)</f>
        <v>17.965699999999998</v>
      </c>
      <c r="J566" s="61">
        <f>10.6379 * CHOOSE(CONTROL!$C$22, $C$13, 100%, $E$13)</f>
        <v>10.6379</v>
      </c>
      <c r="K566" s="61">
        <f>10.638 * CHOOSE(CONTROL!$C$22, $C$13, 100%, $E$13)</f>
        <v>10.638</v>
      </c>
    </row>
    <row r="567" spans="1:11" ht="15">
      <c r="A567" s="13">
        <v>59111</v>
      </c>
      <c r="B567" s="60">
        <f>9.1301 * CHOOSE(CONTROL!$C$22, $C$13, 100%, $E$13)</f>
        <v>9.1301000000000005</v>
      </c>
      <c r="C567" s="60">
        <f>9.1301 * CHOOSE(CONTROL!$C$22, $C$13, 100%, $E$13)</f>
        <v>9.1301000000000005</v>
      </c>
      <c r="D567" s="60">
        <f>9.1427 * CHOOSE(CONTROL!$C$22, $C$13, 100%, $E$13)</f>
        <v>9.1426999999999996</v>
      </c>
      <c r="E567" s="61">
        <f>10.6642 * CHOOSE(CONTROL!$C$22, $C$13, 100%, $E$13)</f>
        <v>10.664199999999999</v>
      </c>
      <c r="F567" s="61">
        <f>10.6642 * CHOOSE(CONTROL!$C$22, $C$13, 100%, $E$13)</f>
        <v>10.664199999999999</v>
      </c>
      <c r="G567" s="61">
        <f>10.6643 * CHOOSE(CONTROL!$C$22, $C$13, 100%, $E$13)</f>
        <v>10.664300000000001</v>
      </c>
      <c r="H567" s="61">
        <f>18.003* CHOOSE(CONTROL!$C$22, $C$13, 100%, $E$13)</f>
        <v>18.003</v>
      </c>
      <c r="I567" s="61">
        <f>18.0032 * CHOOSE(CONTROL!$C$22, $C$13, 100%, $E$13)</f>
        <v>18.0032</v>
      </c>
      <c r="J567" s="61">
        <f>10.6642 * CHOOSE(CONTROL!$C$22, $C$13, 100%, $E$13)</f>
        <v>10.664199999999999</v>
      </c>
      <c r="K567" s="61">
        <f>10.6643 * CHOOSE(CONTROL!$C$22, $C$13, 100%, $E$13)</f>
        <v>10.664300000000001</v>
      </c>
    </row>
    <row r="568" spans="1:11" ht="15">
      <c r="A568" s="13">
        <v>59141</v>
      </c>
      <c r="B568" s="60">
        <f>9.1301 * CHOOSE(CONTROL!$C$22, $C$13, 100%, $E$13)</f>
        <v>9.1301000000000005</v>
      </c>
      <c r="C568" s="60">
        <f>9.1301 * CHOOSE(CONTROL!$C$22, $C$13, 100%, $E$13)</f>
        <v>9.1301000000000005</v>
      </c>
      <c r="D568" s="60">
        <f>9.1427 * CHOOSE(CONTROL!$C$22, $C$13, 100%, $E$13)</f>
        <v>9.1426999999999996</v>
      </c>
      <c r="E568" s="61">
        <f>10.6037 * CHOOSE(CONTROL!$C$22, $C$13, 100%, $E$13)</f>
        <v>10.6037</v>
      </c>
      <c r="F568" s="61">
        <f>10.6037 * CHOOSE(CONTROL!$C$22, $C$13, 100%, $E$13)</f>
        <v>10.6037</v>
      </c>
      <c r="G568" s="61">
        <f>10.6039 * CHOOSE(CONTROL!$C$22, $C$13, 100%, $E$13)</f>
        <v>10.603899999999999</v>
      </c>
      <c r="H568" s="61">
        <f>18.0405* CHOOSE(CONTROL!$C$22, $C$13, 100%, $E$13)</f>
        <v>18.040500000000002</v>
      </c>
      <c r="I568" s="61">
        <f>18.0407 * CHOOSE(CONTROL!$C$22, $C$13, 100%, $E$13)</f>
        <v>18.040700000000001</v>
      </c>
      <c r="J568" s="61">
        <f>10.6037 * CHOOSE(CONTROL!$C$22, $C$13, 100%, $E$13)</f>
        <v>10.6037</v>
      </c>
      <c r="K568" s="61">
        <f>10.6039 * CHOOSE(CONTROL!$C$22, $C$13, 100%, $E$13)</f>
        <v>10.603899999999999</v>
      </c>
    </row>
    <row r="569" spans="1:11" ht="15">
      <c r="A569" s="13">
        <v>59172</v>
      </c>
      <c r="B569" s="60">
        <f>9.2104 * CHOOSE(CONTROL!$C$22, $C$13, 100%, $E$13)</f>
        <v>9.2103999999999999</v>
      </c>
      <c r="C569" s="60">
        <f>9.2104 * CHOOSE(CONTROL!$C$22, $C$13, 100%, $E$13)</f>
        <v>9.2103999999999999</v>
      </c>
      <c r="D569" s="60">
        <f>9.223 * CHOOSE(CONTROL!$C$22, $C$13, 100%, $E$13)</f>
        <v>9.2230000000000008</v>
      </c>
      <c r="E569" s="61">
        <f>10.7414 * CHOOSE(CONTROL!$C$22, $C$13, 100%, $E$13)</f>
        <v>10.741400000000001</v>
      </c>
      <c r="F569" s="61">
        <f>10.7414 * CHOOSE(CONTROL!$C$22, $C$13, 100%, $E$13)</f>
        <v>10.741400000000001</v>
      </c>
      <c r="G569" s="61">
        <f>10.7416 * CHOOSE(CONTROL!$C$22, $C$13, 100%, $E$13)</f>
        <v>10.7416</v>
      </c>
      <c r="H569" s="61">
        <f>18.0781* CHOOSE(CONTROL!$C$22, $C$13, 100%, $E$13)</f>
        <v>18.078099999999999</v>
      </c>
      <c r="I569" s="61">
        <f>18.0783 * CHOOSE(CONTROL!$C$22, $C$13, 100%, $E$13)</f>
        <v>18.078299999999999</v>
      </c>
      <c r="J569" s="61">
        <f>10.7414 * CHOOSE(CONTROL!$C$22, $C$13, 100%, $E$13)</f>
        <v>10.741400000000001</v>
      </c>
      <c r="K569" s="61">
        <f>10.7416 * CHOOSE(CONTROL!$C$22, $C$13, 100%, $E$13)</f>
        <v>10.7416</v>
      </c>
    </row>
    <row r="570" spans="1:11" ht="15">
      <c r="A570" s="13">
        <v>59203</v>
      </c>
      <c r="B570" s="60">
        <f>9.2074 * CHOOSE(CONTROL!$C$22, $C$13, 100%, $E$13)</f>
        <v>9.2073999999999998</v>
      </c>
      <c r="C570" s="60">
        <f>9.2074 * CHOOSE(CONTROL!$C$22, $C$13, 100%, $E$13)</f>
        <v>9.2073999999999998</v>
      </c>
      <c r="D570" s="60">
        <f>9.2199 * CHOOSE(CONTROL!$C$22, $C$13, 100%, $E$13)</f>
        <v>9.2199000000000009</v>
      </c>
      <c r="E570" s="61">
        <f>10.6219 * CHOOSE(CONTROL!$C$22, $C$13, 100%, $E$13)</f>
        <v>10.6219</v>
      </c>
      <c r="F570" s="61">
        <f>10.6219 * CHOOSE(CONTROL!$C$22, $C$13, 100%, $E$13)</f>
        <v>10.6219</v>
      </c>
      <c r="G570" s="61">
        <f>10.6221 * CHOOSE(CONTROL!$C$22, $C$13, 100%, $E$13)</f>
        <v>10.6221</v>
      </c>
      <c r="H570" s="61">
        <f>18.1158* CHOOSE(CONTROL!$C$22, $C$13, 100%, $E$13)</f>
        <v>18.1158</v>
      </c>
      <c r="I570" s="61">
        <f>18.1159 * CHOOSE(CONTROL!$C$22, $C$13, 100%, $E$13)</f>
        <v>18.1159</v>
      </c>
      <c r="J570" s="61">
        <f>10.6219 * CHOOSE(CONTROL!$C$22, $C$13, 100%, $E$13)</f>
        <v>10.6219</v>
      </c>
      <c r="K570" s="61">
        <f>10.6221 * CHOOSE(CONTROL!$C$22, $C$13, 100%, $E$13)</f>
        <v>10.6221</v>
      </c>
    </row>
    <row r="571" spans="1:11" ht="15">
      <c r="A571" s="13">
        <v>59231</v>
      </c>
      <c r="B571" s="60">
        <f>9.2043 * CHOOSE(CONTROL!$C$22, $C$13, 100%, $E$13)</f>
        <v>9.2042999999999999</v>
      </c>
      <c r="C571" s="60">
        <f>9.2043 * CHOOSE(CONTROL!$C$22, $C$13, 100%, $E$13)</f>
        <v>9.2042999999999999</v>
      </c>
      <c r="D571" s="60">
        <f>9.2169 * CHOOSE(CONTROL!$C$22, $C$13, 100%, $E$13)</f>
        <v>9.2169000000000008</v>
      </c>
      <c r="E571" s="61">
        <f>10.7123 * CHOOSE(CONTROL!$C$22, $C$13, 100%, $E$13)</f>
        <v>10.712300000000001</v>
      </c>
      <c r="F571" s="61">
        <f>10.7123 * CHOOSE(CONTROL!$C$22, $C$13, 100%, $E$13)</f>
        <v>10.712300000000001</v>
      </c>
      <c r="G571" s="61">
        <f>10.7125 * CHOOSE(CONTROL!$C$22, $C$13, 100%, $E$13)</f>
        <v>10.7125</v>
      </c>
      <c r="H571" s="61">
        <f>18.1535* CHOOSE(CONTROL!$C$22, $C$13, 100%, $E$13)</f>
        <v>18.153500000000001</v>
      </c>
      <c r="I571" s="61">
        <f>18.1537 * CHOOSE(CONTROL!$C$22, $C$13, 100%, $E$13)</f>
        <v>18.153700000000001</v>
      </c>
      <c r="J571" s="61">
        <f>10.7123 * CHOOSE(CONTROL!$C$22, $C$13, 100%, $E$13)</f>
        <v>10.712300000000001</v>
      </c>
      <c r="K571" s="61">
        <f>10.7125 * CHOOSE(CONTROL!$C$22, $C$13, 100%, $E$13)</f>
        <v>10.7125</v>
      </c>
    </row>
    <row r="572" spans="1:11" ht="15">
      <c r="A572" s="13">
        <v>59262</v>
      </c>
      <c r="B572" s="60">
        <f>9.2065 * CHOOSE(CONTROL!$C$22, $C$13, 100%, $E$13)</f>
        <v>9.2065000000000001</v>
      </c>
      <c r="C572" s="60">
        <f>9.2065 * CHOOSE(CONTROL!$C$22, $C$13, 100%, $E$13)</f>
        <v>9.2065000000000001</v>
      </c>
      <c r="D572" s="60">
        <f>9.2191 * CHOOSE(CONTROL!$C$22, $C$13, 100%, $E$13)</f>
        <v>9.2190999999999992</v>
      </c>
      <c r="E572" s="61">
        <f>10.8075 * CHOOSE(CONTROL!$C$22, $C$13, 100%, $E$13)</f>
        <v>10.807499999999999</v>
      </c>
      <c r="F572" s="61">
        <f>10.8075 * CHOOSE(CONTROL!$C$22, $C$13, 100%, $E$13)</f>
        <v>10.807499999999999</v>
      </c>
      <c r="G572" s="61">
        <f>10.8077 * CHOOSE(CONTROL!$C$22, $C$13, 100%, $E$13)</f>
        <v>10.807700000000001</v>
      </c>
      <c r="H572" s="61">
        <f>18.1913* CHOOSE(CONTROL!$C$22, $C$13, 100%, $E$13)</f>
        <v>18.191299999999998</v>
      </c>
      <c r="I572" s="61">
        <f>18.1915 * CHOOSE(CONTROL!$C$22, $C$13, 100%, $E$13)</f>
        <v>18.191500000000001</v>
      </c>
      <c r="J572" s="61">
        <f>10.8075 * CHOOSE(CONTROL!$C$22, $C$13, 100%, $E$13)</f>
        <v>10.807499999999999</v>
      </c>
      <c r="K572" s="61">
        <f>10.8077 * CHOOSE(CONTROL!$C$22, $C$13, 100%, $E$13)</f>
        <v>10.807700000000001</v>
      </c>
    </row>
    <row r="573" spans="1:11" ht="15">
      <c r="A573" s="13">
        <v>59292</v>
      </c>
      <c r="B573" s="60">
        <f>9.2065 * CHOOSE(CONTROL!$C$22, $C$13, 100%, $E$13)</f>
        <v>9.2065000000000001</v>
      </c>
      <c r="C573" s="60">
        <f>9.2065 * CHOOSE(CONTROL!$C$22, $C$13, 100%, $E$13)</f>
        <v>9.2065000000000001</v>
      </c>
      <c r="D573" s="60">
        <f>9.2316 * CHOOSE(CONTROL!$C$22, $C$13, 100%, $E$13)</f>
        <v>9.2316000000000003</v>
      </c>
      <c r="E573" s="61">
        <f>10.8448 * CHOOSE(CONTROL!$C$22, $C$13, 100%, $E$13)</f>
        <v>10.844799999999999</v>
      </c>
      <c r="F573" s="61">
        <f>10.8448 * CHOOSE(CONTROL!$C$22, $C$13, 100%, $E$13)</f>
        <v>10.844799999999999</v>
      </c>
      <c r="G573" s="61">
        <f>10.8464 * CHOOSE(CONTROL!$C$22, $C$13, 100%, $E$13)</f>
        <v>10.846399999999999</v>
      </c>
      <c r="H573" s="61">
        <f>18.2292* CHOOSE(CONTROL!$C$22, $C$13, 100%, $E$13)</f>
        <v>18.229199999999999</v>
      </c>
      <c r="I573" s="61">
        <f>18.2308 * CHOOSE(CONTROL!$C$22, $C$13, 100%, $E$13)</f>
        <v>18.230799999999999</v>
      </c>
      <c r="J573" s="61">
        <f>10.8448 * CHOOSE(CONTROL!$C$22, $C$13, 100%, $E$13)</f>
        <v>10.844799999999999</v>
      </c>
      <c r="K573" s="61">
        <f>10.8464 * CHOOSE(CONTROL!$C$22, $C$13, 100%, $E$13)</f>
        <v>10.846399999999999</v>
      </c>
    </row>
    <row r="574" spans="1:11" ht="15">
      <c r="A574" s="13">
        <v>59323</v>
      </c>
      <c r="B574" s="60">
        <f>9.2126 * CHOOSE(CONTROL!$C$22, $C$13, 100%, $E$13)</f>
        <v>9.2126000000000001</v>
      </c>
      <c r="C574" s="60">
        <f>9.2126 * CHOOSE(CONTROL!$C$22, $C$13, 100%, $E$13)</f>
        <v>9.2126000000000001</v>
      </c>
      <c r="D574" s="60">
        <f>9.2377 * CHOOSE(CONTROL!$C$22, $C$13, 100%, $E$13)</f>
        <v>9.2377000000000002</v>
      </c>
      <c r="E574" s="61">
        <f>10.8118 * CHOOSE(CONTROL!$C$22, $C$13, 100%, $E$13)</f>
        <v>10.8118</v>
      </c>
      <c r="F574" s="61">
        <f>10.8118 * CHOOSE(CONTROL!$C$22, $C$13, 100%, $E$13)</f>
        <v>10.8118</v>
      </c>
      <c r="G574" s="61">
        <f>10.8134 * CHOOSE(CONTROL!$C$22, $C$13, 100%, $E$13)</f>
        <v>10.8134</v>
      </c>
      <c r="H574" s="61">
        <f>18.2672* CHOOSE(CONTROL!$C$22, $C$13, 100%, $E$13)</f>
        <v>18.267199999999999</v>
      </c>
      <c r="I574" s="61">
        <f>18.2688 * CHOOSE(CONTROL!$C$22, $C$13, 100%, $E$13)</f>
        <v>18.268799999999999</v>
      </c>
      <c r="J574" s="61">
        <f>10.8118 * CHOOSE(CONTROL!$C$22, $C$13, 100%, $E$13)</f>
        <v>10.8118</v>
      </c>
      <c r="K574" s="61">
        <f>10.8134 * CHOOSE(CONTROL!$C$22, $C$13, 100%, $E$13)</f>
        <v>10.8134</v>
      </c>
    </row>
    <row r="575" spans="1:11" ht="15">
      <c r="A575" s="13">
        <v>59353</v>
      </c>
      <c r="B575" s="60">
        <f>9.3605 * CHOOSE(CONTROL!$C$22, $C$13, 100%, $E$13)</f>
        <v>9.3605</v>
      </c>
      <c r="C575" s="60">
        <f>9.3605 * CHOOSE(CONTROL!$C$22, $C$13, 100%, $E$13)</f>
        <v>9.3605</v>
      </c>
      <c r="D575" s="60">
        <f>9.3856 * CHOOSE(CONTROL!$C$22, $C$13, 100%, $E$13)</f>
        <v>9.3856000000000002</v>
      </c>
      <c r="E575" s="61">
        <f>11.0212 * CHOOSE(CONTROL!$C$22, $C$13, 100%, $E$13)</f>
        <v>11.0212</v>
      </c>
      <c r="F575" s="61">
        <f>11.0212 * CHOOSE(CONTROL!$C$22, $C$13, 100%, $E$13)</f>
        <v>11.0212</v>
      </c>
      <c r="G575" s="61">
        <f>11.0228 * CHOOSE(CONTROL!$C$22, $C$13, 100%, $E$13)</f>
        <v>11.0228</v>
      </c>
      <c r="H575" s="61">
        <f>18.3052* CHOOSE(CONTROL!$C$22, $C$13, 100%, $E$13)</f>
        <v>18.305199999999999</v>
      </c>
      <c r="I575" s="61">
        <f>18.3068 * CHOOSE(CONTROL!$C$22, $C$13, 100%, $E$13)</f>
        <v>18.306799999999999</v>
      </c>
      <c r="J575" s="61">
        <f>11.0212 * CHOOSE(CONTROL!$C$22, $C$13, 100%, $E$13)</f>
        <v>11.0212</v>
      </c>
      <c r="K575" s="61">
        <f>11.0228 * CHOOSE(CONTROL!$C$22, $C$13, 100%, $E$13)</f>
        <v>11.0228</v>
      </c>
    </row>
    <row r="576" spans="1:11" ht="15">
      <c r="A576" s="13">
        <v>59384</v>
      </c>
      <c r="B576" s="60">
        <f>9.3672 * CHOOSE(CONTROL!$C$22, $C$13, 100%, $E$13)</f>
        <v>9.3672000000000004</v>
      </c>
      <c r="C576" s="60">
        <f>9.3672 * CHOOSE(CONTROL!$C$22, $C$13, 100%, $E$13)</f>
        <v>9.3672000000000004</v>
      </c>
      <c r="D576" s="60">
        <f>9.3923 * CHOOSE(CONTROL!$C$22, $C$13, 100%, $E$13)</f>
        <v>9.3923000000000005</v>
      </c>
      <c r="E576" s="61">
        <f>10.914 * CHOOSE(CONTROL!$C$22, $C$13, 100%, $E$13)</f>
        <v>10.914</v>
      </c>
      <c r="F576" s="61">
        <f>10.914 * CHOOSE(CONTROL!$C$22, $C$13, 100%, $E$13)</f>
        <v>10.914</v>
      </c>
      <c r="G576" s="61">
        <f>10.9156 * CHOOSE(CONTROL!$C$22, $C$13, 100%, $E$13)</f>
        <v>10.9156</v>
      </c>
      <c r="H576" s="61">
        <f>18.3434* CHOOSE(CONTROL!$C$22, $C$13, 100%, $E$13)</f>
        <v>18.343399999999999</v>
      </c>
      <c r="I576" s="61">
        <f>18.345 * CHOOSE(CONTROL!$C$22, $C$13, 100%, $E$13)</f>
        <v>18.344999999999999</v>
      </c>
      <c r="J576" s="61">
        <f>10.914 * CHOOSE(CONTROL!$C$22, $C$13, 100%, $E$13)</f>
        <v>10.914</v>
      </c>
      <c r="K576" s="61">
        <f>10.9156 * CHOOSE(CONTROL!$C$22, $C$13, 100%, $E$13)</f>
        <v>10.9156</v>
      </c>
    </row>
    <row r="577" spans="1:11" ht="15">
      <c r="A577" s="13">
        <v>59415</v>
      </c>
      <c r="B577" s="60">
        <f>9.3641 * CHOOSE(CONTROL!$C$22, $C$13, 100%, $E$13)</f>
        <v>9.3641000000000005</v>
      </c>
      <c r="C577" s="60">
        <f>9.3641 * CHOOSE(CONTROL!$C$22, $C$13, 100%, $E$13)</f>
        <v>9.3641000000000005</v>
      </c>
      <c r="D577" s="60">
        <f>9.3892 * CHOOSE(CONTROL!$C$22, $C$13, 100%, $E$13)</f>
        <v>9.3892000000000007</v>
      </c>
      <c r="E577" s="61">
        <f>10.8994 * CHOOSE(CONTROL!$C$22, $C$13, 100%, $E$13)</f>
        <v>10.8994</v>
      </c>
      <c r="F577" s="61">
        <f>10.8994 * CHOOSE(CONTROL!$C$22, $C$13, 100%, $E$13)</f>
        <v>10.8994</v>
      </c>
      <c r="G577" s="61">
        <f>10.901 * CHOOSE(CONTROL!$C$22, $C$13, 100%, $E$13)</f>
        <v>10.901</v>
      </c>
      <c r="H577" s="61">
        <f>18.3816* CHOOSE(CONTROL!$C$22, $C$13, 100%, $E$13)</f>
        <v>18.381599999999999</v>
      </c>
      <c r="I577" s="61">
        <f>18.3832 * CHOOSE(CONTROL!$C$22, $C$13, 100%, $E$13)</f>
        <v>18.383199999999999</v>
      </c>
      <c r="J577" s="61">
        <f>10.8994 * CHOOSE(CONTROL!$C$22, $C$13, 100%, $E$13)</f>
        <v>10.8994</v>
      </c>
      <c r="K577" s="61">
        <f>10.901 * CHOOSE(CONTROL!$C$22, $C$13, 100%, $E$13)</f>
        <v>10.901</v>
      </c>
    </row>
    <row r="578" spans="1:11" ht="15">
      <c r="A578" s="13">
        <v>59445</v>
      </c>
      <c r="B578" s="60">
        <f>9.3771 * CHOOSE(CONTROL!$C$22, $C$13, 100%, $E$13)</f>
        <v>9.3771000000000004</v>
      </c>
      <c r="C578" s="60">
        <f>9.3771 * CHOOSE(CONTROL!$C$22, $C$13, 100%, $E$13)</f>
        <v>9.3771000000000004</v>
      </c>
      <c r="D578" s="60">
        <f>9.3897 * CHOOSE(CONTROL!$C$22, $C$13, 100%, $E$13)</f>
        <v>9.3896999999999995</v>
      </c>
      <c r="E578" s="61">
        <f>10.9357 * CHOOSE(CONTROL!$C$22, $C$13, 100%, $E$13)</f>
        <v>10.935700000000001</v>
      </c>
      <c r="F578" s="61">
        <f>10.9357 * CHOOSE(CONTROL!$C$22, $C$13, 100%, $E$13)</f>
        <v>10.935700000000001</v>
      </c>
      <c r="G578" s="61">
        <f>10.9359 * CHOOSE(CONTROL!$C$22, $C$13, 100%, $E$13)</f>
        <v>10.9359</v>
      </c>
      <c r="H578" s="61">
        <f>18.4199* CHOOSE(CONTROL!$C$22, $C$13, 100%, $E$13)</f>
        <v>18.419899999999998</v>
      </c>
      <c r="I578" s="61">
        <f>18.4201 * CHOOSE(CONTROL!$C$22, $C$13, 100%, $E$13)</f>
        <v>18.420100000000001</v>
      </c>
      <c r="J578" s="61">
        <f>10.9357 * CHOOSE(CONTROL!$C$22, $C$13, 100%, $E$13)</f>
        <v>10.935700000000001</v>
      </c>
      <c r="K578" s="61">
        <f>10.9359 * CHOOSE(CONTROL!$C$22, $C$13, 100%, $E$13)</f>
        <v>10.9359</v>
      </c>
    </row>
    <row r="579" spans="1:11" ht="15">
      <c r="A579" s="13">
        <v>59476</v>
      </c>
      <c r="B579" s="60">
        <f>9.3802 * CHOOSE(CONTROL!$C$22, $C$13, 100%, $E$13)</f>
        <v>9.3802000000000003</v>
      </c>
      <c r="C579" s="60">
        <f>9.3802 * CHOOSE(CONTROL!$C$22, $C$13, 100%, $E$13)</f>
        <v>9.3802000000000003</v>
      </c>
      <c r="D579" s="60">
        <f>9.3927 * CHOOSE(CONTROL!$C$22, $C$13, 100%, $E$13)</f>
        <v>9.3926999999999996</v>
      </c>
      <c r="E579" s="61">
        <f>10.9627 * CHOOSE(CONTROL!$C$22, $C$13, 100%, $E$13)</f>
        <v>10.9627</v>
      </c>
      <c r="F579" s="61">
        <f>10.9627 * CHOOSE(CONTROL!$C$22, $C$13, 100%, $E$13)</f>
        <v>10.9627</v>
      </c>
      <c r="G579" s="61">
        <f>10.9629 * CHOOSE(CONTROL!$C$22, $C$13, 100%, $E$13)</f>
        <v>10.962899999999999</v>
      </c>
      <c r="H579" s="61">
        <f>18.4583* CHOOSE(CONTROL!$C$22, $C$13, 100%, $E$13)</f>
        <v>18.458300000000001</v>
      </c>
      <c r="I579" s="61">
        <f>18.4584 * CHOOSE(CONTROL!$C$22, $C$13, 100%, $E$13)</f>
        <v>18.458400000000001</v>
      </c>
      <c r="J579" s="61">
        <f>10.9627 * CHOOSE(CONTROL!$C$22, $C$13, 100%, $E$13)</f>
        <v>10.9627</v>
      </c>
      <c r="K579" s="61">
        <f>10.9629 * CHOOSE(CONTROL!$C$22, $C$13, 100%, $E$13)</f>
        <v>10.962899999999999</v>
      </c>
    </row>
    <row r="580" spans="1:11" ht="15">
      <c r="A580" s="13">
        <v>59506</v>
      </c>
      <c r="B580" s="60">
        <f>9.3802 * CHOOSE(CONTROL!$C$22, $C$13, 100%, $E$13)</f>
        <v>9.3802000000000003</v>
      </c>
      <c r="C580" s="60">
        <f>9.3802 * CHOOSE(CONTROL!$C$22, $C$13, 100%, $E$13)</f>
        <v>9.3802000000000003</v>
      </c>
      <c r="D580" s="60">
        <f>9.3927 * CHOOSE(CONTROL!$C$22, $C$13, 100%, $E$13)</f>
        <v>9.3926999999999996</v>
      </c>
      <c r="E580" s="61">
        <f>10.9005 * CHOOSE(CONTROL!$C$22, $C$13, 100%, $E$13)</f>
        <v>10.900499999999999</v>
      </c>
      <c r="F580" s="61">
        <f>10.9005 * CHOOSE(CONTROL!$C$22, $C$13, 100%, $E$13)</f>
        <v>10.900499999999999</v>
      </c>
      <c r="G580" s="61">
        <f>10.9007 * CHOOSE(CONTROL!$C$22, $C$13, 100%, $E$13)</f>
        <v>10.900700000000001</v>
      </c>
      <c r="H580" s="61">
        <f>18.4967* CHOOSE(CONTROL!$C$22, $C$13, 100%, $E$13)</f>
        <v>18.496700000000001</v>
      </c>
      <c r="I580" s="61">
        <f>18.4969 * CHOOSE(CONTROL!$C$22, $C$13, 100%, $E$13)</f>
        <v>18.4969</v>
      </c>
      <c r="J580" s="61">
        <f>10.9005 * CHOOSE(CONTROL!$C$22, $C$13, 100%, $E$13)</f>
        <v>10.900499999999999</v>
      </c>
      <c r="K580" s="61">
        <f>10.9007 * CHOOSE(CONTROL!$C$22, $C$13, 100%, $E$13)</f>
        <v>10.900700000000001</v>
      </c>
    </row>
    <row r="581" spans="1:11" ht="15">
      <c r="A581" s="13">
        <v>59537</v>
      </c>
      <c r="B581" s="60">
        <f>9.4557 * CHOOSE(CONTROL!$C$22, $C$13, 100%, $E$13)</f>
        <v>9.4557000000000002</v>
      </c>
      <c r="C581" s="60">
        <f>9.4557 * CHOOSE(CONTROL!$C$22, $C$13, 100%, $E$13)</f>
        <v>9.4557000000000002</v>
      </c>
      <c r="D581" s="60">
        <f>9.4683 * CHOOSE(CONTROL!$C$22, $C$13, 100%, $E$13)</f>
        <v>9.4682999999999993</v>
      </c>
      <c r="E581" s="61">
        <f>11.0338 * CHOOSE(CONTROL!$C$22, $C$13, 100%, $E$13)</f>
        <v>11.033799999999999</v>
      </c>
      <c r="F581" s="61">
        <f>11.0338 * CHOOSE(CONTROL!$C$22, $C$13, 100%, $E$13)</f>
        <v>11.033799999999999</v>
      </c>
      <c r="G581" s="61">
        <f>11.034 * CHOOSE(CONTROL!$C$22, $C$13, 100%, $E$13)</f>
        <v>11.034000000000001</v>
      </c>
      <c r="H581" s="61">
        <f>18.524* CHOOSE(CONTROL!$C$22, $C$13, 100%, $E$13)</f>
        <v>18.524000000000001</v>
      </c>
      <c r="I581" s="61">
        <f>18.5242 * CHOOSE(CONTROL!$C$22, $C$13, 100%, $E$13)</f>
        <v>18.5242</v>
      </c>
      <c r="J581" s="61">
        <f>11.0338 * CHOOSE(CONTROL!$C$22, $C$13, 100%, $E$13)</f>
        <v>11.033799999999999</v>
      </c>
      <c r="K581" s="61">
        <f>11.034 * CHOOSE(CONTROL!$C$22, $C$13, 100%, $E$13)</f>
        <v>11.034000000000001</v>
      </c>
    </row>
    <row r="582" spans="1:11" ht="15">
      <c r="A582" s="13">
        <v>59568</v>
      </c>
      <c r="B582" s="60">
        <f>9.4527 * CHOOSE(CONTROL!$C$22, $C$13, 100%, $E$13)</f>
        <v>9.4527000000000001</v>
      </c>
      <c r="C582" s="60">
        <f>9.4527 * CHOOSE(CONTROL!$C$22, $C$13, 100%, $E$13)</f>
        <v>9.4527000000000001</v>
      </c>
      <c r="D582" s="60">
        <f>9.4653 * CHOOSE(CONTROL!$C$22, $C$13, 100%, $E$13)</f>
        <v>9.4652999999999992</v>
      </c>
      <c r="E582" s="61">
        <f>10.9111 * CHOOSE(CONTROL!$C$22, $C$13, 100%, $E$13)</f>
        <v>10.911099999999999</v>
      </c>
      <c r="F582" s="61">
        <f>10.9111 * CHOOSE(CONTROL!$C$22, $C$13, 100%, $E$13)</f>
        <v>10.911099999999999</v>
      </c>
      <c r="G582" s="61">
        <f>10.9113 * CHOOSE(CONTROL!$C$22, $C$13, 100%, $E$13)</f>
        <v>10.911300000000001</v>
      </c>
      <c r="H582" s="61">
        <f>18.5626* CHOOSE(CONTROL!$C$22, $C$13, 100%, $E$13)</f>
        <v>18.5626</v>
      </c>
      <c r="I582" s="61">
        <f>18.5628 * CHOOSE(CONTROL!$C$22, $C$13, 100%, $E$13)</f>
        <v>18.562799999999999</v>
      </c>
      <c r="J582" s="61">
        <f>10.9111 * CHOOSE(CONTROL!$C$22, $C$13, 100%, $E$13)</f>
        <v>10.911099999999999</v>
      </c>
      <c r="K582" s="61">
        <f>10.9113 * CHOOSE(CONTROL!$C$22, $C$13, 100%, $E$13)</f>
        <v>10.911300000000001</v>
      </c>
    </row>
    <row r="583" spans="1:11" ht="15">
      <c r="A583" s="13">
        <v>59596</v>
      </c>
      <c r="B583" s="60">
        <f>9.4497 * CHOOSE(CONTROL!$C$22, $C$13, 100%, $E$13)</f>
        <v>9.4497</v>
      </c>
      <c r="C583" s="60">
        <f>9.4497 * CHOOSE(CONTROL!$C$22, $C$13, 100%, $E$13)</f>
        <v>9.4497</v>
      </c>
      <c r="D583" s="60">
        <f>9.4622 * CHOOSE(CONTROL!$C$22, $C$13, 100%, $E$13)</f>
        <v>9.4621999999999993</v>
      </c>
      <c r="E583" s="61">
        <f>11.0041 * CHOOSE(CONTROL!$C$22, $C$13, 100%, $E$13)</f>
        <v>11.004099999999999</v>
      </c>
      <c r="F583" s="61">
        <f>11.0041 * CHOOSE(CONTROL!$C$22, $C$13, 100%, $E$13)</f>
        <v>11.004099999999999</v>
      </c>
      <c r="G583" s="61">
        <f>11.0042 * CHOOSE(CONTROL!$C$22, $C$13, 100%, $E$13)</f>
        <v>11.004200000000001</v>
      </c>
      <c r="H583" s="61">
        <f>18.6012* CHOOSE(CONTROL!$C$22, $C$13, 100%, $E$13)</f>
        <v>18.601199999999999</v>
      </c>
      <c r="I583" s="61">
        <f>18.6014 * CHOOSE(CONTROL!$C$22, $C$13, 100%, $E$13)</f>
        <v>18.601400000000002</v>
      </c>
      <c r="J583" s="61">
        <f>11.0041 * CHOOSE(CONTROL!$C$22, $C$13, 100%, $E$13)</f>
        <v>11.004099999999999</v>
      </c>
      <c r="K583" s="61">
        <f>11.0042 * CHOOSE(CONTROL!$C$22, $C$13, 100%, $E$13)</f>
        <v>11.004200000000001</v>
      </c>
    </row>
    <row r="584" spans="1:11" ht="15">
      <c r="A584" s="13">
        <v>59627</v>
      </c>
      <c r="B584" s="60">
        <f>9.452 * CHOOSE(CONTROL!$C$22, $C$13, 100%, $E$13)</f>
        <v>9.452</v>
      </c>
      <c r="C584" s="60">
        <f>9.452 * CHOOSE(CONTROL!$C$22, $C$13, 100%, $E$13)</f>
        <v>9.452</v>
      </c>
      <c r="D584" s="60">
        <f>9.4646 * CHOOSE(CONTROL!$C$22, $C$13, 100%, $E$13)</f>
        <v>9.4646000000000008</v>
      </c>
      <c r="E584" s="61">
        <f>11.102 * CHOOSE(CONTROL!$C$22, $C$13, 100%, $E$13)</f>
        <v>11.102</v>
      </c>
      <c r="F584" s="61">
        <f>11.102 * CHOOSE(CONTROL!$C$22, $C$13, 100%, $E$13)</f>
        <v>11.102</v>
      </c>
      <c r="G584" s="61">
        <f>11.1022 * CHOOSE(CONTROL!$C$22, $C$13, 100%, $E$13)</f>
        <v>11.1022</v>
      </c>
      <c r="H584" s="61">
        <f>18.64* CHOOSE(CONTROL!$C$22, $C$13, 100%, $E$13)</f>
        <v>18.64</v>
      </c>
      <c r="I584" s="61">
        <f>18.6402 * CHOOSE(CONTROL!$C$22, $C$13, 100%, $E$13)</f>
        <v>18.6402</v>
      </c>
      <c r="J584" s="61">
        <f>11.102 * CHOOSE(CONTROL!$C$22, $C$13, 100%, $E$13)</f>
        <v>11.102</v>
      </c>
      <c r="K584" s="61">
        <f>11.1022 * CHOOSE(CONTROL!$C$22, $C$13, 100%, $E$13)</f>
        <v>11.1022</v>
      </c>
    </row>
    <row r="585" spans="1:11" ht="15">
      <c r="A585" s="13">
        <v>59657</v>
      </c>
      <c r="B585" s="60">
        <f>9.452 * CHOOSE(CONTROL!$C$22, $C$13, 100%, $E$13)</f>
        <v>9.452</v>
      </c>
      <c r="C585" s="60">
        <f>9.452 * CHOOSE(CONTROL!$C$22, $C$13, 100%, $E$13)</f>
        <v>9.452</v>
      </c>
      <c r="D585" s="60">
        <f>9.4771 * CHOOSE(CONTROL!$C$22, $C$13, 100%, $E$13)</f>
        <v>9.4771000000000001</v>
      </c>
      <c r="E585" s="61">
        <f>11.1403 * CHOOSE(CONTROL!$C$22, $C$13, 100%, $E$13)</f>
        <v>11.1403</v>
      </c>
      <c r="F585" s="61">
        <f>11.1403 * CHOOSE(CONTROL!$C$22, $C$13, 100%, $E$13)</f>
        <v>11.1403</v>
      </c>
      <c r="G585" s="61">
        <f>11.1419 * CHOOSE(CONTROL!$C$22, $C$13, 100%, $E$13)</f>
        <v>11.1419</v>
      </c>
      <c r="H585" s="61">
        <f>18.6788* CHOOSE(CONTROL!$C$22, $C$13, 100%, $E$13)</f>
        <v>18.678799999999999</v>
      </c>
      <c r="I585" s="61">
        <f>18.6804 * CHOOSE(CONTROL!$C$22, $C$13, 100%, $E$13)</f>
        <v>18.680399999999999</v>
      </c>
      <c r="J585" s="61">
        <f>11.1403 * CHOOSE(CONTROL!$C$22, $C$13, 100%, $E$13)</f>
        <v>11.1403</v>
      </c>
      <c r="K585" s="61">
        <f>11.1419 * CHOOSE(CONTROL!$C$22, $C$13, 100%, $E$13)</f>
        <v>11.1419</v>
      </c>
    </row>
    <row r="586" spans="1:11" ht="15">
      <c r="A586" s="13">
        <v>59688</v>
      </c>
      <c r="B586" s="60">
        <f>9.4581 * CHOOSE(CONTROL!$C$22, $C$13, 100%, $E$13)</f>
        <v>9.4581</v>
      </c>
      <c r="C586" s="60">
        <f>9.4581 * CHOOSE(CONTROL!$C$22, $C$13, 100%, $E$13)</f>
        <v>9.4581</v>
      </c>
      <c r="D586" s="60">
        <f>9.4832 * CHOOSE(CONTROL!$C$22, $C$13, 100%, $E$13)</f>
        <v>9.4832000000000001</v>
      </c>
      <c r="E586" s="61">
        <f>11.1062 * CHOOSE(CONTROL!$C$22, $C$13, 100%, $E$13)</f>
        <v>11.106199999999999</v>
      </c>
      <c r="F586" s="61">
        <f>11.1062 * CHOOSE(CONTROL!$C$22, $C$13, 100%, $E$13)</f>
        <v>11.106199999999999</v>
      </c>
      <c r="G586" s="61">
        <f>11.1078 * CHOOSE(CONTROL!$C$22, $C$13, 100%, $E$13)</f>
        <v>11.107799999999999</v>
      </c>
      <c r="H586" s="61">
        <f>18.7177* CHOOSE(CONTROL!$C$22, $C$13, 100%, $E$13)</f>
        <v>18.717700000000001</v>
      </c>
      <c r="I586" s="61">
        <f>18.7193 * CHOOSE(CONTROL!$C$22, $C$13, 100%, $E$13)</f>
        <v>18.7193</v>
      </c>
      <c r="J586" s="61">
        <f>11.1062 * CHOOSE(CONTROL!$C$22, $C$13, 100%, $E$13)</f>
        <v>11.106199999999999</v>
      </c>
      <c r="K586" s="61">
        <f>11.1078 * CHOOSE(CONTROL!$C$22, $C$13, 100%, $E$13)</f>
        <v>11.107799999999999</v>
      </c>
    </row>
    <row r="587" spans="1:11" ht="15">
      <c r="A587" s="13">
        <v>59718</v>
      </c>
      <c r="B587" s="60">
        <f>9.6097 * CHOOSE(CONTROL!$C$22, $C$13, 100%, $E$13)</f>
        <v>9.6097000000000001</v>
      </c>
      <c r="C587" s="60">
        <f>9.6097 * CHOOSE(CONTROL!$C$22, $C$13, 100%, $E$13)</f>
        <v>9.6097000000000001</v>
      </c>
      <c r="D587" s="60">
        <f>9.6348 * CHOOSE(CONTROL!$C$22, $C$13, 100%, $E$13)</f>
        <v>9.6348000000000003</v>
      </c>
      <c r="E587" s="61">
        <f>11.321 * CHOOSE(CONTROL!$C$22, $C$13, 100%, $E$13)</f>
        <v>11.321</v>
      </c>
      <c r="F587" s="61">
        <f>11.321 * CHOOSE(CONTROL!$C$22, $C$13, 100%, $E$13)</f>
        <v>11.321</v>
      </c>
      <c r="G587" s="61">
        <f>11.3226 * CHOOSE(CONTROL!$C$22, $C$13, 100%, $E$13)</f>
        <v>11.3226</v>
      </c>
      <c r="H587" s="61">
        <f>18.7567* CHOOSE(CONTROL!$C$22, $C$13, 100%, $E$13)</f>
        <v>18.756699999999999</v>
      </c>
      <c r="I587" s="61">
        <f>18.7583 * CHOOSE(CONTROL!$C$22, $C$13, 100%, $E$13)</f>
        <v>18.758299999999998</v>
      </c>
      <c r="J587" s="61">
        <f>11.321 * CHOOSE(CONTROL!$C$22, $C$13, 100%, $E$13)</f>
        <v>11.321</v>
      </c>
      <c r="K587" s="61">
        <f>11.3226 * CHOOSE(CONTROL!$C$22, $C$13, 100%, $E$13)</f>
        <v>11.3226</v>
      </c>
    </row>
    <row r="588" spans="1:11" ht="15">
      <c r="A588" s="13">
        <v>59749</v>
      </c>
      <c r="B588" s="60">
        <f>9.6164 * CHOOSE(CONTROL!$C$22, $C$13, 100%, $E$13)</f>
        <v>9.6164000000000005</v>
      </c>
      <c r="C588" s="60">
        <f>9.6164 * CHOOSE(CONTROL!$C$22, $C$13, 100%, $E$13)</f>
        <v>9.6164000000000005</v>
      </c>
      <c r="D588" s="60">
        <f>9.6415 * CHOOSE(CONTROL!$C$22, $C$13, 100%, $E$13)</f>
        <v>9.6415000000000006</v>
      </c>
      <c r="E588" s="61">
        <f>11.2108 * CHOOSE(CONTROL!$C$22, $C$13, 100%, $E$13)</f>
        <v>11.210800000000001</v>
      </c>
      <c r="F588" s="61">
        <f>11.2108 * CHOOSE(CONTROL!$C$22, $C$13, 100%, $E$13)</f>
        <v>11.210800000000001</v>
      </c>
      <c r="G588" s="61">
        <f>11.2124 * CHOOSE(CONTROL!$C$22, $C$13, 100%, $E$13)</f>
        <v>11.212400000000001</v>
      </c>
      <c r="H588" s="61">
        <f>18.7958* CHOOSE(CONTROL!$C$22, $C$13, 100%, $E$13)</f>
        <v>18.7958</v>
      </c>
      <c r="I588" s="61">
        <f>18.7974 * CHOOSE(CONTROL!$C$22, $C$13, 100%, $E$13)</f>
        <v>18.7974</v>
      </c>
      <c r="J588" s="61">
        <f>11.2108 * CHOOSE(CONTROL!$C$22, $C$13, 100%, $E$13)</f>
        <v>11.210800000000001</v>
      </c>
      <c r="K588" s="61">
        <f>11.2124 * CHOOSE(CONTROL!$C$22, $C$13, 100%, $E$13)</f>
        <v>11.212400000000001</v>
      </c>
    </row>
    <row r="589" spans="1:11" ht="15">
      <c r="A589" s="13">
        <v>59780</v>
      </c>
      <c r="B589" s="60">
        <f>9.6134 * CHOOSE(CONTROL!$C$22, $C$13, 100%, $E$13)</f>
        <v>9.6134000000000004</v>
      </c>
      <c r="C589" s="60">
        <f>9.6134 * CHOOSE(CONTROL!$C$22, $C$13, 100%, $E$13)</f>
        <v>9.6134000000000004</v>
      </c>
      <c r="D589" s="60">
        <f>9.6384 * CHOOSE(CONTROL!$C$22, $C$13, 100%, $E$13)</f>
        <v>9.6384000000000007</v>
      </c>
      <c r="E589" s="61">
        <f>11.1959 * CHOOSE(CONTROL!$C$22, $C$13, 100%, $E$13)</f>
        <v>11.1959</v>
      </c>
      <c r="F589" s="61">
        <f>11.1959 * CHOOSE(CONTROL!$C$22, $C$13, 100%, $E$13)</f>
        <v>11.1959</v>
      </c>
      <c r="G589" s="61">
        <f>11.1975 * CHOOSE(CONTROL!$C$22, $C$13, 100%, $E$13)</f>
        <v>11.1975</v>
      </c>
      <c r="H589" s="61">
        <f>18.835* CHOOSE(CONTROL!$C$22, $C$13, 100%, $E$13)</f>
        <v>18.835000000000001</v>
      </c>
      <c r="I589" s="61">
        <f>18.8366 * CHOOSE(CONTROL!$C$22, $C$13, 100%, $E$13)</f>
        <v>18.836600000000001</v>
      </c>
      <c r="J589" s="61">
        <f>11.1959 * CHOOSE(CONTROL!$C$22, $C$13, 100%, $E$13)</f>
        <v>11.1959</v>
      </c>
      <c r="K589" s="61">
        <f>11.1975 * CHOOSE(CONTROL!$C$22, $C$13, 100%, $E$13)</f>
        <v>11.1975</v>
      </c>
    </row>
    <row r="590" spans="1:11" ht="15">
      <c r="A590" s="13">
        <v>59810</v>
      </c>
      <c r="B590" s="60">
        <f>9.6271 * CHOOSE(CONTROL!$C$22, $C$13, 100%, $E$13)</f>
        <v>9.6271000000000004</v>
      </c>
      <c r="C590" s="60">
        <f>9.6271 * CHOOSE(CONTROL!$C$22, $C$13, 100%, $E$13)</f>
        <v>9.6271000000000004</v>
      </c>
      <c r="D590" s="60">
        <f>9.6397 * CHOOSE(CONTROL!$C$22, $C$13, 100%, $E$13)</f>
        <v>9.6396999999999995</v>
      </c>
      <c r="E590" s="61">
        <f>11.2336 * CHOOSE(CONTROL!$C$22, $C$13, 100%, $E$13)</f>
        <v>11.233599999999999</v>
      </c>
      <c r="F590" s="61">
        <f>11.2336 * CHOOSE(CONTROL!$C$22, $C$13, 100%, $E$13)</f>
        <v>11.233599999999999</v>
      </c>
      <c r="G590" s="61">
        <f>11.2337 * CHOOSE(CONTROL!$C$22, $C$13, 100%, $E$13)</f>
        <v>11.233700000000001</v>
      </c>
      <c r="H590" s="61">
        <f>18.8742* CHOOSE(CONTROL!$C$22, $C$13, 100%, $E$13)</f>
        <v>18.874199999999998</v>
      </c>
      <c r="I590" s="61">
        <f>18.8744 * CHOOSE(CONTROL!$C$22, $C$13, 100%, $E$13)</f>
        <v>18.874400000000001</v>
      </c>
      <c r="J590" s="61">
        <f>11.2336 * CHOOSE(CONTROL!$C$22, $C$13, 100%, $E$13)</f>
        <v>11.233599999999999</v>
      </c>
      <c r="K590" s="61">
        <f>11.2337 * CHOOSE(CONTROL!$C$22, $C$13, 100%, $E$13)</f>
        <v>11.233700000000001</v>
      </c>
    </row>
    <row r="591" spans="1:11" ht="15">
      <c r="A591" s="13">
        <v>59841</v>
      </c>
      <c r="B591" s="60">
        <f>9.6302 * CHOOSE(CONTROL!$C$22, $C$13, 100%, $E$13)</f>
        <v>9.6302000000000003</v>
      </c>
      <c r="C591" s="60">
        <f>9.6302 * CHOOSE(CONTROL!$C$22, $C$13, 100%, $E$13)</f>
        <v>9.6302000000000003</v>
      </c>
      <c r="D591" s="60">
        <f>9.6427 * CHOOSE(CONTROL!$C$22, $C$13, 100%, $E$13)</f>
        <v>9.6426999999999996</v>
      </c>
      <c r="E591" s="61">
        <f>11.2612 * CHOOSE(CONTROL!$C$22, $C$13, 100%, $E$13)</f>
        <v>11.261200000000001</v>
      </c>
      <c r="F591" s="61">
        <f>11.2612 * CHOOSE(CONTROL!$C$22, $C$13, 100%, $E$13)</f>
        <v>11.261200000000001</v>
      </c>
      <c r="G591" s="61">
        <f>11.2614 * CHOOSE(CONTROL!$C$22, $C$13, 100%, $E$13)</f>
        <v>11.2614</v>
      </c>
      <c r="H591" s="61">
        <f>18.9135* CHOOSE(CONTROL!$C$22, $C$13, 100%, $E$13)</f>
        <v>18.913499999999999</v>
      </c>
      <c r="I591" s="61">
        <f>18.9137 * CHOOSE(CONTROL!$C$22, $C$13, 100%, $E$13)</f>
        <v>18.913699999999999</v>
      </c>
      <c r="J591" s="61">
        <f>11.2612 * CHOOSE(CONTROL!$C$22, $C$13, 100%, $E$13)</f>
        <v>11.261200000000001</v>
      </c>
      <c r="K591" s="61">
        <f>11.2614 * CHOOSE(CONTROL!$C$22, $C$13, 100%, $E$13)</f>
        <v>11.2614</v>
      </c>
    </row>
    <row r="592" spans="1:11" ht="15">
      <c r="A592" s="13">
        <v>59871</v>
      </c>
      <c r="B592" s="60">
        <f>9.6302 * CHOOSE(CONTROL!$C$22, $C$13, 100%, $E$13)</f>
        <v>9.6302000000000003</v>
      </c>
      <c r="C592" s="60">
        <f>9.6302 * CHOOSE(CONTROL!$C$22, $C$13, 100%, $E$13)</f>
        <v>9.6302000000000003</v>
      </c>
      <c r="D592" s="60">
        <f>9.6427 * CHOOSE(CONTROL!$C$22, $C$13, 100%, $E$13)</f>
        <v>9.6426999999999996</v>
      </c>
      <c r="E592" s="61">
        <f>11.1974 * CHOOSE(CONTROL!$C$22, $C$13, 100%, $E$13)</f>
        <v>11.1974</v>
      </c>
      <c r="F592" s="61">
        <f>11.1974 * CHOOSE(CONTROL!$C$22, $C$13, 100%, $E$13)</f>
        <v>11.1974</v>
      </c>
      <c r="G592" s="61">
        <f>11.1976 * CHOOSE(CONTROL!$C$22, $C$13, 100%, $E$13)</f>
        <v>11.1976</v>
      </c>
      <c r="H592" s="61">
        <f>18.9529* CHOOSE(CONTROL!$C$22, $C$13, 100%, $E$13)</f>
        <v>18.9529</v>
      </c>
      <c r="I592" s="61">
        <f>18.9531 * CHOOSE(CONTROL!$C$22, $C$13, 100%, $E$13)</f>
        <v>18.953099999999999</v>
      </c>
      <c r="J592" s="61">
        <f>11.1974 * CHOOSE(CONTROL!$C$22, $C$13, 100%, $E$13)</f>
        <v>11.1974</v>
      </c>
      <c r="K592" s="61">
        <f>11.1976 * CHOOSE(CONTROL!$C$22, $C$13, 100%, $E$13)</f>
        <v>11.1976</v>
      </c>
    </row>
    <row r="593" spans="1:11" ht="15">
      <c r="A593" s="13">
        <v>59902</v>
      </c>
      <c r="B593" s="60">
        <f>9.7011 * CHOOSE(CONTROL!$C$22, $C$13, 100%, $E$13)</f>
        <v>9.7011000000000003</v>
      </c>
      <c r="C593" s="60">
        <f>9.7011 * CHOOSE(CONTROL!$C$22, $C$13, 100%, $E$13)</f>
        <v>9.7011000000000003</v>
      </c>
      <c r="D593" s="60">
        <f>9.7136 * CHOOSE(CONTROL!$C$22, $C$13, 100%, $E$13)</f>
        <v>9.7135999999999996</v>
      </c>
      <c r="E593" s="61">
        <f>11.3263 * CHOOSE(CONTROL!$C$22, $C$13, 100%, $E$13)</f>
        <v>11.3263</v>
      </c>
      <c r="F593" s="61">
        <f>11.3263 * CHOOSE(CONTROL!$C$22, $C$13, 100%, $E$13)</f>
        <v>11.3263</v>
      </c>
      <c r="G593" s="61">
        <f>11.3264 * CHOOSE(CONTROL!$C$22, $C$13, 100%, $E$13)</f>
        <v>11.3264</v>
      </c>
      <c r="H593" s="61">
        <f>18.9699* CHOOSE(CONTROL!$C$22, $C$13, 100%, $E$13)</f>
        <v>18.969899999999999</v>
      </c>
      <c r="I593" s="61">
        <f>18.97 * CHOOSE(CONTROL!$C$22, $C$13, 100%, $E$13)</f>
        <v>18.97</v>
      </c>
      <c r="J593" s="61">
        <f>11.3263 * CHOOSE(CONTROL!$C$22, $C$13, 100%, $E$13)</f>
        <v>11.3263</v>
      </c>
      <c r="K593" s="61">
        <f>11.3264 * CHOOSE(CONTROL!$C$22, $C$13, 100%, $E$13)</f>
        <v>11.3264</v>
      </c>
    </row>
    <row r="594" spans="1:11" ht="15">
      <c r="A594" s="13">
        <v>59933</v>
      </c>
      <c r="B594" s="60">
        <f>9.698 * CHOOSE(CONTROL!$C$22, $C$13, 100%, $E$13)</f>
        <v>9.6980000000000004</v>
      </c>
      <c r="C594" s="60">
        <f>9.698 * CHOOSE(CONTROL!$C$22, $C$13, 100%, $E$13)</f>
        <v>9.6980000000000004</v>
      </c>
      <c r="D594" s="60">
        <f>9.7106 * CHOOSE(CONTROL!$C$22, $C$13, 100%, $E$13)</f>
        <v>9.7105999999999995</v>
      </c>
      <c r="E594" s="61">
        <f>11.2003 * CHOOSE(CONTROL!$C$22, $C$13, 100%, $E$13)</f>
        <v>11.2003</v>
      </c>
      <c r="F594" s="61">
        <f>11.2003 * CHOOSE(CONTROL!$C$22, $C$13, 100%, $E$13)</f>
        <v>11.2003</v>
      </c>
      <c r="G594" s="61">
        <f>11.2005 * CHOOSE(CONTROL!$C$22, $C$13, 100%, $E$13)</f>
        <v>11.2005</v>
      </c>
      <c r="H594" s="61">
        <f>19.0094* CHOOSE(CONTROL!$C$22, $C$13, 100%, $E$13)</f>
        <v>19.009399999999999</v>
      </c>
      <c r="I594" s="61">
        <f>19.0096 * CHOOSE(CONTROL!$C$22, $C$13, 100%, $E$13)</f>
        <v>19.009599999999999</v>
      </c>
      <c r="J594" s="61">
        <f>11.2003 * CHOOSE(CONTROL!$C$22, $C$13, 100%, $E$13)</f>
        <v>11.2003</v>
      </c>
      <c r="K594" s="61">
        <f>11.2005 * CHOOSE(CONTROL!$C$22, $C$13, 100%, $E$13)</f>
        <v>11.2005</v>
      </c>
    </row>
    <row r="595" spans="1:11" ht="15">
      <c r="A595" s="13">
        <v>59962</v>
      </c>
      <c r="B595" s="60">
        <f>9.695 * CHOOSE(CONTROL!$C$22, $C$13, 100%, $E$13)</f>
        <v>9.6950000000000003</v>
      </c>
      <c r="C595" s="60">
        <f>9.695 * CHOOSE(CONTROL!$C$22, $C$13, 100%, $E$13)</f>
        <v>9.6950000000000003</v>
      </c>
      <c r="D595" s="60">
        <f>9.7075 * CHOOSE(CONTROL!$C$22, $C$13, 100%, $E$13)</f>
        <v>9.7074999999999996</v>
      </c>
      <c r="E595" s="61">
        <f>11.2958 * CHOOSE(CONTROL!$C$22, $C$13, 100%, $E$13)</f>
        <v>11.2958</v>
      </c>
      <c r="F595" s="61">
        <f>11.2958 * CHOOSE(CONTROL!$C$22, $C$13, 100%, $E$13)</f>
        <v>11.2958</v>
      </c>
      <c r="G595" s="61">
        <f>11.296 * CHOOSE(CONTROL!$C$22, $C$13, 100%, $E$13)</f>
        <v>11.295999999999999</v>
      </c>
      <c r="H595" s="61">
        <f>19.049* CHOOSE(CONTROL!$C$22, $C$13, 100%, $E$13)</f>
        <v>19.048999999999999</v>
      </c>
      <c r="I595" s="61">
        <f>19.0492 * CHOOSE(CONTROL!$C$22, $C$13, 100%, $E$13)</f>
        <v>19.049199999999999</v>
      </c>
      <c r="J595" s="61">
        <f>11.2958 * CHOOSE(CONTROL!$C$22, $C$13, 100%, $E$13)</f>
        <v>11.2958</v>
      </c>
      <c r="K595" s="61">
        <f>11.296 * CHOOSE(CONTROL!$C$22, $C$13, 100%, $E$13)</f>
        <v>11.295999999999999</v>
      </c>
    </row>
    <row r="596" spans="1:11" ht="15">
      <c r="A596" s="13">
        <v>59993</v>
      </c>
      <c r="B596" s="60">
        <f>9.6976 * CHOOSE(CONTROL!$C$22, $C$13, 100%, $E$13)</f>
        <v>9.6975999999999996</v>
      </c>
      <c r="C596" s="60">
        <f>9.6976 * CHOOSE(CONTROL!$C$22, $C$13, 100%, $E$13)</f>
        <v>9.6975999999999996</v>
      </c>
      <c r="D596" s="60">
        <f>9.7101 * CHOOSE(CONTROL!$C$22, $C$13, 100%, $E$13)</f>
        <v>9.7101000000000006</v>
      </c>
      <c r="E596" s="61">
        <f>11.3964 * CHOOSE(CONTROL!$C$22, $C$13, 100%, $E$13)</f>
        <v>11.3964</v>
      </c>
      <c r="F596" s="61">
        <f>11.3964 * CHOOSE(CONTROL!$C$22, $C$13, 100%, $E$13)</f>
        <v>11.3964</v>
      </c>
      <c r="G596" s="61">
        <f>11.3966 * CHOOSE(CONTROL!$C$22, $C$13, 100%, $E$13)</f>
        <v>11.396599999999999</v>
      </c>
      <c r="H596" s="61">
        <f>19.0887* CHOOSE(CONTROL!$C$22, $C$13, 100%, $E$13)</f>
        <v>19.088699999999999</v>
      </c>
      <c r="I596" s="61">
        <f>19.0889 * CHOOSE(CONTROL!$C$22, $C$13, 100%, $E$13)</f>
        <v>19.088899999999999</v>
      </c>
      <c r="J596" s="61">
        <f>11.3964 * CHOOSE(CONTROL!$C$22, $C$13, 100%, $E$13)</f>
        <v>11.3964</v>
      </c>
      <c r="K596" s="61">
        <f>11.3966 * CHOOSE(CONTROL!$C$22, $C$13, 100%, $E$13)</f>
        <v>11.396599999999999</v>
      </c>
    </row>
    <row r="597" spans="1:11" ht="15">
      <c r="A597" s="13">
        <v>60023</v>
      </c>
      <c r="B597" s="60">
        <f>9.6976 * CHOOSE(CONTROL!$C$22, $C$13, 100%, $E$13)</f>
        <v>9.6975999999999996</v>
      </c>
      <c r="C597" s="60">
        <f>9.6976 * CHOOSE(CONTROL!$C$22, $C$13, 100%, $E$13)</f>
        <v>9.6975999999999996</v>
      </c>
      <c r="D597" s="60">
        <f>9.7227 * CHOOSE(CONTROL!$C$22, $C$13, 100%, $E$13)</f>
        <v>9.7226999999999997</v>
      </c>
      <c r="E597" s="61">
        <f>11.4357 * CHOOSE(CONTROL!$C$22, $C$13, 100%, $E$13)</f>
        <v>11.435700000000001</v>
      </c>
      <c r="F597" s="61">
        <f>11.4357 * CHOOSE(CONTROL!$C$22, $C$13, 100%, $E$13)</f>
        <v>11.435700000000001</v>
      </c>
      <c r="G597" s="61">
        <f>11.4373 * CHOOSE(CONTROL!$C$22, $C$13, 100%, $E$13)</f>
        <v>11.4373</v>
      </c>
      <c r="H597" s="61">
        <f>19.1284* CHOOSE(CONTROL!$C$22, $C$13, 100%, $E$13)</f>
        <v>19.128399999999999</v>
      </c>
      <c r="I597" s="61">
        <f>19.1301 * CHOOSE(CONTROL!$C$22, $C$13, 100%, $E$13)</f>
        <v>19.130099999999999</v>
      </c>
      <c r="J597" s="61">
        <f>11.4357 * CHOOSE(CONTROL!$C$22, $C$13, 100%, $E$13)</f>
        <v>11.435700000000001</v>
      </c>
      <c r="K597" s="61">
        <f>11.4373 * CHOOSE(CONTROL!$C$22, $C$13, 100%, $E$13)</f>
        <v>11.4373</v>
      </c>
    </row>
    <row r="598" spans="1:11" ht="15">
      <c r="A598" s="13">
        <v>60054</v>
      </c>
      <c r="B598" s="60">
        <f>9.7037 * CHOOSE(CONTROL!$C$22, $C$13, 100%, $E$13)</f>
        <v>9.7036999999999995</v>
      </c>
      <c r="C598" s="60">
        <f>9.7037 * CHOOSE(CONTROL!$C$22, $C$13, 100%, $E$13)</f>
        <v>9.7036999999999995</v>
      </c>
      <c r="D598" s="60">
        <f>9.7287 * CHOOSE(CONTROL!$C$22, $C$13, 100%, $E$13)</f>
        <v>9.7286999999999999</v>
      </c>
      <c r="E598" s="61">
        <f>11.4007 * CHOOSE(CONTROL!$C$22, $C$13, 100%, $E$13)</f>
        <v>11.400700000000001</v>
      </c>
      <c r="F598" s="61">
        <f>11.4007 * CHOOSE(CONTROL!$C$22, $C$13, 100%, $E$13)</f>
        <v>11.400700000000001</v>
      </c>
      <c r="G598" s="61">
        <f>11.4023 * CHOOSE(CONTROL!$C$22, $C$13, 100%, $E$13)</f>
        <v>11.4023</v>
      </c>
      <c r="H598" s="61">
        <f>19.1683* CHOOSE(CONTROL!$C$22, $C$13, 100%, $E$13)</f>
        <v>19.168299999999999</v>
      </c>
      <c r="I598" s="61">
        <f>19.1699 * CHOOSE(CONTROL!$C$22, $C$13, 100%, $E$13)</f>
        <v>19.169899999999998</v>
      </c>
      <c r="J598" s="61">
        <f>11.4007 * CHOOSE(CONTROL!$C$22, $C$13, 100%, $E$13)</f>
        <v>11.400700000000001</v>
      </c>
      <c r="K598" s="61">
        <f>11.4023 * CHOOSE(CONTROL!$C$22, $C$13, 100%, $E$13)</f>
        <v>11.4023</v>
      </c>
    </row>
    <row r="599" spans="1:11" ht="15">
      <c r="A599" s="13">
        <v>60084</v>
      </c>
      <c r="B599" s="60">
        <f>9.8589 * CHOOSE(CONTROL!$C$22, $C$13, 100%, $E$13)</f>
        <v>9.8589000000000002</v>
      </c>
      <c r="C599" s="60">
        <f>9.8589 * CHOOSE(CONTROL!$C$22, $C$13, 100%, $E$13)</f>
        <v>9.8589000000000002</v>
      </c>
      <c r="D599" s="60">
        <f>9.884 * CHOOSE(CONTROL!$C$22, $C$13, 100%, $E$13)</f>
        <v>9.8840000000000003</v>
      </c>
      <c r="E599" s="61">
        <f>11.6209 * CHOOSE(CONTROL!$C$22, $C$13, 100%, $E$13)</f>
        <v>11.620900000000001</v>
      </c>
      <c r="F599" s="61">
        <f>11.6209 * CHOOSE(CONTROL!$C$22, $C$13, 100%, $E$13)</f>
        <v>11.620900000000001</v>
      </c>
      <c r="G599" s="61">
        <f>11.6225 * CHOOSE(CONTROL!$C$22, $C$13, 100%, $E$13)</f>
        <v>11.6225</v>
      </c>
      <c r="H599" s="61">
        <f>19.2082* CHOOSE(CONTROL!$C$22, $C$13, 100%, $E$13)</f>
        <v>19.208200000000001</v>
      </c>
      <c r="I599" s="61">
        <f>19.2098 * CHOOSE(CONTROL!$C$22, $C$13, 100%, $E$13)</f>
        <v>19.209800000000001</v>
      </c>
      <c r="J599" s="61">
        <f>11.6209 * CHOOSE(CONTROL!$C$22, $C$13, 100%, $E$13)</f>
        <v>11.620900000000001</v>
      </c>
      <c r="K599" s="61">
        <f>11.6225 * CHOOSE(CONTROL!$C$22, $C$13, 100%, $E$13)</f>
        <v>11.6225</v>
      </c>
    </row>
    <row r="600" spans="1:11" ht="15">
      <c r="A600" s="13">
        <v>60115</v>
      </c>
      <c r="B600" s="60">
        <f>9.8656 * CHOOSE(CONTROL!$C$22, $C$13, 100%, $E$13)</f>
        <v>9.8656000000000006</v>
      </c>
      <c r="C600" s="60">
        <f>9.8656 * CHOOSE(CONTROL!$C$22, $C$13, 100%, $E$13)</f>
        <v>9.8656000000000006</v>
      </c>
      <c r="D600" s="60">
        <f>9.8907 * CHOOSE(CONTROL!$C$22, $C$13, 100%, $E$13)</f>
        <v>9.8907000000000007</v>
      </c>
      <c r="E600" s="61">
        <f>11.5076 * CHOOSE(CONTROL!$C$22, $C$13, 100%, $E$13)</f>
        <v>11.5076</v>
      </c>
      <c r="F600" s="61">
        <f>11.5076 * CHOOSE(CONTROL!$C$22, $C$13, 100%, $E$13)</f>
        <v>11.5076</v>
      </c>
      <c r="G600" s="61">
        <f>11.5092 * CHOOSE(CONTROL!$C$22, $C$13, 100%, $E$13)</f>
        <v>11.5092</v>
      </c>
      <c r="H600" s="61">
        <f>19.2483* CHOOSE(CONTROL!$C$22, $C$13, 100%, $E$13)</f>
        <v>19.2483</v>
      </c>
      <c r="I600" s="61">
        <f>19.2499 * CHOOSE(CONTROL!$C$22, $C$13, 100%, $E$13)</f>
        <v>19.2499</v>
      </c>
      <c r="J600" s="61">
        <f>11.5076 * CHOOSE(CONTROL!$C$22, $C$13, 100%, $E$13)</f>
        <v>11.5076</v>
      </c>
      <c r="K600" s="61">
        <f>11.5092 * CHOOSE(CONTROL!$C$22, $C$13, 100%, $E$13)</f>
        <v>11.5092</v>
      </c>
    </row>
    <row r="601" spans="1:11" ht="15">
      <c r="A601" s="13">
        <v>60146</v>
      </c>
      <c r="B601" s="60">
        <f>9.8626 * CHOOSE(CONTROL!$C$22, $C$13, 100%, $E$13)</f>
        <v>9.8626000000000005</v>
      </c>
      <c r="C601" s="60">
        <f>9.8626 * CHOOSE(CONTROL!$C$22, $C$13, 100%, $E$13)</f>
        <v>9.8626000000000005</v>
      </c>
      <c r="D601" s="60">
        <f>9.8877 * CHOOSE(CONTROL!$C$22, $C$13, 100%, $E$13)</f>
        <v>9.8877000000000006</v>
      </c>
      <c r="E601" s="61">
        <f>11.4924 * CHOOSE(CONTROL!$C$22, $C$13, 100%, $E$13)</f>
        <v>11.4924</v>
      </c>
      <c r="F601" s="61">
        <f>11.4924 * CHOOSE(CONTROL!$C$22, $C$13, 100%, $E$13)</f>
        <v>11.4924</v>
      </c>
      <c r="G601" s="61">
        <f>11.494 * CHOOSE(CONTROL!$C$22, $C$13, 100%, $E$13)</f>
        <v>11.494</v>
      </c>
      <c r="H601" s="61">
        <f>19.2884* CHOOSE(CONTROL!$C$22, $C$13, 100%, $E$13)</f>
        <v>19.288399999999999</v>
      </c>
      <c r="I601" s="61">
        <f>19.29 * CHOOSE(CONTROL!$C$22, $C$13, 100%, $E$13)</f>
        <v>19.29</v>
      </c>
      <c r="J601" s="61">
        <f>11.4924 * CHOOSE(CONTROL!$C$22, $C$13, 100%, $E$13)</f>
        <v>11.4924</v>
      </c>
      <c r="K601" s="61">
        <f>11.494 * CHOOSE(CONTROL!$C$22, $C$13, 100%, $E$13)</f>
        <v>11.494</v>
      </c>
    </row>
    <row r="602" spans="1:11" ht="15">
      <c r="A602" s="13">
        <v>60176</v>
      </c>
      <c r="B602" s="60">
        <f>9.8772 * CHOOSE(CONTROL!$C$22, $C$13, 100%, $E$13)</f>
        <v>9.8772000000000002</v>
      </c>
      <c r="C602" s="60">
        <f>9.8772 * CHOOSE(CONTROL!$C$22, $C$13, 100%, $E$13)</f>
        <v>9.8772000000000002</v>
      </c>
      <c r="D602" s="60">
        <f>9.8897 * CHOOSE(CONTROL!$C$22, $C$13, 100%, $E$13)</f>
        <v>9.8896999999999995</v>
      </c>
      <c r="E602" s="61">
        <f>11.5314 * CHOOSE(CONTROL!$C$22, $C$13, 100%, $E$13)</f>
        <v>11.5314</v>
      </c>
      <c r="F602" s="61">
        <f>11.5314 * CHOOSE(CONTROL!$C$22, $C$13, 100%, $E$13)</f>
        <v>11.5314</v>
      </c>
      <c r="G602" s="61">
        <f>11.5316 * CHOOSE(CONTROL!$C$22, $C$13, 100%, $E$13)</f>
        <v>11.531599999999999</v>
      </c>
      <c r="H602" s="61">
        <f>19.3285* CHOOSE(CONTROL!$C$22, $C$13, 100%, $E$13)</f>
        <v>19.328499999999998</v>
      </c>
      <c r="I602" s="61">
        <f>19.3287 * CHOOSE(CONTROL!$C$22, $C$13, 100%, $E$13)</f>
        <v>19.328700000000001</v>
      </c>
      <c r="J602" s="61">
        <f>11.5314 * CHOOSE(CONTROL!$C$22, $C$13, 100%, $E$13)</f>
        <v>11.5314</v>
      </c>
      <c r="K602" s="61">
        <f>11.5316 * CHOOSE(CONTROL!$C$22, $C$13, 100%, $E$13)</f>
        <v>11.531599999999999</v>
      </c>
    </row>
    <row r="603" spans="1:11" ht="15">
      <c r="A603" s="13">
        <v>60207</v>
      </c>
      <c r="B603" s="60">
        <f>9.8802 * CHOOSE(CONTROL!$C$22, $C$13, 100%, $E$13)</f>
        <v>9.8802000000000003</v>
      </c>
      <c r="C603" s="60">
        <f>9.8802 * CHOOSE(CONTROL!$C$22, $C$13, 100%, $E$13)</f>
        <v>9.8802000000000003</v>
      </c>
      <c r="D603" s="60">
        <f>9.8927 * CHOOSE(CONTROL!$C$22, $C$13, 100%, $E$13)</f>
        <v>9.8926999999999996</v>
      </c>
      <c r="E603" s="61">
        <f>11.5597 * CHOOSE(CONTROL!$C$22, $C$13, 100%, $E$13)</f>
        <v>11.559699999999999</v>
      </c>
      <c r="F603" s="61">
        <f>11.5597 * CHOOSE(CONTROL!$C$22, $C$13, 100%, $E$13)</f>
        <v>11.559699999999999</v>
      </c>
      <c r="G603" s="61">
        <f>11.5599 * CHOOSE(CONTROL!$C$22, $C$13, 100%, $E$13)</f>
        <v>11.559900000000001</v>
      </c>
      <c r="H603" s="61">
        <f>19.3688* CHOOSE(CONTROL!$C$22, $C$13, 100%, $E$13)</f>
        <v>19.3688</v>
      </c>
      <c r="I603" s="61">
        <f>19.369 * CHOOSE(CONTROL!$C$22, $C$13, 100%, $E$13)</f>
        <v>19.369</v>
      </c>
      <c r="J603" s="61">
        <f>11.5597 * CHOOSE(CONTROL!$C$22, $C$13, 100%, $E$13)</f>
        <v>11.559699999999999</v>
      </c>
      <c r="K603" s="61">
        <f>11.5599 * CHOOSE(CONTROL!$C$22, $C$13, 100%, $E$13)</f>
        <v>11.559900000000001</v>
      </c>
    </row>
    <row r="604" spans="1:11" ht="15">
      <c r="A604" s="13">
        <v>60237</v>
      </c>
      <c r="B604" s="60">
        <f>9.8802 * CHOOSE(CONTROL!$C$22, $C$13, 100%, $E$13)</f>
        <v>9.8802000000000003</v>
      </c>
      <c r="C604" s="60">
        <f>9.8802 * CHOOSE(CONTROL!$C$22, $C$13, 100%, $E$13)</f>
        <v>9.8802000000000003</v>
      </c>
      <c r="D604" s="60">
        <f>9.8927 * CHOOSE(CONTROL!$C$22, $C$13, 100%, $E$13)</f>
        <v>9.8926999999999996</v>
      </c>
      <c r="E604" s="61">
        <f>11.4942 * CHOOSE(CONTROL!$C$22, $C$13, 100%, $E$13)</f>
        <v>11.494199999999999</v>
      </c>
      <c r="F604" s="61">
        <f>11.4942 * CHOOSE(CONTROL!$C$22, $C$13, 100%, $E$13)</f>
        <v>11.494199999999999</v>
      </c>
      <c r="G604" s="61">
        <f>11.4944 * CHOOSE(CONTROL!$C$22, $C$13, 100%, $E$13)</f>
        <v>11.494400000000001</v>
      </c>
      <c r="H604" s="61">
        <f>19.4092* CHOOSE(CONTROL!$C$22, $C$13, 100%, $E$13)</f>
        <v>19.409199999999998</v>
      </c>
      <c r="I604" s="61">
        <f>19.4093 * CHOOSE(CONTROL!$C$22, $C$13, 100%, $E$13)</f>
        <v>19.409300000000002</v>
      </c>
      <c r="J604" s="61">
        <f>11.4942 * CHOOSE(CONTROL!$C$22, $C$13, 100%, $E$13)</f>
        <v>11.494199999999999</v>
      </c>
      <c r="K604" s="61">
        <f>11.4944 * CHOOSE(CONTROL!$C$22, $C$13, 100%, $E$13)</f>
        <v>11.494400000000001</v>
      </c>
    </row>
    <row r="605" spans="1:11" ht="15">
      <c r="A605" s="13">
        <v>60268</v>
      </c>
      <c r="B605" s="60">
        <f>9.9464 * CHOOSE(CONTROL!$C$22, $C$13, 100%, $E$13)</f>
        <v>9.9464000000000006</v>
      </c>
      <c r="C605" s="60">
        <f>9.9464 * CHOOSE(CONTROL!$C$22, $C$13, 100%, $E$13)</f>
        <v>9.9464000000000006</v>
      </c>
      <c r="D605" s="60">
        <f>9.9589 * CHOOSE(CONTROL!$C$22, $C$13, 100%, $E$13)</f>
        <v>9.9588999999999999</v>
      </c>
      <c r="E605" s="61">
        <f>11.6187 * CHOOSE(CONTROL!$C$22, $C$13, 100%, $E$13)</f>
        <v>11.6187</v>
      </c>
      <c r="F605" s="61">
        <f>11.6187 * CHOOSE(CONTROL!$C$22, $C$13, 100%, $E$13)</f>
        <v>11.6187</v>
      </c>
      <c r="G605" s="61">
        <f>11.6188 * CHOOSE(CONTROL!$C$22, $C$13, 100%, $E$13)</f>
        <v>11.6188</v>
      </c>
      <c r="H605" s="61">
        <f>19.4158* CHOOSE(CONTROL!$C$22, $C$13, 100%, $E$13)</f>
        <v>19.415800000000001</v>
      </c>
      <c r="I605" s="61">
        <f>19.4159 * CHOOSE(CONTROL!$C$22, $C$13, 100%, $E$13)</f>
        <v>19.415900000000001</v>
      </c>
      <c r="J605" s="61">
        <f>11.6187 * CHOOSE(CONTROL!$C$22, $C$13, 100%, $E$13)</f>
        <v>11.6187</v>
      </c>
      <c r="K605" s="61">
        <f>11.6188 * CHOOSE(CONTROL!$C$22, $C$13, 100%, $E$13)</f>
        <v>11.6188</v>
      </c>
    </row>
    <row r="606" spans="1:11" ht="15">
      <c r="A606" s="13">
        <v>60299</v>
      </c>
      <c r="B606" s="60">
        <f>9.9433 * CHOOSE(CONTROL!$C$22, $C$13, 100%, $E$13)</f>
        <v>9.9433000000000007</v>
      </c>
      <c r="C606" s="60">
        <f>9.9433 * CHOOSE(CONTROL!$C$22, $C$13, 100%, $E$13)</f>
        <v>9.9433000000000007</v>
      </c>
      <c r="D606" s="60">
        <f>9.9559 * CHOOSE(CONTROL!$C$22, $C$13, 100%, $E$13)</f>
        <v>9.9558999999999997</v>
      </c>
      <c r="E606" s="61">
        <f>11.4895 * CHOOSE(CONTROL!$C$22, $C$13, 100%, $E$13)</f>
        <v>11.4895</v>
      </c>
      <c r="F606" s="61">
        <f>11.4895 * CHOOSE(CONTROL!$C$22, $C$13, 100%, $E$13)</f>
        <v>11.4895</v>
      </c>
      <c r="G606" s="61">
        <f>11.4897 * CHOOSE(CONTROL!$C$22, $C$13, 100%, $E$13)</f>
        <v>11.489699999999999</v>
      </c>
      <c r="H606" s="61">
        <f>19.4562* CHOOSE(CONTROL!$C$22, $C$13, 100%, $E$13)</f>
        <v>19.456199999999999</v>
      </c>
      <c r="I606" s="61">
        <f>19.4564 * CHOOSE(CONTROL!$C$22, $C$13, 100%, $E$13)</f>
        <v>19.456399999999999</v>
      </c>
      <c r="J606" s="61">
        <f>11.4895 * CHOOSE(CONTROL!$C$22, $C$13, 100%, $E$13)</f>
        <v>11.4895</v>
      </c>
      <c r="K606" s="61">
        <f>11.4897 * CHOOSE(CONTROL!$C$22, $C$13, 100%, $E$13)</f>
        <v>11.489699999999999</v>
      </c>
    </row>
    <row r="607" spans="1:11" ht="15">
      <c r="A607" s="13">
        <v>60327</v>
      </c>
      <c r="B607" s="60">
        <f>9.9403 * CHOOSE(CONTROL!$C$22, $C$13, 100%, $E$13)</f>
        <v>9.9403000000000006</v>
      </c>
      <c r="C607" s="60">
        <f>9.9403 * CHOOSE(CONTROL!$C$22, $C$13, 100%, $E$13)</f>
        <v>9.9403000000000006</v>
      </c>
      <c r="D607" s="60">
        <f>9.9528 * CHOOSE(CONTROL!$C$22, $C$13, 100%, $E$13)</f>
        <v>9.9527999999999999</v>
      </c>
      <c r="E607" s="61">
        <f>11.5875 * CHOOSE(CONTROL!$C$22, $C$13, 100%, $E$13)</f>
        <v>11.5875</v>
      </c>
      <c r="F607" s="61">
        <f>11.5875 * CHOOSE(CONTROL!$C$22, $C$13, 100%, $E$13)</f>
        <v>11.5875</v>
      </c>
      <c r="G607" s="61">
        <f>11.5877 * CHOOSE(CONTROL!$C$22, $C$13, 100%, $E$13)</f>
        <v>11.5877</v>
      </c>
      <c r="H607" s="61">
        <f>19.4967* CHOOSE(CONTROL!$C$22, $C$13, 100%, $E$13)</f>
        <v>19.496700000000001</v>
      </c>
      <c r="I607" s="61">
        <f>19.4969 * CHOOSE(CONTROL!$C$22, $C$13, 100%, $E$13)</f>
        <v>19.4969</v>
      </c>
      <c r="J607" s="61">
        <f>11.5875 * CHOOSE(CONTROL!$C$22, $C$13, 100%, $E$13)</f>
        <v>11.5875</v>
      </c>
      <c r="K607" s="61">
        <f>11.5877 * CHOOSE(CONTROL!$C$22, $C$13, 100%, $E$13)</f>
        <v>11.5877</v>
      </c>
    </row>
    <row r="608" spans="1:11" ht="15">
      <c r="A608" s="13">
        <v>60358</v>
      </c>
      <c r="B608" s="60">
        <f>9.9431 * CHOOSE(CONTROL!$C$22, $C$13, 100%, $E$13)</f>
        <v>9.9430999999999994</v>
      </c>
      <c r="C608" s="60">
        <f>9.9431 * CHOOSE(CONTROL!$C$22, $C$13, 100%, $E$13)</f>
        <v>9.9430999999999994</v>
      </c>
      <c r="D608" s="60">
        <f>9.9556 * CHOOSE(CONTROL!$C$22, $C$13, 100%, $E$13)</f>
        <v>9.9556000000000004</v>
      </c>
      <c r="E608" s="61">
        <f>11.6909 * CHOOSE(CONTROL!$C$22, $C$13, 100%, $E$13)</f>
        <v>11.690899999999999</v>
      </c>
      <c r="F608" s="61">
        <f>11.6909 * CHOOSE(CONTROL!$C$22, $C$13, 100%, $E$13)</f>
        <v>11.690899999999999</v>
      </c>
      <c r="G608" s="61">
        <f>11.691 * CHOOSE(CONTROL!$C$22, $C$13, 100%, $E$13)</f>
        <v>11.691000000000001</v>
      </c>
      <c r="H608" s="61">
        <f>19.5374* CHOOSE(CONTROL!$C$22, $C$13, 100%, $E$13)</f>
        <v>19.537400000000002</v>
      </c>
      <c r="I608" s="61">
        <f>19.5375 * CHOOSE(CONTROL!$C$22, $C$13, 100%, $E$13)</f>
        <v>19.537500000000001</v>
      </c>
      <c r="J608" s="61">
        <f>11.6909 * CHOOSE(CONTROL!$C$22, $C$13, 100%, $E$13)</f>
        <v>11.690899999999999</v>
      </c>
      <c r="K608" s="61">
        <f>11.691 * CHOOSE(CONTROL!$C$22, $C$13, 100%, $E$13)</f>
        <v>11.691000000000001</v>
      </c>
    </row>
    <row r="609" spans="1:11" ht="15">
      <c r="A609" s="13">
        <v>60388</v>
      </c>
      <c r="B609" s="60">
        <f>9.9431 * CHOOSE(CONTROL!$C$22, $C$13, 100%, $E$13)</f>
        <v>9.9430999999999994</v>
      </c>
      <c r="C609" s="60">
        <f>9.9431 * CHOOSE(CONTROL!$C$22, $C$13, 100%, $E$13)</f>
        <v>9.9430999999999994</v>
      </c>
      <c r="D609" s="60">
        <f>9.9682 * CHOOSE(CONTROL!$C$22, $C$13, 100%, $E$13)</f>
        <v>9.9681999999999995</v>
      </c>
      <c r="E609" s="61">
        <f>11.7312 * CHOOSE(CONTROL!$C$22, $C$13, 100%, $E$13)</f>
        <v>11.731199999999999</v>
      </c>
      <c r="F609" s="61">
        <f>11.7312 * CHOOSE(CONTROL!$C$22, $C$13, 100%, $E$13)</f>
        <v>11.731199999999999</v>
      </c>
      <c r="G609" s="61">
        <f>11.7328 * CHOOSE(CONTROL!$C$22, $C$13, 100%, $E$13)</f>
        <v>11.732799999999999</v>
      </c>
      <c r="H609" s="61">
        <f>19.5781* CHOOSE(CONTROL!$C$22, $C$13, 100%, $E$13)</f>
        <v>19.578099999999999</v>
      </c>
      <c r="I609" s="61">
        <f>19.5797 * CHOOSE(CONTROL!$C$22, $C$13, 100%, $E$13)</f>
        <v>19.579699999999999</v>
      </c>
      <c r="J609" s="61">
        <f>11.7312 * CHOOSE(CONTROL!$C$22, $C$13, 100%, $E$13)</f>
        <v>11.731199999999999</v>
      </c>
      <c r="K609" s="61">
        <f>11.7328 * CHOOSE(CONTROL!$C$22, $C$13, 100%, $E$13)</f>
        <v>11.732799999999999</v>
      </c>
    </row>
    <row r="610" spans="1:11" ht="15">
      <c r="A610" s="13">
        <v>60419</v>
      </c>
      <c r="B610" s="60">
        <f>9.9492 * CHOOSE(CONTROL!$C$22, $C$13, 100%, $E$13)</f>
        <v>9.9491999999999994</v>
      </c>
      <c r="C610" s="60">
        <f>9.9492 * CHOOSE(CONTROL!$C$22, $C$13, 100%, $E$13)</f>
        <v>9.9491999999999994</v>
      </c>
      <c r="D610" s="60">
        <f>9.9743 * CHOOSE(CONTROL!$C$22, $C$13, 100%, $E$13)</f>
        <v>9.9742999999999995</v>
      </c>
      <c r="E610" s="61">
        <f>11.6951 * CHOOSE(CONTROL!$C$22, $C$13, 100%, $E$13)</f>
        <v>11.6951</v>
      </c>
      <c r="F610" s="61">
        <f>11.6951 * CHOOSE(CONTROL!$C$22, $C$13, 100%, $E$13)</f>
        <v>11.6951</v>
      </c>
      <c r="G610" s="61">
        <f>11.6967 * CHOOSE(CONTROL!$C$22, $C$13, 100%, $E$13)</f>
        <v>11.6967</v>
      </c>
      <c r="H610" s="61">
        <f>19.6189* CHOOSE(CONTROL!$C$22, $C$13, 100%, $E$13)</f>
        <v>19.6189</v>
      </c>
      <c r="I610" s="61">
        <f>19.6205 * CHOOSE(CONTROL!$C$22, $C$13, 100%, $E$13)</f>
        <v>19.6205</v>
      </c>
      <c r="J610" s="61">
        <f>11.6951 * CHOOSE(CONTROL!$C$22, $C$13, 100%, $E$13)</f>
        <v>11.6951</v>
      </c>
      <c r="K610" s="61">
        <f>11.6967 * CHOOSE(CONTROL!$C$22, $C$13, 100%, $E$13)</f>
        <v>11.6967</v>
      </c>
    </row>
    <row r="611" spans="1:11" ht="15">
      <c r="A611" s="13">
        <v>60449</v>
      </c>
      <c r="B611" s="60">
        <f>10.1081 * CHOOSE(CONTROL!$C$22, $C$13, 100%, $E$13)</f>
        <v>10.1081</v>
      </c>
      <c r="C611" s="60">
        <f>10.1081 * CHOOSE(CONTROL!$C$22, $C$13, 100%, $E$13)</f>
        <v>10.1081</v>
      </c>
      <c r="D611" s="60">
        <f>10.1332 * CHOOSE(CONTROL!$C$22, $C$13, 100%, $E$13)</f>
        <v>10.1332</v>
      </c>
      <c r="E611" s="61">
        <f>11.9208 * CHOOSE(CONTROL!$C$22, $C$13, 100%, $E$13)</f>
        <v>11.9208</v>
      </c>
      <c r="F611" s="61">
        <f>11.9208 * CHOOSE(CONTROL!$C$22, $C$13, 100%, $E$13)</f>
        <v>11.9208</v>
      </c>
      <c r="G611" s="61">
        <f>11.9224 * CHOOSE(CONTROL!$C$22, $C$13, 100%, $E$13)</f>
        <v>11.9224</v>
      </c>
      <c r="H611" s="61">
        <f>19.6597* CHOOSE(CONTROL!$C$22, $C$13, 100%, $E$13)</f>
        <v>19.659700000000001</v>
      </c>
      <c r="I611" s="61">
        <f>19.6613 * CHOOSE(CONTROL!$C$22, $C$13, 100%, $E$13)</f>
        <v>19.661300000000001</v>
      </c>
      <c r="J611" s="61">
        <f>11.9208 * CHOOSE(CONTROL!$C$22, $C$13, 100%, $E$13)</f>
        <v>11.9208</v>
      </c>
      <c r="K611" s="61">
        <f>11.9224 * CHOOSE(CONTROL!$C$22, $C$13, 100%, $E$13)</f>
        <v>11.9224</v>
      </c>
    </row>
    <row r="612" spans="1:11" ht="15">
      <c r="A612" s="13">
        <v>60480</v>
      </c>
      <c r="B612" s="60">
        <f>10.1148 * CHOOSE(CONTROL!$C$22, $C$13, 100%, $E$13)</f>
        <v>10.114800000000001</v>
      </c>
      <c r="C612" s="60">
        <f>10.1148 * CHOOSE(CONTROL!$C$22, $C$13, 100%, $E$13)</f>
        <v>10.114800000000001</v>
      </c>
      <c r="D612" s="60">
        <f>10.1399 * CHOOSE(CONTROL!$C$22, $C$13, 100%, $E$13)</f>
        <v>10.139900000000001</v>
      </c>
      <c r="E612" s="61">
        <f>11.8045 * CHOOSE(CONTROL!$C$22, $C$13, 100%, $E$13)</f>
        <v>11.804500000000001</v>
      </c>
      <c r="F612" s="61">
        <f>11.8045 * CHOOSE(CONTROL!$C$22, $C$13, 100%, $E$13)</f>
        <v>11.804500000000001</v>
      </c>
      <c r="G612" s="61">
        <f>11.8061 * CHOOSE(CONTROL!$C$22, $C$13, 100%, $E$13)</f>
        <v>11.806100000000001</v>
      </c>
      <c r="H612" s="61">
        <f>19.7007* CHOOSE(CONTROL!$C$22, $C$13, 100%, $E$13)</f>
        <v>19.700700000000001</v>
      </c>
      <c r="I612" s="61">
        <f>19.7023 * CHOOSE(CONTROL!$C$22, $C$13, 100%, $E$13)</f>
        <v>19.702300000000001</v>
      </c>
      <c r="J612" s="61">
        <f>11.8045 * CHOOSE(CONTROL!$C$22, $C$13, 100%, $E$13)</f>
        <v>11.804500000000001</v>
      </c>
      <c r="K612" s="61">
        <f>11.8061 * CHOOSE(CONTROL!$C$22, $C$13, 100%, $E$13)</f>
        <v>11.806100000000001</v>
      </c>
    </row>
    <row r="613" spans="1:11" ht="15">
      <c r="A613" s="13">
        <v>60511</v>
      </c>
      <c r="B613" s="60">
        <f>10.1118 * CHOOSE(CONTROL!$C$22, $C$13, 100%, $E$13)</f>
        <v>10.111800000000001</v>
      </c>
      <c r="C613" s="60">
        <f>10.1118 * CHOOSE(CONTROL!$C$22, $C$13, 100%, $E$13)</f>
        <v>10.111800000000001</v>
      </c>
      <c r="D613" s="60">
        <f>10.1369 * CHOOSE(CONTROL!$C$22, $C$13, 100%, $E$13)</f>
        <v>10.136900000000001</v>
      </c>
      <c r="E613" s="61">
        <f>11.7889 * CHOOSE(CONTROL!$C$22, $C$13, 100%, $E$13)</f>
        <v>11.7889</v>
      </c>
      <c r="F613" s="61">
        <f>11.7889 * CHOOSE(CONTROL!$C$22, $C$13, 100%, $E$13)</f>
        <v>11.7889</v>
      </c>
      <c r="G613" s="61">
        <f>11.7905 * CHOOSE(CONTROL!$C$22, $C$13, 100%, $E$13)</f>
        <v>11.7905</v>
      </c>
      <c r="H613" s="61">
        <f>19.7417* CHOOSE(CONTROL!$C$22, $C$13, 100%, $E$13)</f>
        <v>19.741700000000002</v>
      </c>
      <c r="I613" s="61">
        <f>19.7433 * CHOOSE(CONTROL!$C$22, $C$13, 100%, $E$13)</f>
        <v>19.743300000000001</v>
      </c>
      <c r="J613" s="61">
        <f>11.7889 * CHOOSE(CONTROL!$C$22, $C$13, 100%, $E$13)</f>
        <v>11.7889</v>
      </c>
      <c r="K613" s="61">
        <f>11.7905 * CHOOSE(CONTROL!$C$22, $C$13, 100%, $E$13)</f>
        <v>11.7905</v>
      </c>
    </row>
    <row r="614" spans="1:11" ht="15">
      <c r="A614" s="13">
        <v>60541</v>
      </c>
      <c r="B614" s="60">
        <f>10.1272 * CHOOSE(CONTROL!$C$22, $C$13, 100%, $E$13)</f>
        <v>10.1272</v>
      </c>
      <c r="C614" s="60">
        <f>10.1272 * CHOOSE(CONTROL!$C$22, $C$13, 100%, $E$13)</f>
        <v>10.1272</v>
      </c>
      <c r="D614" s="60">
        <f>10.1397 * CHOOSE(CONTROL!$C$22, $C$13, 100%, $E$13)</f>
        <v>10.139699999999999</v>
      </c>
      <c r="E614" s="61">
        <f>11.8293 * CHOOSE(CONTROL!$C$22, $C$13, 100%, $E$13)</f>
        <v>11.8293</v>
      </c>
      <c r="F614" s="61">
        <f>11.8293 * CHOOSE(CONTROL!$C$22, $C$13, 100%, $E$13)</f>
        <v>11.8293</v>
      </c>
      <c r="G614" s="61">
        <f>11.8294 * CHOOSE(CONTROL!$C$22, $C$13, 100%, $E$13)</f>
        <v>11.8294</v>
      </c>
      <c r="H614" s="61">
        <f>19.7829* CHOOSE(CONTROL!$C$22, $C$13, 100%, $E$13)</f>
        <v>19.782900000000001</v>
      </c>
      <c r="I614" s="61">
        <f>19.783 * CHOOSE(CONTROL!$C$22, $C$13, 100%, $E$13)</f>
        <v>19.783000000000001</v>
      </c>
      <c r="J614" s="61">
        <f>11.8293 * CHOOSE(CONTROL!$C$22, $C$13, 100%, $E$13)</f>
        <v>11.8293</v>
      </c>
      <c r="K614" s="61">
        <f>11.8294 * CHOOSE(CONTROL!$C$22, $C$13, 100%, $E$13)</f>
        <v>11.8294</v>
      </c>
    </row>
    <row r="615" spans="1:11" ht="15">
      <c r="A615" s="13">
        <v>60572</v>
      </c>
      <c r="B615" s="60">
        <f>10.1302 * CHOOSE(CONTROL!$C$22, $C$13, 100%, $E$13)</f>
        <v>10.1302</v>
      </c>
      <c r="C615" s="60">
        <f>10.1302 * CHOOSE(CONTROL!$C$22, $C$13, 100%, $E$13)</f>
        <v>10.1302</v>
      </c>
      <c r="D615" s="60">
        <f>10.1428 * CHOOSE(CONTROL!$C$22, $C$13, 100%, $E$13)</f>
        <v>10.142799999999999</v>
      </c>
      <c r="E615" s="61">
        <f>11.8583 * CHOOSE(CONTROL!$C$22, $C$13, 100%, $E$13)</f>
        <v>11.8583</v>
      </c>
      <c r="F615" s="61">
        <f>11.8583 * CHOOSE(CONTROL!$C$22, $C$13, 100%, $E$13)</f>
        <v>11.8583</v>
      </c>
      <c r="G615" s="61">
        <f>11.8584 * CHOOSE(CONTROL!$C$22, $C$13, 100%, $E$13)</f>
        <v>11.8584</v>
      </c>
      <c r="H615" s="61">
        <f>19.8241* CHOOSE(CONTROL!$C$22, $C$13, 100%, $E$13)</f>
        <v>19.824100000000001</v>
      </c>
      <c r="I615" s="61">
        <f>19.8242 * CHOOSE(CONTROL!$C$22, $C$13, 100%, $E$13)</f>
        <v>19.824200000000001</v>
      </c>
      <c r="J615" s="61">
        <f>11.8583 * CHOOSE(CONTROL!$C$22, $C$13, 100%, $E$13)</f>
        <v>11.8583</v>
      </c>
      <c r="K615" s="61">
        <f>11.8584 * CHOOSE(CONTROL!$C$22, $C$13, 100%, $E$13)</f>
        <v>11.8584</v>
      </c>
    </row>
    <row r="616" spans="1:11" ht="15">
      <c r="A616" s="13">
        <v>60602</v>
      </c>
      <c r="B616" s="60">
        <f>10.1302 * CHOOSE(CONTROL!$C$22, $C$13, 100%, $E$13)</f>
        <v>10.1302</v>
      </c>
      <c r="C616" s="60">
        <f>10.1302 * CHOOSE(CONTROL!$C$22, $C$13, 100%, $E$13)</f>
        <v>10.1302</v>
      </c>
      <c r="D616" s="60">
        <f>10.1428 * CHOOSE(CONTROL!$C$22, $C$13, 100%, $E$13)</f>
        <v>10.142799999999999</v>
      </c>
      <c r="E616" s="61">
        <f>11.791 * CHOOSE(CONTROL!$C$22, $C$13, 100%, $E$13)</f>
        <v>11.791</v>
      </c>
      <c r="F616" s="61">
        <f>11.791 * CHOOSE(CONTROL!$C$22, $C$13, 100%, $E$13)</f>
        <v>11.791</v>
      </c>
      <c r="G616" s="61">
        <f>11.7912 * CHOOSE(CONTROL!$C$22, $C$13, 100%, $E$13)</f>
        <v>11.7912</v>
      </c>
      <c r="H616" s="61">
        <f>19.8654* CHOOSE(CONTROL!$C$22, $C$13, 100%, $E$13)</f>
        <v>19.865400000000001</v>
      </c>
      <c r="I616" s="61">
        <f>19.8655 * CHOOSE(CONTROL!$C$22, $C$13, 100%, $E$13)</f>
        <v>19.865500000000001</v>
      </c>
      <c r="J616" s="61">
        <f>11.791 * CHOOSE(CONTROL!$C$22, $C$13, 100%, $E$13)</f>
        <v>11.791</v>
      </c>
      <c r="K616" s="61">
        <f>11.7912 * CHOOSE(CONTROL!$C$22, $C$13, 100%, $E$13)</f>
        <v>11.7912</v>
      </c>
    </row>
    <row r="617" spans="1:11" ht="15">
      <c r="A617" s="13">
        <v>60633</v>
      </c>
      <c r="B617" s="60">
        <f>10.1917 * CHOOSE(CONTROL!$C$22, $C$13, 100%, $E$13)</f>
        <v>10.191700000000001</v>
      </c>
      <c r="C617" s="60">
        <f>10.1917 * CHOOSE(CONTROL!$C$22, $C$13, 100%, $E$13)</f>
        <v>10.191700000000001</v>
      </c>
      <c r="D617" s="60">
        <f>10.2042 * CHOOSE(CONTROL!$C$22, $C$13, 100%, $E$13)</f>
        <v>10.2042</v>
      </c>
      <c r="E617" s="61">
        <f>11.9111 * CHOOSE(CONTROL!$C$22, $C$13, 100%, $E$13)</f>
        <v>11.911099999999999</v>
      </c>
      <c r="F617" s="61">
        <f>11.9111 * CHOOSE(CONTROL!$C$22, $C$13, 100%, $E$13)</f>
        <v>11.911099999999999</v>
      </c>
      <c r="G617" s="61">
        <f>11.9113 * CHOOSE(CONTROL!$C$22, $C$13, 100%, $E$13)</f>
        <v>11.911300000000001</v>
      </c>
      <c r="H617" s="61">
        <f>19.8617* CHOOSE(CONTROL!$C$22, $C$13, 100%, $E$13)</f>
        <v>19.861699999999999</v>
      </c>
      <c r="I617" s="61">
        <f>19.8618 * CHOOSE(CONTROL!$C$22, $C$13, 100%, $E$13)</f>
        <v>19.861799999999999</v>
      </c>
      <c r="J617" s="61">
        <f>11.9111 * CHOOSE(CONTROL!$C$22, $C$13, 100%, $E$13)</f>
        <v>11.911099999999999</v>
      </c>
      <c r="K617" s="61">
        <f>11.9113 * CHOOSE(CONTROL!$C$22, $C$13, 100%, $E$13)</f>
        <v>11.911300000000001</v>
      </c>
    </row>
    <row r="618" spans="1:11" ht="15">
      <c r="A618" s="13">
        <v>60664</v>
      </c>
      <c r="B618" s="60">
        <f>10.1887 * CHOOSE(CONTROL!$C$22, $C$13, 100%, $E$13)</f>
        <v>10.188700000000001</v>
      </c>
      <c r="C618" s="60">
        <f>10.1887 * CHOOSE(CONTROL!$C$22, $C$13, 100%, $E$13)</f>
        <v>10.188700000000001</v>
      </c>
      <c r="D618" s="60">
        <f>10.2012 * CHOOSE(CONTROL!$C$22, $C$13, 100%, $E$13)</f>
        <v>10.2012</v>
      </c>
      <c r="E618" s="61">
        <f>11.7787 * CHOOSE(CONTROL!$C$22, $C$13, 100%, $E$13)</f>
        <v>11.778700000000001</v>
      </c>
      <c r="F618" s="61">
        <f>11.7787 * CHOOSE(CONTROL!$C$22, $C$13, 100%, $E$13)</f>
        <v>11.778700000000001</v>
      </c>
      <c r="G618" s="61">
        <f>11.7789 * CHOOSE(CONTROL!$C$22, $C$13, 100%, $E$13)</f>
        <v>11.7789</v>
      </c>
      <c r="H618" s="61">
        <f>19.903* CHOOSE(CONTROL!$C$22, $C$13, 100%, $E$13)</f>
        <v>19.902999999999999</v>
      </c>
      <c r="I618" s="61">
        <f>19.9032 * CHOOSE(CONTROL!$C$22, $C$13, 100%, $E$13)</f>
        <v>19.903199999999998</v>
      </c>
      <c r="J618" s="61">
        <f>11.7787 * CHOOSE(CONTROL!$C$22, $C$13, 100%, $E$13)</f>
        <v>11.778700000000001</v>
      </c>
      <c r="K618" s="61">
        <f>11.7789 * CHOOSE(CONTROL!$C$22, $C$13, 100%, $E$13)</f>
        <v>11.7789</v>
      </c>
    </row>
    <row r="619" spans="1:11" ht="15">
      <c r="A619" s="13">
        <v>60692</v>
      </c>
      <c r="B619" s="60">
        <f>10.1856 * CHOOSE(CONTROL!$C$22, $C$13, 100%, $E$13)</f>
        <v>10.185600000000001</v>
      </c>
      <c r="C619" s="60">
        <f>10.1856 * CHOOSE(CONTROL!$C$22, $C$13, 100%, $E$13)</f>
        <v>10.185600000000001</v>
      </c>
      <c r="D619" s="60">
        <f>10.1982 * CHOOSE(CONTROL!$C$22, $C$13, 100%, $E$13)</f>
        <v>10.1982</v>
      </c>
      <c r="E619" s="61">
        <f>11.8793 * CHOOSE(CONTROL!$C$22, $C$13, 100%, $E$13)</f>
        <v>11.879300000000001</v>
      </c>
      <c r="F619" s="61">
        <f>11.8793 * CHOOSE(CONTROL!$C$22, $C$13, 100%, $E$13)</f>
        <v>11.879300000000001</v>
      </c>
      <c r="G619" s="61">
        <f>11.8794 * CHOOSE(CONTROL!$C$22, $C$13, 100%, $E$13)</f>
        <v>11.8794</v>
      </c>
      <c r="H619" s="61">
        <f>19.9445* CHOOSE(CONTROL!$C$22, $C$13, 100%, $E$13)</f>
        <v>19.944500000000001</v>
      </c>
      <c r="I619" s="61">
        <f>19.9447 * CHOOSE(CONTROL!$C$22, $C$13, 100%, $E$13)</f>
        <v>19.944700000000001</v>
      </c>
      <c r="J619" s="61">
        <f>11.8793 * CHOOSE(CONTROL!$C$22, $C$13, 100%, $E$13)</f>
        <v>11.879300000000001</v>
      </c>
      <c r="K619" s="61">
        <f>11.8794 * CHOOSE(CONTROL!$C$22, $C$13, 100%, $E$13)</f>
        <v>11.8794</v>
      </c>
    </row>
    <row r="620" spans="1:11" ht="15">
      <c r="A620" s="13">
        <v>60723</v>
      </c>
      <c r="B620" s="60">
        <f>10.1886 * CHOOSE(CONTROL!$C$22, $C$13, 100%, $E$13)</f>
        <v>10.188599999999999</v>
      </c>
      <c r="C620" s="60">
        <f>10.1886 * CHOOSE(CONTROL!$C$22, $C$13, 100%, $E$13)</f>
        <v>10.188599999999999</v>
      </c>
      <c r="D620" s="60">
        <f>10.2012 * CHOOSE(CONTROL!$C$22, $C$13, 100%, $E$13)</f>
        <v>10.2012</v>
      </c>
      <c r="E620" s="61">
        <f>11.9853 * CHOOSE(CONTROL!$C$22, $C$13, 100%, $E$13)</f>
        <v>11.985300000000001</v>
      </c>
      <c r="F620" s="61">
        <f>11.9853 * CHOOSE(CONTROL!$C$22, $C$13, 100%, $E$13)</f>
        <v>11.985300000000001</v>
      </c>
      <c r="G620" s="61">
        <f>11.9855 * CHOOSE(CONTROL!$C$22, $C$13, 100%, $E$13)</f>
        <v>11.9855</v>
      </c>
      <c r="H620" s="61">
        <f>19.986* CHOOSE(CONTROL!$C$22, $C$13, 100%, $E$13)</f>
        <v>19.986000000000001</v>
      </c>
      <c r="I620" s="61">
        <f>19.9862 * CHOOSE(CONTROL!$C$22, $C$13, 100%, $E$13)</f>
        <v>19.9862</v>
      </c>
      <c r="J620" s="61">
        <f>11.9853 * CHOOSE(CONTROL!$C$22, $C$13, 100%, $E$13)</f>
        <v>11.985300000000001</v>
      </c>
      <c r="K620" s="61">
        <f>11.9855 * CHOOSE(CONTROL!$C$22, $C$13, 100%, $E$13)</f>
        <v>11.9855</v>
      </c>
    </row>
    <row r="621" spans="1:11" ht="15">
      <c r="A621" s="13">
        <v>60753</v>
      </c>
      <c r="B621" s="60">
        <f>10.1886 * CHOOSE(CONTROL!$C$22, $C$13, 100%, $E$13)</f>
        <v>10.188599999999999</v>
      </c>
      <c r="C621" s="60">
        <f>10.1886 * CHOOSE(CONTROL!$C$22, $C$13, 100%, $E$13)</f>
        <v>10.188599999999999</v>
      </c>
      <c r="D621" s="60">
        <f>10.2137 * CHOOSE(CONTROL!$C$22, $C$13, 100%, $E$13)</f>
        <v>10.213699999999999</v>
      </c>
      <c r="E621" s="61">
        <f>12.0267 * CHOOSE(CONTROL!$C$22, $C$13, 100%, $E$13)</f>
        <v>12.0267</v>
      </c>
      <c r="F621" s="61">
        <f>12.0267 * CHOOSE(CONTROL!$C$22, $C$13, 100%, $E$13)</f>
        <v>12.0267</v>
      </c>
      <c r="G621" s="61">
        <f>12.0283 * CHOOSE(CONTROL!$C$22, $C$13, 100%, $E$13)</f>
        <v>12.0283</v>
      </c>
      <c r="H621" s="61">
        <f>20.0277* CHOOSE(CONTROL!$C$22, $C$13, 100%, $E$13)</f>
        <v>20.027699999999999</v>
      </c>
      <c r="I621" s="61">
        <f>20.0293 * CHOOSE(CONTROL!$C$22, $C$13, 100%, $E$13)</f>
        <v>20.029299999999999</v>
      </c>
      <c r="J621" s="61">
        <f>12.0267 * CHOOSE(CONTROL!$C$22, $C$13, 100%, $E$13)</f>
        <v>12.0267</v>
      </c>
      <c r="K621" s="61">
        <f>12.0283 * CHOOSE(CONTROL!$C$22, $C$13, 100%, $E$13)</f>
        <v>12.0283</v>
      </c>
    </row>
    <row r="622" spans="1:11" ht="15">
      <c r="A622" s="13">
        <v>60784</v>
      </c>
      <c r="B622" s="60">
        <f>10.1947 * CHOOSE(CONTROL!$C$22, $C$13, 100%, $E$13)</f>
        <v>10.194699999999999</v>
      </c>
      <c r="C622" s="60">
        <f>10.1947 * CHOOSE(CONTROL!$C$22, $C$13, 100%, $E$13)</f>
        <v>10.194699999999999</v>
      </c>
      <c r="D622" s="60">
        <f>10.2198 * CHOOSE(CONTROL!$C$22, $C$13, 100%, $E$13)</f>
        <v>10.219799999999999</v>
      </c>
      <c r="E622" s="61">
        <f>11.9896 * CHOOSE(CONTROL!$C$22, $C$13, 100%, $E$13)</f>
        <v>11.989599999999999</v>
      </c>
      <c r="F622" s="61">
        <f>11.9896 * CHOOSE(CONTROL!$C$22, $C$13, 100%, $E$13)</f>
        <v>11.989599999999999</v>
      </c>
      <c r="G622" s="61">
        <f>11.9912 * CHOOSE(CONTROL!$C$22, $C$13, 100%, $E$13)</f>
        <v>11.991199999999999</v>
      </c>
      <c r="H622" s="61">
        <f>20.0694* CHOOSE(CONTROL!$C$22, $C$13, 100%, $E$13)</f>
        <v>20.069400000000002</v>
      </c>
      <c r="I622" s="61">
        <f>20.071 * CHOOSE(CONTROL!$C$22, $C$13, 100%, $E$13)</f>
        <v>20.071000000000002</v>
      </c>
      <c r="J622" s="61">
        <f>11.9896 * CHOOSE(CONTROL!$C$22, $C$13, 100%, $E$13)</f>
        <v>11.989599999999999</v>
      </c>
      <c r="K622" s="61">
        <f>11.9912 * CHOOSE(CONTROL!$C$22, $C$13, 100%, $E$13)</f>
        <v>11.991199999999999</v>
      </c>
    </row>
    <row r="623" spans="1:11" ht="15">
      <c r="A623" s="13">
        <v>60814</v>
      </c>
      <c r="B623" s="60">
        <f>10.3574 * CHOOSE(CONTROL!$C$22, $C$13, 100%, $E$13)</f>
        <v>10.3574</v>
      </c>
      <c r="C623" s="60">
        <f>10.3574 * CHOOSE(CONTROL!$C$22, $C$13, 100%, $E$13)</f>
        <v>10.3574</v>
      </c>
      <c r="D623" s="60">
        <f>10.3824 * CHOOSE(CONTROL!$C$22, $C$13, 100%, $E$13)</f>
        <v>10.382400000000001</v>
      </c>
      <c r="E623" s="61">
        <f>12.2207 * CHOOSE(CONTROL!$C$22, $C$13, 100%, $E$13)</f>
        <v>12.220700000000001</v>
      </c>
      <c r="F623" s="61">
        <f>12.2207 * CHOOSE(CONTROL!$C$22, $C$13, 100%, $E$13)</f>
        <v>12.220700000000001</v>
      </c>
      <c r="G623" s="61">
        <f>12.2223 * CHOOSE(CONTROL!$C$22, $C$13, 100%, $E$13)</f>
        <v>12.222300000000001</v>
      </c>
      <c r="H623" s="61">
        <f>20.1112* CHOOSE(CONTROL!$C$22, $C$13, 100%, $E$13)</f>
        <v>20.1112</v>
      </c>
      <c r="I623" s="61">
        <f>20.1128 * CHOOSE(CONTROL!$C$22, $C$13, 100%, $E$13)</f>
        <v>20.1128</v>
      </c>
      <c r="J623" s="61">
        <f>12.2207 * CHOOSE(CONTROL!$C$22, $C$13, 100%, $E$13)</f>
        <v>12.220700000000001</v>
      </c>
      <c r="K623" s="61">
        <f>12.2223 * CHOOSE(CONTROL!$C$22, $C$13, 100%, $E$13)</f>
        <v>12.222300000000001</v>
      </c>
    </row>
    <row r="624" spans="1:11" ht="15">
      <c r="A624" s="13">
        <v>60845</v>
      </c>
      <c r="B624" s="60">
        <f>10.364 * CHOOSE(CONTROL!$C$22, $C$13, 100%, $E$13)</f>
        <v>10.364000000000001</v>
      </c>
      <c r="C624" s="60">
        <f>10.364 * CHOOSE(CONTROL!$C$22, $C$13, 100%, $E$13)</f>
        <v>10.364000000000001</v>
      </c>
      <c r="D624" s="60">
        <f>10.3891 * CHOOSE(CONTROL!$C$22, $C$13, 100%, $E$13)</f>
        <v>10.389099999999999</v>
      </c>
      <c r="E624" s="61">
        <f>12.1013 * CHOOSE(CONTROL!$C$22, $C$13, 100%, $E$13)</f>
        <v>12.1013</v>
      </c>
      <c r="F624" s="61">
        <f>12.1013 * CHOOSE(CONTROL!$C$22, $C$13, 100%, $E$13)</f>
        <v>12.1013</v>
      </c>
      <c r="G624" s="61">
        <f>12.1029 * CHOOSE(CONTROL!$C$22, $C$13, 100%, $E$13)</f>
        <v>12.1029</v>
      </c>
      <c r="H624" s="61">
        <f>20.1531* CHOOSE(CONTROL!$C$22, $C$13, 100%, $E$13)</f>
        <v>20.153099999999998</v>
      </c>
      <c r="I624" s="61">
        <f>20.1547 * CHOOSE(CONTROL!$C$22, $C$13, 100%, $E$13)</f>
        <v>20.154699999999998</v>
      </c>
      <c r="J624" s="61">
        <f>12.1013 * CHOOSE(CONTROL!$C$22, $C$13, 100%, $E$13)</f>
        <v>12.1013</v>
      </c>
      <c r="K624" s="61">
        <f>12.1029 * CHOOSE(CONTROL!$C$22, $C$13, 100%, $E$13)</f>
        <v>12.1029</v>
      </c>
    </row>
    <row r="625" spans="1:11" ht="15">
      <c r="A625" s="13">
        <v>60876</v>
      </c>
      <c r="B625" s="60">
        <f>10.361 * CHOOSE(CONTROL!$C$22, $C$13, 100%, $E$13)</f>
        <v>10.361000000000001</v>
      </c>
      <c r="C625" s="60">
        <f>10.361 * CHOOSE(CONTROL!$C$22, $C$13, 100%, $E$13)</f>
        <v>10.361000000000001</v>
      </c>
      <c r="D625" s="60">
        <f>10.3861 * CHOOSE(CONTROL!$C$22, $C$13, 100%, $E$13)</f>
        <v>10.386100000000001</v>
      </c>
      <c r="E625" s="61">
        <f>12.0854 * CHOOSE(CONTROL!$C$22, $C$13, 100%, $E$13)</f>
        <v>12.0854</v>
      </c>
      <c r="F625" s="61">
        <f>12.0854 * CHOOSE(CONTROL!$C$22, $C$13, 100%, $E$13)</f>
        <v>12.0854</v>
      </c>
      <c r="G625" s="61">
        <f>12.087 * CHOOSE(CONTROL!$C$22, $C$13, 100%, $E$13)</f>
        <v>12.087</v>
      </c>
      <c r="H625" s="61">
        <f>20.1951* CHOOSE(CONTROL!$C$22, $C$13, 100%, $E$13)</f>
        <v>20.1951</v>
      </c>
      <c r="I625" s="61">
        <f>20.1967 * CHOOSE(CONTROL!$C$22, $C$13, 100%, $E$13)</f>
        <v>20.1967</v>
      </c>
      <c r="J625" s="61">
        <f>12.0854 * CHOOSE(CONTROL!$C$22, $C$13, 100%, $E$13)</f>
        <v>12.0854</v>
      </c>
      <c r="K625" s="61">
        <f>12.087 * CHOOSE(CONTROL!$C$22, $C$13, 100%, $E$13)</f>
        <v>12.087</v>
      </c>
    </row>
    <row r="626" spans="1:11" ht="15">
      <c r="A626" s="13">
        <v>60906</v>
      </c>
      <c r="B626" s="60">
        <f>10.3772 * CHOOSE(CONTROL!$C$22, $C$13, 100%, $E$13)</f>
        <v>10.3772</v>
      </c>
      <c r="C626" s="60">
        <f>10.3772 * CHOOSE(CONTROL!$C$22, $C$13, 100%, $E$13)</f>
        <v>10.3772</v>
      </c>
      <c r="D626" s="60">
        <f>10.3897 * CHOOSE(CONTROL!$C$22, $C$13, 100%, $E$13)</f>
        <v>10.389699999999999</v>
      </c>
      <c r="E626" s="61">
        <f>12.1271 * CHOOSE(CONTROL!$C$22, $C$13, 100%, $E$13)</f>
        <v>12.1271</v>
      </c>
      <c r="F626" s="61">
        <f>12.1271 * CHOOSE(CONTROL!$C$22, $C$13, 100%, $E$13)</f>
        <v>12.1271</v>
      </c>
      <c r="G626" s="61">
        <f>12.1273 * CHOOSE(CONTROL!$C$22, $C$13, 100%, $E$13)</f>
        <v>12.1273</v>
      </c>
      <c r="H626" s="61">
        <f>20.2372* CHOOSE(CONTROL!$C$22, $C$13, 100%, $E$13)</f>
        <v>20.237200000000001</v>
      </c>
      <c r="I626" s="61">
        <f>20.2374 * CHOOSE(CONTROL!$C$22, $C$13, 100%, $E$13)</f>
        <v>20.237400000000001</v>
      </c>
      <c r="J626" s="61">
        <f>12.1271 * CHOOSE(CONTROL!$C$22, $C$13, 100%, $E$13)</f>
        <v>12.1271</v>
      </c>
      <c r="K626" s="61">
        <f>12.1273 * CHOOSE(CONTROL!$C$22, $C$13, 100%, $E$13)</f>
        <v>12.1273</v>
      </c>
    </row>
    <row r="627" spans="1:11" ht="15">
      <c r="A627" s="13">
        <v>60937</v>
      </c>
      <c r="B627" s="60">
        <f>10.3802 * CHOOSE(CONTROL!$C$22, $C$13, 100%, $E$13)</f>
        <v>10.3802</v>
      </c>
      <c r="C627" s="60">
        <f>10.3802 * CHOOSE(CONTROL!$C$22, $C$13, 100%, $E$13)</f>
        <v>10.3802</v>
      </c>
      <c r="D627" s="60">
        <f>10.3928 * CHOOSE(CONTROL!$C$22, $C$13, 100%, $E$13)</f>
        <v>10.392799999999999</v>
      </c>
      <c r="E627" s="61">
        <f>12.1568 * CHOOSE(CONTROL!$C$22, $C$13, 100%, $E$13)</f>
        <v>12.1568</v>
      </c>
      <c r="F627" s="61">
        <f>12.1568 * CHOOSE(CONTROL!$C$22, $C$13, 100%, $E$13)</f>
        <v>12.1568</v>
      </c>
      <c r="G627" s="61">
        <f>12.157 * CHOOSE(CONTROL!$C$22, $C$13, 100%, $E$13)</f>
        <v>12.157</v>
      </c>
      <c r="H627" s="61">
        <f>20.2793* CHOOSE(CONTROL!$C$22, $C$13, 100%, $E$13)</f>
        <v>20.279299999999999</v>
      </c>
      <c r="I627" s="61">
        <f>20.2795 * CHOOSE(CONTROL!$C$22, $C$13, 100%, $E$13)</f>
        <v>20.279499999999999</v>
      </c>
      <c r="J627" s="61">
        <f>12.1568 * CHOOSE(CONTROL!$C$22, $C$13, 100%, $E$13)</f>
        <v>12.1568</v>
      </c>
      <c r="K627" s="61">
        <f>12.157 * CHOOSE(CONTROL!$C$22, $C$13, 100%, $E$13)</f>
        <v>12.157</v>
      </c>
    </row>
    <row r="628" spans="1:11" ht="15">
      <c r="A628" s="13">
        <v>60967</v>
      </c>
      <c r="B628" s="60">
        <f>10.3802 * CHOOSE(CONTROL!$C$22, $C$13, 100%, $E$13)</f>
        <v>10.3802</v>
      </c>
      <c r="C628" s="60">
        <f>10.3802 * CHOOSE(CONTROL!$C$22, $C$13, 100%, $E$13)</f>
        <v>10.3802</v>
      </c>
      <c r="D628" s="60">
        <f>10.3928 * CHOOSE(CONTROL!$C$22, $C$13, 100%, $E$13)</f>
        <v>10.392799999999999</v>
      </c>
      <c r="E628" s="61">
        <f>12.0879 * CHOOSE(CONTROL!$C$22, $C$13, 100%, $E$13)</f>
        <v>12.087899999999999</v>
      </c>
      <c r="F628" s="61">
        <f>12.0879 * CHOOSE(CONTROL!$C$22, $C$13, 100%, $E$13)</f>
        <v>12.087899999999999</v>
      </c>
      <c r="G628" s="61">
        <f>12.088 * CHOOSE(CONTROL!$C$22, $C$13, 100%, $E$13)</f>
        <v>12.087999999999999</v>
      </c>
      <c r="H628" s="61">
        <f>20.3216* CHOOSE(CONTROL!$C$22, $C$13, 100%, $E$13)</f>
        <v>20.3216</v>
      </c>
      <c r="I628" s="61">
        <f>20.3218 * CHOOSE(CONTROL!$C$22, $C$13, 100%, $E$13)</f>
        <v>20.3218</v>
      </c>
      <c r="J628" s="61">
        <f>12.0879 * CHOOSE(CONTROL!$C$22, $C$13, 100%, $E$13)</f>
        <v>12.087899999999999</v>
      </c>
      <c r="K628" s="61">
        <f>12.088 * CHOOSE(CONTROL!$C$22, $C$13, 100%, $E$13)</f>
        <v>12.087999999999999</v>
      </c>
    </row>
    <row r="629" spans="1:11" ht="15">
      <c r="A629" s="13">
        <v>60998</v>
      </c>
      <c r="B629" s="60">
        <f>10.437 * CHOOSE(CONTROL!$C$22, $C$13, 100%, $E$13)</f>
        <v>10.436999999999999</v>
      </c>
      <c r="C629" s="60">
        <f>10.437 * CHOOSE(CONTROL!$C$22, $C$13, 100%, $E$13)</f>
        <v>10.436999999999999</v>
      </c>
      <c r="D629" s="60">
        <f>10.4496 * CHOOSE(CONTROL!$C$22, $C$13, 100%, $E$13)</f>
        <v>10.4496</v>
      </c>
      <c r="E629" s="61">
        <f>12.2035 * CHOOSE(CONTROL!$C$22, $C$13, 100%, $E$13)</f>
        <v>12.2035</v>
      </c>
      <c r="F629" s="61">
        <f>12.2035 * CHOOSE(CONTROL!$C$22, $C$13, 100%, $E$13)</f>
        <v>12.2035</v>
      </c>
      <c r="G629" s="61">
        <f>12.2037 * CHOOSE(CONTROL!$C$22, $C$13, 100%, $E$13)</f>
        <v>12.2037</v>
      </c>
      <c r="H629" s="61">
        <f>20.3075* CHOOSE(CONTROL!$C$22, $C$13, 100%, $E$13)</f>
        <v>20.307500000000001</v>
      </c>
      <c r="I629" s="61">
        <f>20.3077 * CHOOSE(CONTROL!$C$22, $C$13, 100%, $E$13)</f>
        <v>20.307700000000001</v>
      </c>
      <c r="J629" s="61">
        <f>12.2035 * CHOOSE(CONTROL!$C$22, $C$13, 100%, $E$13)</f>
        <v>12.2035</v>
      </c>
      <c r="K629" s="61">
        <f>12.2037 * CHOOSE(CONTROL!$C$22, $C$13, 100%, $E$13)</f>
        <v>12.2037</v>
      </c>
    </row>
    <row r="630" spans="1:11" ht="15">
      <c r="A630" s="13">
        <v>61029</v>
      </c>
      <c r="B630" s="60">
        <f>10.434 * CHOOSE(CONTROL!$C$22, $C$13, 100%, $E$13)</f>
        <v>10.433999999999999</v>
      </c>
      <c r="C630" s="60">
        <f>10.434 * CHOOSE(CONTROL!$C$22, $C$13, 100%, $E$13)</f>
        <v>10.433999999999999</v>
      </c>
      <c r="D630" s="60">
        <f>10.4465 * CHOOSE(CONTROL!$C$22, $C$13, 100%, $E$13)</f>
        <v>10.4465</v>
      </c>
      <c r="E630" s="61">
        <f>12.0679 * CHOOSE(CONTROL!$C$22, $C$13, 100%, $E$13)</f>
        <v>12.0679</v>
      </c>
      <c r="F630" s="61">
        <f>12.0679 * CHOOSE(CONTROL!$C$22, $C$13, 100%, $E$13)</f>
        <v>12.0679</v>
      </c>
      <c r="G630" s="61">
        <f>12.0681 * CHOOSE(CONTROL!$C$22, $C$13, 100%, $E$13)</f>
        <v>12.068099999999999</v>
      </c>
      <c r="H630" s="61">
        <f>20.3499* CHOOSE(CONTROL!$C$22, $C$13, 100%, $E$13)</f>
        <v>20.349900000000002</v>
      </c>
      <c r="I630" s="61">
        <f>20.35 * CHOOSE(CONTROL!$C$22, $C$13, 100%, $E$13)</f>
        <v>20.350000000000001</v>
      </c>
      <c r="J630" s="61">
        <f>12.0679 * CHOOSE(CONTROL!$C$22, $C$13, 100%, $E$13)</f>
        <v>12.0679</v>
      </c>
      <c r="K630" s="61">
        <f>12.0681 * CHOOSE(CONTROL!$C$22, $C$13, 100%, $E$13)</f>
        <v>12.068099999999999</v>
      </c>
    </row>
    <row r="631" spans="1:11" ht="15">
      <c r="A631" s="13">
        <v>61057</v>
      </c>
      <c r="B631" s="60">
        <f>10.4309 * CHOOSE(CONTROL!$C$22, $C$13, 100%, $E$13)</f>
        <v>10.430899999999999</v>
      </c>
      <c r="C631" s="60">
        <f>10.4309 * CHOOSE(CONTROL!$C$22, $C$13, 100%, $E$13)</f>
        <v>10.430899999999999</v>
      </c>
      <c r="D631" s="60">
        <f>10.4435 * CHOOSE(CONTROL!$C$22, $C$13, 100%, $E$13)</f>
        <v>10.4435</v>
      </c>
      <c r="E631" s="61">
        <f>12.171 * CHOOSE(CONTROL!$C$22, $C$13, 100%, $E$13)</f>
        <v>12.170999999999999</v>
      </c>
      <c r="F631" s="61">
        <f>12.171 * CHOOSE(CONTROL!$C$22, $C$13, 100%, $E$13)</f>
        <v>12.170999999999999</v>
      </c>
      <c r="G631" s="61">
        <f>12.1712 * CHOOSE(CONTROL!$C$22, $C$13, 100%, $E$13)</f>
        <v>12.171200000000001</v>
      </c>
      <c r="H631" s="61">
        <f>20.3922* CHOOSE(CONTROL!$C$22, $C$13, 100%, $E$13)</f>
        <v>20.392199999999999</v>
      </c>
      <c r="I631" s="61">
        <f>20.3924 * CHOOSE(CONTROL!$C$22, $C$13, 100%, $E$13)</f>
        <v>20.392399999999999</v>
      </c>
      <c r="J631" s="61">
        <f>12.171 * CHOOSE(CONTROL!$C$22, $C$13, 100%, $E$13)</f>
        <v>12.170999999999999</v>
      </c>
      <c r="K631" s="61">
        <f>12.1712 * CHOOSE(CONTROL!$C$22, $C$13, 100%, $E$13)</f>
        <v>12.171200000000001</v>
      </c>
    </row>
    <row r="632" spans="1:11" ht="15">
      <c r="A632" s="13">
        <v>61088</v>
      </c>
      <c r="B632" s="60">
        <f>10.4341 * CHOOSE(CONTROL!$C$22, $C$13, 100%, $E$13)</f>
        <v>10.434100000000001</v>
      </c>
      <c r="C632" s="60">
        <f>10.4341 * CHOOSE(CONTROL!$C$22, $C$13, 100%, $E$13)</f>
        <v>10.434100000000001</v>
      </c>
      <c r="D632" s="60">
        <f>10.4467 * CHOOSE(CONTROL!$C$22, $C$13, 100%, $E$13)</f>
        <v>10.4467</v>
      </c>
      <c r="E632" s="61">
        <f>12.2798 * CHOOSE(CONTROL!$C$22, $C$13, 100%, $E$13)</f>
        <v>12.2798</v>
      </c>
      <c r="F632" s="61">
        <f>12.2798 * CHOOSE(CONTROL!$C$22, $C$13, 100%, $E$13)</f>
        <v>12.2798</v>
      </c>
      <c r="G632" s="61">
        <f>12.2799 * CHOOSE(CONTROL!$C$22, $C$13, 100%, $E$13)</f>
        <v>12.2799</v>
      </c>
      <c r="H632" s="61">
        <f>20.4347* CHOOSE(CONTROL!$C$22, $C$13, 100%, $E$13)</f>
        <v>20.434699999999999</v>
      </c>
      <c r="I632" s="61">
        <f>20.4349 * CHOOSE(CONTROL!$C$22, $C$13, 100%, $E$13)</f>
        <v>20.434899999999999</v>
      </c>
      <c r="J632" s="61">
        <f>12.2798 * CHOOSE(CONTROL!$C$22, $C$13, 100%, $E$13)</f>
        <v>12.2798</v>
      </c>
      <c r="K632" s="61">
        <f>12.2799 * CHOOSE(CONTROL!$C$22, $C$13, 100%, $E$13)</f>
        <v>12.2799</v>
      </c>
    </row>
    <row r="633" spans="1:11" ht="15">
      <c r="A633" s="13">
        <v>61118</v>
      </c>
      <c r="B633" s="60">
        <f>10.4341 * CHOOSE(CONTROL!$C$22, $C$13, 100%, $E$13)</f>
        <v>10.434100000000001</v>
      </c>
      <c r="C633" s="60">
        <f>10.4341 * CHOOSE(CONTROL!$C$22, $C$13, 100%, $E$13)</f>
        <v>10.434100000000001</v>
      </c>
      <c r="D633" s="60">
        <f>10.4592 * CHOOSE(CONTROL!$C$22, $C$13, 100%, $E$13)</f>
        <v>10.459199999999999</v>
      </c>
      <c r="E633" s="61">
        <f>12.3221 * CHOOSE(CONTROL!$C$22, $C$13, 100%, $E$13)</f>
        <v>12.322100000000001</v>
      </c>
      <c r="F633" s="61">
        <f>12.3221 * CHOOSE(CONTROL!$C$22, $C$13, 100%, $E$13)</f>
        <v>12.322100000000001</v>
      </c>
      <c r="G633" s="61">
        <f>12.3237 * CHOOSE(CONTROL!$C$22, $C$13, 100%, $E$13)</f>
        <v>12.323700000000001</v>
      </c>
      <c r="H633" s="61">
        <f>20.4773* CHOOSE(CONTROL!$C$22, $C$13, 100%, $E$13)</f>
        <v>20.4773</v>
      </c>
      <c r="I633" s="61">
        <f>20.4789 * CHOOSE(CONTROL!$C$22, $C$13, 100%, $E$13)</f>
        <v>20.478899999999999</v>
      </c>
      <c r="J633" s="61">
        <f>12.3221 * CHOOSE(CONTROL!$C$22, $C$13, 100%, $E$13)</f>
        <v>12.322100000000001</v>
      </c>
      <c r="K633" s="61">
        <f>12.3237 * CHOOSE(CONTROL!$C$22, $C$13, 100%, $E$13)</f>
        <v>12.323700000000001</v>
      </c>
    </row>
    <row r="634" spans="1:11" ht="15">
      <c r="A634" s="13">
        <v>61149</v>
      </c>
      <c r="B634" s="60">
        <f>10.4402 * CHOOSE(CONTROL!$C$22, $C$13, 100%, $E$13)</f>
        <v>10.440200000000001</v>
      </c>
      <c r="C634" s="60">
        <f>10.4402 * CHOOSE(CONTROL!$C$22, $C$13, 100%, $E$13)</f>
        <v>10.440200000000001</v>
      </c>
      <c r="D634" s="60">
        <f>10.4653 * CHOOSE(CONTROL!$C$22, $C$13, 100%, $E$13)</f>
        <v>10.465299999999999</v>
      </c>
      <c r="E634" s="61">
        <f>12.284 * CHOOSE(CONTROL!$C$22, $C$13, 100%, $E$13)</f>
        <v>12.284000000000001</v>
      </c>
      <c r="F634" s="61">
        <f>12.284 * CHOOSE(CONTROL!$C$22, $C$13, 100%, $E$13)</f>
        <v>12.284000000000001</v>
      </c>
      <c r="G634" s="61">
        <f>12.2856 * CHOOSE(CONTROL!$C$22, $C$13, 100%, $E$13)</f>
        <v>12.285600000000001</v>
      </c>
      <c r="H634" s="61">
        <f>20.52* CHOOSE(CONTROL!$C$22, $C$13, 100%, $E$13)</f>
        <v>20.52</v>
      </c>
      <c r="I634" s="61">
        <f>20.5216 * CHOOSE(CONTROL!$C$22, $C$13, 100%, $E$13)</f>
        <v>20.521599999999999</v>
      </c>
      <c r="J634" s="61">
        <f>12.284 * CHOOSE(CONTROL!$C$22, $C$13, 100%, $E$13)</f>
        <v>12.284000000000001</v>
      </c>
      <c r="K634" s="61">
        <f>12.2856 * CHOOSE(CONTROL!$C$22, $C$13, 100%, $E$13)</f>
        <v>12.285600000000001</v>
      </c>
    </row>
    <row r="635" spans="1:11" ht="15">
      <c r="A635" s="13">
        <v>61179</v>
      </c>
      <c r="B635" s="60">
        <f>10.6066 * CHOOSE(CONTROL!$C$22, $C$13, 100%, $E$13)</f>
        <v>10.6066</v>
      </c>
      <c r="C635" s="60">
        <f>10.6066 * CHOOSE(CONTROL!$C$22, $C$13, 100%, $E$13)</f>
        <v>10.6066</v>
      </c>
      <c r="D635" s="60">
        <f>10.6317 * CHOOSE(CONTROL!$C$22, $C$13, 100%, $E$13)</f>
        <v>10.6317</v>
      </c>
      <c r="E635" s="61">
        <f>12.5206 * CHOOSE(CONTROL!$C$22, $C$13, 100%, $E$13)</f>
        <v>12.5206</v>
      </c>
      <c r="F635" s="61">
        <f>12.5206 * CHOOSE(CONTROL!$C$22, $C$13, 100%, $E$13)</f>
        <v>12.5206</v>
      </c>
      <c r="G635" s="61">
        <f>12.5222 * CHOOSE(CONTROL!$C$22, $C$13, 100%, $E$13)</f>
        <v>12.5222</v>
      </c>
      <c r="H635" s="61">
        <f>20.5627* CHOOSE(CONTROL!$C$22, $C$13, 100%, $E$13)</f>
        <v>20.5627</v>
      </c>
      <c r="I635" s="61">
        <f>20.5643 * CHOOSE(CONTROL!$C$22, $C$13, 100%, $E$13)</f>
        <v>20.564299999999999</v>
      </c>
      <c r="J635" s="61">
        <f>12.5206 * CHOOSE(CONTROL!$C$22, $C$13, 100%, $E$13)</f>
        <v>12.5206</v>
      </c>
      <c r="K635" s="61">
        <f>12.5222 * CHOOSE(CONTROL!$C$22, $C$13, 100%, $E$13)</f>
        <v>12.5222</v>
      </c>
    </row>
    <row r="636" spans="1:11" ht="15">
      <c r="A636" s="13">
        <v>61210</v>
      </c>
      <c r="B636" s="60">
        <f>10.6133 * CHOOSE(CONTROL!$C$22, $C$13, 100%, $E$13)</f>
        <v>10.613300000000001</v>
      </c>
      <c r="C636" s="60">
        <f>10.6133 * CHOOSE(CONTROL!$C$22, $C$13, 100%, $E$13)</f>
        <v>10.613300000000001</v>
      </c>
      <c r="D636" s="60">
        <f>10.6383 * CHOOSE(CONTROL!$C$22, $C$13, 100%, $E$13)</f>
        <v>10.638299999999999</v>
      </c>
      <c r="E636" s="61">
        <f>12.3981 * CHOOSE(CONTROL!$C$22, $C$13, 100%, $E$13)</f>
        <v>12.398099999999999</v>
      </c>
      <c r="F636" s="61">
        <f>12.3981 * CHOOSE(CONTROL!$C$22, $C$13, 100%, $E$13)</f>
        <v>12.398099999999999</v>
      </c>
      <c r="G636" s="61">
        <f>12.3997 * CHOOSE(CONTROL!$C$22, $C$13, 100%, $E$13)</f>
        <v>12.399699999999999</v>
      </c>
      <c r="H636" s="61">
        <f>20.6056* CHOOSE(CONTROL!$C$22, $C$13, 100%, $E$13)</f>
        <v>20.605599999999999</v>
      </c>
      <c r="I636" s="61">
        <f>20.6072 * CHOOSE(CONTROL!$C$22, $C$13, 100%, $E$13)</f>
        <v>20.607199999999999</v>
      </c>
      <c r="J636" s="61">
        <f>12.3981 * CHOOSE(CONTROL!$C$22, $C$13, 100%, $E$13)</f>
        <v>12.398099999999999</v>
      </c>
      <c r="K636" s="61">
        <f>12.3997 * CHOOSE(CONTROL!$C$22, $C$13, 100%, $E$13)</f>
        <v>12.399699999999999</v>
      </c>
    </row>
    <row r="637" spans="1:11" ht="15">
      <c r="A637" s="13">
        <v>61241</v>
      </c>
      <c r="B637" s="60">
        <f>10.6102 * CHOOSE(CONTROL!$C$22, $C$13, 100%, $E$13)</f>
        <v>10.610200000000001</v>
      </c>
      <c r="C637" s="60">
        <f>10.6102 * CHOOSE(CONTROL!$C$22, $C$13, 100%, $E$13)</f>
        <v>10.610200000000001</v>
      </c>
      <c r="D637" s="60">
        <f>10.6353 * CHOOSE(CONTROL!$C$22, $C$13, 100%, $E$13)</f>
        <v>10.635300000000001</v>
      </c>
      <c r="E637" s="61">
        <f>12.3819 * CHOOSE(CONTROL!$C$22, $C$13, 100%, $E$13)</f>
        <v>12.3819</v>
      </c>
      <c r="F637" s="61">
        <f>12.3819 * CHOOSE(CONTROL!$C$22, $C$13, 100%, $E$13)</f>
        <v>12.3819</v>
      </c>
      <c r="G637" s="61">
        <f>12.3835 * CHOOSE(CONTROL!$C$22, $C$13, 100%, $E$13)</f>
        <v>12.3835</v>
      </c>
      <c r="H637" s="61">
        <f>20.6485* CHOOSE(CONTROL!$C$22, $C$13, 100%, $E$13)</f>
        <v>20.648499999999999</v>
      </c>
      <c r="I637" s="61">
        <f>20.6501 * CHOOSE(CONTROL!$C$22, $C$13, 100%, $E$13)</f>
        <v>20.650099999999998</v>
      </c>
      <c r="J637" s="61">
        <f>12.3819 * CHOOSE(CONTROL!$C$22, $C$13, 100%, $E$13)</f>
        <v>12.3819</v>
      </c>
      <c r="K637" s="61">
        <f>12.3835 * CHOOSE(CONTROL!$C$22, $C$13, 100%, $E$13)</f>
        <v>12.3835</v>
      </c>
    </row>
    <row r="638" spans="1:11" ht="15">
      <c r="A638" s="13">
        <v>61271</v>
      </c>
      <c r="B638" s="60">
        <f>10.6272 * CHOOSE(CONTROL!$C$22, $C$13, 100%, $E$13)</f>
        <v>10.6272</v>
      </c>
      <c r="C638" s="60">
        <f>10.6272 * CHOOSE(CONTROL!$C$22, $C$13, 100%, $E$13)</f>
        <v>10.6272</v>
      </c>
      <c r="D638" s="60">
        <f>10.6398 * CHOOSE(CONTROL!$C$22, $C$13, 100%, $E$13)</f>
        <v>10.639799999999999</v>
      </c>
      <c r="E638" s="61">
        <f>12.425 * CHOOSE(CONTROL!$C$22, $C$13, 100%, $E$13)</f>
        <v>12.425000000000001</v>
      </c>
      <c r="F638" s="61">
        <f>12.425 * CHOOSE(CONTROL!$C$22, $C$13, 100%, $E$13)</f>
        <v>12.425000000000001</v>
      </c>
      <c r="G638" s="61">
        <f>12.4251 * CHOOSE(CONTROL!$C$22, $C$13, 100%, $E$13)</f>
        <v>12.4251</v>
      </c>
      <c r="H638" s="61">
        <f>20.6915* CHOOSE(CONTROL!$C$22, $C$13, 100%, $E$13)</f>
        <v>20.691500000000001</v>
      </c>
      <c r="I638" s="61">
        <f>20.6917 * CHOOSE(CONTROL!$C$22, $C$13, 100%, $E$13)</f>
        <v>20.691700000000001</v>
      </c>
      <c r="J638" s="61">
        <f>12.425 * CHOOSE(CONTROL!$C$22, $C$13, 100%, $E$13)</f>
        <v>12.425000000000001</v>
      </c>
      <c r="K638" s="61">
        <f>12.4251 * CHOOSE(CONTROL!$C$22, $C$13, 100%, $E$13)</f>
        <v>12.4251</v>
      </c>
    </row>
    <row r="639" spans="1:11" ht="15">
      <c r="A639" s="13">
        <v>61302</v>
      </c>
      <c r="B639" s="60">
        <f>10.6302 * CHOOSE(CONTROL!$C$22, $C$13, 100%, $E$13)</f>
        <v>10.6302</v>
      </c>
      <c r="C639" s="60">
        <f>10.6302 * CHOOSE(CONTROL!$C$22, $C$13, 100%, $E$13)</f>
        <v>10.6302</v>
      </c>
      <c r="D639" s="60">
        <f>10.6428 * CHOOSE(CONTROL!$C$22, $C$13, 100%, $E$13)</f>
        <v>10.642799999999999</v>
      </c>
      <c r="E639" s="61">
        <f>12.4553 * CHOOSE(CONTROL!$C$22, $C$13, 100%, $E$13)</f>
        <v>12.455299999999999</v>
      </c>
      <c r="F639" s="61">
        <f>12.4553 * CHOOSE(CONTROL!$C$22, $C$13, 100%, $E$13)</f>
        <v>12.455299999999999</v>
      </c>
      <c r="G639" s="61">
        <f>12.4555 * CHOOSE(CONTROL!$C$22, $C$13, 100%, $E$13)</f>
        <v>12.455500000000001</v>
      </c>
      <c r="H639" s="61">
        <f>20.7346* CHOOSE(CONTROL!$C$22, $C$13, 100%, $E$13)</f>
        <v>20.7346</v>
      </c>
      <c r="I639" s="61">
        <f>20.7348 * CHOOSE(CONTROL!$C$22, $C$13, 100%, $E$13)</f>
        <v>20.7348</v>
      </c>
      <c r="J639" s="61">
        <f>12.4553 * CHOOSE(CONTROL!$C$22, $C$13, 100%, $E$13)</f>
        <v>12.455299999999999</v>
      </c>
      <c r="K639" s="61">
        <f>12.4555 * CHOOSE(CONTROL!$C$22, $C$13, 100%, $E$13)</f>
        <v>12.455500000000001</v>
      </c>
    </row>
    <row r="640" spans="1:11" ht="15">
      <c r="A640" s="13">
        <v>61332</v>
      </c>
      <c r="B640" s="60">
        <f>10.6302 * CHOOSE(CONTROL!$C$22, $C$13, 100%, $E$13)</f>
        <v>10.6302</v>
      </c>
      <c r="C640" s="60">
        <f>10.6302 * CHOOSE(CONTROL!$C$22, $C$13, 100%, $E$13)</f>
        <v>10.6302</v>
      </c>
      <c r="D640" s="60">
        <f>10.6428 * CHOOSE(CONTROL!$C$22, $C$13, 100%, $E$13)</f>
        <v>10.642799999999999</v>
      </c>
      <c r="E640" s="61">
        <f>12.3847 * CHOOSE(CONTROL!$C$22, $C$13, 100%, $E$13)</f>
        <v>12.3847</v>
      </c>
      <c r="F640" s="61">
        <f>12.3847 * CHOOSE(CONTROL!$C$22, $C$13, 100%, $E$13)</f>
        <v>12.3847</v>
      </c>
      <c r="G640" s="61">
        <f>12.3849 * CHOOSE(CONTROL!$C$22, $C$13, 100%, $E$13)</f>
        <v>12.3849</v>
      </c>
      <c r="H640" s="61">
        <f>20.7778* CHOOSE(CONTROL!$C$22, $C$13, 100%, $E$13)</f>
        <v>20.777799999999999</v>
      </c>
      <c r="I640" s="61">
        <f>20.778 * CHOOSE(CONTROL!$C$22, $C$13, 100%, $E$13)</f>
        <v>20.777999999999999</v>
      </c>
      <c r="J640" s="61">
        <f>12.3847 * CHOOSE(CONTROL!$C$22, $C$13, 100%, $E$13)</f>
        <v>12.3847</v>
      </c>
      <c r="K640" s="61">
        <f>12.3849 * CHOOSE(CONTROL!$C$22, $C$13, 100%, $E$13)</f>
        <v>12.3849</v>
      </c>
    </row>
    <row r="641" spans="1:11" ht="15">
      <c r="A641" s="13">
        <v>61363</v>
      </c>
      <c r="B641" s="60">
        <f>10.6823 * CHOOSE(CONTROL!$C$22, $C$13, 100%, $E$13)</f>
        <v>10.6823</v>
      </c>
      <c r="C641" s="60">
        <f>10.6823 * CHOOSE(CONTROL!$C$22, $C$13, 100%, $E$13)</f>
        <v>10.6823</v>
      </c>
      <c r="D641" s="60">
        <f>10.6949 * CHOOSE(CONTROL!$C$22, $C$13, 100%, $E$13)</f>
        <v>10.694900000000001</v>
      </c>
      <c r="E641" s="61">
        <f>12.4959 * CHOOSE(CONTROL!$C$22, $C$13, 100%, $E$13)</f>
        <v>12.495900000000001</v>
      </c>
      <c r="F641" s="61">
        <f>12.4959 * CHOOSE(CONTROL!$C$22, $C$13, 100%, $E$13)</f>
        <v>12.495900000000001</v>
      </c>
      <c r="G641" s="61">
        <f>12.4961 * CHOOSE(CONTROL!$C$22, $C$13, 100%, $E$13)</f>
        <v>12.4961</v>
      </c>
      <c r="H641" s="61">
        <f>20.7534* CHOOSE(CONTROL!$C$22, $C$13, 100%, $E$13)</f>
        <v>20.753399999999999</v>
      </c>
      <c r="I641" s="61">
        <f>20.7536 * CHOOSE(CONTROL!$C$22, $C$13, 100%, $E$13)</f>
        <v>20.753599999999999</v>
      </c>
      <c r="J641" s="61">
        <f>12.4959 * CHOOSE(CONTROL!$C$22, $C$13, 100%, $E$13)</f>
        <v>12.495900000000001</v>
      </c>
      <c r="K641" s="61">
        <f>12.4961 * CHOOSE(CONTROL!$C$22, $C$13, 100%, $E$13)</f>
        <v>12.4961</v>
      </c>
    </row>
    <row r="642" spans="1:11" ht="15">
      <c r="A642" s="13">
        <v>61394</v>
      </c>
      <c r="B642" s="60">
        <f>10.6793 * CHOOSE(CONTROL!$C$22, $C$13, 100%, $E$13)</f>
        <v>10.6793</v>
      </c>
      <c r="C642" s="60">
        <f>10.6793 * CHOOSE(CONTROL!$C$22, $C$13, 100%, $E$13)</f>
        <v>10.6793</v>
      </c>
      <c r="D642" s="60">
        <f>10.6918 * CHOOSE(CONTROL!$C$22, $C$13, 100%, $E$13)</f>
        <v>10.691800000000001</v>
      </c>
      <c r="E642" s="61">
        <f>12.3571 * CHOOSE(CONTROL!$C$22, $C$13, 100%, $E$13)</f>
        <v>12.357100000000001</v>
      </c>
      <c r="F642" s="61">
        <f>12.3571 * CHOOSE(CONTROL!$C$22, $C$13, 100%, $E$13)</f>
        <v>12.357100000000001</v>
      </c>
      <c r="G642" s="61">
        <f>12.3573 * CHOOSE(CONTROL!$C$22, $C$13, 100%, $E$13)</f>
        <v>12.3573</v>
      </c>
      <c r="H642" s="61">
        <f>20.7967* CHOOSE(CONTROL!$C$22, $C$13, 100%, $E$13)</f>
        <v>20.796700000000001</v>
      </c>
      <c r="I642" s="61">
        <f>20.7969 * CHOOSE(CONTROL!$C$22, $C$13, 100%, $E$13)</f>
        <v>20.796900000000001</v>
      </c>
      <c r="J642" s="61">
        <f>12.3571 * CHOOSE(CONTROL!$C$22, $C$13, 100%, $E$13)</f>
        <v>12.357100000000001</v>
      </c>
      <c r="K642" s="61">
        <f>12.3573 * CHOOSE(CONTROL!$C$22, $C$13, 100%, $E$13)</f>
        <v>12.3573</v>
      </c>
    </row>
    <row r="643" spans="1:11" ht="15">
      <c r="A643" s="13">
        <v>61423</v>
      </c>
      <c r="B643" s="60">
        <f>10.6763 * CHOOSE(CONTROL!$C$22, $C$13, 100%, $E$13)</f>
        <v>10.676299999999999</v>
      </c>
      <c r="C643" s="60">
        <f>10.6763 * CHOOSE(CONTROL!$C$22, $C$13, 100%, $E$13)</f>
        <v>10.676299999999999</v>
      </c>
      <c r="D643" s="60">
        <f>10.6888 * CHOOSE(CONTROL!$C$22, $C$13, 100%, $E$13)</f>
        <v>10.688800000000001</v>
      </c>
      <c r="E643" s="61">
        <f>12.4627 * CHOOSE(CONTROL!$C$22, $C$13, 100%, $E$13)</f>
        <v>12.4627</v>
      </c>
      <c r="F643" s="61">
        <f>12.4627 * CHOOSE(CONTROL!$C$22, $C$13, 100%, $E$13)</f>
        <v>12.4627</v>
      </c>
      <c r="G643" s="61">
        <f>12.4629 * CHOOSE(CONTROL!$C$22, $C$13, 100%, $E$13)</f>
        <v>12.462899999999999</v>
      </c>
      <c r="H643" s="61">
        <f>20.84* CHOOSE(CONTROL!$C$22, $C$13, 100%, $E$13)</f>
        <v>20.84</v>
      </c>
      <c r="I643" s="61">
        <f>20.8402 * CHOOSE(CONTROL!$C$22, $C$13, 100%, $E$13)</f>
        <v>20.840199999999999</v>
      </c>
      <c r="J643" s="61">
        <f>12.4627 * CHOOSE(CONTROL!$C$22, $C$13, 100%, $E$13)</f>
        <v>12.4627</v>
      </c>
      <c r="K643" s="61">
        <f>12.4629 * CHOOSE(CONTROL!$C$22, $C$13, 100%, $E$13)</f>
        <v>12.462899999999999</v>
      </c>
    </row>
    <row r="644" spans="1:11" ht="15">
      <c r="A644" s="13">
        <v>61454</v>
      </c>
      <c r="B644" s="60">
        <f>10.6797 * CHOOSE(CONTROL!$C$22, $C$13, 100%, $E$13)</f>
        <v>10.6797</v>
      </c>
      <c r="C644" s="60">
        <f>10.6797 * CHOOSE(CONTROL!$C$22, $C$13, 100%, $E$13)</f>
        <v>10.6797</v>
      </c>
      <c r="D644" s="60">
        <f>10.6922 * CHOOSE(CONTROL!$C$22, $C$13, 100%, $E$13)</f>
        <v>10.6922</v>
      </c>
      <c r="E644" s="61">
        <f>12.5742 * CHOOSE(CONTROL!$C$22, $C$13, 100%, $E$13)</f>
        <v>12.574199999999999</v>
      </c>
      <c r="F644" s="61">
        <f>12.5742 * CHOOSE(CONTROL!$C$22, $C$13, 100%, $E$13)</f>
        <v>12.574199999999999</v>
      </c>
      <c r="G644" s="61">
        <f>12.5744 * CHOOSE(CONTROL!$C$22, $C$13, 100%, $E$13)</f>
        <v>12.574400000000001</v>
      </c>
      <c r="H644" s="61">
        <f>20.8834* CHOOSE(CONTROL!$C$22, $C$13, 100%, $E$13)</f>
        <v>20.883400000000002</v>
      </c>
      <c r="I644" s="61">
        <f>20.8836 * CHOOSE(CONTROL!$C$22, $C$13, 100%, $E$13)</f>
        <v>20.883600000000001</v>
      </c>
      <c r="J644" s="61">
        <f>12.5742 * CHOOSE(CONTROL!$C$22, $C$13, 100%, $E$13)</f>
        <v>12.574199999999999</v>
      </c>
      <c r="K644" s="61">
        <f>12.5744 * CHOOSE(CONTROL!$C$22, $C$13, 100%, $E$13)</f>
        <v>12.574400000000001</v>
      </c>
    </row>
    <row r="645" spans="1:11" ht="15">
      <c r="A645" s="13">
        <v>61484</v>
      </c>
      <c r="B645" s="60">
        <f>10.6797 * CHOOSE(CONTROL!$C$22, $C$13, 100%, $E$13)</f>
        <v>10.6797</v>
      </c>
      <c r="C645" s="60">
        <f>10.6797 * CHOOSE(CONTROL!$C$22, $C$13, 100%, $E$13)</f>
        <v>10.6797</v>
      </c>
      <c r="D645" s="60">
        <f>10.7048 * CHOOSE(CONTROL!$C$22, $C$13, 100%, $E$13)</f>
        <v>10.704800000000001</v>
      </c>
      <c r="E645" s="61">
        <f>12.6176 * CHOOSE(CONTROL!$C$22, $C$13, 100%, $E$13)</f>
        <v>12.617599999999999</v>
      </c>
      <c r="F645" s="61">
        <f>12.6176 * CHOOSE(CONTROL!$C$22, $C$13, 100%, $E$13)</f>
        <v>12.617599999999999</v>
      </c>
      <c r="G645" s="61">
        <f>12.6192 * CHOOSE(CONTROL!$C$22, $C$13, 100%, $E$13)</f>
        <v>12.619199999999999</v>
      </c>
      <c r="H645" s="61">
        <f>20.9269* CHOOSE(CONTROL!$C$22, $C$13, 100%, $E$13)</f>
        <v>20.9269</v>
      </c>
      <c r="I645" s="61">
        <f>20.9285 * CHOOSE(CONTROL!$C$22, $C$13, 100%, $E$13)</f>
        <v>20.9285</v>
      </c>
      <c r="J645" s="61">
        <f>12.6176 * CHOOSE(CONTROL!$C$22, $C$13, 100%, $E$13)</f>
        <v>12.617599999999999</v>
      </c>
      <c r="K645" s="61">
        <f>12.6192 * CHOOSE(CONTROL!$C$22, $C$13, 100%, $E$13)</f>
        <v>12.619199999999999</v>
      </c>
    </row>
    <row r="646" spans="1:11" ht="15">
      <c r="A646" s="13">
        <v>61515</v>
      </c>
      <c r="B646" s="60">
        <f>10.6858 * CHOOSE(CONTROL!$C$22, $C$13, 100%, $E$13)</f>
        <v>10.6858</v>
      </c>
      <c r="C646" s="60">
        <f>10.6858 * CHOOSE(CONTROL!$C$22, $C$13, 100%, $E$13)</f>
        <v>10.6858</v>
      </c>
      <c r="D646" s="60">
        <f>10.7108 * CHOOSE(CONTROL!$C$22, $C$13, 100%, $E$13)</f>
        <v>10.710800000000001</v>
      </c>
      <c r="E646" s="61">
        <f>12.5784 * CHOOSE(CONTROL!$C$22, $C$13, 100%, $E$13)</f>
        <v>12.5784</v>
      </c>
      <c r="F646" s="61">
        <f>12.5784 * CHOOSE(CONTROL!$C$22, $C$13, 100%, $E$13)</f>
        <v>12.5784</v>
      </c>
      <c r="G646" s="61">
        <f>12.58 * CHOOSE(CONTROL!$C$22, $C$13, 100%, $E$13)</f>
        <v>12.58</v>
      </c>
      <c r="H646" s="61">
        <f>20.9705* CHOOSE(CONTROL!$C$22, $C$13, 100%, $E$13)</f>
        <v>20.970500000000001</v>
      </c>
      <c r="I646" s="61">
        <f>20.9721 * CHOOSE(CONTROL!$C$22, $C$13, 100%, $E$13)</f>
        <v>20.972100000000001</v>
      </c>
      <c r="J646" s="61">
        <f>12.5784 * CHOOSE(CONTROL!$C$22, $C$13, 100%, $E$13)</f>
        <v>12.5784</v>
      </c>
      <c r="K646" s="61">
        <f>12.58 * CHOOSE(CONTROL!$C$22, $C$13, 100%, $E$13)</f>
        <v>12.58</v>
      </c>
    </row>
    <row r="647" spans="1:11" ht="15">
      <c r="A647" s="13">
        <v>61545</v>
      </c>
      <c r="B647" s="60">
        <f>10.8558 * CHOOSE(CONTROL!$C$22, $C$13, 100%, $E$13)</f>
        <v>10.8558</v>
      </c>
      <c r="C647" s="60">
        <f>10.8558 * CHOOSE(CONTROL!$C$22, $C$13, 100%, $E$13)</f>
        <v>10.8558</v>
      </c>
      <c r="D647" s="60">
        <f>10.8809 * CHOOSE(CONTROL!$C$22, $C$13, 100%, $E$13)</f>
        <v>10.8809</v>
      </c>
      <c r="E647" s="61">
        <f>12.8205 * CHOOSE(CONTROL!$C$22, $C$13, 100%, $E$13)</f>
        <v>12.820499999999999</v>
      </c>
      <c r="F647" s="61">
        <f>12.8205 * CHOOSE(CONTROL!$C$22, $C$13, 100%, $E$13)</f>
        <v>12.820499999999999</v>
      </c>
      <c r="G647" s="61">
        <f>12.8221 * CHOOSE(CONTROL!$C$22, $C$13, 100%, $E$13)</f>
        <v>12.822100000000001</v>
      </c>
      <c r="H647" s="61">
        <f>21.0142* CHOOSE(CONTROL!$C$22, $C$13, 100%, $E$13)</f>
        <v>21.014199999999999</v>
      </c>
      <c r="I647" s="61">
        <f>21.0158 * CHOOSE(CONTROL!$C$22, $C$13, 100%, $E$13)</f>
        <v>21.015799999999999</v>
      </c>
      <c r="J647" s="61">
        <f>12.8205 * CHOOSE(CONTROL!$C$22, $C$13, 100%, $E$13)</f>
        <v>12.820499999999999</v>
      </c>
      <c r="K647" s="61">
        <f>12.8221 * CHOOSE(CONTROL!$C$22, $C$13, 100%, $E$13)</f>
        <v>12.822100000000001</v>
      </c>
    </row>
    <row r="648" spans="1:11" ht="15">
      <c r="A648" s="13">
        <v>61576</v>
      </c>
      <c r="B648" s="60">
        <f>10.8625 * CHOOSE(CONTROL!$C$22, $C$13, 100%, $E$13)</f>
        <v>10.862500000000001</v>
      </c>
      <c r="C648" s="60">
        <f>10.8625 * CHOOSE(CONTROL!$C$22, $C$13, 100%, $E$13)</f>
        <v>10.862500000000001</v>
      </c>
      <c r="D648" s="60">
        <f>10.8876 * CHOOSE(CONTROL!$C$22, $C$13, 100%, $E$13)</f>
        <v>10.887600000000001</v>
      </c>
      <c r="E648" s="61">
        <f>12.6949 * CHOOSE(CONTROL!$C$22, $C$13, 100%, $E$13)</f>
        <v>12.694900000000001</v>
      </c>
      <c r="F648" s="61">
        <f>12.6949 * CHOOSE(CONTROL!$C$22, $C$13, 100%, $E$13)</f>
        <v>12.694900000000001</v>
      </c>
      <c r="G648" s="61">
        <f>12.6965 * CHOOSE(CONTROL!$C$22, $C$13, 100%, $E$13)</f>
        <v>12.6965</v>
      </c>
      <c r="H648" s="61">
        <f>21.058* CHOOSE(CONTROL!$C$22, $C$13, 100%, $E$13)</f>
        <v>21.058</v>
      </c>
      <c r="I648" s="61">
        <f>21.0596 * CHOOSE(CONTROL!$C$22, $C$13, 100%, $E$13)</f>
        <v>21.0596</v>
      </c>
      <c r="J648" s="61">
        <f>12.6949 * CHOOSE(CONTROL!$C$22, $C$13, 100%, $E$13)</f>
        <v>12.694900000000001</v>
      </c>
      <c r="K648" s="61">
        <f>12.6965 * CHOOSE(CONTROL!$C$22, $C$13, 100%, $E$13)</f>
        <v>12.6965</v>
      </c>
    </row>
    <row r="649" spans="1:11" ht="15">
      <c r="A649" s="13">
        <v>61607</v>
      </c>
      <c r="B649" s="60">
        <f>10.8594 * CHOOSE(CONTROL!$C$22, $C$13, 100%, $E$13)</f>
        <v>10.859400000000001</v>
      </c>
      <c r="C649" s="60">
        <f>10.8594 * CHOOSE(CONTROL!$C$22, $C$13, 100%, $E$13)</f>
        <v>10.859400000000001</v>
      </c>
      <c r="D649" s="60">
        <f>10.8845 * CHOOSE(CONTROL!$C$22, $C$13, 100%, $E$13)</f>
        <v>10.884499999999999</v>
      </c>
      <c r="E649" s="61">
        <f>12.6784 * CHOOSE(CONTROL!$C$22, $C$13, 100%, $E$13)</f>
        <v>12.6784</v>
      </c>
      <c r="F649" s="61">
        <f>12.6784 * CHOOSE(CONTROL!$C$22, $C$13, 100%, $E$13)</f>
        <v>12.6784</v>
      </c>
      <c r="G649" s="61">
        <f>12.68 * CHOOSE(CONTROL!$C$22, $C$13, 100%, $E$13)</f>
        <v>12.68</v>
      </c>
      <c r="H649" s="61">
        <f>21.1019* CHOOSE(CONTROL!$C$22, $C$13, 100%, $E$13)</f>
        <v>21.101900000000001</v>
      </c>
      <c r="I649" s="61">
        <f>21.1035 * CHOOSE(CONTROL!$C$22, $C$13, 100%, $E$13)</f>
        <v>21.1035</v>
      </c>
      <c r="J649" s="61">
        <f>12.6784 * CHOOSE(CONTROL!$C$22, $C$13, 100%, $E$13)</f>
        <v>12.6784</v>
      </c>
      <c r="K649" s="61">
        <f>12.68 * CHOOSE(CONTROL!$C$22, $C$13, 100%, $E$13)</f>
        <v>12.68</v>
      </c>
    </row>
    <row r="650" spans="1:11" ht="15">
      <c r="A650" s="13">
        <v>61637</v>
      </c>
      <c r="B650" s="60">
        <f>10.8772 * CHOOSE(CONTROL!$C$22, $C$13, 100%, $E$13)</f>
        <v>10.8772</v>
      </c>
      <c r="C650" s="60">
        <f>10.8772 * CHOOSE(CONTROL!$C$22, $C$13, 100%, $E$13)</f>
        <v>10.8772</v>
      </c>
      <c r="D650" s="60">
        <f>10.8898 * CHOOSE(CONTROL!$C$22, $C$13, 100%, $E$13)</f>
        <v>10.889799999999999</v>
      </c>
      <c r="E650" s="61">
        <f>12.7228 * CHOOSE(CONTROL!$C$22, $C$13, 100%, $E$13)</f>
        <v>12.722799999999999</v>
      </c>
      <c r="F650" s="61">
        <f>12.7228 * CHOOSE(CONTROL!$C$22, $C$13, 100%, $E$13)</f>
        <v>12.722799999999999</v>
      </c>
      <c r="G650" s="61">
        <f>12.723 * CHOOSE(CONTROL!$C$22, $C$13, 100%, $E$13)</f>
        <v>12.723000000000001</v>
      </c>
      <c r="H650" s="61">
        <f>21.1458* CHOOSE(CONTROL!$C$22, $C$13, 100%, $E$13)</f>
        <v>21.145800000000001</v>
      </c>
      <c r="I650" s="61">
        <f>21.146 * CHOOSE(CONTROL!$C$22, $C$13, 100%, $E$13)</f>
        <v>21.146000000000001</v>
      </c>
      <c r="J650" s="61">
        <f>12.7228 * CHOOSE(CONTROL!$C$22, $C$13, 100%, $E$13)</f>
        <v>12.722799999999999</v>
      </c>
      <c r="K650" s="61">
        <f>12.723 * CHOOSE(CONTROL!$C$22, $C$13, 100%, $E$13)</f>
        <v>12.723000000000001</v>
      </c>
    </row>
    <row r="651" spans="1:11" ht="15">
      <c r="A651" s="13">
        <v>61668</v>
      </c>
      <c r="B651" s="60">
        <f>10.8803 * CHOOSE(CONTROL!$C$22, $C$13, 100%, $E$13)</f>
        <v>10.8803</v>
      </c>
      <c r="C651" s="60">
        <f>10.8803 * CHOOSE(CONTROL!$C$22, $C$13, 100%, $E$13)</f>
        <v>10.8803</v>
      </c>
      <c r="D651" s="60">
        <f>10.8928 * CHOOSE(CONTROL!$C$22, $C$13, 100%, $E$13)</f>
        <v>10.892799999999999</v>
      </c>
      <c r="E651" s="61">
        <f>12.7538 * CHOOSE(CONTROL!$C$22, $C$13, 100%, $E$13)</f>
        <v>12.7538</v>
      </c>
      <c r="F651" s="61">
        <f>12.7538 * CHOOSE(CONTROL!$C$22, $C$13, 100%, $E$13)</f>
        <v>12.7538</v>
      </c>
      <c r="G651" s="61">
        <f>12.754 * CHOOSE(CONTROL!$C$22, $C$13, 100%, $E$13)</f>
        <v>12.754</v>
      </c>
      <c r="H651" s="61">
        <f>21.1899* CHOOSE(CONTROL!$C$22, $C$13, 100%, $E$13)</f>
        <v>21.189900000000002</v>
      </c>
      <c r="I651" s="61">
        <f>21.1901 * CHOOSE(CONTROL!$C$22, $C$13, 100%, $E$13)</f>
        <v>21.190100000000001</v>
      </c>
      <c r="J651" s="61">
        <f>12.7538 * CHOOSE(CONTROL!$C$22, $C$13, 100%, $E$13)</f>
        <v>12.7538</v>
      </c>
      <c r="K651" s="61">
        <f>12.754 * CHOOSE(CONTROL!$C$22, $C$13, 100%, $E$13)</f>
        <v>12.754</v>
      </c>
    </row>
    <row r="652" spans="1:11" ht="15">
      <c r="A652" s="13">
        <v>61698</v>
      </c>
      <c r="B652" s="60">
        <f>10.8803 * CHOOSE(CONTROL!$C$22, $C$13, 100%, $E$13)</f>
        <v>10.8803</v>
      </c>
      <c r="C652" s="60">
        <f>10.8803 * CHOOSE(CONTROL!$C$22, $C$13, 100%, $E$13)</f>
        <v>10.8803</v>
      </c>
      <c r="D652" s="60">
        <f>10.8928 * CHOOSE(CONTROL!$C$22, $C$13, 100%, $E$13)</f>
        <v>10.892799999999999</v>
      </c>
      <c r="E652" s="61">
        <f>12.6815 * CHOOSE(CONTROL!$C$22, $C$13, 100%, $E$13)</f>
        <v>12.6815</v>
      </c>
      <c r="F652" s="61">
        <f>12.6815 * CHOOSE(CONTROL!$C$22, $C$13, 100%, $E$13)</f>
        <v>12.6815</v>
      </c>
      <c r="G652" s="61">
        <f>12.6817 * CHOOSE(CONTROL!$C$22, $C$13, 100%, $E$13)</f>
        <v>12.681699999999999</v>
      </c>
      <c r="H652" s="61">
        <f>21.234* CHOOSE(CONTROL!$C$22, $C$13, 100%, $E$13)</f>
        <v>21.234000000000002</v>
      </c>
      <c r="I652" s="61">
        <f>21.2342 * CHOOSE(CONTROL!$C$22, $C$13, 100%, $E$13)</f>
        <v>21.234200000000001</v>
      </c>
      <c r="J652" s="61">
        <f>12.6815 * CHOOSE(CONTROL!$C$22, $C$13, 100%, $E$13)</f>
        <v>12.6815</v>
      </c>
      <c r="K652" s="61">
        <f>12.6817 * CHOOSE(CONTROL!$C$22, $C$13, 100%, $E$13)</f>
        <v>12.681699999999999</v>
      </c>
    </row>
    <row r="653" spans="1:11" ht="15">
      <c r="A653" s="13">
        <v>61729</v>
      </c>
      <c r="B653" s="60">
        <f>10.9277 * CHOOSE(CONTROL!$C$22, $C$13, 100%, $E$13)</f>
        <v>10.9277</v>
      </c>
      <c r="C653" s="60">
        <f>10.9277 * CHOOSE(CONTROL!$C$22, $C$13, 100%, $E$13)</f>
        <v>10.9277</v>
      </c>
      <c r="D653" s="60">
        <f>10.9402 * CHOOSE(CONTROL!$C$22, $C$13, 100%, $E$13)</f>
        <v>10.940200000000001</v>
      </c>
      <c r="E653" s="61">
        <f>12.7883 * CHOOSE(CONTROL!$C$22, $C$13, 100%, $E$13)</f>
        <v>12.7883</v>
      </c>
      <c r="F653" s="61">
        <f>12.7883 * CHOOSE(CONTROL!$C$22, $C$13, 100%, $E$13)</f>
        <v>12.7883</v>
      </c>
      <c r="G653" s="61">
        <f>12.7885 * CHOOSE(CONTROL!$C$22, $C$13, 100%, $E$13)</f>
        <v>12.788500000000001</v>
      </c>
      <c r="H653" s="61">
        <f>21.1993* CHOOSE(CONTROL!$C$22, $C$13, 100%, $E$13)</f>
        <v>21.199300000000001</v>
      </c>
      <c r="I653" s="61">
        <f>21.1995 * CHOOSE(CONTROL!$C$22, $C$13, 100%, $E$13)</f>
        <v>21.1995</v>
      </c>
      <c r="J653" s="61">
        <f>12.7883 * CHOOSE(CONTROL!$C$22, $C$13, 100%, $E$13)</f>
        <v>12.7883</v>
      </c>
      <c r="K653" s="61">
        <f>12.7885 * CHOOSE(CONTROL!$C$22, $C$13, 100%, $E$13)</f>
        <v>12.788500000000001</v>
      </c>
    </row>
    <row r="654" spans="1:11" ht="15">
      <c r="A654" s="13">
        <v>61760</v>
      </c>
      <c r="B654" s="60">
        <f>10.9246 * CHOOSE(CONTROL!$C$22, $C$13, 100%, $E$13)</f>
        <v>10.9246</v>
      </c>
      <c r="C654" s="60">
        <f>10.9246 * CHOOSE(CONTROL!$C$22, $C$13, 100%, $E$13)</f>
        <v>10.9246</v>
      </c>
      <c r="D654" s="60">
        <f>10.9372 * CHOOSE(CONTROL!$C$22, $C$13, 100%, $E$13)</f>
        <v>10.937200000000001</v>
      </c>
      <c r="E654" s="61">
        <f>12.6463 * CHOOSE(CONTROL!$C$22, $C$13, 100%, $E$13)</f>
        <v>12.6463</v>
      </c>
      <c r="F654" s="61">
        <f>12.6463 * CHOOSE(CONTROL!$C$22, $C$13, 100%, $E$13)</f>
        <v>12.6463</v>
      </c>
      <c r="G654" s="61">
        <f>12.6465 * CHOOSE(CONTROL!$C$22, $C$13, 100%, $E$13)</f>
        <v>12.6465</v>
      </c>
      <c r="H654" s="61">
        <f>21.2435* CHOOSE(CONTROL!$C$22, $C$13, 100%, $E$13)</f>
        <v>21.243500000000001</v>
      </c>
      <c r="I654" s="61">
        <f>21.2437 * CHOOSE(CONTROL!$C$22, $C$13, 100%, $E$13)</f>
        <v>21.2437</v>
      </c>
      <c r="J654" s="61">
        <f>12.6463 * CHOOSE(CONTROL!$C$22, $C$13, 100%, $E$13)</f>
        <v>12.6463</v>
      </c>
      <c r="K654" s="61">
        <f>12.6465 * CHOOSE(CONTROL!$C$22, $C$13, 100%, $E$13)</f>
        <v>12.6465</v>
      </c>
    </row>
    <row r="655" spans="1:11" ht="15">
      <c r="A655" s="13">
        <v>61788</v>
      </c>
      <c r="B655" s="60">
        <f>10.9216 * CHOOSE(CONTROL!$C$22, $C$13, 100%, $E$13)</f>
        <v>10.9216</v>
      </c>
      <c r="C655" s="60">
        <f>10.9216 * CHOOSE(CONTROL!$C$22, $C$13, 100%, $E$13)</f>
        <v>10.9216</v>
      </c>
      <c r="D655" s="60">
        <f>10.9341 * CHOOSE(CONTROL!$C$22, $C$13, 100%, $E$13)</f>
        <v>10.934100000000001</v>
      </c>
      <c r="E655" s="61">
        <f>12.7545 * CHOOSE(CONTROL!$C$22, $C$13, 100%, $E$13)</f>
        <v>12.7545</v>
      </c>
      <c r="F655" s="61">
        <f>12.7545 * CHOOSE(CONTROL!$C$22, $C$13, 100%, $E$13)</f>
        <v>12.7545</v>
      </c>
      <c r="G655" s="61">
        <f>12.7546 * CHOOSE(CONTROL!$C$22, $C$13, 100%, $E$13)</f>
        <v>12.7546</v>
      </c>
      <c r="H655" s="61">
        <f>21.2878* CHOOSE(CONTROL!$C$22, $C$13, 100%, $E$13)</f>
        <v>21.287800000000001</v>
      </c>
      <c r="I655" s="61">
        <f>21.2879 * CHOOSE(CONTROL!$C$22, $C$13, 100%, $E$13)</f>
        <v>21.2879</v>
      </c>
      <c r="J655" s="61">
        <f>12.7545 * CHOOSE(CONTROL!$C$22, $C$13, 100%, $E$13)</f>
        <v>12.7545</v>
      </c>
      <c r="K655" s="61">
        <f>12.7546 * CHOOSE(CONTROL!$C$22, $C$13, 100%, $E$13)</f>
        <v>12.7546</v>
      </c>
    </row>
    <row r="656" spans="1:11" ht="15">
      <c r="A656" s="13">
        <v>61819</v>
      </c>
      <c r="B656" s="60">
        <f>10.9252 * CHOOSE(CONTROL!$C$22, $C$13, 100%, $E$13)</f>
        <v>10.9252</v>
      </c>
      <c r="C656" s="60">
        <f>10.9252 * CHOOSE(CONTROL!$C$22, $C$13, 100%, $E$13)</f>
        <v>10.9252</v>
      </c>
      <c r="D656" s="60">
        <f>10.9377 * CHOOSE(CONTROL!$C$22, $C$13, 100%, $E$13)</f>
        <v>10.9377</v>
      </c>
      <c r="E656" s="61">
        <f>12.8687 * CHOOSE(CONTROL!$C$22, $C$13, 100%, $E$13)</f>
        <v>12.8687</v>
      </c>
      <c r="F656" s="61">
        <f>12.8687 * CHOOSE(CONTROL!$C$22, $C$13, 100%, $E$13)</f>
        <v>12.8687</v>
      </c>
      <c r="G656" s="61">
        <f>12.8688 * CHOOSE(CONTROL!$C$22, $C$13, 100%, $E$13)</f>
        <v>12.8688</v>
      </c>
      <c r="H656" s="61">
        <f>21.3321* CHOOSE(CONTROL!$C$22, $C$13, 100%, $E$13)</f>
        <v>21.332100000000001</v>
      </c>
      <c r="I656" s="61">
        <f>21.3323 * CHOOSE(CONTROL!$C$22, $C$13, 100%, $E$13)</f>
        <v>21.3323</v>
      </c>
      <c r="J656" s="61">
        <f>12.8687 * CHOOSE(CONTROL!$C$22, $C$13, 100%, $E$13)</f>
        <v>12.8687</v>
      </c>
      <c r="K656" s="61">
        <f>12.8688 * CHOOSE(CONTROL!$C$22, $C$13, 100%, $E$13)</f>
        <v>12.8688</v>
      </c>
    </row>
    <row r="657" spans="1:11" ht="15">
      <c r="A657" s="13">
        <v>61849</v>
      </c>
      <c r="B657" s="60">
        <f>10.9252 * CHOOSE(CONTROL!$C$22, $C$13, 100%, $E$13)</f>
        <v>10.9252</v>
      </c>
      <c r="C657" s="60">
        <f>10.9252 * CHOOSE(CONTROL!$C$22, $C$13, 100%, $E$13)</f>
        <v>10.9252</v>
      </c>
      <c r="D657" s="60">
        <f>10.9503 * CHOOSE(CONTROL!$C$22, $C$13, 100%, $E$13)</f>
        <v>10.9503</v>
      </c>
      <c r="E657" s="61">
        <f>12.9131 * CHOOSE(CONTROL!$C$22, $C$13, 100%, $E$13)</f>
        <v>12.9131</v>
      </c>
      <c r="F657" s="61">
        <f>12.9131 * CHOOSE(CONTROL!$C$22, $C$13, 100%, $E$13)</f>
        <v>12.9131</v>
      </c>
      <c r="G657" s="61">
        <f>12.9147 * CHOOSE(CONTROL!$C$22, $C$13, 100%, $E$13)</f>
        <v>12.9147</v>
      </c>
      <c r="H657" s="61">
        <f>21.3765* CHOOSE(CONTROL!$C$22, $C$13, 100%, $E$13)</f>
        <v>21.3765</v>
      </c>
      <c r="I657" s="61">
        <f>21.3781 * CHOOSE(CONTROL!$C$22, $C$13, 100%, $E$13)</f>
        <v>21.3781</v>
      </c>
      <c r="J657" s="61">
        <f>12.9131 * CHOOSE(CONTROL!$C$22, $C$13, 100%, $E$13)</f>
        <v>12.9131</v>
      </c>
      <c r="K657" s="61">
        <f>12.9147 * CHOOSE(CONTROL!$C$22, $C$13, 100%, $E$13)</f>
        <v>12.9147</v>
      </c>
    </row>
    <row r="658" spans="1:11" ht="15">
      <c r="A658" s="13">
        <v>61880</v>
      </c>
      <c r="B658" s="60">
        <f>10.9313 * CHOOSE(CONTROL!$C$22, $C$13, 100%, $E$13)</f>
        <v>10.9313</v>
      </c>
      <c r="C658" s="60">
        <f>10.9313 * CHOOSE(CONTROL!$C$22, $C$13, 100%, $E$13)</f>
        <v>10.9313</v>
      </c>
      <c r="D658" s="60">
        <f>10.9564 * CHOOSE(CONTROL!$C$22, $C$13, 100%, $E$13)</f>
        <v>10.9564</v>
      </c>
      <c r="E658" s="61">
        <f>12.8729 * CHOOSE(CONTROL!$C$22, $C$13, 100%, $E$13)</f>
        <v>12.8729</v>
      </c>
      <c r="F658" s="61">
        <f>12.8729 * CHOOSE(CONTROL!$C$22, $C$13, 100%, $E$13)</f>
        <v>12.8729</v>
      </c>
      <c r="G658" s="61">
        <f>12.8745 * CHOOSE(CONTROL!$C$22, $C$13, 100%, $E$13)</f>
        <v>12.874499999999999</v>
      </c>
      <c r="H658" s="61">
        <f>21.4211* CHOOSE(CONTROL!$C$22, $C$13, 100%, $E$13)</f>
        <v>21.421099999999999</v>
      </c>
      <c r="I658" s="61">
        <f>21.4227 * CHOOSE(CONTROL!$C$22, $C$13, 100%, $E$13)</f>
        <v>21.422699999999999</v>
      </c>
      <c r="J658" s="61">
        <f>12.8729 * CHOOSE(CONTROL!$C$22, $C$13, 100%, $E$13)</f>
        <v>12.8729</v>
      </c>
      <c r="K658" s="61">
        <f>12.8745 * CHOOSE(CONTROL!$C$22, $C$13, 100%, $E$13)</f>
        <v>12.874499999999999</v>
      </c>
    </row>
    <row r="659" spans="1:11" ht="15">
      <c r="A659" s="13">
        <v>61910</v>
      </c>
      <c r="B659" s="60">
        <f>11.105 * CHOOSE(CONTROL!$C$22, $C$13, 100%, $E$13)</f>
        <v>11.105</v>
      </c>
      <c r="C659" s="60">
        <f>11.105 * CHOOSE(CONTROL!$C$22, $C$13, 100%, $E$13)</f>
        <v>11.105</v>
      </c>
      <c r="D659" s="60">
        <f>11.1301 * CHOOSE(CONTROL!$C$22, $C$13, 100%, $E$13)</f>
        <v>11.130100000000001</v>
      </c>
      <c r="E659" s="61">
        <f>13.1203 * CHOOSE(CONTROL!$C$22, $C$13, 100%, $E$13)</f>
        <v>13.1203</v>
      </c>
      <c r="F659" s="61">
        <f>13.1203 * CHOOSE(CONTROL!$C$22, $C$13, 100%, $E$13)</f>
        <v>13.1203</v>
      </c>
      <c r="G659" s="61">
        <f>13.1219 * CHOOSE(CONTROL!$C$22, $C$13, 100%, $E$13)</f>
        <v>13.1219</v>
      </c>
      <c r="H659" s="61">
        <f>21.4657* CHOOSE(CONTROL!$C$22, $C$13, 100%, $E$13)</f>
        <v>21.465699999999998</v>
      </c>
      <c r="I659" s="61">
        <f>21.4673 * CHOOSE(CONTROL!$C$22, $C$13, 100%, $E$13)</f>
        <v>21.467300000000002</v>
      </c>
      <c r="J659" s="61">
        <f>13.1203 * CHOOSE(CONTROL!$C$22, $C$13, 100%, $E$13)</f>
        <v>13.1203</v>
      </c>
      <c r="K659" s="61">
        <f>13.1219 * CHOOSE(CONTROL!$C$22, $C$13, 100%, $E$13)</f>
        <v>13.1219</v>
      </c>
    </row>
    <row r="660" spans="1:11" ht="15">
      <c r="A660" s="13">
        <v>61941</v>
      </c>
      <c r="B660" s="60">
        <f>11.1117 * CHOOSE(CONTROL!$C$22, $C$13, 100%, $E$13)</f>
        <v>11.111700000000001</v>
      </c>
      <c r="C660" s="60">
        <f>11.1117 * CHOOSE(CONTROL!$C$22, $C$13, 100%, $E$13)</f>
        <v>11.111700000000001</v>
      </c>
      <c r="D660" s="60">
        <f>11.1368 * CHOOSE(CONTROL!$C$22, $C$13, 100%, $E$13)</f>
        <v>11.136799999999999</v>
      </c>
      <c r="E660" s="61">
        <f>12.9918 * CHOOSE(CONTROL!$C$22, $C$13, 100%, $E$13)</f>
        <v>12.9918</v>
      </c>
      <c r="F660" s="61">
        <f>12.9918 * CHOOSE(CONTROL!$C$22, $C$13, 100%, $E$13)</f>
        <v>12.9918</v>
      </c>
      <c r="G660" s="61">
        <f>12.9934 * CHOOSE(CONTROL!$C$22, $C$13, 100%, $E$13)</f>
        <v>12.993399999999999</v>
      </c>
      <c r="H660" s="61">
        <f>21.5104* CHOOSE(CONTROL!$C$22, $C$13, 100%, $E$13)</f>
        <v>21.510400000000001</v>
      </c>
      <c r="I660" s="61">
        <f>21.512 * CHOOSE(CONTROL!$C$22, $C$13, 100%, $E$13)</f>
        <v>21.512</v>
      </c>
      <c r="J660" s="61">
        <f>12.9918 * CHOOSE(CONTROL!$C$22, $C$13, 100%, $E$13)</f>
        <v>12.9918</v>
      </c>
      <c r="K660" s="61">
        <f>12.9934 * CHOOSE(CONTROL!$C$22, $C$13, 100%, $E$13)</f>
        <v>12.993399999999999</v>
      </c>
    </row>
    <row r="661" spans="1:11" ht="15">
      <c r="A661" s="13">
        <v>61972</v>
      </c>
      <c r="B661" s="60">
        <f>11.1087 * CHOOSE(CONTROL!$C$22, $C$13, 100%, $E$13)</f>
        <v>11.108700000000001</v>
      </c>
      <c r="C661" s="60">
        <f>11.1087 * CHOOSE(CONTROL!$C$22, $C$13, 100%, $E$13)</f>
        <v>11.108700000000001</v>
      </c>
      <c r="D661" s="60">
        <f>11.1337 * CHOOSE(CONTROL!$C$22, $C$13, 100%, $E$13)</f>
        <v>11.133699999999999</v>
      </c>
      <c r="E661" s="61">
        <f>12.9749 * CHOOSE(CONTROL!$C$22, $C$13, 100%, $E$13)</f>
        <v>12.9749</v>
      </c>
      <c r="F661" s="61">
        <f>12.9749 * CHOOSE(CONTROL!$C$22, $C$13, 100%, $E$13)</f>
        <v>12.9749</v>
      </c>
      <c r="G661" s="61">
        <f>12.9765 * CHOOSE(CONTROL!$C$22, $C$13, 100%, $E$13)</f>
        <v>12.9765</v>
      </c>
      <c r="H661" s="61">
        <f>21.5552* CHOOSE(CONTROL!$C$22, $C$13, 100%, $E$13)</f>
        <v>21.555199999999999</v>
      </c>
      <c r="I661" s="61">
        <f>21.5568 * CHOOSE(CONTROL!$C$22, $C$13, 100%, $E$13)</f>
        <v>21.556799999999999</v>
      </c>
      <c r="J661" s="61">
        <f>12.9749 * CHOOSE(CONTROL!$C$22, $C$13, 100%, $E$13)</f>
        <v>12.9749</v>
      </c>
      <c r="K661" s="61">
        <f>12.9765 * CHOOSE(CONTROL!$C$22, $C$13, 100%, $E$13)</f>
        <v>12.9765</v>
      </c>
    </row>
    <row r="662" spans="1:11" ht="15">
      <c r="A662" s="13">
        <v>62002</v>
      </c>
      <c r="B662" s="60">
        <f>11.1272 * CHOOSE(CONTROL!$C$22, $C$13, 100%, $E$13)</f>
        <v>11.1272</v>
      </c>
      <c r="C662" s="60">
        <f>11.1272 * CHOOSE(CONTROL!$C$22, $C$13, 100%, $E$13)</f>
        <v>11.1272</v>
      </c>
      <c r="D662" s="60">
        <f>11.1398 * CHOOSE(CONTROL!$C$22, $C$13, 100%, $E$13)</f>
        <v>11.139799999999999</v>
      </c>
      <c r="E662" s="61">
        <f>13.0206 * CHOOSE(CONTROL!$C$22, $C$13, 100%, $E$13)</f>
        <v>13.0206</v>
      </c>
      <c r="F662" s="61">
        <f>13.0206 * CHOOSE(CONTROL!$C$22, $C$13, 100%, $E$13)</f>
        <v>13.0206</v>
      </c>
      <c r="G662" s="61">
        <f>13.0208 * CHOOSE(CONTROL!$C$22, $C$13, 100%, $E$13)</f>
        <v>13.020799999999999</v>
      </c>
      <c r="H662" s="61">
        <f>21.6001* CHOOSE(CONTROL!$C$22, $C$13, 100%, $E$13)</f>
        <v>21.600100000000001</v>
      </c>
      <c r="I662" s="61">
        <f>21.6003 * CHOOSE(CONTROL!$C$22, $C$13, 100%, $E$13)</f>
        <v>21.600300000000001</v>
      </c>
      <c r="J662" s="61">
        <f>13.0206 * CHOOSE(CONTROL!$C$22, $C$13, 100%, $E$13)</f>
        <v>13.0206</v>
      </c>
      <c r="K662" s="61">
        <f>13.0208 * CHOOSE(CONTROL!$C$22, $C$13, 100%, $E$13)</f>
        <v>13.020799999999999</v>
      </c>
    </row>
    <row r="663" spans="1:11" ht="15">
      <c r="A663" s="13">
        <v>62033</v>
      </c>
      <c r="B663" s="60">
        <f>11.1303 * CHOOSE(CONTROL!$C$22, $C$13, 100%, $E$13)</f>
        <v>11.1303</v>
      </c>
      <c r="C663" s="60">
        <f>11.1303 * CHOOSE(CONTROL!$C$22, $C$13, 100%, $E$13)</f>
        <v>11.1303</v>
      </c>
      <c r="D663" s="60">
        <f>11.1428 * CHOOSE(CONTROL!$C$22, $C$13, 100%, $E$13)</f>
        <v>11.142799999999999</v>
      </c>
      <c r="E663" s="61">
        <f>13.0524 * CHOOSE(CONTROL!$C$22, $C$13, 100%, $E$13)</f>
        <v>13.0524</v>
      </c>
      <c r="F663" s="61">
        <f>13.0524 * CHOOSE(CONTROL!$C$22, $C$13, 100%, $E$13)</f>
        <v>13.0524</v>
      </c>
      <c r="G663" s="61">
        <f>13.0525 * CHOOSE(CONTROL!$C$22, $C$13, 100%, $E$13)</f>
        <v>13.0525</v>
      </c>
      <c r="H663" s="61">
        <f>21.6451* CHOOSE(CONTROL!$C$22, $C$13, 100%, $E$13)</f>
        <v>21.645099999999999</v>
      </c>
      <c r="I663" s="61">
        <f>21.6453 * CHOOSE(CONTROL!$C$22, $C$13, 100%, $E$13)</f>
        <v>21.645299999999999</v>
      </c>
      <c r="J663" s="61">
        <f>13.0524 * CHOOSE(CONTROL!$C$22, $C$13, 100%, $E$13)</f>
        <v>13.0524</v>
      </c>
      <c r="K663" s="61">
        <f>13.0525 * CHOOSE(CONTROL!$C$22, $C$13, 100%, $E$13)</f>
        <v>13.0525</v>
      </c>
    </row>
    <row r="664" spans="1:11" ht="15">
      <c r="A664" s="13">
        <v>62063</v>
      </c>
      <c r="B664" s="60">
        <f>11.1303 * CHOOSE(CONTROL!$C$22, $C$13, 100%, $E$13)</f>
        <v>11.1303</v>
      </c>
      <c r="C664" s="60">
        <f>11.1303 * CHOOSE(CONTROL!$C$22, $C$13, 100%, $E$13)</f>
        <v>11.1303</v>
      </c>
      <c r="D664" s="60">
        <f>11.1428 * CHOOSE(CONTROL!$C$22, $C$13, 100%, $E$13)</f>
        <v>11.142799999999999</v>
      </c>
      <c r="E664" s="61">
        <f>12.9784 * CHOOSE(CONTROL!$C$22, $C$13, 100%, $E$13)</f>
        <v>12.978400000000001</v>
      </c>
      <c r="F664" s="61">
        <f>12.9784 * CHOOSE(CONTROL!$C$22, $C$13, 100%, $E$13)</f>
        <v>12.978400000000001</v>
      </c>
      <c r="G664" s="61">
        <f>12.9785 * CHOOSE(CONTROL!$C$22, $C$13, 100%, $E$13)</f>
        <v>12.9785</v>
      </c>
      <c r="H664" s="61">
        <f>21.6902* CHOOSE(CONTROL!$C$22, $C$13, 100%, $E$13)</f>
        <v>21.690200000000001</v>
      </c>
      <c r="I664" s="61">
        <f>21.6904 * CHOOSE(CONTROL!$C$22, $C$13, 100%, $E$13)</f>
        <v>21.6904</v>
      </c>
      <c r="J664" s="61">
        <f>12.9784 * CHOOSE(CONTROL!$C$22, $C$13, 100%, $E$13)</f>
        <v>12.978400000000001</v>
      </c>
      <c r="K664" s="61">
        <f>12.9785 * CHOOSE(CONTROL!$C$22, $C$13, 100%, $E$13)</f>
        <v>12.9785</v>
      </c>
    </row>
    <row r="665" spans="1:11" ht="15">
      <c r="A665" s="13">
        <v>62094</v>
      </c>
      <c r="B665" s="60">
        <f>11.173 * CHOOSE(CONTROL!$C$22, $C$13, 100%, $E$13)</f>
        <v>11.173</v>
      </c>
      <c r="C665" s="60">
        <f>11.173 * CHOOSE(CONTROL!$C$22, $C$13, 100%, $E$13)</f>
        <v>11.173</v>
      </c>
      <c r="D665" s="60">
        <f>11.1855 * CHOOSE(CONTROL!$C$22, $C$13, 100%, $E$13)</f>
        <v>11.185499999999999</v>
      </c>
      <c r="E665" s="61">
        <f>13.0807 * CHOOSE(CONTROL!$C$22, $C$13, 100%, $E$13)</f>
        <v>13.0807</v>
      </c>
      <c r="F665" s="61">
        <f>13.0807 * CHOOSE(CONTROL!$C$22, $C$13, 100%, $E$13)</f>
        <v>13.0807</v>
      </c>
      <c r="G665" s="61">
        <f>13.0809 * CHOOSE(CONTROL!$C$22, $C$13, 100%, $E$13)</f>
        <v>13.0809</v>
      </c>
      <c r="H665" s="61">
        <f>21.6452* CHOOSE(CONTROL!$C$22, $C$13, 100%, $E$13)</f>
        <v>21.645199999999999</v>
      </c>
      <c r="I665" s="61">
        <f>21.6454 * CHOOSE(CONTROL!$C$22, $C$13, 100%, $E$13)</f>
        <v>21.645399999999999</v>
      </c>
      <c r="J665" s="61">
        <f>13.0807 * CHOOSE(CONTROL!$C$22, $C$13, 100%, $E$13)</f>
        <v>13.0807</v>
      </c>
      <c r="K665" s="61">
        <f>13.0809 * CHOOSE(CONTROL!$C$22, $C$13, 100%, $E$13)</f>
        <v>13.0809</v>
      </c>
    </row>
    <row r="666" spans="1:11" ht="15">
      <c r="A666" s="13">
        <v>62125</v>
      </c>
      <c r="B666" s="60">
        <f>11.1699 * CHOOSE(CONTROL!$C$22, $C$13, 100%, $E$13)</f>
        <v>11.1699</v>
      </c>
      <c r="C666" s="60">
        <f>11.1699 * CHOOSE(CONTROL!$C$22, $C$13, 100%, $E$13)</f>
        <v>11.1699</v>
      </c>
      <c r="D666" s="60">
        <f>11.1825 * CHOOSE(CONTROL!$C$22, $C$13, 100%, $E$13)</f>
        <v>11.182499999999999</v>
      </c>
      <c r="E666" s="61">
        <f>12.9355 * CHOOSE(CONTROL!$C$22, $C$13, 100%, $E$13)</f>
        <v>12.935499999999999</v>
      </c>
      <c r="F666" s="61">
        <f>12.9355 * CHOOSE(CONTROL!$C$22, $C$13, 100%, $E$13)</f>
        <v>12.935499999999999</v>
      </c>
      <c r="G666" s="61">
        <f>12.9357 * CHOOSE(CONTROL!$C$22, $C$13, 100%, $E$13)</f>
        <v>12.935700000000001</v>
      </c>
      <c r="H666" s="61">
        <f>21.6903* CHOOSE(CONTROL!$C$22, $C$13, 100%, $E$13)</f>
        <v>21.690300000000001</v>
      </c>
      <c r="I666" s="61">
        <f>21.6905 * CHOOSE(CONTROL!$C$22, $C$13, 100%, $E$13)</f>
        <v>21.6905</v>
      </c>
      <c r="J666" s="61">
        <f>12.9355 * CHOOSE(CONTROL!$C$22, $C$13, 100%, $E$13)</f>
        <v>12.935499999999999</v>
      </c>
      <c r="K666" s="61">
        <f>12.9357 * CHOOSE(CONTROL!$C$22, $C$13, 100%, $E$13)</f>
        <v>12.935700000000001</v>
      </c>
    </row>
    <row r="667" spans="1:11" ht="15">
      <c r="A667" s="13">
        <v>62153</v>
      </c>
      <c r="B667" s="60">
        <f>11.1669 * CHOOSE(CONTROL!$C$22, $C$13, 100%, $E$13)</f>
        <v>11.1669</v>
      </c>
      <c r="C667" s="60">
        <f>11.1669 * CHOOSE(CONTROL!$C$22, $C$13, 100%, $E$13)</f>
        <v>11.1669</v>
      </c>
      <c r="D667" s="60">
        <f>11.1794 * CHOOSE(CONTROL!$C$22, $C$13, 100%, $E$13)</f>
        <v>11.179399999999999</v>
      </c>
      <c r="E667" s="61">
        <f>13.0462 * CHOOSE(CONTROL!$C$22, $C$13, 100%, $E$13)</f>
        <v>13.046200000000001</v>
      </c>
      <c r="F667" s="61">
        <f>13.0462 * CHOOSE(CONTROL!$C$22, $C$13, 100%, $E$13)</f>
        <v>13.046200000000001</v>
      </c>
      <c r="G667" s="61">
        <f>13.0464 * CHOOSE(CONTROL!$C$22, $C$13, 100%, $E$13)</f>
        <v>13.0464</v>
      </c>
      <c r="H667" s="61">
        <f>21.7355* CHOOSE(CONTROL!$C$22, $C$13, 100%, $E$13)</f>
        <v>21.735499999999998</v>
      </c>
      <c r="I667" s="61">
        <f>21.7357 * CHOOSE(CONTROL!$C$22, $C$13, 100%, $E$13)</f>
        <v>21.735700000000001</v>
      </c>
      <c r="J667" s="61">
        <f>13.0462 * CHOOSE(CONTROL!$C$22, $C$13, 100%, $E$13)</f>
        <v>13.046200000000001</v>
      </c>
      <c r="K667" s="61">
        <f>13.0464 * CHOOSE(CONTROL!$C$22, $C$13, 100%, $E$13)</f>
        <v>13.0464</v>
      </c>
    </row>
    <row r="668" spans="1:11" ht="15">
      <c r="A668" s="13">
        <v>62184</v>
      </c>
      <c r="B668" s="60">
        <f>11.1707 * CHOOSE(CONTROL!$C$22, $C$13, 100%, $E$13)</f>
        <v>11.1707</v>
      </c>
      <c r="C668" s="60">
        <f>11.1707 * CHOOSE(CONTROL!$C$22, $C$13, 100%, $E$13)</f>
        <v>11.1707</v>
      </c>
      <c r="D668" s="60">
        <f>11.1833 * CHOOSE(CONTROL!$C$22, $C$13, 100%, $E$13)</f>
        <v>11.183299999999999</v>
      </c>
      <c r="E668" s="61">
        <f>13.1631 * CHOOSE(CONTROL!$C$22, $C$13, 100%, $E$13)</f>
        <v>13.1631</v>
      </c>
      <c r="F668" s="61">
        <f>13.1631 * CHOOSE(CONTROL!$C$22, $C$13, 100%, $E$13)</f>
        <v>13.1631</v>
      </c>
      <c r="G668" s="61">
        <f>13.1633 * CHOOSE(CONTROL!$C$22, $C$13, 100%, $E$13)</f>
        <v>13.1633</v>
      </c>
      <c r="H668" s="61">
        <f>21.7808* CHOOSE(CONTROL!$C$22, $C$13, 100%, $E$13)</f>
        <v>21.780799999999999</v>
      </c>
      <c r="I668" s="61">
        <f>21.781 * CHOOSE(CONTROL!$C$22, $C$13, 100%, $E$13)</f>
        <v>21.780999999999999</v>
      </c>
      <c r="J668" s="61">
        <f>13.1631 * CHOOSE(CONTROL!$C$22, $C$13, 100%, $E$13)</f>
        <v>13.1631</v>
      </c>
      <c r="K668" s="61">
        <f>13.1633 * CHOOSE(CONTROL!$C$22, $C$13, 100%, $E$13)</f>
        <v>13.1633</v>
      </c>
    </row>
    <row r="669" spans="1:11" ht="15">
      <c r="A669" s="13">
        <v>62214</v>
      </c>
      <c r="B669" s="60">
        <f>11.1707 * CHOOSE(CONTROL!$C$22, $C$13, 100%, $E$13)</f>
        <v>11.1707</v>
      </c>
      <c r="C669" s="60">
        <f>11.1707 * CHOOSE(CONTROL!$C$22, $C$13, 100%, $E$13)</f>
        <v>11.1707</v>
      </c>
      <c r="D669" s="60">
        <f>11.1958 * CHOOSE(CONTROL!$C$22, $C$13, 100%, $E$13)</f>
        <v>11.1958</v>
      </c>
      <c r="E669" s="61">
        <f>13.2085 * CHOOSE(CONTROL!$C$22, $C$13, 100%, $E$13)</f>
        <v>13.208500000000001</v>
      </c>
      <c r="F669" s="61">
        <f>13.2085 * CHOOSE(CONTROL!$C$22, $C$13, 100%, $E$13)</f>
        <v>13.208500000000001</v>
      </c>
      <c r="G669" s="61">
        <f>13.2101 * CHOOSE(CONTROL!$C$22, $C$13, 100%, $E$13)</f>
        <v>13.210100000000001</v>
      </c>
      <c r="H669" s="61">
        <f>21.8262* CHOOSE(CONTROL!$C$22, $C$13, 100%, $E$13)</f>
        <v>21.8262</v>
      </c>
      <c r="I669" s="61">
        <f>21.8278 * CHOOSE(CONTROL!$C$22, $C$13, 100%, $E$13)</f>
        <v>21.8278</v>
      </c>
      <c r="J669" s="61">
        <f>13.2085 * CHOOSE(CONTROL!$C$22, $C$13, 100%, $E$13)</f>
        <v>13.208500000000001</v>
      </c>
      <c r="K669" s="61">
        <f>13.2101 * CHOOSE(CONTROL!$C$22, $C$13, 100%, $E$13)</f>
        <v>13.210100000000001</v>
      </c>
    </row>
    <row r="670" spans="1:11" ht="15">
      <c r="A670" s="13">
        <v>62245</v>
      </c>
      <c r="B670" s="60">
        <f>11.1768 * CHOOSE(CONTROL!$C$22, $C$13, 100%, $E$13)</f>
        <v>11.1768</v>
      </c>
      <c r="C670" s="60">
        <f>11.1768 * CHOOSE(CONTROL!$C$22, $C$13, 100%, $E$13)</f>
        <v>11.1768</v>
      </c>
      <c r="D670" s="60">
        <f>11.2019 * CHOOSE(CONTROL!$C$22, $C$13, 100%, $E$13)</f>
        <v>11.2019</v>
      </c>
      <c r="E670" s="61">
        <f>13.1673 * CHOOSE(CONTROL!$C$22, $C$13, 100%, $E$13)</f>
        <v>13.167299999999999</v>
      </c>
      <c r="F670" s="61">
        <f>13.1673 * CHOOSE(CONTROL!$C$22, $C$13, 100%, $E$13)</f>
        <v>13.167299999999999</v>
      </c>
      <c r="G670" s="61">
        <f>13.1689 * CHOOSE(CONTROL!$C$22, $C$13, 100%, $E$13)</f>
        <v>13.168900000000001</v>
      </c>
      <c r="H670" s="61">
        <f>21.8716* CHOOSE(CONTROL!$C$22, $C$13, 100%, $E$13)</f>
        <v>21.871600000000001</v>
      </c>
      <c r="I670" s="61">
        <f>21.8732 * CHOOSE(CONTROL!$C$22, $C$13, 100%, $E$13)</f>
        <v>21.873200000000001</v>
      </c>
      <c r="J670" s="61">
        <f>13.1673 * CHOOSE(CONTROL!$C$22, $C$13, 100%, $E$13)</f>
        <v>13.167299999999999</v>
      </c>
      <c r="K670" s="61">
        <f>13.1689 * CHOOSE(CONTROL!$C$22, $C$13, 100%, $E$13)</f>
        <v>13.168900000000001</v>
      </c>
    </row>
    <row r="671" spans="1:11" ht="15">
      <c r="A671" s="13">
        <v>62275</v>
      </c>
      <c r="B671" s="60">
        <f>11.3542 * CHOOSE(CONTROL!$C$22, $C$13, 100%, $E$13)</f>
        <v>11.354200000000001</v>
      </c>
      <c r="C671" s="60">
        <f>11.3542 * CHOOSE(CONTROL!$C$22, $C$13, 100%, $E$13)</f>
        <v>11.354200000000001</v>
      </c>
      <c r="D671" s="60">
        <f>11.3793 * CHOOSE(CONTROL!$C$22, $C$13, 100%, $E$13)</f>
        <v>11.379300000000001</v>
      </c>
      <c r="E671" s="61">
        <f>13.4202 * CHOOSE(CONTROL!$C$22, $C$13, 100%, $E$13)</f>
        <v>13.420199999999999</v>
      </c>
      <c r="F671" s="61">
        <f>13.4202 * CHOOSE(CONTROL!$C$22, $C$13, 100%, $E$13)</f>
        <v>13.420199999999999</v>
      </c>
      <c r="G671" s="61">
        <f>13.4218 * CHOOSE(CONTROL!$C$22, $C$13, 100%, $E$13)</f>
        <v>13.421799999999999</v>
      </c>
      <c r="H671" s="61">
        <f>21.9172* CHOOSE(CONTROL!$C$22, $C$13, 100%, $E$13)</f>
        <v>21.917200000000001</v>
      </c>
      <c r="I671" s="61">
        <f>21.9188 * CHOOSE(CONTROL!$C$22, $C$13, 100%, $E$13)</f>
        <v>21.918800000000001</v>
      </c>
      <c r="J671" s="61">
        <f>13.4202 * CHOOSE(CONTROL!$C$22, $C$13, 100%, $E$13)</f>
        <v>13.420199999999999</v>
      </c>
      <c r="K671" s="61">
        <f>13.4218 * CHOOSE(CONTROL!$C$22, $C$13, 100%, $E$13)</f>
        <v>13.421799999999999</v>
      </c>
    </row>
    <row r="672" spans="1:11" ht="15">
      <c r="A672" s="13">
        <v>62306</v>
      </c>
      <c r="B672" s="60">
        <f>11.3609 * CHOOSE(CONTROL!$C$22, $C$13, 100%, $E$13)</f>
        <v>11.360900000000001</v>
      </c>
      <c r="C672" s="60">
        <f>11.3609 * CHOOSE(CONTROL!$C$22, $C$13, 100%, $E$13)</f>
        <v>11.360900000000001</v>
      </c>
      <c r="D672" s="60">
        <f>11.386 * CHOOSE(CONTROL!$C$22, $C$13, 100%, $E$13)</f>
        <v>11.385999999999999</v>
      </c>
      <c r="E672" s="61">
        <f>13.2886 * CHOOSE(CONTROL!$C$22, $C$13, 100%, $E$13)</f>
        <v>13.288600000000001</v>
      </c>
      <c r="F672" s="61">
        <f>13.2886 * CHOOSE(CONTROL!$C$22, $C$13, 100%, $E$13)</f>
        <v>13.288600000000001</v>
      </c>
      <c r="G672" s="61">
        <f>13.2902 * CHOOSE(CONTROL!$C$22, $C$13, 100%, $E$13)</f>
        <v>13.2902</v>
      </c>
      <c r="H672" s="61">
        <f>21.9629* CHOOSE(CONTROL!$C$22, $C$13, 100%, $E$13)</f>
        <v>21.962900000000001</v>
      </c>
      <c r="I672" s="61">
        <f>21.9645 * CHOOSE(CONTROL!$C$22, $C$13, 100%, $E$13)</f>
        <v>21.964500000000001</v>
      </c>
      <c r="J672" s="61">
        <f>13.2886 * CHOOSE(CONTROL!$C$22, $C$13, 100%, $E$13)</f>
        <v>13.288600000000001</v>
      </c>
      <c r="K672" s="61">
        <f>13.2902 * CHOOSE(CONTROL!$C$22, $C$13, 100%, $E$13)</f>
        <v>13.2902</v>
      </c>
    </row>
    <row r="673" spans="1:11" ht="15">
      <c r="A673" s="13">
        <v>62337</v>
      </c>
      <c r="B673" s="60">
        <f>11.3579 * CHOOSE(CONTROL!$C$22, $C$13, 100%, $E$13)</f>
        <v>11.357900000000001</v>
      </c>
      <c r="C673" s="60">
        <f>11.3579 * CHOOSE(CONTROL!$C$22, $C$13, 100%, $E$13)</f>
        <v>11.357900000000001</v>
      </c>
      <c r="D673" s="60">
        <f>11.3829 * CHOOSE(CONTROL!$C$22, $C$13, 100%, $E$13)</f>
        <v>11.382899999999999</v>
      </c>
      <c r="E673" s="61">
        <f>13.2713 * CHOOSE(CONTROL!$C$22, $C$13, 100%, $E$13)</f>
        <v>13.2713</v>
      </c>
      <c r="F673" s="61">
        <f>13.2713 * CHOOSE(CONTROL!$C$22, $C$13, 100%, $E$13)</f>
        <v>13.2713</v>
      </c>
      <c r="G673" s="61">
        <f>13.2729 * CHOOSE(CONTROL!$C$22, $C$13, 100%, $E$13)</f>
        <v>13.2729</v>
      </c>
      <c r="H673" s="61">
        <f>22.0086* CHOOSE(CONTROL!$C$22, $C$13, 100%, $E$13)</f>
        <v>22.008600000000001</v>
      </c>
      <c r="I673" s="61">
        <f>22.0102 * CHOOSE(CONTROL!$C$22, $C$13, 100%, $E$13)</f>
        <v>22.010200000000001</v>
      </c>
      <c r="J673" s="61">
        <f>13.2713 * CHOOSE(CONTROL!$C$22, $C$13, 100%, $E$13)</f>
        <v>13.2713</v>
      </c>
      <c r="K673" s="61">
        <f>13.2729 * CHOOSE(CONTROL!$C$22, $C$13, 100%, $E$13)</f>
        <v>13.2729</v>
      </c>
    </row>
    <row r="674" spans="1:11" ht="15">
      <c r="A674" s="13">
        <v>62367</v>
      </c>
      <c r="B674" s="60">
        <f>11.3773 * CHOOSE(CONTROL!$C$22, $C$13, 100%, $E$13)</f>
        <v>11.3773</v>
      </c>
      <c r="C674" s="60">
        <f>11.3773 * CHOOSE(CONTROL!$C$22, $C$13, 100%, $E$13)</f>
        <v>11.3773</v>
      </c>
      <c r="D674" s="60">
        <f>11.3898 * CHOOSE(CONTROL!$C$22, $C$13, 100%, $E$13)</f>
        <v>11.389799999999999</v>
      </c>
      <c r="E674" s="61">
        <f>13.3185 * CHOOSE(CONTROL!$C$22, $C$13, 100%, $E$13)</f>
        <v>13.3185</v>
      </c>
      <c r="F674" s="61">
        <f>13.3185 * CHOOSE(CONTROL!$C$22, $C$13, 100%, $E$13)</f>
        <v>13.3185</v>
      </c>
      <c r="G674" s="61">
        <f>13.3187 * CHOOSE(CONTROL!$C$22, $C$13, 100%, $E$13)</f>
        <v>13.3187</v>
      </c>
      <c r="H674" s="61">
        <f>22.0545* CHOOSE(CONTROL!$C$22, $C$13, 100%, $E$13)</f>
        <v>22.054500000000001</v>
      </c>
      <c r="I674" s="61">
        <f>22.0546 * CHOOSE(CONTROL!$C$22, $C$13, 100%, $E$13)</f>
        <v>22.054600000000001</v>
      </c>
      <c r="J674" s="61">
        <f>13.3185 * CHOOSE(CONTROL!$C$22, $C$13, 100%, $E$13)</f>
        <v>13.3185</v>
      </c>
      <c r="K674" s="61">
        <f>13.3187 * CHOOSE(CONTROL!$C$22, $C$13, 100%, $E$13)</f>
        <v>13.3187</v>
      </c>
    </row>
    <row r="675" spans="1:11" ht="15">
      <c r="A675" s="13">
        <v>62398</v>
      </c>
      <c r="B675" s="60">
        <f>11.3803 * CHOOSE(CONTROL!$C$22, $C$13, 100%, $E$13)</f>
        <v>11.3803</v>
      </c>
      <c r="C675" s="60">
        <f>11.3803 * CHOOSE(CONTROL!$C$22, $C$13, 100%, $E$13)</f>
        <v>11.3803</v>
      </c>
      <c r="D675" s="60">
        <f>11.3928 * CHOOSE(CONTROL!$C$22, $C$13, 100%, $E$13)</f>
        <v>11.392799999999999</v>
      </c>
      <c r="E675" s="61">
        <f>13.3509 * CHOOSE(CONTROL!$C$22, $C$13, 100%, $E$13)</f>
        <v>13.350899999999999</v>
      </c>
      <c r="F675" s="61">
        <f>13.3509 * CHOOSE(CONTROL!$C$22, $C$13, 100%, $E$13)</f>
        <v>13.350899999999999</v>
      </c>
      <c r="G675" s="61">
        <f>13.3511 * CHOOSE(CONTROL!$C$22, $C$13, 100%, $E$13)</f>
        <v>13.351100000000001</v>
      </c>
      <c r="H675" s="61">
        <f>22.1004* CHOOSE(CONTROL!$C$22, $C$13, 100%, $E$13)</f>
        <v>22.1004</v>
      </c>
      <c r="I675" s="61">
        <f>22.1006 * CHOOSE(CONTROL!$C$22, $C$13, 100%, $E$13)</f>
        <v>22.1006</v>
      </c>
      <c r="J675" s="61">
        <f>13.3509 * CHOOSE(CONTROL!$C$22, $C$13, 100%, $E$13)</f>
        <v>13.350899999999999</v>
      </c>
      <c r="K675" s="61">
        <f>13.3511 * CHOOSE(CONTROL!$C$22, $C$13, 100%, $E$13)</f>
        <v>13.351100000000001</v>
      </c>
    </row>
    <row r="676" spans="1:11" ht="15">
      <c r="A676" s="13">
        <v>62428</v>
      </c>
      <c r="B676" s="60">
        <f>11.3803 * CHOOSE(CONTROL!$C$22, $C$13, 100%, $E$13)</f>
        <v>11.3803</v>
      </c>
      <c r="C676" s="60">
        <f>11.3803 * CHOOSE(CONTROL!$C$22, $C$13, 100%, $E$13)</f>
        <v>11.3803</v>
      </c>
      <c r="D676" s="60">
        <f>11.3928 * CHOOSE(CONTROL!$C$22, $C$13, 100%, $E$13)</f>
        <v>11.392799999999999</v>
      </c>
      <c r="E676" s="61">
        <f>13.2752 * CHOOSE(CONTROL!$C$22, $C$13, 100%, $E$13)</f>
        <v>13.2752</v>
      </c>
      <c r="F676" s="61">
        <f>13.2752 * CHOOSE(CONTROL!$C$22, $C$13, 100%, $E$13)</f>
        <v>13.2752</v>
      </c>
      <c r="G676" s="61">
        <f>13.2754 * CHOOSE(CONTROL!$C$22, $C$13, 100%, $E$13)</f>
        <v>13.275399999999999</v>
      </c>
      <c r="H676" s="61">
        <f>22.1465* CHOOSE(CONTROL!$C$22, $C$13, 100%, $E$13)</f>
        <v>22.1465</v>
      </c>
      <c r="I676" s="61">
        <f>22.1466 * CHOOSE(CONTROL!$C$22, $C$13, 100%, $E$13)</f>
        <v>22.146599999999999</v>
      </c>
      <c r="J676" s="61">
        <f>13.2752 * CHOOSE(CONTROL!$C$22, $C$13, 100%, $E$13)</f>
        <v>13.2752</v>
      </c>
      <c r="K676" s="61">
        <f>13.2754 * CHOOSE(CONTROL!$C$22, $C$13, 100%, $E$13)</f>
        <v>13.275399999999999</v>
      </c>
    </row>
    <row r="677" spans="1:11" ht="15">
      <c r="A677" s="13">
        <v>62459</v>
      </c>
      <c r="B677" s="60">
        <f>11.4183 * CHOOSE(CONTROL!$C$22, $C$13, 100%, $E$13)</f>
        <v>11.4183</v>
      </c>
      <c r="C677" s="60">
        <f>11.4183 * CHOOSE(CONTROL!$C$22, $C$13, 100%, $E$13)</f>
        <v>11.4183</v>
      </c>
      <c r="D677" s="60">
        <f>11.4308 * CHOOSE(CONTROL!$C$22, $C$13, 100%, $E$13)</f>
        <v>11.4308</v>
      </c>
      <c r="E677" s="61">
        <f>13.3731 * CHOOSE(CONTROL!$C$22, $C$13, 100%, $E$13)</f>
        <v>13.373100000000001</v>
      </c>
      <c r="F677" s="61">
        <f>13.3731 * CHOOSE(CONTROL!$C$22, $C$13, 100%, $E$13)</f>
        <v>13.373100000000001</v>
      </c>
      <c r="G677" s="61">
        <f>13.3733 * CHOOSE(CONTROL!$C$22, $C$13, 100%, $E$13)</f>
        <v>13.3733</v>
      </c>
      <c r="H677" s="61">
        <f>22.0911* CHOOSE(CONTROL!$C$22, $C$13, 100%, $E$13)</f>
        <v>22.091100000000001</v>
      </c>
      <c r="I677" s="61">
        <f>22.0913 * CHOOSE(CONTROL!$C$22, $C$13, 100%, $E$13)</f>
        <v>22.0913</v>
      </c>
      <c r="J677" s="61">
        <f>13.3731 * CHOOSE(CONTROL!$C$22, $C$13, 100%, $E$13)</f>
        <v>13.373100000000001</v>
      </c>
      <c r="K677" s="61">
        <f>13.3733 * CHOOSE(CONTROL!$C$22, $C$13, 100%, $E$13)</f>
        <v>13.3733</v>
      </c>
    </row>
    <row r="678" spans="1:11" ht="15">
      <c r="A678" s="13">
        <v>62490</v>
      </c>
      <c r="B678" s="60">
        <f>11.4153 * CHOOSE(CONTROL!$C$22, $C$13, 100%, $E$13)</f>
        <v>11.4153</v>
      </c>
      <c r="C678" s="60">
        <f>11.4153 * CHOOSE(CONTROL!$C$22, $C$13, 100%, $E$13)</f>
        <v>11.4153</v>
      </c>
      <c r="D678" s="60">
        <f>11.4278 * CHOOSE(CONTROL!$C$22, $C$13, 100%, $E$13)</f>
        <v>11.4278</v>
      </c>
      <c r="E678" s="61">
        <f>13.2247 * CHOOSE(CONTROL!$C$22, $C$13, 100%, $E$13)</f>
        <v>13.2247</v>
      </c>
      <c r="F678" s="61">
        <f>13.2247 * CHOOSE(CONTROL!$C$22, $C$13, 100%, $E$13)</f>
        <v>13.2247</v>
      </c>
      <c r="G678" s="61">
        <f>13.2249 * CHOOSE(CONTROL!$C$22, $C$13, 100%, $E$13)</f>
        <v>13.2249</v>
      </c>
      <c r="H678" s="61">
        <f>22.1371* CHOOSE(CONTROL!$C$22, $C$13, 100%, $E$13)</f>
        <v>22.1371</v>
      </c>
      <c r="I678" s="61">
        <f>22.1373 * CHOOSE(CONTROL!$C$22, $C$13, 100%, $E$13)</f>
        <v>22.1373</v>
      </c>
      <c r="J678" s="61">
        <f>13.2247 * CHOOSE(CONTROL!$C$22, $C$13, 100%, $E$13)</f>
        <v>13.2247</v>
      </c>
      <c r="K678" s="61">
        <f>13.2249 * CHOOSE(CONTROL!$C$22, $C$13, 100%, $E$13)</f>
        <v>13.2249</v>
      </c>
    </row>
    <row r="679" spans="1:11" ht="15">
      <c r="A679" s="13">
        <v>62518</v>
      </c>
      <c r="B679" s="60">
        <f>11.4122 * CHOOSE(CONTROL!$C$22, $C$13, 100%, $E$13)</f>
        <v>11.4122</v>
      </c>
      <c r="C679" s="60">
        <f>11.4122 * CHOOSE(CONTROL!$C$22, $C$13, 100%, $E$13)</f>
        <v>11.4122</v>
      </c>
      <c r="D679" s="60">
        <f>11.4248 * CHOOSE(CONTROL!$C$22, $C$13, 100%, $E$13)</f>
        <v>11.424799999999999</v>
      </c>
      <c r="E679" s="61">
        <f>13.3379 * CHOOSE(CONTROL!$C$22, $C$13, 100%, $E$13)</f>
        <v>13.337899999999999</v>
      </c>
      <c r="F679" s="61">
        <f>13.3379 * CHOOSE(CONTROL!$C$22, $C$13, 100%, $E$13)</f>
        <v>13.337899999999999</v>
      </c>
      <c r="G679" s="61">
        <f>13.3381 * CHOOSE(CONTROL!$C$22, $C$13, 100%, $E$13)</f>
        <v>13.338100000000001</v>
      </c>
      <c r="H679" s="61">
        <f>22.1833* CHOOSE(CONTROL!$C$22, $C$13, 100%, $E$13)</f>
        <v>22.183299999999999</v>
      </c>
      <c r="I679" s="61">
        <f>22.1834 * CHOOSE(CONTROL!$C$22, $C$13, 100%, $E$13)</f>
        <v>22.183399999999999</v>
      </c>
      <c r="J679" s="61">
        <f>13.3379 * CHOOSE(CONTROL!$C$22, $C$13, 100%, $E$13)</f>
        <v>13.337899999999999</v>
      </c>
      <c r="K679" s="61">
        <f>13.3381 * CHOOSE(CONTROL!$C$22, $C$13, 100%, $E$13)</f>
        <v>13.338100000000001</v>
      </c>
    </row>
    <row r="680" spans="1:11" ht="15">
      <c r="A680" s="13">
        <v>62549</v>
      </c>
      <c r="B680" s="60">
        <f>11.4162 * CHOOSE(CONTROL!$C$22, $C$13, 100%, $E$13)</f>
        <v>11.4162</v>
      </c>
      <c r="C680" s="60">
        <f>11.4162 * CHOOSE(CONTROL!$C$22, $C$13, 100%, $E$13)</f>
        <v>11.4162</v>
      </c>
      <c r="D680" s="60">
        <f>11.4288 * CHOOSE(CONTROL!$C$22, $C$13, 100%, $E$13)</f>
        <v>11.428800000000001</v>
      </c>
      <c r="E680" s="61">
        <f>13.4575 * CHOOSE(CONTROL!$C$22, $C$13, 100%, $E$13)</f>
        <v>13.4575</v>
      </c>
      <c r="F680" s="61">
        <f>13.4575 * CHOOSE(CONTROL!$C$22, $C$13, 100%, $E$13)</f>
        <v>13.4575</v>
      </c>
      <c r="G680" s="61">
        <f>13.4577 * CHOOSE(CONTROL!$C$22, $C$13, 100%, $E$13)</f>
        <v>13.457700000000001</v>
      </c>
      <c r="H680" s="61">
        <f>22.2295* CHOOSE(CONTROL!$C$22, $C$13, 100%, $E$13)</f>
        <v>22.229500000000002</v>
      </c>
      <c r="I680" s="61">
        <f>22.2296 * CHOOSE(CONTROL!$C$22, $C$13, 100%, $E$13)</f>
        <v>22.229600000000001</v>
      </c>
      <c r="J680" s="61">
        <f>13.4575 * CHOOSE(CONTROL!$C$22, $C$13, 100%, $E$13)</f>
        <v>13.4575</v>
      </c>
      <c r="K680" s="61">
        <f>13.4577 * CHOOSE(CONTROL!$C$22, $C$13, 100%, $E$13)</f>
        <v>13.457700000000001</v>
      </c>
    </row>
    <row r="681" spans="1:11" ht="15">
      <c r="A681" s="13">
        <v>62579</v>
      </c>
      <c r="B681" s="60">
        <f>11.4162 * CHOOSE(CONTROL!$C$22, $C$13, 100%, $E$13)</f>
        <v>11.4162</v>
      </c>
      <c r="C681" s="60">
        <f>11.4162 * CHOOSE(CONTROL!$C$22, $C$13, 100%, $E$13)</f>
        <v>11.4162</v>
      </c>
      <c r="D681" s="60">
        <f>11.4413 * CHOOSE(CONTROL!$C$22, $C$13, 100%, $E$13)</f>
        <v>11.4413</v>
      </c>
      <c r="E681" s="61">
        <f>13.504 * CHOOSE(CONTROL!$C$22, $C$13, 100%, $E$13)</f>
        <v>13.504</v>
      </c>
      <c r="F681" s="61">
        <f>13.504 * CHOOSE(CONTROL!$C$22, $C$13, 100%, $E$13)</f>
        <v>13.504</v>
      </c>
      <c r="G681" s="61">
        <f>13.5056 * CHOOSE(CONTROL!$C$22, $C$13, 100%, $E$13)</f>
        <v>13.505599999999999</v>
      </c>
      <c r="H681" s="61">
        <f>22.2758* CHOOSE(CONTROL!$C$22, $C$13, 100%, $E$13)</f>
        <v>22.2758</v>
      </c>
      <c r="I681" s="61">
        <f>22.2774 * CHOOSE(CONTROL!$C$22, $C$13, 100%, $E$13)</f>
        <v>22.2774</v>
      </c>
      <c r="J681" s="61">
        <f>13.504 * CHOOSE(CONTROL!$C$22, $C$13, 100%, $E$13)</f>
        <v>13.504</v>
      </c>
      <c r="K681" s="61">
        <f>13.5056 * CHOOSE(CONTROL!$C$22, $C$13, 100%, $E$13)</f>
        <v>13.505599999999999</v>
      </c>
    </row>
    <row r="682" spans="1:11" ht="15">
      <c r="A682" s="13">
        <v>62610</v>
      </c>
      <c r="B682" s="60">
        <f>11.4223 * CHOOSE(CONTROL!$C$22, $C$13, 100%, $E$13)</f>
        <v>11.4223</v>
      </c>
      <c r="C682" s="60">
        <f>11.4223 * CHOOSE(CONTROL!$C$22, $C$13, 100%, $E$13)</f>
        <v>11.4223</v>
      </c>
      <c r="D682" s="60">
        <f>11.4474 * CHOOSE(CONTROL!$C$22, $C$13, 100%, $E$13)</f>
        <v>11.4474</v>
      </c>
      <c r="E682" s="61">
        <f>13.4618 * CHOOSE(CONTROL!$C$22, $C$13, 100%, $E$13)</f>
        <v>13.4618</v>
      </c>
      <c r="F682" s="61">
        <f>13.4618 * CHOOSE(CONTROL!$C$22, $C$13, 100%, $E$13)</f>
        <v>13.4618</v>
      </c>
      <c r="G682" s="61">
        <f>13.4634 * CHOOSE(CONTROL!$C$22, $C$13, 100%, $E$13)</f>
        <v>13.4634</v>
      </c>
      <c r="H682" s="61">
        <f>22.3222* CHOOSE(CONTROL!$C$22, $C$13, 100%, $E$13)</f>
        <v>22.322199999999999</v>
      </c>
      <c r="I682" s="61">
        <f>22.3238 * CHOOSE(CONTROL!$C$22, $C$13, 100%, $E$13)</f>
        <v>22.323799999999999</v>
      </c>
      <c r="J682" s="61">
        <f>13.4618 * CHOOSE(CONTROL!$C$22, $C$13, 100%, $E$13)</f>
        <v>13.4618</v>
      </c>
      <c r="K682" s="61">
        <f>13.4634 * CHOOSE(CONTROL!$C$22, $C$13, 100%, $E$13)</f>
        <v>13.4634</v>
      </c>
    </row>
    <row r="683" spans="1:11" ht="15">
      <c r="A683" s="13">
        <v>62640</v>
      </c>
      <c r="B683" s="60">
        <f>11.6034 * CHOOSE(CONTROL!$C$22, $C$13, 100%, $E$13)</f>
        <v>11.603400000000001</v>
      </c>
      <c r="C683" s="60">
        <f>11.6034 * CHOOSE(CONTROL!$C$22, $C$13, 100%, $E$13)</f>
        <v>11.603400000000001</v>
      </c>
      <c r="D683" s="60">
        <f>11.6285 * CHOOSE(CONTROL!$C$22, $C$13, 100%, $E$13)</f>
        <v>11.628500000000001</v>
      </c>
      <c r="E683" s="61">
        <f>13.7201 * CHOOSE(CONTROL!$C$22, $C$13, 100%, $E$13)</f>
        <v>13.7201</v>
      </c>
      <c r="F683" s="61">
        <f>13.7201 * CHOOSE(CONTROL!$C$22, $C$13, 100%, $E$13)</f>
        <v>13.7201</v>
      </c>
      <c r="G683" s="61">
        <f>13.7217 * CHOOSE(CONTROL!$C$22, $C$13, 100%, $E$13)</f>
        <v>13.7217</v>
      </c>
      <c r="H683" s="61">
        <f>22.3687* CHOOSE(CONTROL!$C$22, $C$13, 100%, $E$13)</f>
        <v>22.3687</v>
      </c>
      <c r="I683" s="61">
        <f>22.3703 * CHOOSE(CONTROL!$C$22, $C$13, 100%, $E$13)</f>
        <v>22.3703</v>
      </c>
      <c r="J683" s="61">
        <f>13.7201 * CHOOSE(CONTROL!$C$22, $C$13, 100%, $E$13)</f>
        <v>13.7201</v>
      </c>
      <c r="K683" s="61">
        <f>13.7217 * CHOOSE(CONTROL!$C$22, $C$13, 100%, $E$13)</f>
        <v>13.7217</v>
      </c>
    </row>
    <row r="684" spans="1:11" ht="15">
      <c r="A684" s="13">
        <v>62671</v>
      </c>
      <c r="B684" s="60">
        <f>11.6101 * CHOOSE(CONTROL!$C$22, $C$13, 100%, $E$13)</f>
        <v>11.610099999999999</v>
      </c>
      <c r="C684" s="60">
        <f>11.6101 * CHOOSE(CONTROL!$C$22, $C$13, 100%, $E$13)</f>
        <v>11.610099999999999</v>
      </c>
      <c r="D684" s="60">
        <f>11.6352 * CHOOSE(CONTROL!$C$22, $C$13, 100%, $E$13)</f>
        <v>11.635199999999999</v>
      </c>
      <c r="E684" s="61">
        <f>13.5854 * CHOOSE(CONTROL!$C$22, $C$13, 100%, $E$13)</f>
        <v>13.5854</v>
      </c>
      <c r="F684" s="61">
        <f>13.5854 * CHOOSE(CONTROL!$C$22, $C$13, 100%, $E$13)</f>
        <v>13.5854</v>
      </c>
      <c r="G684" s="61">
        <f>13.587 * CHOOSE(CONTROL!$C$22, $C$13, 100%, $E$13)</f>
        <v>13.587</v>
      </c>
      <c r="H684" s="61">
        <f>22.4153* CHOOSE(CONTROL!$C$22, $C$13, 100%, $E$13)</f>
        <v>22.415299999999998</v>
      </c>
      <c r="I684" s="61">
        <f>22.4169 * CHOOSE(CONTROL!$C$22, $C$13, 100%, $E$13)</f>
        <v>22.416899999999998</v>
      </c>
      <c r="J684" s="61">
        <f>13.5854 * CHOOSE(CONTROL!$C$22, $C$13, 100%, $E$13)</f>
        <v>13.5854</v>
      </c>
      <c r="K684" s="61">
        <f>13.587 * CHOOSE(CONTROL!$C$22, $C$13, 100%, $E$13)</f>
        <v>13.587</v>
      </c>
    </row>
    <row r="685" spans="1:11" ht="15">
      <c r="A685" s="13">
        <v>62702</v>
      </c>
      <c r="B685" s="60">
        <f>11.6071 * CHOOSE(CONTROL!$C$22, $C$13, 100%, $E$13)</f>
        <v>11.607100000000001</v>
      </c>
      <c r="C685" s="60">
        <f>11.6071 * CHOOSE(CONTROL!$C$22, $C$13, 100%, $E$13)</f>
        <v>11.607100000000001</v>
      </c>
      <c r="D685" s="60">
        <f>11.6322 * CHOOSE(CONTROL!$C$22, $C$13, 100%, $E$13)</f>
        <v>11.632199999999999</v>
      </c>
      <c r="E685" s="61">
        <f>13.5678 * CHOOSE(CONTROL!$C$22, $C$13, 100%, $E$13)</f>
        <v>13.5678</v>
      </c>
      <c r="F685" s="61">
        <f>13.5678 * CHOOSE(CONTROL!$C$22, $C$13, 100%, $E$13)</f>
        <v>13.5678</v>
      </c>
      <c r="G685" s="61">
        <f>13.5694 * CHOOSE(CONTROL!$C$22, $C$13, 100%, $E$13)</f>
        <v>13.5694</v>
      </c>
      <c r="H685" s="61">
        <f>22.462* CHOOSE(CONTROL!$C$22, $C$13, 100%, $E$13)</f>
        <v>22.462</v>
      </c>
      <c r="I685" s="61">
        <f>22.4636 * CHOOSE(CONTROL!$C$22, $C$13, 100%, $E$13)</f>
        <v>22.4636</v>
      </c>
      <c r="J685" s="61">
        <f>13.5678 * CHOOSE(CONTROL!$C$22, $C$13, 100%, $E$13)</f>
        <v>13.5678</v>
      </c>
      <c r="K685" s="61">
        <f>13.5694 * CHOOSE(CONTROL!$C$22, $C$13, 100%, $E$13)</f>
        <v>13.5694</v>
      </c>
    </row>
    <row r="686" spans="1:11" ht="15">
      <c r="A686" s="13">
        <v>62732</v>
      </c>
      <c r="B686" s="60">
        <f>11.6273 * CHOOSE(CONTROL!$C$22, $C$13, 100%, $E$13)</f>
        <v>11.6273</v>
      </c>
      <c r="C686" s="60">
        <f>11.6273 * CHOOSE(CONTROL!$C$22, $C$13, 100%, $E$13)</f>
        <v>11.6273</v>
      </c>
      <c r="D686" s="60">
        <f>11.6398 * CHOOSE(CONTROL!$C$22, $C$13, 100%, $E$13)</f>
        <v>11.639799999999999</v>
      </c>
      <c r="E686" s="61">
        <f>13.6163 * CHOOSE(CONTROL!$C$22, $C$13, 100%, $E$13)</f>
        <v>13.616300000000001</v>
      </c>
      <c r="F686" s="61">
        <f>13.6163 * CHOOSE(CONTROL!$C$22, $C$13, 100%, $E$13)</f>
        <v>13.616300000000001</v>
      </c>
      <c r="G686" s="61">
        <f>13.6165 * CHOOSE(CONTROL!$C$22, $C$13, 100%, $E$13)</f>
        <v>13.6165</v>
      </c>
      <c r="H686" s="61">
        <f>22.5088* CHOOSE(CONTROL!$C$22, $C$13, 100%, $E$13)</f>
        <v>22.508800000000001</v>
      </c>
      <c r="I686" s="61">
        <f>22.509 * CHOOSE(CONTROL!$C$22, $C$13, 100%, $E$13)</f>
        <v>22.509</v>
      </c>
      <c r="J686" s="61">
        <f>13.6163 * CHOOSE(CONTROL!$C$22, $C$13, 100%, $E$13)</f>
        <v>13.616300000000001</v>
      </c>
      <c r="K686" s="61">
        <f>13.6165 * CHOOSE(CONTROL!$C$22, $C$13, 100%, $E$13)</f>
        <v>13.6165</v>
      </c>
    </row>
    <row r="687" spans="1:11" ht="15">
      <c r="A687" s="13">
        <v>62763</v>
      </c>
      <c r="B687" s="60">
        <f>11.6303 * CHOOSE(CONTROL!$C$22, $C$13, 100%, $E$13)</f>
        <v>11.6303</v>
      </c>
      <c r="C687" s="60">
        <f>11.6303 * CHOOSE(CONTROL!$C$22, $C$13, 100%, $E$13)</f>
        <v>11.6303</v>
      </c>
      <c r="D687" s="60">
        <f>11.6429 * CHOOSE(CONTROL!$C$22, $C$13, 100%, $E$13)</f>
        <v>11.642899999999999</v>
      </c>
      <c r="E687" s="61">
        <f>13.6494 * CHOOSE(CONTROL!$C$22, $C$13, 100%, $E$13)</f>
        <v>13.6494</v>
      </c>
      <c r="F687" s="61">
        <f>13.6494 * CHOOSE(CONTROL!$C$22, $C$13, 100%, $E$13)</f>
        <v>13.6494</v>
      </c>
      <c r="G687" s="61">
        <f>13.6496 * CHOOSE(CONTROL!$C$22, $C$13, 100%, $E$13)</f>
        <v>13.6496</v>
      </c>
      <c r="H687" s="61">
        <f>22.5557* CHOOSE(CONTROL!$C$22, $C$13, 100%, $E$13)</f>
        <v>22.555700000000002</v>
      </c>
      <c r="I687" s="61">
        <f>22.5559 * CHOOSE(CONTROL!$C$22, $C$13, 100%, $E$13)</f>
        <v>22.555900000000001</v>
      </c>
      <c r="J687" s="61">
        <f>13.6494 * CHOOSE(CONTROL!$C$22, $C$13, 100%, $E$13)</f>
        <v>13.6494</v>
      </c>
      <c r="K687" s="61">
        <f>13.6496 * CHOOSE(CONTROL!$C$22, $C$13, 100%, $E$13)</f>
        <v>13.6496</v>
      </c>
    </row>
    <row r="688" spans="1:11" ht="15">
      <c r="A688" s="13">
        <v>62793</v>
      </c>
      <c r="B688" s="60">
        <f>11.6303 * CHOOSE(CONTROL!$C$22, $C$13, 100%, $E$13)</f>
        <v>11.6303</v>
      </c>
      <c r="C688" s="60">
        <f>11.6303 * CHOOSE(CONTROL!$C$22, $C$13, 100%, $E$13)</f>
        <v>11.6303</v>
      </c>
      <c r="D688" s="60">
        <f>11.6429 * CHOOSE(CONTROL!$C$22, $C$13, 100%, $E$13)</f>
        <v>11.642899999999999</v>
      </c>
      <c r="E688" s="61">
        <f>13.572 * CHOOSE(CONTROL!$C$22, $C$13, 100%, $E$13)</f>
        <v>13.571999999999999</v>
      </c>
      <c r="F688" s="61">
        <f>13.572 * CHOOSE(CONTROL!$C$22, $C$13, 100%, $E$13)</f>
        <v>13.571999999999999</v>
      </c>
      <c r="G688" s="61">
        <f>13.5722 * CHOOSE(CONTROL!$C$22, $C$13, 100%, $E$13)</f>
        <v>13.5722</v>
      </c>
      <c r="H688" s="61">
        <f>22.6027* CHOOSE(CONTROL!$C$22, $C$13, 100%, $E$13)</f>
        <v>22.602699999999999</v>
      </c>
      <c r="I688" s="61">
        <f>22.6028 * CHOOSE(CONTROL!$C$22, $C$13, 100%, $E$13)</f>
        <v>22.602799999999998</v>
      </c>
      <c r="J688" s="61">
        <f>13.572 * CHOOSE(CONTROL!$C$22, $C$13, 100%, $E$13)</f>
        <v>13.571999999999999</v>
      </c>
      <c r="K688" s="61">
        <f>13.5722 * CHOOSE(CONTROL!$C$22, $C$13, 100%, $E$13)</f>
        <v>13.5722</v>
      </c>
    </row>
    <row r="689" spans="1:11" ht="15">
      <c r="A689" s="13">
        <v>62824</v>
      </c>
      <c r="B689" s="60">
        <f>11.6636 * CHOOSE(CONTROL!$C$22, $C$13, 100%, $E$13)</f>
        <v>11.663600000000001</v>
      </c>
      <c r="C689" s="60">
        <f>11.6636 * CHOOSE(CONTROL!$C$22, $C$13, 100%, $E$13)</f>
        <v>11.663600000000001</v>
      </c>
      <c r="D689" s="60">
        <f>11.6762 * CHOOSE(CONTROL!$C$22, $C$13, 100%, $E$13)</f>
        <v>11.6762</v>
      </c>
      <c r="E689" s="61">
        <f>13.6655 * CHOOSE(CONTROL!$C$22, $C$13, 100%, $E$13)</f>
        <v>13.6655</v>
      </c>
      <c r="F689" s="61">
        <f>13.6655 * CHOOSE(CONTROL!$C$22, $C$13, 100%, $E$13)</f>
        <v>13.6655</v>
      </c>
      <c r="G689" s="61">
        <f>13.6657 * CHOOSE(CONTROL!$C$22, $C$13, 100%, $E$13)</f>
        <v>13.665699999999999</v>
      </c>
      <c r="H689" s="61">
        <f>22.537* CHOOSE(CONTROL!$C$22, $C$13, 100%, $E$13)</f>
        <v>22.536999999999999</v>
      </c>
      <c r="I689" s="61">
        <f>22.5372 * CHOOSE(CONTROL!$C$22, $C$13, 100%, $E$13)</f>
        <v>22.537199999999999</v>
      </c>
      <c r="J689" s="61">
        <f>13.6655 * CHOOSE(CONTROL!$C$22, $C$13, 100%, $E$13)</f>
        <v>13.6655</v>
      </c>
      <c r="K689" s="61">
        <f>13.6657 * CHOOSE(CONTROL!$C$22, $C$13, 100%, $E$13)</f>
        <v>13.665699999999999</v>
      </c>
    </row>
    <row r="690" spans="1:11" ht="15">
      <c r="A690" s="13">
        <v>62855</v>
      </c>
      <c r="B690" s="60">
        <f>11.6606 * CHOOSE(CONTROL!$C$22, $C$13, 100%, $E$13)</f>
        <v>11.660600000000001</v>
      </c>
      <c r="C690" s="60">
        <f>11.6606 * CHOOSE(CONTROL!$C$22, $C$13, 100%, $E$13)</f>
        <v>11.660600000000001</v>
      </c>
      <c r="D690" s="60">
        <f>11.6731 * CHOOSE(CONTROL!$C$22, $C$13, 100%, $E$13)</f>
        <v>11.6731</v>
      </c>
      <c r="E690" s="61">
        <f>13.5139 * CHOOSE(CONTROL!$C$22, $C$13, 100%, $E$13)</f>
        <v>13.5139</v>
      </c>
      <c r="F690" s="61">
        <f>13.5139 * CHOOSE(CONTROL!$C$22, $C$13, 100%, $E$13)</f>
        <v>13.5139</v>
      </c>
      <c r="G690" s="61">
        <f>13.5141 * CHOOSE(CONTROL!$C$22, $C$13, 100%, $E$13)</f>
        <v>13.514099999999999</v>
      </c>
      <c r="H690" s="61">
        <f>22.584* CHOOSE(CONTROL!$C$22, $C$13, 100%, $E$13)</f>
        <v>22.584</v>
      </c>
      <c r="I690" s="61">
        <f>22.5841 * CHOOSE(CONTROL!$C$22, $C$13, 100%, $E$13)</f>
        <v>22.584099999999999</v>
      </c>
      <c r="J690" s="61">
        <f>13.5139 * CHOOSE(CONTROL!$C$22, $C$13, 100%, $E$13)</f>
        <v>13.5139</v>
      </c>
      <c r="K690" s="61">
        <f>13.5141 * CHOOSE(CONTROL!$C$22, $C$13, 100%, $E$13)</f>
        <v>13.514099999999999</v>
      </c>
    </row>
    <row r="691" spans="1:11" ht="15">
      <c r="A691" s="13">
        <v>62884</v>
      </c>
      <c r="B691" s="60">
        <f>11.6575 * CHOOSE(CONTROL!$C$22, $C$13, 100%, $E$13)</f>
        <v>11.657500000000001</v>
      </c>
      <c r="C691" s="60">
        <f>11.6575 * CHOOSE(CONTROL!$C$22, $C$13, 100%, $E$13)</f>
        <v>11.657500000000001</v>
      </c>
      <c r="D691" s="60">
        <f>11.6701 * CHOOSE(CONTROL!$C$22, $C$13, 100%, $E$13)</f>
        <v>11.6701</v>
      </c>
      <c r="E691" s="61">
        <f>13.6297 * CHOOSE(CONTROL!$C$22, $C$13, 100%, $E$13)</f>
        <v>13.6297</v>
      </c>
      <c r="F691" s="61">
        <f>13.6297 * CHOOSE(CONTROL!$C$22, $C$13, 100%, $E$13)</f>
        <v>13.6297</v>
      </c>
      <c r="G691" s="61">
        <f>13.6298 * CHOOSE(CONTROL!$C$22, $C$13, 100%, $E$13)</f>
        <v>13.629799999999999</v>
      </c>
      <c r="H691" s="61">
        <f>22.631* CHOOSE(CONTROL!$C$22, $C$13, 100%, $E$13)</f>
        <v>22.631</v>
      </c>
      <c r="I691" s="61">
        <f>22.6312 * CHOOSE(CONTROL!$C$22, $C$13, 100%, $E$13)</f>
        <v>22.6312</v>
      </c>
      <c r="J691" s="61">
        <f>13.6297 * CHOOSE(CONTROL!$C$22, $C$13, 100%, $E$13)</f>
        <v>13.6297</v>
      </c>
      <c r="K691" s="61">
        <f>13.6298 * CHOOSE(CONTROL!$C$22, $C$13, 100%, $E$13)</f>
        <v>13.629799999999999</v>
      </c>
    </row>
    <row r="692" spans="1:11" ht="15">
      <c r="A692" s="13">
        <v>62915</v>
      </c>
      <c r="B692" s="60">
        <f>11.6618 * CHOOSE(CONTROL!$C$22, $C$13, 100%, $E$13)</f>
        <v>11.661799999999999</v>
      </c>
      <c r="C692" s="60">
        <f>11.6618 * CHOOSE(CONTROL!$C$22, $C$13, 100%, $E$13)</f>
        <v>11.661799999999999</v>
      </c>
      <c r="D692" s="60">
        <f>11.6743 * CHOOSE(CONTROL!$C$22, $C$13, 100%, $E$13)</f>
        <v>11.674300000000001</v>
      </c>
      <c r="E692" s="61">
        <f>13.752 * CHOOSE(CONTROL!$C$22, $C$13, 100%, $E$13)</f>
        <v>13.752000000000001</v>
      </c>
      <c r="F692" s="61">
        <f>13.752 * CHOOSE(CONTROL!$C$22, $C$13, 100%, $E$13)</f>
        <v>13.752000000000001</v>
      </c>
      <c r="G692" s="61">
        <f>13.7522 * CHOOSE(CONTROL!$C$22, $C$13, 100%, $E$13)</f>
        <v>13.7522</v>
      </c>
      <c r="H692" s="61">
        <f>22.6782* CHOOSE(CONTROL!$C$22, $C$13, 100%, $E$13)</f>
        <v>22.6782</v>
      </c>
      <c r="I692" s="61">
        <f>22.6783 * CHOOSE(CONTROL!$C$22, $C$13, 100%, $E$13)</f>
        <v>22.6783</v>
      </c>
      <c r="J692" s="61">
        <f>13.752 * CHOOSE(CONTROL!$C$22, $C$13, 100%, $E$13)</f>
        <v>13.752000000000001</v>
      </c>
      <c r="K692" s="61">
        <f>13.7522 * CHOOSE(CONTROL!$C$22, $C$13, 100%, $E$13)</f>
        <v>13.7522</v>
      </c>
    </row>
    <row r="693" spans="1:11" ht="15">
      <c r="A693" s="13">
        <v>62945</v>
      </c>
      <c r="B693" s="60">
        <f>11.6618 * CHOOSE(CONTROL!$C$22, $C$13, 100%, $E$13)</f>
        <v>11.661799999999999</v>
      </c>
      <c r="C693" s="60">
        <f>11.6618 * CHOOSE(CONTROL!$C$22, $C$13, 100%, $E$13)</f>
        <v>11.661799999999999</v>
      </c>
      <c r="D693" s="60">
        <f>11.6869 * CHOOSE(CONTROL!$C$22, $C$13, 100%, $E$13)</f>
        <v>11.6869</v>
      </c>
      <c r="E693" s="61">
        <f>13.7995 * CHOOSE(CONTROL!$C$22, $C$13, 100%, $E$13)</f>
        <v>13.7995</v>
      </c>
      <c r="F693" s="61">
        <f>13.7995 * CHOOSE(CONTROL!$C$22, $C$13, 100%, $E$13)</f>
        <v>13.7995</v>
      </c>
      <c r="G693" s="61">
        <f>13.8011 * CHOOSE(CONTROL!$C$22, $C$13, 100%, $E$13)</f>
        <v>13.8011</v>
      </c>
      <c r="H693" s="61">
        <f>22.7254* CHOOSE(CONTROL!$C$22, $C$13, 100%, $E$13)</f>
        <v>22.7254</v>
      </c>
      <c r="I693" s="61">
        <f>22.727 * CHOOSE(CONTROL!$C$22, $C$13, 100%, $E$13)</f>
        <v>22.727</v>
      </c>
      <c r="J693" s="61">
        <f>13.7995 * CHOOSE(CONTROL!$C$22, $C$13, 100%, $E$13)</f>
        <v>13.7995</v>
      </c>
      <c r="K693" s="61">
        <f>13.8011 * CHOOSE(CONTROL!$C$22, $C$13, 100%, $E$13)</f>
        <v>13.8011</v>
      </c>
    </row>
    <row r="694" spans="1:11" ht="15">
      <c r="A694" s="13">
        <v>62976</v>
      </c>
      <c r="B694" s="60">
        <f>11.6679 * CHOOSE(CONTROL!$C$22, $C$13, 100%, $E$13)</f>
        <v>11.667899999999999</v>
      </c>
      <c r="C694" s="60">
        <f>11.6679 * CHOOSE(CONTROL!$C$22, $C$13, 100%, $E$13)</f>
        <v>11.667899999999999</v>
      </c>
      <c r="D694" s="60">
        <f>11.6929 * CHOOSE(CONTROL!$C$22, $C$13, 100%, $E$13)</f>
        <v>11.6929</v>
      </c>
      <c r="E694" s="61">
        <f>13.7562 * CHOOSE(CONTROL!$C$22, $C$13, 100%, $E$13)</f>
        <v>13.7562</v>
      </c>
      <c r="F694" s="61">
        <f>13.7562 * CHOOSE(CONTROL!$C$22, $C$13, 100%, $E$13)</f>
        <v>13.7562</v>
      </c>
      <c r="G694" s="61">
        <f>13.7578 * CHOOSE(CONTROL!$C$22, $C$13, 100%, $E$13)</f>
        <v>13.7578</v>
      </c>
      <c r="H694" s="61">
        <f>22.7727* CHOOSE(CONTROL!$C$22, $C$13, 100%, $E$13)</f>
        <v>22.7727</v>
      </c>
      <c r="I694" s="61">
        <f>22.7743 * CHOOSE(CONTROL!$C$22, $C$13, 100%, $E$13)</f>
        <v>22.7743</v>
      </c>
      <c r="J694" s="61">
        <f>13.7562 * CHOOSE(CONTROL!$C$22, $C$13, 100%, $E$13)</f>
        <v>13.7562</v>
      </c>
      <c r="K694" s="61">
        <f>13.7578 * CHOOSE(CONTROL!$C$22, $C$13, 100%, $E$13)</f>
        <v>13.7578</v>
      </c>
    </row>
    <row r="695" spans="1:11" ht="15">
      <c r="A695" s="13">
        <v>63006</v>
      </c>
      <c r="B695" s="60">
        <f>11.8526 * CHOOSE(CONTROL!$C$22, $C$13, 100%, $E$13)</f>
        <v>11.852600000000001</v>
      </c>
      <c r="C695" s="60">
        <f>11.8526 * CHOOSE(CONTROL!$C$22, $C$13, 100%, $E$13)</f>
        <v>11.852600000000001</v>
      </c>
      <c r="D695" s="60">
        <f>11.8777 * CHOOSE(CONTROL!$C$22, $C$13, 100%, $E$13)</f>
        <v>11.877700000000001</v>
      </c>
      <c r="E695" s="61">
        <f>14.02 * CHOOSE(CONTROL!$C$22, $C$13, 100%, $E$13)</f>
        <v>14.02</v>
      </c>
      <c r="F695" s="61">
        <f>14.02 * CHOOSE(CONTROL!$C$22, $C$13, 100%, $E$13)</f>
        <v>14.02</v>
      </c>
      <c r="G695" s="61">
        <f>14.0216 * CHOOSE(CONTROL!$C$22, $C$13, 100%, $E$13)</f>
        <v>14.021599999999999</v>
      </c>
      <c r="H695" s="61">
        <f>22.8202* CHOOSE(CONTROL!$C$22, $C$13, 100%, $E$13)</f>
        <v>22.8202</v>
      </c>
      <c r="I695" s="61">
        <f>22.8218 * CHOOSE(CONTROL!$C$22, $C$13, 100%, $E$13)</f>
        <v>22.8218</v>
      </c>
      <c r="J695" s="61">
        <f>14.02 * CHOOSE(CONTROL!$C$22, $C$13, 100%, $E$13)</f>
        <v>14.02</v>
      </c>
      <c r="K695" s="61">
        <f>14.0216 * CHOOSE(CONTROL!$C$22, $C$13, 100%, $E$13)</f>
        <v>14.021599999999999</v>
      </c>
    </row>
    <row r="696" spans="1:11" ht="15">
      <c r="A696" s="13">
        <v>63037</v>
      </c>
      <c r="B696" s="60">
        <f>11.8593 * CHOOSE(CONTROL!$C$22, $C$13, 100%, $E$13)</f>
        <v>11.859299999999999</v>
      </c>
      <c r="C696" s="60">
        <f>11.8593 * CHOOSE(CONTROL!$C$22, $C$13, 100%, $E$13)</f>
        <v>11.859299999999999</v>
      </c>
      <c r="D696" s="60">
        <f>11.8844 * CHOOSE(CONTROL!$C$22, $C$13, 100%, $E$13)</f>
        <v>11.884399999999999</v>
      </c>
      <c r="E696" s="61">
        <f>13.8823 * CHOOSE(CONTROL!$C$22, $C$13, 100%, $E$13)</f>
        <v>13.882300000000001</v>
      </c>
      <c r="F696" s="61">
        <f>13.8823 * CHOOSE(CONTROL!$C$22, $C$13, 100%, $E$13)</f>
        <v>13.882300000000001</v>
      </c>
      <c r="G696" s="61">
        <f>13.8839 * CHOOSE(CONTROL!$C$22, $C$13, 100%, $E$13)</f>
        <v>13.883900000000001</v>
      </c>
      <c r="H696" s="61">
        <f>22.8677* CHOOSE(CONTROL!$C$22, $C$13, 100%, $E$13)</f>
        <v>22.867699999999999</v>
      </c>
      <c r="I696" s="61">
        <f>22.8693 * CHOOSE(CONTROL!$C$22, $C$13, 100%, $E$13)</f>
        <v>22.869299999999999</v>
      </c>
      <c r="J696" s="61">
        <f>13.8823 * CHOOSE(CONTROL!$C$22, $C$13, 100%, $E$13)</f>
        <v>13.882300000000001</v>
      </c>
      <c r="K696" s="61">
        <f>13.8839 * CHOOSE(CONTROL!$C$22, $C$13, 100%, $E$13)</f>
        <v>13.883900000000001</v>
      </c>
    </row>
    <row r="697" spans="1:11" ht="15">
      <c r="A697" s="13">
        <v>63068</v>
      </c>
      <c r="B697" s="60">
        <f>11.8563 * CHOOSE(CONTROL!$C$22, $C$13, 100%, $E$13)</f>
        <v>11.856299999999999</v>
      </c>
      <c r="C697" s="60">
        <f>11.8563 * CHOOSE(CONTROL!$C$22, $C$13, 100%, $E$13)</f>
        <v>11.856299999999999</v>
      </c>
      <c r="D697" s="60">
        <f>11.8814 * CHOOSE(CONTROL!$C$22, $C$13, 100%, $E$13)</f>
        <v>11.881399999999999</v>
      </c>
      <c r="E697" s="61">
        <f>13.8643 * CHOOSE(CONTROL!$C$22, $C$13, 100%, $E$13)</f>
        <v>13.8643</v>
      </c>
      <c r="F697" s="61">
        <f>13.8643 * CHOOSE(CONTROL!$C$22, $C$13, 100%, $E$13)</f>
        <v>13.8643</v>
      </c>
      <c r="G697" s="61">
        <f>13.8659 * CHOOSE(CONTROL!$C$22, $C$13, 100%, $E$13)</f>
        <v>13.8659</v>
      </c>
      <c r="H697" s="61">
        <f>22.9154* CHOOSE(CONTROL!$C$22, $C$13, 100%, $E$13)</f>
        <v>22.915400000000002</v>
      </c>
      <c r="I697" s="61">
        <f>22.917 * CHOOSE(CONTROL!$C$22, $C$13, 100%, $E$13)</f>
        <v>22.917000000000002</v>
      </c>
      <c r="J697" s="61">
        <f>13.8643 * CHOOSE(CONTROL!$C$22, $C$13, 100%, $E$13)</f>
        <v>13.8643</v>
      </c>
      <c r="K697" s="61">
        <f>13.8659 * CHOOSE(CONTROL!$C$22, $C$13, 100%, $E$13)</f>
        <v>13.8659</v>
      </c>
    </row>
    <row r="698" spans="1:11" ht="15">
      <c r="A698" s="13">
        <v>63098</v>
      </c>
      <c r="B698" s="60">
        <f>11.8773 * CHOOSE(CONTROL!$C$22, $C$13, 100%, $E$13)</f>
        <v>11.8773</v>
      </c>
      <c r="C698" s="60">
        <f>11.8773 * CHOOSE(CONTROL!$C$22, $C$13, 100%, $E$13)</f>
        <v>11.8773</v>
      </c>
      <c r="D698" s="60">
        <f>11.8898 * CHOOSE(CONTROL!$C$22, $C$13, 100%, $E$13)</f>
        <v>11.889799999999999</v>
      </c>
      <c r="E698" s="61">
        <f>13.9142 * CHOOSE(CONTROL!$C$22, $C$13, 100%, $E$13)</f>
        <v>13.914199999999999</v>
      </c>
      <c r="F698" s="61">
        <f>13.9142 * CHOOSE(CONTROL!$C$22, $C$13, 100%, $E$13)</f>
        <v>13.914199999999999</v>
      </c>
      <c r="G698" s="61">
        <f>13.9144 * CHOOSE(CONTROL!$C$22, $C$13, 100%, $E$13)</f>
        <v>13.914400000000001</v>
      </c>
      <c r="H698" s="61">
        <f>22.9631* CHOOSE(CONTROL!$C$22, $C$13, 100%, $E$13)</f>
        <v>22.963100000000001</v>
      </c>
      <c r="I698" s="61">
        <f>22.9633 * CHOOSE(CONTROL!$C$22, $C$13, 100%, $E$13)</f>
        <v>22.9633</v>
      </c>
      <c r="J698" s="61">
        <f>13.9142 * CHOOSE(CONTROL!$C$22, $C$13, 100%, $E$13)</f>
        <v>13.914199999999999</v>
      </c>
      <c r="K698" s="61">
        <f>13.9144 * CHOOSE(CONTROL!$C$22, $C$13, 100%, $E$13)</f>
        <v>13.914400000000001</v>
      </c>
    </row>
    <row r="699" spans="1:11" ht="15">
      <c r="A699" s="13">
        <v>63129</v>
      </c>
      <c r="B699" s="60">
        <f>11.8803 * CHOOSE(CONTROL!$C$22, $C$13, 100%, $E$13)</f>
        <v>11.8803</v>
      </c>
      <c r="C699" s="60">
        <f>11.8803 * CHOOSE(CONTROL!$C$22, $C$13, 100%, $E$13)</f>
        <v>11.8803</v>
      </c>
      <c r="D699" s="60">
        <f>11.8929 * CHOOSE(CONTROL!$C$22, $C$13, 100%, $E$13)</f>
        <v>11.892899999999999</v>
      </c>
      <c r="E699" s="61">
        <f>13.9479 * CHOOSE(CONTROL!$C$22, $C$13, 100%, $E$13)</f>
        <v>13.947900000000001</v>
      </c>
      <c r="F699" s="61">
        <f>13.9479 * CHOOSE(CONTROL!$C$22, $C$13, 100%, $E$13)</f>
        <v>13.947900000000001</v>
      </c>
      <c r="G699" s="61">
        <f>13.9481 * CHOOSE(CONTROL!$C$22, $C$13, 100%, $E$13)</f>
        <v>13.9481</v>
      </c>
      <c r="H699" s="61">
        <f>23.0109* CHOOSE(CONTROL!$C$22, $C$13, 100%, $E$13)</f>
        <v>23.010899999999999</v>
      </c>
      <c r="I699" s="61">
        <f>23.0111 * CHOOSE(CONTROL!$C$22, $C$13, 100%, $E$13)</f>
        <v>23.011099999999999</v>
      </c>
      <c r="J699" s="61">
        <f>13.9479 * CHOOSE(CONTROL!$C$22, $C$13, 100%, $E$13)</f>
        <v>13.947900000000001</v>
      </c>
      <c r="K699" s="61">
        <f>13.9481 * CHOOSE(CONTROL!$C$22, $C$13, 100%, $E$13)</f>
        <v>13.9481</v>
      </c>
    </row>
    <row r="700" spans="1:11" ht="15">
      <c r="A700" s="13">
        <v>63159</v>
      </c>
      <c r="B700" s="60">
        <f>11.8803 * CHOOSE(CONTROL!$C$22, $C$13, 100%, $E$13)</f>
        <v>11.8803</v>
      </c>
      <c r="C700" s="60">
        <f>11.8803 * CHOOSE(CONTROL!$C$22, $C$13, 100%, $E$13)</f>
        <v>11.8803</v>
      </c>
      <c r="D700" s="60">
        <f>11.8929 * CHOOSE(CONTROL!$C$22, $C$13, 100%, $E$13)</f>
        <v>11.892899999999999</v>
      </c>
      <c r="E700" s="61">
        <f>13.8688 * CHOOSE(CONTROL!$C$22, $C$13, 100%, $E$13)</f>
        <v>13.8688</v>
      </c>
      <c r="F700" s="61">
        <f>13.8688 * CHOOSE(CONTROL!$C$22, $C$13, 100%, $E$13)</f>
        <v>13.8688</v>
      </c>
      <c r="G700" s="61">
        <f>13.869 * CHOOSE(CONTROL!$C$22, $C$13, 100%, $E$13)</f>
        <v>13.869</v>
      </c>
      <c r="H700" s="61">
        <f>23.0589* CHOOSE(CONTROL!$C$22, $C$13, 100%, $E$13)</f>
        <v>23.058900000000001</v>
      </c>
      <c r="I700" s="61">
        <f>23.0591 * CHOOSE(CONTROL!$C$22, $C$13, 100%, $E$13)</f>
        <v>23.059100000000001</v>
      </c>
      <c r="J700" s="61">
        <f>13.8688 * CHOOSE(CONTROL!$C$22, $C$13, 100%, $E$13)</f>
        <v>13.8688</v>
      </c>
      <c r="K700" s="61">
        <f>13.869 * CHOOSE(CONTROL!$C$22, $C$13, 100%, $E$13)</f>
        <v>13.869</v>
      </c>
    </row>
    <row r="701" spans="1:11" ht="15">
      <c r="A701" s="13">
        <v>63190</v>
      </c>
      <c r="B701" s="60">
        <f>11.9089 * CHOOSE(CONTROL!$C$22, $C$13, 100%, $E$13)</f>
        <v>11.908899999999999</v>
      </c>
      <c r="C701" s="60">
        <f>11.9089 * CHOOSE(CONTROL!$C$22, $C$13, 100%, $E$13)</f>
        <v>11.908899999999999</v>
      </c>
      <c r="D701" s="60">
        <f>11.9215 * CHOOSE(CONTROL!$C$22, $C$13, 100%, $E$13)</f>
        <v>11.9215</v>
      </c>
      <c r="E701" s="61">
        <f>13.958 * CHOOSE(CONTROL!$C$22, $C$13, 100%, $E$13)</f>
        <v>13.958</v>
      </c>
      <c r="F701" s="61">
        <f>13.958 * CHOOSE(CONTROL!$C$22, $C$13, 100%, $E$13)</f>
        <v>13.958</v>
      </c>
      <c r="G701" s="61">
        <f>13.9581 * CHOOSE(CONTROL!$C$22, $C$13, 100%, $E$13)</f>
        <v>13.9581</v>
      </c>
      <c r="H701" s="61">
        <f>22.9829* CHOOSE(CONTROL!$C$22, $C$13, 100%, $E$13)</f>
        <v>22.982900000000001</v>
      </c>
      <c r="I701" s="61">
        <f>22.9831 * CHOOSE(CONTROL!$C$22, $C$13, 100%, $E$13)</f>
        <v>22.9831</v>
      </c>
      <c r="J701" s="61">
        <f>13.958 * CHOOSE(CONTROL!$C$22, $C$13, 100%, $E$13)</f>
        <v>13.958</v>
      </c>
      <c r="K701" s="61">
        <f>13.9581 * CHOOSE(CONTROL!$C$22, $C$13, 100%, $E$13)</f>
        <v>13.9581</v>
      </c>
    </row>
    <row r="702" spans="1:11" ht="15">
      <c r="A702" s="13">
        <v>63221</v>
      </c>
      <c r="B702" s="60">
        <f>11.9059 * CHOOSE(CONTROL!$C$22, $C$13, 100%, $E$13)</f>
        <v>11.905900000000001</v>
      </c>
      <c r="C702" s="60">
        <f>11.9059 * CHOOSE(CONTROL!$C$22, $C$13, 100%, $E$13)</f>
        <v>11.905900000000001</v>
      </c>
      <c r="D702" s="60">
        <f>11.9184 * CHOOSE(CONTROL!$C$22, $C$13, 100%, $E$13)</f>
        <v>11.9184</v>
      </c>
      <c r="E702" s="61">
        <f>13.8031 * CHOOSE(CONTROL!$C$22, $C$13, 100%, $E$13)</f>
        <v>13.803100000000001</v>
      </c>
      <c r="F702" s="61">
        <f>13.8031 * CHOOSE(CONTROL!$C$22, $C$13, 100%, $E$13)</f>
        <v>13.803100000000001</v>
      </c>
      <c r="G702" s="61">
        <f>13.8033 * CHOOSE(CONTROL!$C$22, $C$13, 100%, $E$13)</f>
        <v>13.8033</v>
      </c>
      <c r="H702" s="61">
        <f>23.0308* CHOOSE(CONTROL!$C$22, $C$13, 100%, $E$13)</f>
        <v>23.030799999999999</v>
      </c>
      <c r="I702" s="61">
        <f>23.031 * CHOOSE(CONTROL!$C$22, $C$13, 100%, $E$13)</f>
        <v>23.030999999999999</v>
      </c>
      <c r="J702" s="61">
        <f>13.8031 * CHOOSE(CONTROL!$C$22, $C$13, 100%, $E$13)</f>
        <v>13.803100000000001</v>
      </c>
      <c r="K702" s="61">
        <f>13.8033 * CHOOSE(CONTROL!$C$22, $C$13, 100%, $E$13)</f>
        <v>13.8033</v>
      </c>
    </row>
    <row r="703" spans="1:11" ht="15">
      <c r="A703" s="13">
        <v>63249</v>
      </c>
      <c r="B703" s="60">
        <f>11.9029 * CHOOSE(CONTROL!$C$22, $C$13, 100%, $E$13)</f>
        <v>11.902900000000001</v>
      </c>
      <c r="C703" s="60">
        <f>11.9029 * CHOOSE(CONTROL!$C$22, $C$13, 100%, $E$13)</f>
        <v>11.902900000000001</v>
      </c>
      <c r="D703" s="60">
        <f>11.9154 * CHOOSE(CONTROL!$C$22, $C$13, 100%, $E$13)</f>
        <v>11.9154</v>
      </c>
      <c r="E703" s="61">
        <f>13.9214 * CHOOSE(CONTROL!$C$22, $C$13, 100%, $E$13)</f>
        <v>13.9214</v>
      </c>
      <c r="F703" s="61">
        <f>13.9214 * CHOOSE(CONTROL!$C$22, $C$13, 100%, $E$13)</f>
        <v>13.9214</v>
      </c>
      <c r="G703" s="61">
        <f>13.9216 * CHOOSE(CONTROL!$C$22, $C$13, 100%, $E$13)</f>
        <v>13.9216</v>
      </c>
      <c r="H703" s="61">
        <f>23.0788* CHOOSE(CONTROL!$C$22, $C$13, 100%, $E$13)</f>
        <v>23.078800000000001</v>
      </c>
      <c r="I703" s="61">
        <f>23.0789 * CHOOSE(CONTROL!$C$22, $C$13, 100%, $E$13)</f>
        <v>23.078900000000001</v>
      </c>
      <c r="J703" s="61">
        <f>13.9214 * CHOOSE(CONTROL!$C$22, $C$13, 100%, $E$13)</f>
        <v>13.9214</v>
      </c>
      <c r="K703" s="61">
        <f>13.9216 * CHOOSE(CONTROL!$C$22, $C$13, 100%, $E$13)</f>
        <v>13.9216</v>
      </c>
    </row>
    <row r="704" spans="1:11" ht="15">
      <c r="A704" s="13">
        <v>63280</v>
      </c>
      <c r="B704" s="60">
        <f>11.9073 * CHOOSE(CONTROL!$C$22, $C$13, 100%, $E$13)</f>
        <v>11.907299999999999</v>
      </c>
      <c r="C704" s="60">
        <f>11.9073 * CHOOSE(CONTROL!$C$22, $C$13, 100%, $E$13)</f>
        <v>11.907299999999999</v>
      </c>
      <c r="D704" s="60">
        <f>11.9198 * CHOOSE(CONTROL!$C$22, $C$13, 100%, $E$13)</f>
        <v>11.9198</v>
      </c>
      <c r="E704" s="61">
        <f>14.0464 * CHOOSE(CONTROL!$C$22, $C$13, 100%, $E$13)</f>
        <v>14.0464</v>
      </c>
      <c r="F704" s="61">
        <f>14.0464 * CHOOSE(CONTROL!$C$22, $C$13, 100%, $E$13)</f>
        <v>14.0464</v>
      </c>
      <c r="G704" s="61">
        <f>14.0466 * CHOOSE(CONTROL!$C$22, $C$13, 100%, $E$13)</f>
        <v>14.0466</v>
      </c>
      <c r="H704" s="61">
        <f>23.1268* CHOOSE(CONTROL!$C$22, $C$13, 100%, $E$13)</f>
        <v>23.126799999999999</v>
      </c>
      <c r="I704" s="61">
        <f>23.127 * CHOOSE(CONTROL!$C$22, $C$13, 100%, $E$13)</f>
        <v>23.126999999999999</v>
      </c>
      <c r="J704" s="61">
        <f>14.0464 * CHOOSE(CONTROL!$C$22, $C$13, 100%, $E$13)</f>
        <v>14.0464</v>
      </c>
      <c r="K704" s="61">
        <f>14.0466 * CHOOSE(CONTROL!$C$22, $C$13, 100%, $E$13)</f>
        <v>14.0466</v>
      </c>
    </row>
    <row r="705" spans="1:11" ht="15">
      <c r="A705" s="13">
        <v>63310</v>
      </c>
      <c r="B705" s="60">
        <f>11.9073 * CHOOSE(CONTROL!$C$22, $C$13, 100%, $E$13)</f>
        <v>11.907299999999999</v>
      </c>
      <c r="C705" s="60">
        <f>11.9073 * CHOOSE(CONTROL!$C$22, $C$13, 100%, $E$13)</f>
        <v>11.907299999999999</v>
      </c>
      <c r="D705" s="60">
        <f>11.9324 * CHOOSE(CONTROL!$C$22, $C$13, 100%, $E$13)</f>
        <v>11.932399999999999</v>
      </c>
      <c r="E705" s="61">
        <f>14.0949 * CHOOSE(CONTROL!$C$22, $C$13, 100%, $E$13)</f>
        <v>14.094900000000001</v>
      </c>
      <c r="F705" s="61">
        <f>14.0949 * CHOOSE(CONTROL!$C$22, $C$13, 100%, $E$13)</f>
        <v>14.094900000000001</v>
      </c>
      <c r="G705" s="61">
        <f>14.0965 * CHOOSE(CONTROL!$C$22, $C$13, 100%, $E$13)</f>
        <v>14.096500000000001</v>
      </c>
      <c r="H705" s="61">
        <f>23.175* CHOOSE(CONTROL!$C$22, $C$13, 100%, $E$13)</f>
        <v>23.175000000000001</v>
      </c>
      <c r="I705" s="61">
        <f>23.1766 * CHOOSE(CONTROL!$C$22, $C$13, 100%, $E$13)</f>
        <v>23.176600000000001</v>
      </c>
      <c r="J705" s="61">
        <f>14.0949 * CHOOSE(CONTROL!$C$22, $C$13, 100%, $E$13)</f>
        <v>14.094900000000001</v>
      </c>
      <c r="K705" s="61">
        <f>14.0965 * CHOOSE(CONTROL!$C$22, $C$13, 100%, $E$13)</f>
        <v>14.096500000000001</v>
      </c>
    </row>
    <row r="706" spans="1:11" ht="15">
      <c r="A706" s="13">
        <v>63341</v>
      </c>
      <c r="B706" s="60">
        <f>11.9134 * CHOOSE(CONTROL!$C$22, $C$13, 100%, $E$13)</f>
        <v>11.913399999999999</v>
      </c>
      <c r="C706" s="60">
        <f>11.9134 * CHOOSE(CONTROL!$C$22, $C$13, 100%, $E$13)</f>
        <v>11.913399999999999</v>
      </c>
      <c r="D706" s="60">
        <f>11.9385 * CHOOSE(CONTROL!$C$22, $C$13, 100%, $E$13)</f>
        <v>11.938499999999999</v>
      </c>
      <c r="E706" s="61">
        <f>14.0507 * CHOOSE(CONTROL!$C$22, $C$13, 100%, $E$13)</f>
        <v>14.050700000000001</v>
      </c>
      <c r="F706" s="61">
        <f>14.0507 * CHOOSE(CONTROL!$C$22, $C$13, 100%, $E$13)</f>
        <v>14.050700000000001</v>
      </c>
      <c r="G706" s="61">
        <f>14.0523 * CHOOSE(CONTROL!$C$22, $C$13, 100%, $E$13)</f>
        <v>14.052300000000001</v>
      </c>
      <c r="H706" s="61">
        <f>23.2233* CHOOSE(CONTROL!$C$22, $C$13, 100%, $E$13)</f>
        <v>23.223299999999998</v>
      </c>
      <c r="I706" s="61">
        <f>23.2249 * CHOOSE(CONTROL!$C$22, $C$13, 100%, $E$13)</f>
        <v>23.224900000000002</v>
      </c>
      <c r="J706" s="61">
        <f>14.0507 * CHOOSE(CONTROL!$C$22, $C$13, 100%, $E$13)</f>
        <v>14.050700000000001</v>
      </c>
      <c r="K706" s="61">
        <f>14.0523 * CHOOSE(CONTROL!$C$22, $C$13, 100%, $E$13)</f>
        <v>14.052300000000001</v>
      </c>
    </row>
    <row r="707" spans="1:11" ht="15">
      <c r="A707" s="13">
        <v>63371</v>
      </c>
      <c r="B707" s="60">
        <f>12.1019 * CHOOSE(CONTROL!$C$22, $C$13, 100%, $E$13)</f>
        <v>12.101900000000001</v>
      </c>
      <c r="C707" s="60">
        <f>12.1019 * CHOOSE(CONTROL!$C$22, $C$13, 100%, $E$13)</f>
        <v>12.101900000000001</v>
      </c>
      <c r="D707" s="60">
        <f>12.1269 * CHOOSE(CONTROL!$C$22, $C$13, 100%, $E$13)</f>
        <v>12.126899999999999</v>
      </c>
      <c r="E707" s="61">
        <f>14.3199 * CHOOSE(CONTROL!$C$22, $C$13, 100%, $E$13)</f>
        <v>14.319900000000001</v>
      </c>
      <c r="F707" s="61">
        <f>14.3199 * CHOOSE(CONTROL!$C$22, $C$13, 100%, $E$13)</f>
        <v>14.319900000000001</v>
      </c>
      <c r="G707" s="61">
        <f>14.3215 * CHOOSE(CONTROL!$C$22, $C$13, 100%, $E$13)</f>
        <v>14.3215</v>
      </c>
      <c r="H707" s="61">
        <f>23.2717* CHOOSE(CONTROL!$C$22, $C$13, 100%, $E$13)</f>
        <v>23.271699999999999</v>
      </c>
      <c r="I707" s="61">
        <f>23.2733 * CHOOSE(CONTROL!$C$22, $C$13, 100%, $E$13)</f>
        <v>23.273299999999999</v>
      </c>
      <c r="J707" s="61">
        <f>14.3199 * CHOOSE(CONTROL!$C$22, $C$13, 100%, $E$13)</f>
        <v>14.319900000000001</v>
      </c>
      <c r="K707" s="61">
        <f>14.3215 * CHOOSE(CONTROL!$C$22, $C$13, 100%, $E$13)</f>
        <v>14.3215</v>
      </c>
    </row>
    <row r="708" spans="1:11" ht="15">
      <c r="A708" s="13">
        <v>63402</v>
      </c>
      <c r="B708" s="60">
        <f>12.1086 * CHOOSE(CONTROL!$C$22, $C$13, 100%, $E$13)</f>
        <v>12.108599999999999</v>
      </c>
      <c r="C708" s="60">
        <f>12.1086 * CHOOSE(CONTROL!$C$22, $C$13, 100%, $E$13)</f>
        <v>12.108599999999999</v>
      </c>
      <c r="D708" s="60">
        <f>12.1336 * CHOOSE(CONTROL!$C$22, $C$13, 100%, $E$13)</f>
        <v>12.133599999999999</v>
      </c>
      <c r="E708" s="61">
        <f>14.1791 * CHOOSE(CONTROL!$C$22, $C$13, 100%, $E$13)</f>
        <v>14.1791</v>
      </c>
      <c r="F708" s="61">
        <f>14.1791 * CHOOSE(CONTROL!$C$22, $C$13, 100%, $E$13)</f>
        <v>14.1791</v>
      </c>
      <c r="G708" s="61">
        <f>14.1807 * CHOOSE(CONTROL!$C$22, $C$13, 100%, $E$13)</f>
        <v>14.1807</v>
      </c>
      <c r="H708" s="61">
        <f>23.3202* CHOOSE(CONTROL!$C$22, $C$13, 100%, $E$13)</f>
        <v>23.3202</v>
      </c>
      <c r="I708" s="61">
        <f>23.3218 * CHOOSE(CONTROL!$C$22, $C$13, 100%, $E$13)</f>
        <v>23.3218</v>
      </c>
      <c r="J708" s="61">
        <f>14.1791 * CHOOSE(CONTROL!$C$22, $C$13, 100%, $E$13)</f>
        <v>14.1791</v>
      </c>
      <c r="K708" s="61">
        <f>14.1807 * CHOOSE(CONTROL!$C$22, $C$13, 100%, $E$13)</f>
        <v>14.1807</v>
      </c>
    </row>
    <row r="709" spans="1:11" ht="15">
      <c r="A709" s="13">
        <v>63433</v>
      </c>
      <c r="B709" s="60">
        <f>12.1055 * CHOOSE(CONTROL!$C$22, $C$13, 100%, $E$13)</f>
        <v>12.105499999999999</v>
      </c>
      <c r="C709" s="60">
        <f>12.1055 * CHOOSE(CONTROL!$C$22, $C$13, 100%, $E$13)</f>
        <v>12.105499999999999</v>
      </c>
      <c r="D709" s="60">
        <f>12.1306 * CHOOSE(CONTROL!$C$22, $C$13, 100%, $E$13)</f>
        <v>12.130599999999999</v>
      </c>
      <c r="E709" s="61">
        <f>14.1608 * CHOOSE(CONTROL!$C$22, $C$13, 100%, $E$13)</f>
        <v>14.1608</v>
      </c>
      <c r="F709" s="61">
        <f>14.1608 * CHOOSE(CONTROL!$C$22, $C$13, 100%, $E$13)</f>
        <v>14.1608</v>
      </c>
      <c r="G709" s="61">
        <f>14.1624 * CHOOSE(CONTROL!$C$22, $C$13, 100%, $E$13)</f>
        <v>14.1624</v>
      </c>
      <c r="H709" s="61">
        <f>23.3687* CHOOSE(CONTROL!$C$22, $C$13, 100%, $E$13)</f>
        <v>23.3687</v>
      </c>
      <c r="I709" s="61">
        <f>23.3703 * CHOOSE(CONTROL!$C$22, $C$13, 100%, $E$13)</f>
        <v>23.3703</v>
      </c>
      <c r="J709" s="61">
        <f>14.1608 * CHOOSE(CONTROL!$C$22, $C$13, 100%, $E$13)</f>
        <v>14.1608</v>
      </c>
      <c r="K709" s="61">
        <f>14.1624 * CHOOSE(CONTROL!$C$22, $C$13, 100%, $E$13)</f>
        <v>14.1624</v>
      </c>
    </row>
    <row r="710" spans="1:11" ht="15">
      <c r="A710" s="13">
        <v>63463</v>
      </c>
      <c r="B710" s="60">
        <f>12.1273 * CHOOSE(CONTROL!$C$22, $C$13, 100%, $E$13)</f>
        <v>12.1273</v>
      </c>
      <c r="C710" s="60">
        <f>12.1273 * CHOOSE(CONTROL!$C$22, $C$13, 100%, $E$13)</f>
        <v>12.1273</v>
      </c>
      <c r="D710" s="60">
        <f>12.1399 * CHOOSE(CONTROL!$C$22, $C$13, 100%, $E$13)</f>
        <v>12.139900000000001</v>
      </c>
      <c r="E710" s="61">
        <f>14.212 * CHOOSE(CONTROL!$C$22, $C$13, 100%, $E$13)</f>
        <v>14.212</v>
      </c>
      <c r="F710" s="61">
        <f>14.212 * CHOOSE(CONTROL!$C$22, $C$13, 100%, $E$13)</f>
        <v>14.212</v>
      </c>
      <c r="G710" s="61">
        <f>14.2122 * CHOOSE(CONTROL!$C$22, $C$13, 100%, $E$13)</f>
        <v>14.212199999999999</v>
      </c>
      <c r="H710" s="61">
        <f>23.4174* CHOOSE(CONTROL!$C$22, $C$13, 100%, $E$13)</f>
        <v>23.417400000000001</v>
      </c>
      <c r="I710" s="61">
        <f>23.4176 * CHOOSE(CONTROL!$C$22, $C$13, 100%, $E$13)</f>
        <v>23.4176</v>
      </c>
      <c r="J710" s="61">
        <f>14.212 * CHOOSE(CONTROL!$C$22, $C$13, 100%, $E$13)</f>
        <v>14.212</v>
      </c>
      <c r="K710" s="61">
        <f>14.2122 * CHOOSE(CONTROL!$C$22, $C$13, 100%, $E$13)</f>
        <v>14.212199999999999</v>
      </c>
    </row>
    <row r="711" spans="1:11" ht="15">
      <c r="A711" s="13">
        <v>63494</v>
      </c>
      <c r="B711" s="60">
        <f>12.1304 * CHOOSE(CONTROL!$C$22, $C$13, 100%, $E$13)</f>
        <v>12.1304</v>
      </c>
      <c r="C711" s="60">
        <f>12.1304 * CHOOSE(CONTROL!$C$22, $C$13, 100%, $E$13)</f>
        <v>12.1304</v>
      </c>
      <c r="D711" s="60">
        <f>12.1429 * CHOOSE(CONTROL!$C$22, $C$13, 100%, $E$13)</f>
        <v>12.142899999999999</v>
      </c>
      <c r="E711" s="61">
        <f>14.2465 * CHOOSE(CONTROL!$C$22, $C$13, 100%, $E$13)</f>
        <v>14.246499999999999</v>
      </c>
      <c r="F711" s="61">
        <f>14.2465 * CHOOSE(CONTROL!$C$22, $C$13, 100%, $E$13)</f>
        <v>14.246499999999999</v>
      </c>
      <c r="G711" s="61">
        <f>14.2467 * CHOOSE(CONTROL!$C$22, $C$13, 100%, $E$13)</f>
        <v>14.246700000000001</v>
      </c>
      <c r="H711" s="61">
        <f>23.4662* CHOOSE(CONTROL!$C$22, $C$13, 100%, $E$13)</f>
        <v>23.466200000000001</v>
      </c>
      <c r="I711" s="61">
        <f>23.4664 * CHOOSE(CONTROL!$C$22, $C$13, 100%, $E$13)</f>
        <v>23.4664</v>
      </c>
      <c r="J711" s="61">
        <f>14.2465 * CHOOSE(CONTROL!$C$22, $C$13, 100%, $E$13)</f>
        <v>14.246499999999999</v>
      </c>
      <c r="K711" s="61">
        <f>14.2467 * CHOOSE(CONTROL!$C$22, $C$13, 100%, $E$13)</f>
        <v>14.246700000000001</v>
      </c>
    </row>
    <row r="712" spans="1:11" ht="15">
      <c r="A712" s="13">
        <v>63524</v>
      </c>
      <c r="B712" s="60">
        <f>12.1304 * CHOOSE(CONTROL!$C$22, $C$13, 100%, $E$13)</f>
        <v>12.1304</v>
      </c>
      <c r="C712" s="60">
        <f>12.1304 * CHOOSE(CONTROL!$C$22, $C$13, 100%, $E$13)</f>
        <v>12.1304</v>
      </c>
      <c r="D712" s="60">
        <f>12.1429 * CHOOSE(CONTROL!$C$22, $C$13, 100%, $E$13)</f>
        <v>12.142899999999999</v>
      </c>
      <c r="E712" s="61">
        <f>14.1657 * CHOOSE(CONTROL!$C$22, $C$13, 100%, $E$13)</f>
        <v>14.165699999999999</v>
      </c>
      <c r="F712" s="61">
        <f>14.1657 * CHOOSE(CONTROL!$C$22, $C$13, 100%, $E$13)</f>
        <v>14.165699999999999</v>
      </c>
      <c r="G712" s="61">
        <f>14.1659 * CHOOSE(CONTROL!$C$22, $C$13, 100%, $E$13)</f>
        <v>14.165900000000001</v>
      </c>
      <c r="H712" s="61">
        <f>23.5151* CHOOSE(CONTROL!$C$22, $C$13, 100%, $E$13)</f>
        <v>23.5151</v>
      </c>
      <c r="I712" s="61">
        <f>23.5153 * CHOOSE(CONTROL!$C$22, $C$13, 100%, $E$13)</f>
        <v>23.5153</v>
      </c>
      <c r="J712" s="61">
        <f>14.1657 * CHOOSE(CONTROL!$C$22, $C$13, 100%, $E$13)</f>
        <v>14.165699999999999</v>
      </c>
      <c r="K712" s="61">
        <f>14.1659 * CHOOSE(CONTROL!$C$22, $C$13, 100%, $E$13)</f>
        <v>14.165900000000001</v>
      </c>
    </row>
    <row r="713" spans="1:11" ht="15">
      <c r="A713" s="13">
        <v>63555</v>
      </c>
      <c r="B713" s="60">
        <f>12.1543 * CHOOSE(CONTROL!$C$22, $C$13, 100%, $E$13)</f>
        <v>12.154299999999999</v>
      </c>
      <c r="C713" s="60">
        <f>12.1543 * CHOOSE(CONTROL!$C$22, $C$13, 100%, $E$13)</f>
        <v>12.154299999999999</v>
      </c>
      <c r="D713" s="60">
        <f>12.1668 * CHOOSE(CONTROL!$C$22, $C$13, 100%, $E$13)</f>
        <v>12.1668</v>
      </c>
      <c r="E713" s="61">
        <f>14.2504 * CHOOSE(CONTROL!$C$22, $C$13, 100%, $E$13)</f>
        <v>14.250400000000001</v>
      </c>
      <c r="F713" s="61">
        <f>14.2504 * CHOOSE(CONTROL!$C$22, $C$13, 100%, $E$13)</f>
        <v>14.250400000000001</v>
      </c>
      <c r="G713" s="61">
        <f>14.2505 * CHOOSE(CONTROL!$C$22, $C$13, 100%, $E$13)</f>
        <v>14.250500000000001</v>
      </c>
      <c r="H713" s="61">
        <f>23.4288* CHOOSE(CONTROL!$C$22, $C$13, 100%, $E$13)</f>
        <v>23.428799999999999</v>
      </c>
      <c r="I713" s="61">
        <f>23.429 * CHOOSE(CONTROL!$C$22, $C$13, 100%, $E$13)</f>
        <v>23.428999999999998</v>
      </c>
      <c r="J713" s="61">
        <f>14.2504 * CHOOSE(CONTROL!$C$22, $C$13, 100%, $E$13)</f>
        <v>14.250400000000001</v>
      </c>
      <c r="K713" s="61">
        <f>14.2505 * CHOOSE(CONTROL!$C$22, $C$13, 100%, $E$13)</f>
        <v>14.250500000000001</v>
      </c>
    </row>
    <row r="714" spans="1:11" ht="15">
      <c r="A714" s="13">
        <v>63586</v>
      </c>
      <c r="B714" s="60">
        <f>12.1512 * CHOOSE(CONTROL!$C$22, $C$13, 100%, $E$13)</f>
        <v>12.151199999999999</v>
      </c>
      <c r="C714" s="60">
        <f>12.1512 * CHOOSE(CONTROL!$C$22, $C$13, 100%, $E$13)</f>
        <v>12.151199999999999</v>
      </c>
      <c r="D714" s="60">
        <f>12.1638 * CHOOSE(CONTROL!$C$22, $C$13, 100%, $E$13)</f>
        <v>12.1638</v>
      </c>
      <c r="E714" s="61">
        <f>14.0923 * CHOOSE(CONTROL!$C$22, $C$13, 100%, $E$13)</f>
        <v>14.0923</v>
      </c>
      <c r="F714" s="61">
        <f>14.0923 * CHOOSE(CONTROL!$C$22, $C$13, 100%, $E$13)</f>
        <v>14.0923</v>
      </c>
      <c r="G714" s="61">
        <f>14.0925 * CHOOSE(CONTROL!$C$22, $C$13, 100%, $E$13)</f>
        <v>14.092499999999999</v>
      </c>
      <c r="H714" s="61">
        <f>23.4776* CHOOSE(CONTROL!$C$22, $C$13, 100%, $E$13)</f>
        <v>23.477599999999999</v>
      </c>
      <c r="I714" s="61">
        <f>23.4778 * CHOOSE(CONTROL!$C$22, $C$13, 100%, $E$13)</f>
        <v>23.477799999999998</v>
      </c>
      <c r="J714" s="61">
        <f>14.0923 * CHOOSE(CONTROL!$C$22, $C$13, 100%, $E$13)</f>
        <v>14.0923</v>
      </c>
      <c r="K714" s="61">
        <f>14.0925 * CHOOSE(CONTROL!$C$22, $C$13, 100%, $E$13)</f>
        <v>14.092499999999999</v>
      </c>
    </row>
    <row r="715" spans="1:11" ht="15">
      <c r="A715" s="13">
        <v>63614</v>
      </c>
      <c r="B715" s="60">
        <f>12.1482 * CHOOSE(CONTROL!$C$22, $C$13, 100%, $E$13)</f>
        <v>12.148199999999999</v>
      </c>
      <c r="C715" s="60">
        <f>12.1482 * CHOOSE(CONTROL!$C$22, $C$13, 100%, $E$13)</f>
        <v>12.148199999999999</v>
      </c>
      <c r="D715" s="60">
        <f>12.1607 * CHOOSE(CONTROL!$C$22, $C$13, 100%, $E$13)</f>
        <v>12.1607</v>
      </c>
      <c r="E715" s="61">
        <f>14.2131 * CHOOSE(CONTROL!$C$22, $C$13, 100%, $E$13)</f>
        <v>14.213100000000001</v>
      </c>
      <c r="F715" s="61">
        <f>14.2131 * CHOOSE(CONTROL!$C$22, $C$13, 100%, $E$13)</f>
        <v>14.213100000000001</v>
      </c>
      <c r="G715" s="61">
        <f>14.2133 * CHOOSE(CONTROL!$C$22, $C$13, 100%, $E$13)</f>
        <v>14.2133</v>
      </c>
      <c r="H715" s="61">
        <f>23.5265* CHOOSE(CONTROL!$C$22, $C$13, 100%, $E$13)</f>
        <v>23.526499999999999</v>
      </c>
      <c r="I715" s="61">
        <f>23.5267 * CHOOSE(CONTROL!$C$22, $C$13, 100%, $E$13)</f>
        <v>23.526700000000002</v>
      </c>
      <c r="J715" s="61">
        <f>14.2131 * CHOOSE(CONTROL!$C$22, $C$13, 100%, $E$13)</f>
        <v>14.213100000000001</v>
      </c>
      <c r="K715" s="61">
        <f>14.2133 * CHOOSE(CONTROL!$C$22, $C$13, 100%, $E$13)</f>
        <v>14.2133</v>
      </c>
    </row>
    <row r="716" spans="1:11" ht="15">
      <c r="A716" s="13">
        <v>63645</v>
      </c>
      <c r="B716" s="60">
        <f>12.1528 * CHOOSE(CONTROL!$C$22, $C$13, 100%, $E$13)</f>
        <v>12.152799999999999</v>
      </c>
      <c r="C716" s="60">
        <f>12.1528 * CHOOSE(CONTROL!$C$22, $C$13, 100%, $E$13)</f>
        <v>12.152799999999999</v>
      </c>
      <c r="D716" s="60">
        <f>12.1654 * CHOOSE(CONTROL!$C$22, $C$13, 100%, $E$13)</f>
        <v>12.1654</v>
      </c>
      <c r="E716" s="61">
        <f>14.3409 * CHOOSE(CONTROL!$C$22, $C$13, 100%, $E$13)</f>
        <v>14.3409</v>
      </c>
      <c r="F716" s="61">
        <f>14.3409 * CHOOSE(CONTROL!$C$22, $C$13, 100%, $E$13)</f>
        <v>14.3409</v>
      </c>
      <c r="G716" s="61">
        <f>14.3411 * CHOOSE(CONTROL!$C$22, $C$13, 100%, $E$13)</f>
        <v>14.341100000000001</v>
      </c>
      <c r="H716" s="61">
        <f>23.5755* CHOOSE(CONTROL!$C$22, $C$13, 100%, $E$13)</f>
        <v>23.575500000000002</v>
      </c>
      <c r="I716" s="61">
        <f>23.5757 * CHOOSE(CONTROL!$C$22, $C$13, 100%, $E$13)</f>
        <v>23.575700000000001</v>
      </c>
      <c r="J716" s="61">
        <f>14.3409 * CHOOSE(CONTROL!$C$22, $C$13, 100%, $E$13)</f>
        <v>14.3409</v>
      </c>
      <c r="K716" s="61">
        <f>14.3411 * CHOOSE(CONTROL!$C$22, $C$13, 100%, $E$13)</f>
        <v>14.341100000000001</v>
      </c>
    </row>
    <row r="717" spans="1:11" ht="15">
      <c r="A717" s="13">
        <v>63675</v>
      </c>
      <c r="B717" s="60">
        <f>12.1528 * CHOOSE(CONTROL!$C$22, $C$13, 100%, $E$13)</f>
        <v>12.152799999999999</v>
      </c>
      <c r="C717" s="60">
        <f>12.1528 * CHOOSE(CONTROL!$C$22, $C$13, 100%, $E$13)</f>
        <v>12.152799999999999</v>
      </c>
      <c r="D717" s="60">
        <f>12.1779 * CHOOSE(CONTROL!$C$22, $C$13, 100%, $E$13)</f>
        <v>12.177899999999999</v>
      </c>
      <c r="E717" s="61">
        <f>14.3904 * CHOOSE(CONTROL!$C$22, $C$13, 100%, $E$13)</f>
        <v>14.3904</v>
      </c>
      <c r="F717" s="61">
        <f>14.3904 * CHOOSE(CONTROL!$C$22, $C$13, 100%, $E$13)</f>
        <v>14.3904</v>
      </c>
      <c r="G717" s="61">
        <f>14.392 * CHOOSE(CONTROL!$C$22, $C$13, 100%, $E$13)</f>
        <v>14.391999999999999</v>
      </c>
      <c r="H717" s="61">
        <f>23.6246* CHOOSE(CONTROL!$C$22, $C$13, 100%, $E$13)</f>
        <v>23.624600000000001</v>
      </c>
      <c r="I717" s="61">
        <f>23.6262 * CHOOSE(CONTROL!$C$22, $C$13, 100%, $E$13)</f>
        <v>23.626200000000001</v>
      </c>
      <c r="J717" s="61">
        <f>14.3904 * CHOOSE(CONTROL!$C$22, $C$13, 100%, $E$13)</f>
        <v>14.3904</v>
      </c>
      <c r="K717" s="61">
        <f>14.392 * CHOOSE(CONTROL!$C$22, $C$13, 100%, $E$13)</f>
        <v>14.391999999999999</v>
      </c>
    </row>
    <row r="718" spans="1:11" ht="15">
      <c r="A718" s="13">
        <v>63706</v>
      </c>
      <c r="B718" s="60">
        <f>12.1589 * CHOOSE(CONTROL!$C$22, $C$13, 100%, $E$13)</f>
        <v>12.158899999999999</v>
      </c>
      <c r="C718" s="60">
        <f>12.1589 * CHOOSE(CONTROL!$C$22, $C$13, 100%, $E$13)</f>
        <v>12.158899999999999</v>
      </c>
      <c r="D718" s="60">
        <f>12.184 * CHOOSE(CONTROL!$C$22, $C$13, 100%, $E$13)</f>
        <v>12.183999999999999</v>
      </c>
      <c r="E718" s="61">
        <f>14.3451 * CHOOSE(CONTROL!$C$22, $C$13, 100%, $E$13)</f>
        <v>14.3451</v>
      </c>
      <c r="F718" s="61">
        <f>14.3451 * CHOOSE(CONTROL!$C$22, $C$13, 100%, $E$13)</f>
        <v>14.3451</v>
      </c>
      <c r="G718" s="61">
        <f>14.3467 * CHOOSE(CONTROL!$C$22, $C$13, 100%, $E$13)</f>
        <v>14.3467</v>
      </c>
      <c r="H718" s="61">
        <f>23.6739* CHOOSE(CONTROL!$C$22, $C$13, 100%, $E$13)</f>
        <v>23.6739</v>
      </c>
      <c r="I718" s="61">
        <f>23.6755 * CHOOSE(CONTROL!$C$22, $C$13, 100%, $E$13)</f>
        <v>23.6755</v>
      </c>
      <c r="J718" s="61">
        <f>14.3451 * CHOOSE(CONTROL!$C$22, $C$13, 100%, $E$13)</f>
        <v>14.3451</v>
      </c>
      <c r="K718" s="61">
        <f>14.3467 * CHOOSE(CONTROL!$C$22, $C$13, 100%, $E$13)</f>
        <v>14.3467</v>
      </c>
    </row>
    <row r="719" spans="1:11" ht="15">
      <c r="A719" s="13">
        <v>63736</v>
      </c>
      <c r="B719" s="60">
        <f>12.3511 * CHOOSE(CONTROL!$C$22, $C$13, 100%, $E$13)</f>
        <v>12.351100000000001</v>
      </c>
      <c r="C719" s="60">
        <f>12.3511 * CHOOSE(CONTROL!$C$22, $C$13, 100%, $E$13)</f>
        <v>12.351100000000001</v>
      </c>
      <c r="D719" s="60">
        <f>12.3762 * CHOOSE(CONTROL!$C$22, $C$13, 100%, $E$13)</f>
        <v>12.376200000000001</v>
      </c>
      <c r="E719" s="61">
        <f>14.6198 * CHOOSE(CONTROL!$C$22, $C$13, 100%, $E$13)</f>
        <v>14.6198</v>
      </c>
      <c r="F719" s="61">
        <f>14.6198 * CHOOSE(CONTROL!$C$22, $C$13, 100%, $E$13)</f>
        <v>14.6198</v>
      </c>
      <c r="G719" s="61">
        <f>14.6214 * CHOOSE(CONTROL!$C$22, $C$13, 100%, $E$13)</f>
        <v>14.6214</v>
      </c>
      <c r="H719" s="61">
        <f>23.7232* CHOOSE(CONTROL!$C$22, $C$13, 100%, $E$13)</f>
        <v>23.723199999999999</v>
      </c>
      <c r="I719" s="61">
        <f>23.7248 * CHOOSE(CONTROL!$C$22, $C$13, 100%, $E$13)</f>
        <v>23.724799999999998</v>
      </c>
      <c r="J719" s="61">
        <f>14.6198 * CHOOSE(CONTROL!$C$22, $C$13, 100%, $E$13)</f>
        <v>14.6198</v>
      </c>
      <c r="K719" s="61">
        <f>14.6214 * CHOOSE(CONTROL!$C$22, $C$13, 100%, $E$13)</f>
        <v>14.6214</v>
      </c>
    </row>
    <row r="720" spans="1:11" ht="15">
      <c r="A720" s="13">
        <v>63767</v>
      </c>
      <c r="B720" s="60">
        <f>12.3578 * CHOOSE(CONTROL!$C$22, $C$13, 100%, $E$13)</f>
        <v>12.357799999999999</v>
      </c>
      <c r="C720" s="60">
        <f>12.3578 * CHOOSE(CONTROL!$C$22, $C$13, 100%, $E$13)</f>
        <v>12.357799999999999</v>
      </c>
      <c r="D720" s="60">
        <f>12.3829 * CHOOSE(CONTROL!$C$22, $C$13, 100%, $E$13)</f>
        <v>12.382899999999999</v>
      </c>
      <c r="E720" s="61">
        <f>14.4759 * CHOOSE(CONTROL!$C$22, $C$13, 100%, $E$13)</f>
        <v>14.475899999999999</v>
      </c>
      <c r="F720" s="61">
        <f>14.4759 * CHOOSE(CONTROL!$C$22, $C$13, 100%, $E$13)</f>
        <v>14.475899999999999</v>
      </c>
      <c r="G720" s="61">
        <f>14.4775 * CHOOSE(CONTROL!$C$22, $C$13, 100%, $E$13)</f>
        <v>14.477499999999999</v>
      </c>
      <c r="H720" s="61">
        <f>23.7726* CHOOSE(CONTROL!$C$22, $C$13, 100%, $E$13)</f>
        <v>23.772600000000001</v>
      </c>
      <c r="I720" s="61">
        <f>23.7742 * CHOOSE(CONTROL!$C$22, $C$13, 100%, $E$13)</f>
        <v>23.7742</v>
      </c>
      <c r="J720" s="61">
        <f>14.4759 * CHOOSE(CONTROL!$C$22, $C$13, 100%, $E$13)</f>
        <v>14.475899999999999</v>
      </c>
      <c r="K720" s="61">
        <f>14.4775 * CHOOSE(CONTROL!$C$22, $C$13, 100%, $E$13)</f>
        <v>14.477499999999999</v>
      </c>
    </row>
    <row r="721" spans="1:11" ht="15">
      <c r="A721" s="13">
        <v>63798</v>
      </c>
      <c r="B721" s="60">
        <f>12.3547 * CHOOSE(CONTROL!$C$22, $C$13, 100%, $E$13)</f>
        <v>12.354699999999999</v>
      </c>
      <c r="C721" s="60">
        <f>12.3547 * CHOOSE(CONTROL!$C$22, $C$13, 100%, $E$13)</f>
        <v>12.354699999999999</v>
      </c>
      <c r="D721" s="60">
        <f>12.3798 * CHOOSE(CONTROL!$C$22, $C$13, 100%, $E$13)</f>
        <v>12.379799999999999</v>
      </c>
      <c r="E721" s="61">
        <f>14.4573 * CHOOSE(CONTROL!$C$22, $C$13, 100%, $E$13)</f>
        <v>14.4573</v>
      </c>
      <c r="F721" s="61">
        <f>14.4573 * CHOOSE(CONTROL!$C$22, $C$13, 100%, $E$13)</f>
        <v>14.4573</v>
      </c>
      <c r="G721" s="61">
        <f>14.4589 * CHOOSE(CONTROL!$C$22, $C$13, 100%, $E$13)</f>
        <v>14.4589</v>
      </c>
      <c r="H721" s="61">
        <f>23.8221* CHOOSE(CONTROL!$C$22, $C$13, 100%, $E$13)</f>
        <v>23.822099999999999</v>
      </c>
      <c r="I721" s="61">
        <f>23.8237 * CHOOSE(CONTROL!$C$22, $C$13, 100%, $E$13)</f>
        <v>23.823699999999999</v>
      </c>
      <c r="J721" s="61">
        <f>14.4573 * CHOOSE(CONTROL!$C$22, $C$13, 100%, $E$13)</f>
        <v>14.4573</v>
      </c>
      <c r="K721" s="61">
        <f>14.4589 * CHOOSE(CONTROL!$C$22, $C$13, 100%, $E$13)</f>
        <v>14.4589</v>
      </c>
    </row>
    <row r="722" spans="1:11" ht="15">
      <c r="A722" s="13">
        <v>63828</v>
      </c>
      <c r="B722" s="60">
        <f>12.3773 * CHOOSE(CONTROL!$C$22, $C$13, 100%, $E$13)</f>
        <v>12.3773</v>
      </c>
      <c r="C722" s="60">
        <f>12.3773 * CHOOSE(CONTROL!$C$22, $C$13, 100%, $E$13)</f>
        <v>12.3773</v>
      </c>
      <c r="D722" s="60">
        <f>12.3899 * CHOOSE(CONTROL!$C$22, $C$13, 100%, $E$13)</f>
        <v>12.389900000000001</v>
      </c>
      <c r="E722" s="61">
        <f>14.5099 * CHOOSE(CONTROL!$C$22, $C$13, 100%, $E$13)</f>
        <v>14.5099</v>
      </c>
      <c r="F722" s="61">
        <f>14.5099 * CHOOSE(CONTROL!$C$22, $C$13, 100%, $E$13)</f>
        <v>14.5099</v>
      </c>
      <c r="G722" s="61">
        <f>14.5101 * CHOOSE(CONTROL!$C$22, $C$13, 100%, $E$13)</f>
        <v>14.5101</v>
      </c>
      <c r="H722" s="61">
        <f>23.8718* CHOOSE(CONTROL!$C$22, $C$13, 100%, $E$13)</f>
        <v>23.8718</v>
      </c>
      <c r="I722" s="61">
        <f>23.8719 * CHOOSE(CONTROL!$C$22, $C$13, 100%, $E$13)</f>
        <v>23.8719</v>
      </c>
      <c r="J722" s="61">
        <f>14.5099 * CHOOSE(CONTROL!$C$22, $C$13, 100%, $E$13)</f>
        <v>14.5099</v>
      </c>
      <c r="K722" s="61">
        <f>14.5101 * CHOOSE(CONTROL!$C$22, $C$13, 100%, $E$13)</f>
        <v>14.5101</v>
      </c>
    </row>
    <row r="723" spans="1:11" ht="15">
      <c r="A723" s="13">
        <v>63859</v>
      </c>
      <c r="B723" s="60">
        <f>12.3804 * CHOOSE(CONTROL!$C$22, $C$13, 100%, $E$13)</f>
        <v>12.3804</v>
      </c>
      <c r="C723" s="60">
        <f>12.3804 * CHOOSE(CONTROL!$C$22, $C$13, 100%, $E$13)</f>
        <v>12.3804</v>
      </c>
      <c r="D723" s="60">
        <f>12.3929 * CHOOSE(CONTROL!$C$22, $C$13, 100%, $E$13)</f>
        <v>12.392899999999999</v>
      </c>
      <c r="E723" s="61">
        <f>14.545 * CHOOSE(CONTROL!$C$22, $C$13, 100%, $E$13)</f>
        <v>14.545</v>
      </c>
      <c r="F723" s="61">
        <f>14.545 * CHOOSE(CONTROL!$C$22, $C$13, 100%, $E$13)</f>
        <v>14.545</v>
      </c>
      <c r="G723" s="61">
        <f>14.5452 * CHOOSE(CONTROL!$C$22, $C$13, 100%, $E$13)</f>
        <v>14.545199999999999</v>
      </c>
      <c r="H723" s="61">
        <f>23.9215* CHOOSE(CONTROL!$C$22, $C$13, 100%, $E$13)</f>
        <v>23.921500000000002</v>
      </c>
      <c r="I723" s="61">
        <f>23.9217 * CHOOSE(CONTROL!$C$22, $C$13, 100%, $E$13)</f>
        <v>23.921700000000001</v>
      </c>
      <c r="J723" s="61">
        <f>14.545 * CHOOSE(CONTROL!$C$22, $C$13, 100%, $E$13)</f>
        <v>14.545</v>
      </c>
      <c r="K723" s="61">
        <f>14.5452 * CHOOSE(CONTROL!$C$22, $C$13, 100%, $E$13)</f>
        <v>14.545199999999999</v>
      </c>
    </row>
    <row r="724" spans="1:11" ht="15">
      <c r="A724" s="13">
        <v>63889</v>
      </c>
      <c r="B724" s="60">
        <f>12.3804 * CHOOSE(CONTROL!$C$22, $C$13, 100%, $E$13)</f>
        <v>12.3804</v>
      </c>
      <c r="C724" s="60">
        <f>12.3804 * CHOOSE(CONTROL!$C$22, $C$13, 100%, $E$13)</f>
        <v>12.3804</v>
      </c>
      <c r="D724" s="60">
        <f>12.3929 * CHOOSE(CONTROL!$C$22, $C$13, 100%, $E$13)</f>
        <v>12.392899999999999</v>
      </c>
      <c r="E724" s="61">
        <f>14.4625 * CHOOSE(CONTROL!$C$22, $C$13, 100%, $E$13)</f>
        <v>14.4625</v>
      </c>
      <c r="F724" s="61">
        <f>14.4625 * CHOOSE(CONTROL!$C$22, $C$13, 100%, $E$13)</f>
        <v>14.4625</v>
      </c>
      <c r="G724" s="61">
        <f>14.4627 * CHOOSE(CONTROL!$C$22, $C$13, 100%, $E$13)</f>
        <v>14.4627</v>
      </c>
      <c r="H724" s="61">
        <f>23.9713* CHOOSE(CONTROL!$C$22, $C$13, 100%, $E$13)</f>
        <v>23.971299999999999</v>
      </c>
      <c r="I724" s="61">
        <f>23.9715 * CHOOSE(CONTROL!$C$22, $C$13, 100%, $E$13)</f>
        <v>23.971499999999999</v>
      </c>
      <c r="J724" s="61">
        <f>14.4625 * CHOOSE(CONTROL!$C$22, $C$13, 100%, $E$13)</f>
        <v>14.4625</v>
      </c>
      <c r="K724" s="61">
        <f>14.4627 * CHOOSE(CONTROL!$C$22, $C$13, 100%, $E$13)</f>
        <v>14.4627</v>
      </c>
    </row>
    <row r="725" spans="1:11" ht="15">
      <c r="A725" s="13">
        <v>63920</v>
      </c>
      <c r="B725" s="60">
        <f>12.3996 * CHOOSE(CONTROL!$C$22, $C$13, 100%, $E$13)</f>
        <v>12.3996</v>
      </c>
      <c r="C725" s="60">
        <f>12.3996 * CHOOSE(CONTROL!$C$22, $C$13, 100%, $E$13)</f>
        <v>12.3996</v>
      </c>
      <c r="D725" s="60">
        <f>12.4121 * CHOOSE(CONTROL!$C$22, $C$13, 100%, $E$13)</f>
        <v>12.412100000000001</v>
      </c>
      <c r="E725" s="61">
        <f>14.5428 * CHOOSE(CONTROL!$C$22, $C$13, 100%, $E$13)</f>
        <v>14.5428</v>
      </c>
      <c r="F725" s="61">
        <f>14.5428 * CHOOSE(CONTROL!$C$22, $C$13, 100%, $E$13)</f>
        <v>14.5428</v>
      </c>
      <c r="G725" s="61">
        <f>14.543 * CHOOSE(CONTROL!$C$22, $C$13, 100%, $E$13)</f>
        <v>14.542999999999999</v>
      </c>
      <c r="H725" s="61">
        <f>23.8747* CHOOSE(CONTROL!$C$22, $C$13, 100%, $E$13)</f>
        <v>23.874700000000001</v>
      </c>
      <c r="I725" s="61">
        <f>23.8749 * CHOOSE(CONTROL!$C$22, $C$13, 100%, $E$13)</f>
        <v>23.8749</v>
      </c>
      <c r="J725" s="61">
        <f>14.5428 * CHOOSE(CONTROL!$C$22, $C$13, 100%, $E$13)</f>
        <v>14.5428</v>
      </c>
      <c r="K725" s="61">
        <f>14.543 * CHOOSE(CONTROL!$C$22, $C$13, 100%, $E$13)</f>
        <v>14.542999999999999</v>
      </c>
    </row>
    <row r="726" spans="1:11" ht="15">
      <c r="A726" s="13">
        <v>63951</v>
      </c>
      <c r="B726" s="60">
        <f>12.3965 * CHOOSE(CONTROL!$C$22, $C$13, 100%, $E$13)</f>
        <v>12.3965</v>
      </c>
      <c r="C726" s="60">
        <f>12.3965 * CHOOSE(CONTROL!$C$22, $C$13, 100%, $E$13)</f>
        <v>12.3965</v>
      </c>
      <c r="D726" s="60">
        <f>12.4091 * CHOOSE(CONTROL!$C$22, $C$13, 100%, $E$13)</f>
        <v>12.4091</v>
      </c>
      <c r="E726" s="61">
        <f>14.3815 * CHOOSE(CONTROL!$C$22, $C$13, 100%, $E$13)</f>
        <v>14.381500000000001</v>
      </c>
      <c r="F726" s="61">
        <f>14.3815 * CHOOSE(CONTROL!$C$22, $C$13, 100%, $E$13)</f>
        <v>14.381500000000001</v>
      </c>
      <c r="G726" s="61">
        <f>14.3817 * CHOOSE(CONTROL!$C$22, $C$13, 100%, $E$13)</f>
        <v>14.3817</v>
      </c>
      <c r="H726" s="61">
        <f>23.9244* CHOOSE(CONTROL!$C$22, $C$13, 100%, $E$13)</f>
        <v>23.924399999999999</v>
      </c>
      <c r="I726" s="61">
        <f>23.9246 * CHOOSE(CONTROL!$C$22, $C$13, 100%, $E$13)</f>
        <v>23.924600000000002</v>
      </c>
      <c r="J726" s="61">
        <f>14.3815 * CHOOSE(CONTROL!$C$22, $C$13, 100%, $E$13)</f>
        <v>14.381500000000001</v>
      </c>
      <c r="K726" s="61">
        <f>14.3817 * CHOOSE(CONTROL!$C$22, $C$13, 100%, $E$13)</f>
        <v>14.3817</v>
      </c>
    </row>
    <row r="727" spans="1:11" ht="15">
      <c r="A727" s="13">
        <v>63979</v>
      </c>
      <c r="B727" s="60">
        <f>12.3935 * CHOOSE(CONTROL!$C$22, $C$13, 100%, $E$13)</f>
        <v>12.3935</v>
      </c>
      <c r="C727" s="60">
        <f>12.3935 * CHOOSE(CONTROL!$C$22, $C$13, 100%, $E$13)</f>
        <v>12.3935</v>
      </c>
      <c r="D727" s="60">
        <f>12.406 * CHOOSE(CONTROL!$C$22, $C$13, 100%, $E$13)</f>
        <v>12.406000000000001</v>
      </c>
      <c r="E727" s="61">
        <f>14.5049 * CHOOSE(CONTROL!$C$22, $C$13, 100%, $E$13)</f>
        <v>14.504899999999999</v>
      </c>
      <c r="F727" s="61">
        <f>14.5049 * CHOOSE(CONTROL!$C$22, $C$13, 100%, $E$13)</f>
        <v>14.504899999999999</v>
      </c>
      <c r="G727" s="61">
        <f>14.505 * CHOOSE(CONTROL!$C$22, $C$13, 100%, $E$13)</f>
        <v>14.505000000000001</v>
      </c>
      <c r="H727" s="61">
        <f>23.9743* CHOOSE(CONTROL!$C$22, $C$13, 100%, $E$13)</f>
        <v>23.974299999999999</v>
      </c>
      <c r="I727" s="61">
        <f>23.9744 * CHOOSE(CONTROL!$C$22, $C$13, 100%, $E$13)</f>
        <v>23.974399999999999</v>
      </c>
      <c r="J727" s="61">
        <f>14.5049 * CHOOSE(CONTROL!$C$22, $C$13, 100%, $E$13)</f>
        <v>14.504899999999999</v>
      </c>
      <c r="K727" s="61">
        <f>14.505 * CHOOSE(CONTROL!$C$22, $C$13, 100%, $E$13)</f>
        <v>14.505000000000001</v>
      </c>
    </row>
    <row r="728" spans="1:11" ht="15">
      <c r="A728" s="13">
        <v>64010</v>
      </c>
      <c r="B728" s="60">
        <f>12.3983 * CHOOSE(CONTROL!$C$22, $C$13, 100%, $E$13)</f>
        <v>12.398300000000001</v>
      </c>
      <c r="C728" s="60">
        <f>12.3983 * CHOOSE(CONTROL!$C$22, $C$13, 100%, $E$13)</f>
        <v>12.398300000000001</v>
      </c>
      <c r="D728" s="60">
        <f>12.4109 * CHOOSE(CONTROL!$C$22, $C$13, 100%, $E$13)</f>
        <v>12.4109</v>
      </c>
      <c r="E728" s="61">
        <f>14.6353 * CHOOSE(CONTROL!$C$22, $C$13, 100%, $E$13)</f>
        <v>14.635300000000001</v>
      </c>
      <c r="F728" s="61">
        <f>14.6353 * CHOOSE(CONTROL!$C$22, $C$13, 100%, $E$13)</f>
        <v>14.635300000000001</v>
      </c>
      <c r="G728" s="61">
        <f>14.6355 * CHOOSE(CONTROL!$C$22, $C$13, 100%, $E$13)</f>
        <v>14.6355</v>
      </c>
      <c r="H728" s="61">
        <f>24.0242* CHOOSE(CONTROL!$C$22, $C$13, 100%, $E$13)</f>
        <v>24.0242</v>
      </c>
      <c r="I728" s="61">
        <f>24.0244 * CHOOSE(CONTROL!$C$22, $C$13, 100%, $E$13)</f>
        <v>24.0244</v>
      </c>
      <c r="J728" s="61">
        <f>14.6353 * CHOOSE(CONTROL!$C$22, $C$13, 100%, $E$13)</f>
        <v>14.635300000000001</v>
      </c>
      <c r="K728" s="61">
        <f>14.6355 * CHOOSE(CONTROL!$C$22, $C$13, 100%, $E$13)</f>
        <v>14.6355</v>
      </c>
    </row>
    <row r="729" spans="1:11" ht="15">
      <c r="A729" s="13">
        <v>64040</v>
      </c>
      <c r="B729" s="60">
        <f>12.3983 * CHOOSE(CONTROL!$C$22, $C$13, 100%, $E$13)</f>
        <v>12.398300000000001</v>
      </c>
      <c r="C729" s="60">
        <f>12.3983 * CHOOSE(CONTROL!$C$22, $C$13, 100%, $E$13)</f>
        <v>12.398300000000001</v>
      </c>
      <c r="D729" s="60">
        <f>12.4234 * CHOOSE(CONTROL!$C$22, $C$13, 100%, $E$13)</f>
        <v>12.423400000000001</v>
      </c>
      <c r="E729" s="61">
        <f>14.6859 * CHOOSE(CONTROL!$C$22, $C$13, 100%, $E$13)</f>
        <v>14.6859</v>
      </c>
      <c r="F729" s="61">
        <f>14.6859 * CHOOSE(CONTROL!$C$22, $C$13, 100%, $E$13)</f>
        <v>14.6859</v>
      </c>
      <c r="G729" s="61">
        <f>14.6875 * CHOOSE(CONTROL!$C$22, $C$13, 100%, $E$13)</f>
        <v>14.6875</v>
      </c>
      <c r="H729" s="61">
        <f>24.0743* CHOOSE(CONTROL!$C$22, $C$13, 100%, $E$13)</f>
        <v>24.074300000000001</v>
      </c>
      <c r="I729" s="61">
        <f>24.0759 * CHOOSE(CONTROL!$C$22, $C$13, 100%, $E$13)</f>
        <v>24.075900000000001</v>
      </c>
      <c r="J729" s="61">
        <f>14.6859 * CHOOSE(CONTROL!$C$22, $C$13, 100%, $E$13)</f>
        <v>14.6859</v>
      </c>
      <c r="K729" s="61">
        <f>14.6875 * CHOOSE(CONTROL!$C$22, $C$13, 100%, $E$13)</f>
        <v>14.6875</v>
      </c>
    </row>
    <row r="730" spans="1:11" ht="15">
      <c r="A730" s="13">
        <v>64071</v>
      </c>
      <c r="B730" s="60">
        <f>12.4044 * CHOOSE(CONTROL!$C$22, $C$13, 100%, $E$13)</f>
        <v>12.404400000000001</v>
      </c>
      <c r="C730" s="60">
        <f>12.4044 * CHOOSE(CONTROL!$C$22, $C$13, 100%, $E$13)</f>
        <v>12.404400000000001</v>
      </c>
      <c r="D730" s="60">
        <f>12.4295 * CHOOSE(CONTROL!$C$22, $C$13, 100%, $E$13)</f>
        <v>12.429500000000001</v>
      </c>
      <c r="E730" s="61">
        <f>14.6396 * CHOOSE(CONTROL!$C$22, $C$13, 100%, $E$13)</f>
        <v>14.6396</v>
      </c>
      <c r="F730" s="61">
        <f>14.6396 * CHOOSE(CONTROL!$C$22, $C$13, 100%, $E$13)</f>
        <v>14.6396</v>
      </c>
      <c r="G730" s="61">
        <f>14.6412 * CHOOSE(CONTROL!$C$22, $C$13, 100%, $E$13)</f>
        <v>14.6412</v>
      </c>
      <c r="H730" s="61">
        <f>24.1244* CHOOSE(CONTROL!$C$22, $C$13, 100%, $E$13)</f>
        <v>24.124400000000001</v>
      </c>
      <c r="I730" s="61">
        <f>24.126 * CHOOSE(CONTROL!$C$22, $C$13, 100%, $E$13)</f>
        <v>24.126000000000001</v>
      </c>
      <c r="J730" s="61">
        <f>14.6396 * CHOOSE(CONTROL!$C$22, $C$13, 100%, $E$13)</f>
        <v>14.6396</v>
      </c>
      <c r="K730" s="61">
        <f>14.6412 * CHOOSE(CONTROL!$C$22, $C$13, 100%, $E$13)</f>
        <v>14.6412</v>
      </c>
    </row>
    <row r="731" spans="1:11" ht="15">
      <c r="A731" s="13">
        <v>64101</v>
      </c>
      <c r="B731" s="60">
        <f>12.6003 * CHOOSE(CONTROL!$C$22, $C$13, 100%, $E$13)</f>
        <v>12.600300000000001</v>
      </c>
      <c r="C731" s="60">
        <f>12.6003 * CHOOSE(CONTROL!$C$22, $C$13, 100%, $E$13)</f>
        <v>12.600300000000001</v>
      </c>
      <c r="D731" s="60">
        <f>12.6254 * CHOOSE(CONTROL!$C$22, $C$13, 100%, $E$13)</f>
        <v>12.625400000000001</v>
      </c>
      <c r="E731" s="61">
        <f>14.9196 * CHOOSE(CONTROL!$C$22, $C$13, 100%, $E$13)</f>
        <v>14.919600000000001</v>
      </c>
      <c r="F731" s="61">
        <f>14.9196 * CHOOSE(CONTROL!$C$22, $C$13, 100%, $E$13)</f>
        <v>14.919600000000001</v>
      </c>
      <c r="G731" s="61">
        <f>14.9212 * CHOOSE(CONTROL!$C$22, $C$13, 100%, $E$13)</f>
        <v>14.921200000000001</v>
      </c>
      <c r="H731" s="61">
        <f>24.1747* CHOOSE(CONTROL!$C$22, $C$13, 100%, $E$13)</f>
        <v>24.174700000000001</v>
      </c>
      <c r="I731" s="61">
        <f>24.1763 * CHOOSE(CONTROL!$C$22, $C$13, 100%, $E$13)</f>
        <v>24.176300000000001</v>
      </c>
      <c r="J731" s="61">
        <f>14.9196 * CHOOSE(CONTROL!$C$22, $C$13, 100%, $E$13)</f>
        <v>14.919600000000001</v>
      </c>
      <c r="K731" s="61">
        <f>14.9212 * CHOOSE(CONTROL!$C$22, $C$13, 100%, $E$13)</f>
        <v>14.921200000000001</v>
      </c>
    </row>
    <row r="732" spans="1:11" ht="15">
      <c r="A732" s="13">
        <v>64132</v>
      </c>
      <c r="B732" s="60">
        <f>12.607 * CHOOSE(CONTROL!$C$22, $C$13, 100%, $E$13)</f>
        <v>12.606999999999999</v>
      </c>
      <c r="C732" s="60">
        <f>12.607 * CHOOSE(CONTROL!$C$22, $C$13, 100%, $E$13)</f>
        <v>12.606999999999999</v>
      </c>
      <c r="D732" s="60">
        <f>12.6321 * CHOOSE(CONTROL!$C$22, $C$13, 100%, $E$13)</f>
        <v>12.632099999999999</v>
      </c>
      <c r="E732" s="61">
        <f>14.7728 * CHOOSE(CONTROL!$C$22, $C$13, 100%, $E$13)</f>
        <v>14.7728</v>
      </c>
      <c r="F732" s="61">
        <f>14.7728 * CHOOSE(CONTROL!$C$22, $C$13, 100%, $E$13)</f>
        <v>14.7728</v>
      </c>
      <c r="G732" s="61">
        <f>14.7744 * CHOOSE(CONTROL!$C$22, $C$13, 100%, $E$13)</f>
        <v>14.7744</v>
      </c>
      <c r="H732" s="61">
        <f>24.225* CHOOSE(CONTROL!$C$22, $C$13, 100%, $E$13)</f>
        <v>24.225000000000001</v>
      </c>
      <c r="I732" s="61">
        <f>24.2266 * CHOOSE(CONTROL!$C$22, $C$13, 100%, $E$13)</f>
        <v>24.226600000000001</v>
      </c>
      <c r="J732" s="61">
        <f>14.7728 * CHOOSE(CONTROL!$C$22, $C$13, 100%, $E$13)</f>
        <v>14.7728</v>
      </c>
      <c r="K732" s="61">
        <f>14.7744 * CHOOSE(CONTROL!$C$22, $C$13, 100%, $E$13)</f>
        <v>14.7744</v>
      </c>
    </row>
    <row r="733" spans="1:11" ht="15">
      <c r="A733" s="13">
        <v>64163</v>
      </c>
      <c r="B733" s="60">
        <f>12.6039 * CHOOSE(CONTROL!$C$22, $C$13, 100%, $E$13)</f>
        <v>12.603899999999999</v>
      </c>
      <c r="C733" s="60">
        <f>12.6039 * CHOOSE(CONTROL!$C$22, $C$13, 100%, $E$13)</f>
        <v>12.603899999999999</v>
      </c>
      <c r="D733" s="60">
        <f>12.629 * CHOOSE(CONTROL!$C$22, $C$13, 100%, $E$13)</f>
        <v>12.629</v>
      </c>
      <c r="E733" s="61">
        <f>14.7538 * CHOOSE(CONTROL!$C$22, $C$13, 100%, $E$13)</f>
        <v>14.7538</v>
      </c>
      <c r="F733" s="61">
        <f>14.7538 * CHOOSE(CONTROL!$C$22, $C$13, 100%, $E$13)</f>
        <v>14.7538</v>
      </c>
      <c r="G733" s="61">
        <f>14.7554 * CHOOSE(CONTROL!$C$22, $C$13, 100%, $E$13)</f>
        <v>14.7554</v>
      </c>
      <c r="H733" s="61">
        <f>24.2755* CHOOSE(CONTROL!$C$22, $C$13, 100%, $E$13)</f>
        <v>24.275500000000001</v>
      </c>
      <c r="I733" s="61">
        <f>24.2771 * CHOOSE(CONTROL!$C$22, $C$13, 100%, $E$13)</f>
        <v>24.277100000000001</v>
      </c>
      <c r="J733" s="61">
        <f>14.7538 * CHOOSE(CONTROL!$C$22, $C$13, 100%, $E$13)</f>
        <v>14.7538</v>
      </c>
      <c r="K733" s="61">
        <f>14.7554 * CHOOSE(CONTROL!$C$22, $C$13, 100%, $E$13)</f>
        <v>14.7554</v>
      </c>
    </row>
    <row r="734" spans="1:11" ht="15">
      <c r="A734" s="13">
        <v>64193</v>
      </c>
      <c r="B734" s="60">
        <f>12.6274 * CHOOSE(CONTROL!$C$22, $C$13, 100%, $E$13)</f>
        <v>12.6274</v>
      </c>
      <c r="C734" s="60">
        <f>12.6274 * CHOOSE(CONTROL!$C$22, $C$13, 100%, $E$13)</f>
        <v>12.6274</v>
      </c>
      <c r="D734" s="60">
        <f>12.6399 * CHOOSE(CONTROL!$C$22, $C$13, 100%, $E$13)</f>
        <v>12.639900000000001</v>
      </c>
      <c r="E734" s="61">
        <f>14.8077 * CHOOSE(CONTROL!$C$22, $C$13, 100%, $E$13)</f>
        <v>14.807700000000001</v>
      </c>
      <c r="F734" s="61">
        <f>14.8077 * CHOOSE(CONTROL!$C$22, $C$13, 100%, $E$13)</f>
        <v>14.807700000000001</v>
      </c>
      <c r="G734" s="61">
        <f>14.8079 * CHOOSE(CONTROL!$C$22, $C$13, 100%, $E$13)</f>
        <v>14.8079</v>
      </c>
      <c r="H734" s="61">
        <f>24.3261* CHOOSE(CONTROL!$C$22, $C$13, 100%, $E$13)</f>
        <v>24.3261</v>
      </c>
      <c r="I734" s="61">
        <f>24.3263 * CHOOSE(CONTROL!$C$22, $C$13, 100%, $E$13)</f>
        <v>24.3263</v>
      </c>
      <c r="J734" s="61">
        <f>14.8077 * CHOOSE(CONTROL!$C$22, $C$13, 100%, $E$13)</f>
        <v>14.807700000000001</v>
      </c>
      <c r="K734" s="61">
        <f>14.8079 * CHOOSE(CONTROL!$C$22, $C$13, 100%, $E$13)</f>
        <v>14.8079</v>
      </c>
    </row>
    <row r="735" spans="1:11" ht="15">
      <c r="A735" s="13">
        <v>64224</v>
      </c>
      <c r="B735" s="60">
        <f>12.6304 * CHOOSE(CONTROL!$C$22, $C$13, 100%, $E$13)</f>
        <v>12.6304</v>
      </c>
      <c r="C735" s="60">
        <f>12.6304 * CHOOSE(CONTROL!$C$22, $C$13, 100%, $E$13)</f>
        <v>12.6304</v>
      </c>
      <c r="D735" s="60">
        <f>12.6429 * CHOOSE(CONTROL!$C$22, $C$13, 100%, $E$13)</f>
        <v>12.642899999999999</v>
      </c>
      <c r="E735" s="61">
        <f>14.8435 * CHOOSE(CONTROL!$C$22, $C$13, 100%, $E$13)</f>
        <v>14.843500000000001</v>
      </c>
      <c r="F735" s="61">
        <f>14.8435 * CHOOSE(CONTROL!$C$22, $C$13, 100%, $E$13)</f>
        <v>14.843500000000001</v>
      </c>
      <c r="G735" s="61">
        <f>14.8437 * CHOOSE(CONTROL!$C$22, $C$13, 100%, $E$13)</f>
        <v>14.8437</v>
      </c>
      <c r="H735" s="61">
        <f>24.3768* CHOOSE(CONTROL!$C$22, $C$13, 100%, $E$13)</f>
        <v>24.376799999999999</v>
      </c>
      <c r="I735" s="61">
        <f>24.3769 * CHOOSE(CONTROL!$C$22, $C$13, 100%, $E$13)</f>
        <v>24.376899999999999</v>
      </c>
      <c r="J735" s="61">
        <f>14.8435 * CHOOSE(CONTROL!$C$22, $C$13, 100%, $E$13)</f>
        <v>14.843500000000001</v>
      </c>
      <c r="K735" s="61">
        <f>14.8437 * CHOOSE(CONTROL!$C$22, $C$13, 100%, $E$13)</f>
        <v>14.8437</v>
      </c>
    </row>
    <row r="736" spans="1:11" ht="15">
      <c r="A736" s="13">
        <v>64254</v>
      </c>
      <c r="B736" s="60">
        <f>12.6304 * CHOOSE(CONTROL!$C$22, $C$13, 100%, $E$13)</f>
        <v>12.6304</v>
      </c>
      <c r="C736" s="60">
        <f>12.6304 * CHOOSE(CONTROL!$C$22, $C$13, 100%, $E$13)</f>
        <v>12.6304</v>
      </c>
      <c r="D736" s="60">
        <f>12.6429 * CHOOSE(CONTROL!$C$22, $C$13, 100%, $E$13)</f>
        <v>12.642899999999999</v>
      </c>
      <c r="E736" s="61">
        <f>14.7593 * CHOOSE(CONTROL!$C$22, $C$13, 100%, $E$13)</f>
        <v>14.7593</v>
      </c>
      <c r="F736" s="61">
        <f>14.7593 * CHOOSE(CONTROL!$C$22, $C$13, 100%, $E$13)</f>
        <v>14.7593</v>
      </c>
      <c r="G736" s="61">
        <f>14.7595 * CHOOSE(CONTROL!$C$22, $C$13, 100%, $E$13)</f>
        <v>14.759499999999999</v>
      </c>
      <c r="H736" s="61">
        <f>24.4275* CHOOSE(CONTROL!$C$22, $C$13, 100%, $E$13)</f>
        <v>24.427499999999998</v>
      </c>
      <c r="I736" s="61">
        <f>24.4277 * CHOOSE(CONTROL!$C$22, $C$13, 100%, $E$13)</f>
        <v>24.427700000000002</v>
      </c>
      <c r="J736" s="61">
        <f>14.7593 * CHOOSE(CONTROL!$C$22, $C$13, 100%, $E$13)</f>
        <v>14.7593</v>
      </c>
      <c r="K736" s="61">
        <f>14.7595 * CHOOSE(CONTROL!$C$22, $C$13, 100%, $E$13)</f>
        <v>14.759499999999999</v>
      </c>
    </row>
    <row r="737" spans="1:11" ht="15">
      <c r="A737" s="13">
        <v>64285</v>
      </c>
      <c r="B737" s="60">
        <f>12.6449 * CHOOSE(CONTROL!$C$22, $C$13, 100%, $E$13)</f>
        <v>12.6449</v>
      </c>
      <c r="C737" s="60">
        <f>12.6449 * CHOOSE(CONTROL!$C$22, $C$13, 100%, $E$13)</f>
        <v>12.6449</v>
      </c>
      <c r="D737" s="60">
        <f>12.6574 * CHOOSE(CONTROL!$C$22, $C$13, 100%, $E$13)</f>
        <v>12.657400000000001</v>
      </c>
      <c r="E737" s="61">
        <f>14.8352 * CHOOSE(CONTROL!$C$22, $C$13, 100%, $E$13)</f>
        <v>14.8352</v>
      </c>
      <c r="F737" s="61">
        <f>14.8352 * CHOOSE(CONTROL!$C$22, $C$13, 100%, $E$13)</f>
        <v>14.8352</v>
      </c>
      <c r="G737" s="61">
        <f>14.8354 * CHOOSE(CONTROL!$C$22, $C$13, 100%, $E$13)</f>
        <v>14.8354</v>
      </c>
      <c r="H737" s="61">
        <f>24.3206* CHOOSE(CONTROL!$C$22, $C$13, 100%, $E$13)</f>
        <v>24.320599999999999</v>
      </c>
      <c r="I737" s="61">
        <f>24.3207 * CHOOSE(CONTROL!$C$22, $C$13, 100%, $E$13)</f>
        <v>24.320699999999999</v>
      </c>
      <c r="J737" s="61">
        <f>14.8352 * CHOOSE(CONTROL!$C$22, $C$13, 100%, $E$13)</f>
        <v>14.8352</v>
      </c>
      <c r="K737" s="61">
        <f>14.8354 * CHOOSE(CONTROL!$C$22, $C$13, 100%, $E$13)</f>
        <v>14.8354</v>
      </c>
    </row>
    <row r="738" spans="1:11" ht="15">
      <c r="A738" s="13">
        <v>64316</v>
      </c>
      <c r="B738" s="60">
        <f>12.6419 * CHOOSE(CONTROL!$C$22, $C$13, 100%, $E$13)</f>
        <v>12.6419</v>
      </c>
      <c r="C738" s="60">
        <f>12.6419 * CHOOSE(CONTROL!$C$22, $C$13, 100%, $E$13)</f>
        <v>12.6419</v>
      </c>
      <c r="D738" s="60">
        <f>12.6544 * CHOOSE(CONTROL!$C$22, $C$13, 100%, $E$13)</f>
        <v>12.654400000000001</v>
      </c>
      <c r="E738" s="61">
        <f>14.6708 * CHOOSE(CONTROL!$C$22, $C$13, 100%, $E$13)</f>
        <v>14.6708</v>
      </c>
      <c r="F738" s="61">
        <f>14.6708 * CHOOSE(CONTROL!$C$22, $C$13, 100%, $E$13)</f>
        <v>14.6708</v>
      </c>
      <c r="G738" s="61">
        <f>14.6709 * CHOOSE(CONTROL!$C$22, $C$13, 100%, $E$13)</f>
        <v>14.6709</v>
      </c>
      <c r="H738" s="61">
        <f>24.3712* CHOOSE(CONTROL!$C$22, $C$13, 100%, $E$13)</f>
        <v>24.371200000000002</v>
      </c>
      <c r="I738" s="61">
        <f>24.3714 * CHOOSE(CONTROL!$C$22, $C$13, 100%, $E$13)</f>
        <v>24.371400000000001</v>
      </c>
      <c r="J738" s="61">
        <f>14.6708 * CHOOSE(CONTROL!$C$22, $C$13, 100%, $E$13)</f>
        <v>14.6708</v>
      </c>
      <c r="K738" s="61">
        <f>14.6709 * CHOOSE(CONTROL!$C$22, $C$13, 100%, $E$13)</f>
        <v>14.6709</v>
      </c>
    </row>
    <row r="739" spans="1:11" ht="15">
      <c r="A739" s="13">
        <v>64345</v>
      </c>
      <c r="B739" s="60">
        <f>12.6388 * CHOOSE(CONTROL!$C$22, $C$13, 100%, $E$13)</f>
        <v>12.6388</v>
      </c>
      <c r="C739" s="60">
        <f>12.6388 * CHOOSE(CONTROL!$C$22, $C$13, 100%, $E$13)</f>
        <v>12.6388</v>
      </c>
      <c r="D739" s="60">
        <f>12.6514 * CHOOSE(CONTROL!$C$22, $C$13, 100%, $E$13)</f>
        <v>12.651400000000001</v>
      </c>
      <c r="E739" s="61">
        <f>14.7966 * CHOOSE(CONTROL!$C$22, $C$13, 100%, $E$13)</f>
        <v>14.7966</v>
      </c>
      <c r="F739" s="61">
        <f>14.7966 * CHOOSE(CONTROL!$C$22, $C$13, 100%, $E$13)</f>
        <v>14.7966</v>
      </c>
      <c r="G739" s="61">
        <f>14.7968 * CHOOSE(CONTROL!$C$22, $C$13, 100%, $E$13)</f>
        <v>14.796799999999999</v>
      </c>
      <c r="H739" s="61">
        <f>24.422* CHOOSE(CONTROL!$C$22, $C$13, 100%, $E$13)</f>
        <v>24.422000000000001</v>
      </c>
      <c r="I739" s="61">
        <f>24.4222 * CHOOSE(CONTROL!$C$22, $C$13, 100%, $E$13)</f>
        <v>24.4222</v>
      </c>
      <c r="J739" s="61">
        <f>14.7966 * CHOOSE(CONTROL!$C$22, $C$13, 100%, $E$13)</f>
        <v>14.7966</v>
      </c>
      <c r="K739" s="61">
        <f>14.7968 * CHOOSE(CONTROL!$C$22, $C$13, 100%, $E$13)</f>
        <v>14.796799999999999</v>
      </c>
    </row>
    <row r="740" spans="1:11" ht="15">
      <c r="A740" s="13">
        <v>64376</v>
      </c>
      <c r="B740" s="60">
        <f>12.6439 * CHOOSE(CONTROL!$C$22, $C$13, 100%, $E$13)</f>
        <v>12.6439</v>
      </c>
      <c r="C740" s="60">
        <f>12.6439 * CHOOSE(CONTROL!$C$22, $C$13, 100%, $E$13)</f>
        <v>12.6439</v>
      </c>
      <c r="D740" s="60">
        <f>12.6564 * CHOOSE(CONTROL!$C$22, $C$13, 100%, $E$13)</f>
        <v>12.6564</v>
      </c>
      <c r="E740" s="61">
        <f>14.9298 * CHOOSE(CONTROL!$C$22, $C$13, 100%, $E$13)</f>
        <v>14.9298</v>
      </c>
      <c r="F740" s="61">
        <f>14.9298 * CHOOSE(CONTROL!$C$22, $C$13, 100%, $E$13)</f>
        <v>14.9298</v>
      </c>
      <c r="G740" s="61">
        <f>14.93 * CHOOSE(CONTROL!$C$22, $C$13, 100%, $E$13)</f>
        <v>14.93</v>
      </c>
      <c r="H740" s="61">
        <f>24.4729* CHOOSE(CONTROL!$C$22, $C$13, 100%, $E$13)</f>
        <v>24.472899999999999</v>
      </c>
      <c r="I740" s="61">
        <f>24.4731 * CHOOSE(CONTROL!$C$22, $C$13, 100%, $E$13)</f>
        <v>24.473099999999999</v>
      </c>
      <c r="J740" s="61">
        <f>14.9298 * CHOOSE(CONTROL!$C$22, $C$13, 100%, $E$13)</f>
        <v>14.9298</v>
      </c>
      <c r="K740" s="61">
        <f>14.93 * CHOOSE(CONTROL!$C$22, $C$13, 100%, $E$13)</f>
        <v>14.93</v>
      </c>
    </row>
    <row r="741" spans="1:11" ht="15">
      <c r="A741" s="13">
        <v>64406</v>
      </c>
      <c r="B741" s="60">
        <f>12.6439 * CHOOSE(CONTROL!$C$22, $C$13, 100%, $E$13)</f>
        <v>12.6439</v>
      </c>
      <c r="C741" s="60">
        <f>12.6439 * CHOOSE(CONTROL!$C$22, $C$13, 100%, $E$13)</f>
        <v>12.6439</v>
      </c>
      <c r="D741" s="60">
        <f>12.669 * CHOOSE(CONTROL!$C$22, $C$13, 100%, $E$13)</f>
        <v>12.669</v>
      </c>
      <c r="E741" s="61">
        <f>14.9813 * CHOOSE(CONTROL!$C$22, $C$13, 100%, $E$13)</f>
        <v>14.981299999999999</v>
      </c>
      <c r="F741" s="61">
        <f>14.9813 * CHOOSE(CONTROL!$C$22, $C$13, 100%, $E$13)</f>
        <v>14.981299999999999</v>
      </c>
      <c r="G741" s="61">
        <f>14.9829 * CHOOSE(CONTROL!$C$22, $C$13, 100%, $E$13)</f>
        <v>14.982900000000001</v>
      </c>
      <c r="H741" s="61">
        <f>24.5239* CHOOSE(CONTROL!$C$22, $C$13, 100%, $E$13)</f>
        <v>24.523900000000001</v>
      </c>
      <c r="I741" s="61">
        <f>24.5255 * CHOOSE(CONTROL!$C$22, $C$13, 100%, $E$13)</f>
        <v>24.525500000000001</v>
      </c>
      <c r="J741" s="61">
        <f>14.9813 * CHOOSE(CONTROL!$C$22, $C$13, 100%, $E$13)</f>
        <v>14.981299999999999</v>
      </c>
      <c r="K741" s="61">
        <f>14.9829 * CHOOSE(CONTROL!$C$22, $C$13, 100%, $E$13)</f>
        <v>14.982900000000001</v>
      </c>
    </row>
    <row r="742" spans="1:11" ht="15">
      <c r="A742" s="13">
        <v>64437</v>
      </c>
      <c r="B742" s="60">
        <f>12.65 * CHOOSE(CONTROL!$C$22, $C$13, 100%, $E$13)</f>
        <v>12.65</v>
      </c>
      <c r="C742" s="60">
        <f>12.65 * CHOOSE(CONTROL!$C$22, $C$13, 100%, $E$13)</f>
        <v>12.65</v>
      </c>
      <c r="D742" s="60">
        <f>12.675 * CHOOSE(CONTROL!$C$22, $C$13, 100%, $E$13)</f>
        <v>12.675000000000001</v>
      </c>
      <c r="E742" s="61">
        <f>14.934 * CHOOSE(CONTROL!$C$22, $C$13, 100%, $E$13)</f>
        <v>14.933999999999999</v>
      </c>
      <c r="F742" s="61">
        <f>14.934 * CHOOSE(CONTROL!$C$22, $C$13, 100%, $E$13)</f>
        <v>14.933999999999999</v>
      </c>
      <c r="G742" s="61">
        <f>14.9356 * CHOOSE(CONTROL!$C$22, $C$13, 100%, $E$13)</f>
        <v>14.935600000000001</v>
      </c>
      <c r="H742" s="61">
        <f>24.575* CHOOSE(CONTROL!$C$22, $C$13, 100%, $E$13)</f>
        <v>24.574999999999999</v>
      </c>
      <c r="I742" s="61">
        <f>24.5766 * CHOOSE(CONTROL!$C$22, $C$13, 100%, $E$13)</f>
        <v>24.576599999999999</v>
      </c>
      <c r="J742" s="61">
        <f>14.934 * CHOOSE(CONTROL!$C$22, $C$13, 100%, $E$13)</f>
        <v>14.933999999999999</v>
      </c>
      <c r="K742" s="61">
        <f>14.9356 * CHOOSE(CONTROL!$C$22, $C$13, 100%, $E$13)</f>
        <v>14.935600000000001</v>
      </c>
    </row>
    <row r="743" spans="1:11" ht="15">
      <c r="A743" s="13">
        <v>64467</v>
      </c>
      <c r="B743" s="60">
        <f>12.8495 * CHOOSE(CONTROL!$C$22, $C$13, 100%, $E$13)</f>
        <v>12.849500000000001</v>
      </c>
      <c r="C743" s="60">
        <f>12.8495 * CHOOSE(CONTROL!$C$22, $C$13, 100%, $E$13)</f>
        <v>12.849500000000001</v>
      </c>
      <c r="D743" s="60">
        <f>12.8746 * CHOOSE(CONTROL!$C$22, $C$13, 100%, $E$13)</f>
        <v>12.874599999999999</v>
      </c>
      <c r="E743" s="61">
        <f>15.2195 * CHOOSE(CONTROL!$C$22, $C$13, 100%, $E$13)</f>
        <v>15.2195</v>
      </c>
      <c r="F743" s="61">
        <f>15.2195 * CHOOSE(CONTROL!$C$22, $C$13, 100%, $E$13)</f>
        <v>15.2195</v>
      </c>
      <c r="G743" s="61">
        <f>15.2211 * CHOOSE(CONTROL!$C$22, $C$13, 100%, $E$13)</f>
        <v>15.2211</v>
      </c>
      <c r="H743" s="61">
        <f>24.6262* CHOOSE(CONTROL!$C$22, $C$13, 100%, $E$13)</f>
        <v>24.626200000000001</v>
      </c>
      <c r="I743" s="61">
        <f>24.6278 * CHOOSE(CONTROL!$C$22, $C$13, 100%, $E$13)</f>
        <v>24.627800000000001</v>
      </c>
      <c r="J743" s="61">
        <f>15.2195 * CHOOSE(CONTROL!$C$22, $C$13, 100%, $E$13)</f>
        <v>15.2195</v>
      </c>
      <c r="K743" s="61">
        <f>15.2211 * CHOOSE(CONTROL!$C$22, $C$13, 100%, $E$13)</f>
        <v>15.2211</v>
      </c>
    </row>
    <row r="744" spans="1:11" ht="15">
      <c r="A744" s="13">
        <v>64498</v>
      </c>
      <c r="B744" s="60">
        <f>12.8562 * CHOOSE(CONTROL!$C$22, $C$13, 100%, $E$13)</f>
        <v>12.856199999999999</v>
      </c>
      <c r="C744" s="60">
        <f>12.8562 * CHOOSE(CONTROL!$C$22, $C$13, 100%, $E$13)</f>
        <v>12.856199999999999</v>
      </c>
      <c r="D744" s="60">
        <f>12.8813 * CHOOSE(CONTROL!$C$22, $C$13, 100%, $E$13)</f>
        <v>12.8813</v>
      </c>
      <c r="E744" s="61">
        <f>15.0696 * CHOOSE(CONTROL!$C$22, $C$13, 100%, $E$13)</f>
        <v>15.069599999999999</v>
      </c>
      <c r="F744" s="61">
        <f>15.0696 * CHOOSE(CONTROL!$C$22, $C$13, 100%, $E$13)</f>
        <v>15.069599999999999</v>
      </c>
      <c r="G744" s="61">
        <f>15.0712 * CHOOSE(CONTROL!$C$22, $C$13, 100%, $E$13)</f>
        <v>15.071199999999999</v>
      </c>
      <c r="H744" s="61">
        <f>24.6775* CHOOSE(CONTROL!$C$22, $C$13, 100%, $E$13)</f>
        <v>24.677499999999998</v>
      </c>
      <c r="I744" s="61">
        <f>24.6791 * CHOOSE(CONTROL!$C$22, $C$13, 100%, $E$13)</f>
        <v>24.679099999999998</v>
      </c>
      <c r="J744" s="61">
        <f>15.0696 * CHOOSE(CONTROL!$C$22, $C$13, 100%, $E$13)</f>
        <v>15.069599999999999</v>
      </c>
      <c r="K744" s="61">
        <f>15.0712 * CHOOSE(CONTROL!$C$22, $C$13, 100%, $E$13)</f>
        <v>15.071199999999999</v>
      </c>
    </row>
    <row r="745" spans="1:11" ht="15">
      <c r="A745" s="13">
        <v>64529</v>
      </c>
      <c r="B745" s="60">
        <f>12.8532 * CHOOSE(CONTROL!$C$22, $C$13, 100%, $E$13)</f>
        <v>12.853199999999999</v>
      </c>
      <c r="C745" s="60">
        <f>12.8532 * CHOOSE(CONTROL!$C$22, $C$13, 100%, $E$13)</f>
        <v>12.853199999999999</v>
      </c>
      <c r="D745" s="60">
        <f>12.8782 * CHOOSE(CONTROL!$C$22, $C$13, 100%, $E$13)</f>
        <v>12.8782</v>
      </c>
      <c r="E745" s="61">
        <f>15.0503 * CHOOSE(CONTROL!$C$22, $C$13, 100%, $E$13)</f>
        <v>15.0503</v>
      </c>
      <c r="F745" s="61">
        <f>15.0503 * CHOOSE(CONTROL!$C$22, $C$13, 100%, $E$13)</f>
        <v>15.0503</v>
      </c>
      <c r="G745" s="61">
        <f>15.0519 * CHOOSE(CONTROL!$C$22, $C$13, 100%, $E$13)</f>
        <v>15.0519</v>
      </c>
      <c r="H745" s="61">
        <f>24.7289* CHOOSE(CONTROL!$C$22, $C$13, 100%, $E$13)</f>
        <v>24.728899999999999</v>
      </c>
      <c r="I745" s="61">
        <f>24.7305 * CHOOSE(CONTROL!$C$22, $C$13, 100%, $E$13)</f>
        <v>24.730499999999999</v>
      </c>
      <c r="J745" s="61">
        <f>15.0503 * CHOOSE(CONTROL!$C$22, $C$13, 100%, $E$13)</f>
        <v>15.0503</v>
      </c>
      <c r="K745" s="61">
        <f>15.0519 * CHOOSE(CONTROL!$C$22, $C$13, 100%, $E$13)</f>
        <v>15.0519</v>
      </c>
    </row>
    <row r="746" spans="1:11" ht="15">
      <c r="A746" s="13">
        <v>64559</v>
      </c>
      <c r="B746" s="60">
        <f>12.8774 * CHOOSE(CONTROL!$C$22, $C$13, 100%, $E$13)</f>
        <v>12.8774</v>
      </c>
      <c r="C746" s="60">
        <f>12.8774 * CHOOSE(CONTROL!$C$22, $C$13, 100%, $E$13)</f>
        <v>12.8774</v>
      </c>
      <c r="D746" s="60">
        <f>12.8899 * CHOOSE(CONTROL!$C$22, $C$13, 100%, $E$13)</f>
        <v>12.889900000000001</v>
      </c>
      <c r="E746" s="61">
        <f>15.1056 * CHOOSE(CONTROL!$C$22, $C$13, 100%, $E$13)</f>
        <v>15.105600000000001</v>
      </c>
      <c r="F746" s="61">
        <f>15.1056 * CHOOSE(CONTROL!$C$22, $C$13, 100%, $E$13)</f>
        <v>15.105600000000001</v>
      </c>
      <c r="G746" s="61">
        <f>15.1058 * CHOOSE(CONTROL!$C$22, $C$13, 100%, $E$13)</f>
        <v>15.1058</v>
      </c>
      <c r="H746" s="61">
        <f>24.7804* CHOOSE(CONTROL!$C$22, $C$13, 100%, $E$13)</f>
        <v>24.7804</v>
      </c>
      <c r="I746" s="61">
        <f>24.7806 * CHOOSE(CONTROL!$C$22, $C$13, 100%, $E$13)</f>
        <v>24.7806</v>
      </c>
      <c r="J746" s="61">
        <f>15.1056 * CHOOSE(CONTROL!$C$22, $C$13, 100%, $E$13)</f>
        <v>15.105600000000001</v>
      </c>
      <c r="K746" s="61">
        <f>15.1058 * CHOOSE(CONTROL!$C$22, $C$13, 100%, $E$13)</f>
        <v>15.1058</v>
      </c>
    </row>
    <row r="747" spans="1:11" ht="15">
      <c r="A747" s="13">
        <v>64590</v>
      </c>
      <c r="B747" s="60">
        <f>12.8804 * CHOOSE(CONTROL!$C$22, $C$13, 100%, $E$13)</f>
        <v>12.8804</v>
      </c>
      <c r="C747" s="60">
        <f>12.8804 * CHOOSE(CONTROL!$C$22, $C$13, 100%, $E$13)</f>
        <v>12.8804</v>
      </c>
      <c r="D747" s="60">
        <f>12.893 * CHOOSE(CONTROL!$C$22, $C$13, 100%, $E$13)</f>
        <v>12.893000000000001</v>
      </c>
      <c r="E747" s="61">
        <f>15.1421 * CHOOSE(CONTROL!$C$22, $C$13, 100%, $E$13)</f>
        <v>15.142099999999999</v>
      </c>
      <c r="F747" s="61">
        <f>15.1421 * CHOOSE(CONTROL!$C$22, $C$13, 100%, $E$13)</f>
        <v>15.142099999999999</v>
      </c>
      <c r="G747" s="61">
        <f>15.1422 * CHOOSE(CONTROL!$C$22, $C$13, 100%, $E$13)</f>
        <v>15.142200000000001</v>
      </c>
      <c r="H747" s="61">
        <f>24.832* CHOOSE(CONTROL!$C$22, $C$13, 100%, $E$13)</f>
        <v>24.832000000000001</v>
      </c>
      <c r="I747" s="61">
        <f>24.8322 * CHOOSE(CONTROL!$C$22, $C$13, 100%, $E$13)</f>
        <v>24.8322</v>
      </c>
      <c r="J747" s="61">
        <f>15.1421 * CHOOSE(CONTROL!$C$22, $C$13, 100%, $E$13)</f>
        <v>15.142099999999999</v>
      </c>
      <c r="K747" s="61">
        <f>15.1422 * CHOOSE(CONTROL!$C$22, $C$13, 100%, $E$13)</f>
        <v>15.142200000000001</v>
      </c>
    </row>
    <row r="748" spans="1:11" ht="15">
      <c r="A748" s="13">
        <v>64620</v>
      </c>
      <c r="B748" s="60">
        <f>12.8804 * CHOOSE(CONTROL!$C$22, $C$13, 100%, $E$13)</f>
        <v>12.8804</v>
      </c>
      <c r="C748" s="60">
        <f>12.8804 * CHOOSE(CONTROL!$C$22, $C$13, 100%, $E$13)</f>
        <v>12.8804</v>
      </c>
      <c r="D748" s="60">
        <f>12.893 * CHOOSE(CONTROL!$C$22, $C$13, 100%, $E$13)</f>
        <v>12.893000000000001</v>
      </c>
      <c r="E748" s="61">
        <f>15.0562 * CHOOSE(CONTROL!$C$22, $C$13, 100%, $E$13)</f>
        <v>15.0562</v>
      </c>
      <c r="F748" s="61">
        <f>15.0562 * CHOOSE(CONTROL!$C$22, $C$13, 100%, $E$13)</f>
        <v>15.0562</v>
      </c>
      <c r="G748" s="61">
        <f>15.0563 * CHOOSE(CONTROL!$C$22, $C$13, 100%, $E$13)</f>
        <v>15.0563</v>
      </c>
      <c r="H748" s="61">
        <f>24.8838* CHOOSE(CONTROL!$C$22, $C$13, 100%, $E$13)</f>
        <v>24.883800000000001</v>
      </c>
      <c r="I748" s="61">
        <f>24.8839 * CHOOSE(CONTROL!$C$22, $C$13, 100%, $E$13)</f>
        <v>24.883900000000001</v>
      </c>
      <c r="J748" s="61">
        <f>15.0562 * CHOOSE(CONTROL!$C$22, $C$13, 100%, $E$13)</f>
        <v>15.0562</v>
      </c>
      <c r="K748" s="61">
        <f>15.0563 * CHOOSE(CONTROL!$C$22, $C$13, 100%, $E$13)</f>
        <v>15.0563</v>
      </c>
    </row>
    <row r="749" spans="1:11" ht="15">
      <c r="A749" s="13">
        <v>64651</v>
      </c>
      <c r="B749" s="60">
        <f>12.8902 * CHOOSE(CONTROL!$C$22, $C$13, 100%, $E$13)</f>
        <v>12.8902</v>
      </c>
      <c r="C749" s="60">
        <f>12.8902 * CHOOSE(CONTROL!$C$22, $C$13, 100%, $E$13)</f>
        <v>12.8902</v>
      </c>
      <c r="D749" s="60">
        <f>12.9028 * CHOOSE(CONTROL!$C$22, $C$13, 100%, $E$13)</f>
        <v>12.902799999999999</v>
      </c>
      <c r="E749" s="61">
        <f>15.1276 * CHOOSE(CONTROL!$C$22, $C$13, 100%, $E$13)</f>
        <v>15.127599999999999</v>
      </c>
      <c r="F749" s="61">
        <f>15.1276 * CHOOSE(CONTROL!$C$22, $C$13, 100%, $E$13)</f>
        <v>15.127599999999999</v>
      </c>
      <c r="G749" s="61">
        <f>15.1278 * CHOOSE(CONTROL!$C$22, $C$13, 100%, $E$13)</f>
        <v>15.127800000000001</v>
      </c>
      <c r="H749" s="61">
        <f>24.7665* CHOOSE(CONTROL!$C$22, $C$13, 100%, $E$13)</f>
        <v>24.766500000000001</v>
      </c>
      <c r="I749" s="61">
        <f>24.7666 * CHOOSE(CONTROL!$C$22, $C$13, 100%, $E$13)</f>
        <v>24.7666</v>
      </c>
      <c r="J749" s="61">
        <f>15.1276 * CHOOSE(CONTROL!$C$22, $C$13, 100%, $E$13)</f>
        <v>15.127599999999999</v>
      </c>
      <c r="K749" s="61">
        <f>15.1278 * CHOOSE(CONTROL!$C$22, $C$13, 100%, $E$13)</f>
        <v>15.127800000000001</v>
      </c>
    </row>
    <row r="750" spans="1:11" ht="15">
      <c r="A750" s="13">
        <v>64682</v>
      </c>
      <c r="B750" s="60">
        <f>12.8872 * CHOOSE(CONTROL!$C$22, $C$13, 100%, $E$13)</f>
        <v>12.8872</v>
      </c>
      <c r="C750" s="60">
        <f>12.8872 * CHOOSE(CONTROL!$C$22, $C$13, 100%, $E$13)</f>
        <v>12.8872</v>
      </c>
      <c r="D750" s="60">
        <f>12.8997 * CHOOSE(CONTROL!$C$22, $C$13, 100%, $E$13)</f>
        <v>12.899699999999999</v>
      </c>
      <c r="E750" s="61">
        <f>14.96 * CHOOSE(CONTROL!$C$22, $C$13, 100%, $E$13)</f>
        <v>14.96</v>
      </c>
      <c r="F750" s="61">
        <f>14.96 * CHOOSE(CONTROL!$C$22, $C$13, 100%, $E$13)</f>
        <v>14.96</v>
      </c>
      <c r="G750" s="61">
        <f>14.9601 * CHOOSE(CONTROL!$C$22, $C$13, 100%, $E$13)</f>
        <v>14.960100000000001</v>
      </c>
      <c r="H750" s="61">
        <f>24.8181* CHOOSE(CONTROL!$C$22, $C$13, 100%, $E$13)</f>
        <v>24.818100000000001</v>
      </c>
      <c r="I750" s="61">
        <f>24.8182 * CHOOSE(CONTROL!$C$22, $C$13, 100%, $E$13)</f>
        <v>24.818200000000001</v>
      </c>
      <c r="J750" s="61">
        <f>14.96 * CHOOSE(CONTROL!$C$22, $C$13, 100%, $E$13)</f>
        <v>14.96</v>
      </c>
      <c r="K750" s="61">
        <f>14.9601 * CHOOSE(CONTROL!$C$22, $C$13, 100%, $E$13)</f>
        <v>14.960100000000001</v>
      </c>
    </row>
    <row r="751" spans="1:11" ht="15">
      <c r="A751" s="13">
        <v>64710</v>
      </c>
      <c r="B751" s="60">
        <f>12.8841 * CHOOSE(CONTROL!$C$22, $C$13, 100%, $E$13)</f>
        <v>12.8841</v>
      </c>
      <c r="C751" s="60">
        <f>12.8841 * CHOOSE(CONTROL!$C$22, $C$13, 100%, $E$13)</f>
        <v>12.8841</v>
      </c>
      <c r="D751" s="60">
        <f>12.8967 * CHOOSE(CONTROL!$C$22, $C$13, 100%, $E$13)</f>
        <v>12.896699999999999</v>
      </c>
      <c r="E751" s="61">
        <f>15.0883 * CHOOSE(CONTROL!$C$22, $C$13, 100%, $E$13)</f>
        <v>15.0883</v>
      </c>
      <c r="F751" s="61">
        <f>15.0883 * CHOOSE(CONTROL!$C$22, $C$13, 100%, $E$13)</f>
        <v>15.0883</v>
      </c>
      <c r="G751" s="61">
        <f>15.0885 * CHOOSE(CONTROL!$C$22, $C$13, 100%, $E$13)</f>
        <v>15.0885</v>
      </c>
      <c r="H751" s="61">
        <f>24.8698* CHOOSE(CONTROL!$C$22, $C$13, 100%, $E$13)</f>
        <v>24.869800000000001</v>
      </c>
      <c r="I751" s="61">
        <f>24.8699 * CHOOSE(CONTROL!$C$22, $C$13, 100%, $E$13)</f>
        <v>24.869900000000001</v>
      </c>
      <c r="J751" s="61">
        <f>15.0883 * CHOOSE(CONTROL!$C$22, $C$13, 100%, $E$13)</f>
        <v>15.0883</v>
      </c>
      <c r="K751" s="61">
        <f>15.0885 * CHOOSE(CONTROL!$C$22, $C$13, 100%, $E$13)</f>
        <v>15.0885</v>
      </c>
    </row>
    <row r="752" spans="1:11" ht="15">
      <c r="A752" s="13">
        <v>64741</v>
      </c>
      <c r="B752" s="60">
        <f>12.8894 * CHOOSE(CONTROL!$C$22, $C$13, 100%, $E$13)</f>
        <v>12.8894</v>
      </c>
      <c r="C752" s="60">
        <f>12.8894 * CHOOSE(CONTROL!$C$22, $C$13, 100%, $E$13)</f>
        <v>12.8894</v>
      </c>
      <c r="D752" s="60">
        <f>12.9019 * CHOOSE(CONTROL!$C$22, $C$13, 100%, $E$13)</f>
        <v>12.901899999999999</v>
      </c>
      <c r="E752" s="61">
        <f>15.2242 * CHOOSE(CONTROL!$C$22, $C$13, 100%, $E$13)</f>
        <v>15.2242</v>
      </c>
      <c r="F752" s="61">
        <f>15.2242 * CHOOSE(CONTROL!$C$22, $C$13, 100%, $E$13)</f>
        <v>15.2242</v>
      </c>
      <c r="G752" s="61">
        <f>15.2244 * CHOOSE(CONTROL!$C$22, $C$13, 100%, $E$13)</f>
        <v>15.224399999999999</v>
      </c>
      <c r="H752" s="61">
        <f>24.9216* CHOOSE(CONTROL!$C$22, $C$13, 100%, $E$13)</f>
        <v>24.921600000000002</v>
      </c>
      <c r="I752" s="61">
        <f>24.9217 * CHOOSE(CONTROL!$C$22, $C$13, 100%, $E$13)</f>
        <v>24.921700000000001</v>
      </c>
      <c r="J752" s="61">
        <f>15.2242 * CHOOSE(CONTROL!$C$22, $C$13, 100%, $E$13)</f>
        <v>15.2242</v>
      </c>
      <c r="K752" s="61">
        <f>15.2244 * CHOOSE(CONTROL!$C$22, $C$13, 100%, $E$13)</f>
        <v>15.224399999999999</v>
      </c>
    </row>
    <row r="753" spans="1:11" ht="15">
      <c r="A753" s="13">
        <v>64771</v>
      </c>
      <c r="B753" s="60">
        <f>12.8894 * CHOOSE(CONTROL!$C$22, $C$13, 100%, $E$13)</f>
        <v>12.8894</v>
      </c>
      <c r="C753" s="60">
        <f>12.8894 * CHOOSE(CONTROL!$C$22, $C$13, 100%, $E$13)</f>
        <v>12.8894</v>
      </c>
      <c r="D753" s="60">
        <f>12.9145 * CHOOSE(CONTROL!$C$22, $C$13, 100%, $E$13)</f>
        <v>12.9145</v>
      </c>
      <c r="E753" s="61">
        <f>15.2768 * CHOOSE(CONTROL!$C$22, $C$13, 100%, $E$13)</f>
        <v>15.2768</v>
      </c>
      <c r="F753" s="61">
        <f>15.2768 * CHOOSE(CONTROL!$C$22, $C$13, 100%, $E$13)</f>
        <v>15.2768</v>
      </c>
      <c r="G753" s="61">
        <f>15.2784 * CHOOSE(CONTROL!$C$22, $C$13, 100%, $E$13)</f>
        <v>15.2784</v>
      </c>
      <c r="H753" s="61">
        <f>24.9735* CHOOSE(CONTROL!$C$22, $C$13, 100%, $E$13)</f>
        <v>24.973500000000001</v>
      </c>
      <c r="I753" s="61">
        <f>24.9751 * CHOOSE(CONTROL!$C$22, $C$13, 100%, $E$13)</f>
        <v>24.975100000000001</v>
      </c>
      <c r="J753" s="61">
        <f>15.2768 * CHOOSE(CONTROL!$C$22, $C$13, 100%, $E$13)</f>
        <v>15.2768</v>
      </c>
      <c r="K753" s="61">
        <f>15.2784 * CHOOSE(CONTROL!$C$22, $C$13, 100%, $E$13)</f>
        <v>15.2784</v>
      </c>
    </row>
    <row r="754" spans="1:11" ht="15">
      <c r="A754" s="13">
        <v>64802</v>
      </c>
      <c r="B754" s="60">
        <f>12.8955 * CHOOSE(CONTROL!$C$22, $C$13, 100%, $E$13)</f>
        <v>12.8955</v>
      </c>
      <c r="C754" s="60">
        <f>12.8955 * CHOOSE(CONTROL!$C$22, $C$13, 100%, $E$13)</f>
        <v>12.8955</v>
      </c>
      <c r="D754" s="60">
        <f>12.9206 * CHOOSE(CONTROL!$C$22, $C$13, 100%, $E$13)</f>
        <v>12.9206</v>
      </c>
      <c r="E754" s="61">
        <f>15.2285 * CHOOSE(CONTROL!$C$22, $C$13, 100%, $E$13)</f>
        <v>15.2285</v>
      </c>
      <c r="F754" s="61">
        <f>15.2285 * CHOOSE(CONTROL!$C$22, $C$13, 100%, $E$13)</f>
        <v>15.2285</v>
      </c>
      <c r="G754" s="61">
        <f>15.2301 * CHOOSE(CONTROL!$C$22, $C$13, 100%, $E$13)</f>
        <v>15.2301</v>
      </c>
      <c r="H754" s="61">
        <f>25.0255* CHOOSE(CONTROL!$C$22, $C$13, 100%, $E$13)</f>
        <v>25.025500000000001</v>
      </c>
      <c r="I754" s="61">
        <f>25.0271 * CHOOSE(CONTROL!$C$22, $C$13, 100%, $E$13)</f>
        <v>25.027100000000001</v>
      </c>
      <c r="J754" s="61">
        <f>15.2285 * CHOOSE(CONTROL!$C$22, $C$13, 100%, $E$13)</f>
        <v>15.2285</v>
      </c>
      <c r="K754" s="61">
        <f>15.2301 * CHOOSE(CONTROL!$C$22, $C$13, 100%, $E$13)</f>
        <v>15.2301</v>
      </c>
    </row>
    <row r="755" spans="1:11" ht="15">
      <c r="A755" s="13">
        <v>64832</v>
      </c>
      <c r="B755" s="60">
        <f>13.0987 * CHOOSE(CONTROL!$C$22, $C$13, 100%, $E$13)</f>
        <v>13.098699999999999</v>
      </c>
      <c r="C755" s="60">
        <f>13.0987 * CHOOSE(CONTROL!$C$22, $C$13, 100%, $E$13)</f>
        <v>13.098699999999999</v>
      </c>
      <c r="D755" s="60">
        <f>13.1238 * CHOOSE(CONTROL!$C$22, $C$13, 100%, $E$13)</f>
        <v>13.123799999999999</v>
      </c>
      <c r="E755" s="61">
        <f>15.5194 * CHOOSE(CONTROL!$C$22, $C$13, 100%, $E$13)</f>
        <v>15.519399999999999</v>
      </c>
      <c r="F755" s="61">
        <f>15.5194 * CHOOSE(CONTROL!$C$22, $C$13, 100%, $E$13)</f>
        <v>15.519399999999999</v>
      </c>
      <c r="G755" s="61">
        <f>15.521 * CHOOSE(CONTROL!$C$22, $C$13, 100%, $E$13)</f>
        <v>15.521000000000001</v>
      </c>
      <c r="H755" s="61">
        <f>25.0777* CHOOSE(CONTROL!$C$22, $C$13, 100%, $E$13)</f>
        <v>25.0777</v>
      </c>
      <c r="I755" s="61">
        <f>25.0793 * CHOOSE(CONTROL!$C$22, $C$13, 100%, $E$13)</f>
        <v>25.0793</v>
      </c>
      <c r="J755" s="61">
        <f>15.5194 * CHOOSE(CONTROL!$C$22, $C$13, 100%, $E$13)</f>
        <v>15.519399999999999</v>
      </c>
      <c r="K755" s="61">
        <f>15.521 * CHOOSE(CONTROL!$C$22, $C$13, 100%, $E$13)</f>
        <v>15.521000000000001</v>
      </c>
    </row>
    <row r="756" spans="1:11" ht="15">
      <c r="A756" s="13">
        <v>64863</v>
      </c>
      <c r="B756" s="60">
        <f>13.1054 * CHOOSE(CONTROL!$C$22, $C$13, 100%, $E$13)</f>
        <v>13.105399999999999</v>
      </c>
      <c r="C756" s="60">
        <f>13.1054 * CHOOSE(CONTROL!$C$22, $C$13, 100%, $E$13)</f>
        <v>13.105399999999999</v>
      </c>
      <c r="D756" s="60">
        <f>13.1305 * CHOOSE(CONTROL!$C$22, $C$13, 100%, $E$13)</f>
        <v>13.1305</v>
      </c>
      <c r="E756" s="61">
        <f>15.3664 * CHOOSE(CONTROL!$C$22, $C$13, 100%, $E$13)</f>
        <v>15.366400000000001</v>
      </c>
      <c r="F756" s="61">
        <f>15.3664 * CHOOSE(CONTROL!$C$22, $C$13, 100%, $E$13)</f>
        <v>15.366400000000001</v>
      </c>
      <c r="G756" s="61">
        <f>15.368 * CHOOSE(CONTROL!$C$22, $C$13, 100%, $E$13)</f>
        <v>15.368</v>
      </c>
      <c r="H756" s="61">
        <f>25.1299* CHOOSE(CONTROL!$C$22, $C$13, 100%, $E$13)</f>
        <v>25.129899999999999</v>
      </c>
      <c r="I756" s="61">
        <f>25.1315 * CHOOSE(CONTROL!$C$22, $C$13, 100%, $E$13)</f>
        <v>25.131499999999999</v>
      </c>
      <c r="J756" s="61">
        <f>15.3664 * CHOOSE(CONTROL!$C$22, $C$13, 100%, $E$13)</f>
        <v>15.366400000000001</v>
      </c>
      <c r="K756" s="61">
        <f>15.368 * CHOOSE(CONTROL!$C$22, $C$13, 100%, $E$13)</f>
        <v>15.368</v>
      </c>
    </row>
    <row r="757" spans="1:11" ht="15">
      <c r="A757" s="13">
        <v>64894</v>
      </c>
      <c r="B757" s="60">
        <f>13.1024 * CHOOSE(CONTROL!$C$22, $C$13, 100%, $E$13)</f>
        <v>13.102399999999999</v>
      </c>
      <c r="C757" s="60">
        <f>13.1024 * CHOOSE(CONTROL!$C$22, $C$13, 100%, $E$13)</f>
        <v>13.102399999999999</v>
      </c>
      <c r="D757" s="60">
        <f>13.1275 * CHOOSE(CONTROL!$C$22, $C$13, 100%, $E$13)</f>
        <v>13.1275</v>
      </c>
      <c r="E757" s="61">
        <f>15.3468 * CHOOSE(CONTROL!$C$22, $C$13, 100%, $E$13)</f>
        <v>15.3468</v>
      </c>
      <c r="F757" s="61">
        <f>15.3468 * CHOOSE(CONTROL!$C$22, $C$13, 100%, $E$13)</f>
        <v>15.3468</v>
      </c>
      <c r="G757" s="61">
        <f>15.3484 * CHOOSE(CONTROL!$C$22, $C$13, 100%, $E$13)</f>
        <v>15.3484</v>
      </c>
      <c r="H757" s="61">
        <f>25.1823* CHOOSE(CONTROL!$C$22, $C$13, 100%, $E$13)</f>
        <v>25.182300000000001</v>
      </c>
      <c r="I757" s="61">
        <f>25.1839 * CHOOSE(CONTROL!$C$22, $C$13, 100%, $E$13)</f>
        <v>25.183900000000001</v>
      </c>
      <c r="J757" s="61">
        <f>15.3468 * CHOOSE(CONTROL!$C$22, $C$13, 100%, $E$13)</f>
        <v>15.3468</v>
      </c>
      <c r="K757" s="61">
        <f>15.3484 * CHOOSE(CONTROL!$C$22, $C$13, 100%, $E$13)</f>
        <v>15.3484</v>
      </c>
    </row>
    <row r="758" spans="1:11" ht="15">
      <c r="A758" s="13">
        <v>64924</v>
      </c>
      <c r="B758" s="60">
        <f>13.1274 * CHOOSE(CONTROL!$C$22, $C$13, 100%, $E$13)</f>
        <v>13.1274</v>
      </c>
      <c r="C758" s="60">
        <f>13.1274 * CHOOSE(CONTROL!$C$22, $C$13, 100%, $E$13)</f>
        <v>13.1274</v>
      </c>
      <c r="D758" s="60">
        <f>13.1399 * CHOOSE(CONTROL!$C$22, $C$13, 100%, $E$13)</f>
        <v>13.139900000000001</v>
      </c>
      <c r="E758" s="61">
        <f>15.4034 * CHOOSE(CONTROL!$C$22, $C$13, 100%, $E$13)</f>
        <v>15.4034</v>
      </c>
      <c r="F758" s="61">
        <f>15.4034 * CHOOSE(CONTROL!$C$22, $C$13, 100%, $E$13)</f>
        <v>15.4034</v>
      </c>
      <c r="G758" s="61">
        <f>15.4036 * CHOOSE(CONTROL!$C$22, $C$13, 100%, $E$13)</f>
        <v>15.403600000000001</v>
      </c>
      <c r="H758" s="61">
        <f>25.2347* CHOOSE(CONTROL!$C$22, $C$13, 100%, $E$13)</f>
        <v>25.2347</v>
      </c>
      <c r="I758" s="61">
        <f>25.2349 * CHOOSE(CONTROL!$C$22, $C$13, 100%, $E$13)</f>
        <v>25.2349</v>
      </c>
      <c r="J758" s="61">
        <f>15.4034 * CHOOSE(CONTROL!$C$22, $C$13, 100%, $E$13)</f>
        <v>15.4034</v>
      </c>
      <c r="K758" s="61">
        <f>15.4036 * CHOOSE(CONTROL!$C$22, $C$13, 100%, $E$13)</f>
        <v>15.403600000000001</v>
      </c>
    </row>
    <row r="759" spans="1:11" ht="15">
      <c r="A759" s="13">
        <v>64955</v>
      </c>
      <c r="B759" s="60">
        <f>13.1304 * CHOOSE(CONTROL!$C$22, $C$13, 100%, $E$13)</f>
        <v>13.1304</v>
      </c>
      <c r="C759" s="60">
        <f>13.1304 * CHOOSE(CONTROL!$C$22, $C$13, 100%, $E$13)</f>
        <v>13.1304</v>
      </c>
      <c r="D759" s="60">
        <f>13.143 * CHOOSE(CONTROL!$C$22, $C$13, 100%, $E$13)</f>
        <v>13.143000000000001</v>
      </c>
      <c r="E759" s="61">
        <f>15.4406 * CHOOSE(CONTROL!$C$22, $C$13, 100%, $E$13)</f>
        <v>15.4406</v>
      </c>
      <c r="F759" s="61">
        <f>15.4406 * CHOOSE(CONTROL!$C$22, $C$13, 100%, $E$13)</f>
        <v>15.4406</v>
      </c>
      <c r="G759" s="61">
        <f>15.4408 * CHOOSE(CONTROL!$C$22, $C$13, 100%, $E$13)</f>
        <v>15.440799999999999</v>
      </c>
      <c r="H759" s="61">
        <f>25.2873* CHOOSE(CONTROL!$C$22, $C$13, 100%, $E$13)</f>
        <v>25.287299999999998</v>
      </c>
      <c r="I759" s="61">
        <f>25.2875 * CHOOSE(CONTROL!$C$22, $C$13, 100%, $E$13)</f>
        <v>25.287500000000001</v>
      </c>
      <c r="J759" s="61">
        <f>15.4406 * CHOOSE(CONTROL!$C$22, $C$13, 100%, $E$13)</f>
        <v>15.4406</v>
      </c>
      <c r="K759" s="61">
        <f>15.4408 * CHOOSE(CONTROL!$C$22, $C$13, 100%, $E$13)</f>
        <v>15.440799999999999</v>
      </c>
    </row>
    <row r="760" spans="1:11" ht="15">
      <c r="A760" s="13">
        <v>64985</v>
      </c>
      <c r="B760" s="60">
        <f>13.1304 * CHOOSE(CONTROL!$C$22, $C$13, 100%, $E$13)</f>
        <v>13.1304</v>
      </c>
      <c r="C760" s="60">
        <f>13.1304 * CHOOSE(CONTROL!$C$22, $C$13, 100%, $E$13)</f>
        <v>13.1304</v>
      </c>
      <c r="D760" s="60">
        <f>13.143 * CHOOSE(CONTROL!$C$22, $C$13, 100%, $E$13)</f>
        <v>13.143000000000001</v>
      </c>
      <c r="E760" s="61">
        <f>15.353 * CHOOSE(CONTROL!$C$22, $C$13, 100%, $E$13)</f>
        <v>15.353</v>
      </c>
      <c r="F760" s="61">
        <f>15.353 * CHOOSE(CONTROL!$C$22, $C$13, 100%, $E$13)</f>
        <v>15.353</v>
      </c>
      <c r="G760" s="61">
        <f>15.3532 * CHOOSE(CONTROL!$C$22, $C$13, 100%, $E$13)</f>
        <v>15.353199999999999</v>
      </c>
      <c r="H760" s="61">
        <f>25.34* CHOOSE(CONTROL!$C$22, $C$13, 100%, $E$13)</f>
        <v>25.34</v>
      </c>
      <c r="I760" s="61">
        <f>25.3401 * CHOOSE(CONTROL!$C$22, $C$13, 100%, $E$13)</f>
        <v>25.3401</v>
      </c>
      <c r="J760" s="61">
        <f>15.353 * CHOOSE(CONTROL!$C$22, $C$13, 100%, $E$13)</f>
        <v>15.353</v>
      </c>
      <c r="K760" s="61">
        <f>15.3532 * CHOOSE(CONTROL!$C$22, $C$13, 100%, $E$13)</f>
        <v>15.353199999999999</v>
      </c>
    </row>
    <row r="761" spans="1:11" ht="15">
      <c r="A761" s="13">
        <v>65016</v>
      </c>
      <c r="B761" s="60">
        <f>13.1355 * CHOOSE(CONTROL!$C$22, $C$13, 100%, $E$13)</f>
        <v>13.1355</v>
      </c>
      <c r="C761" s="60">
        <f>13.1355 * CHOOSE(CONTROL!$C$22, $C$13, 100%, $E$13)</f>
        <v>13.1355</v>
      </c>
      <c r="D761" s="60">
        <f>13.1481 * CHOOSE(CONTROL!$C$22, $C$13, 100%, $E$13)</f>
        <v>13.148099999999999</v>
      </c>
      <c r="E761" s="61">
        <f>15.42 * CHOOSE(CONTROL!$C$22, $C$13, 100%, $E$13)</f>
        <v>15.42</v>
      </c>
      <c r="F761" s="61">
        <f>15.42 * CHOOSE(CONTROL!$C$22, $C$13, 100%, $E$13)</f>
        <v>15.42</v>
      </c>
      <c r="G761" s="61">
        <f>15.4202 * CHOOSE(CONTROL!$C$22, $C$13, 100%, $E$13)</f>
        <v>15.420199999999999</v>
      </c>
      <c r="H761" s="61">
        <f>25.2123* CHOOSE(CONTROL!$C$22, $C$13, 100%, $E$13)</f>
        <v>25.212299999999999</v>
      </c>
      <c r="I761" s="61">
        <f>25.2125 * CHOOSE(CONTROL!$C$22, $C$13, 100%, $E$13)</f>
        <v>25.212499999999999</v>
      </c>
      <c r="J761" s="61">
        <f>15.42 * CHOOSE(CONTROL!$C$22, $C$13, 100%, $E$13)</f>
        <v>15.42</v>
      </c>
      <c r="K761" s="61">
        <f>15.4202 * CHOOSE(CONTROL!$C$22, $C$13, 100%, $E$13)</f>
        <v>15.420199999999999</v>
      </c>
    </row>
    <row r="762" spans="1:11" ht="15">
      <c r="A762" s="13">
        <v>65047</v>
      </c>
      <c r="B762" s="60">
        <f>13.1325 * CHOOSE(CONTROL!$C$22, $C$13, 100%, $E$13)</f>
        <v>13.1325</v>
      </c>
      <c r="C762" s="60">
        <f>13.1325 * CHOOSE(CONTROL!$C$22, $C$13, 100%, $E$13)</f>
        <v>13.1325</v>
      </c>
      <c r="D762" s="60">
        <f>13.145 * CHOOSE(CONTROL!$C$22, $C$13, 100%, $E$13)</f>
        <v>13.145</v>
      </c>
      <c r="E762" s="61">
        <f>15.2492 * CHOOSE(CONTROL!$C$22, $C$13, 100%, $E$13)</f>
        <v>15.2492</v>
      </c>
      <c r="F762" s="61">
        <f>15.2492 * CHOOSE(CONTROL!$C$22, $C$13, 100%, $E$13)</f>
        <v>15.2492</v>
      </c>
      <c r="G762" s="61">
        <f>15.2493 * CHOOSE(CONTROL!$C$22, $C$13, 100%, $E$13)</f>
        <v>15.2493</v>
      </c>
      <c r="H762" s="61">
        <f>25.2649* CHOOSE(CONTROL!$C$22, $C$13, 100%, $E$13)</f>
        <v>25.264900000000001</v>
      </c>
      <c r="I762" s="61">
        <f>25.2651 * CHOOSE(CONTROL!$C$22, $C$13, 100%, $E$13)</f>
        <v>25.2651</v>
      </c>
      <c r="J762" s="61">
        <f>15.2492 * CHOOSE(CONTROL!$C$22, $C$13, 100%, $E$13)</f>
        <v>15.2492</v>
      </c>
      <c r="K762" s="61">
        <f>15.2493 * CHOOSE(CONTROL!$C$22, $C$13, 100%, $E$13)</f>
        <v>15.2493</v>
      </c>
    </row>
    <row r="763" spans="1:11" ht="15">
      <c r="A763" s="13">
        <v>65075</v>
      </c>
      <c r="B763" s="60">
        <f>13.1295 * CHOOSE(CONTROL!$C$22, $C$13, 100%, $E$13)</f>
        <v>13.1295</v>
      </c>
      <c r="C763" s="60">
        <f>13.1295 * CHOOSE(CONTROL!$C$22, $C$13, 100%, $E$13)</f>
        <v>13.1295</v>
      </c>
      <c r="D763" s="60">
        <f>13.142 * CHOOSE(CONTROL!$C$22, $C$13, 100%, $E$13)</f>
        <v>13.141999999999999</v>
      </c>
      <c r="E763" s="61">
        <f>15.3801 * CHOOSE(CONTROL!$C$22, $C$13, 100%, $E$13)</f>
        <v>15.380100000000001</v>
      </c>
      <c r="F763" s="61">
        <f>15.3801 * CHOOSE(CONTROL!$C$22, $C$13, 100%, $E$13)</f>
        <v>15.380100000000001</v>
      </c>
      <c r="G763" s="61">
        <f>15.3802 * CHOOSE(CONTROL!$C$22, $C$13, 100%, $E$13)</f>
        <v>15.3802</v>
      </c>
      <c r="H763" s="61">
        <f>25.3175* CHOOSE(CONTROL!$C$22, $C$13, 100%, $E$13)</f>
        <v>25.317499999999999</v>
      </c>
      <c r="I763" s="61">
        <f>25.3177 * CHOOSE(CONTROL!$C$22, $C$13, 100%, $E$13)</f>
        <v>25.317699999999999</v>
      </c>
      <c r="J763" s="61">
        <f>15.3801 * CHOOSE(CONTROL!$C$22, $C$13, 100%, $E$13)</f>
        <v>15.380100000000001</v>
      </c>
      <c r="K763" s="61">
        <f>15.3802 * CHOOSE(CONTROL!$C$22, $C$13, 100%, $E$13)</f>
        <v>15.3802</v>
      </c>
    </row>
    <row r="764" spans="1:11" ht="15">
      <c r="A764" s="13">
        <v>65106</v>
      </c>
      <c r="B764" s="60">
        <f>13.1349 * CHOOSE(CONTROL!$C$22, $C$13, 100%, $E$13)</f>
        <v>13.1349</v>
      </c>
      <c r="C764" s="60">
        <f>13.1349 * CHOOSE(CONTROL!$C$22, $C$13, 100%, $E$13)</f>
        <v>13.1349</v>
      </c>
      <c r="D764" s="60">
        <f>13.1475 * CHOOSE(CONTROL!$C$22, $C$13, 100%, $E$13)</f>
        <v>13.147500000000001</v>
      </c>
      <c r="E764" s="61">
        <f>15.5187 * CHOOSE(CONTROL!$C$22, $C$13, 100%, $E$13)</f>
        <v>15.518700000000001</v>
      </c>
      <c r="F764" s="61">
        <f>15.5187 * CHOOSE(CONTROL!$C$22, $C$13, 100%, $E$13)</f>
        <v>15.518700000000001</v>
      </c>
      <c r="G764" s="61">
        <f>15.5189 * CHOOSE(CONTROL!$C$22, $C$13, 100%, $E$13)</f>
        <v>15.5189</v>
      </c>
      <c r="H764" s="61">
        <f>25.3703* CHOOSE(CONTROL!$C$22, $C$13, 100%, $E$13)</f>
        <v>25.3703</v>
      </c>
      <c r="I764" s="61">
        <f>25.3704 * CHOOSE(CONTROL!$C$22, $C$13, 100%, $E$13)</f>
        <v>25.3704</v>
      </c>
      <c r="J764" s="61">
        <f>15.5187 * CHOOSE(CONTROL!$C$22, $C$13, 100%, $E$13)</f>
        <v>15.518700000000001</v>
      </c>
      <c r="K764" s="61">
        <f>15.5189 * CHOOSE(CONTROL!$C$22, $C$13, 100%, $E$13)</f>
        <v>15.5189</v>
      </c>
    </row>
    <row r="765" spans="1:11" ht="15">
      <c r="A765" s="13">
        <v>65136</v>
      </c>
      <c r="B765" s="60">
        <f>13.1349 * CHOOSE(CONTROL!$C$22, $C$13, 100%, $E$13)</f>
        <v>13.1349</v>
      </c>
      <c r="C765" s="60">
        <f>13.1349 * CHOOSE(CONTROL!$C$22, $C$13, 100%, $E$13)</f>
        <v>13.1349</v>
      </c>
      <c r="D765" s="60">
        <f>13.16 * CHOOSE(CONTROL!$C$22, $C$13, 100%, $E$13)</f>
        <v>13.16</v>
      </c>
      <c r="E765" s="61">
        <f>15.5722 * CHOOSE(CONTROL!$C$22, $C$13, 100%, $E$13)</f>
        <v>15.5722</v>
      </c>
      <c r="F765" s="61">
        <f>15.5722 * CHOOSE(CONTROL!$C$22, $C$13, 100%, $E$13)</f>
        <v>15.5722</v>
      </c>
      <c r="G765" s="61">
        <f>15.5738 * CHOOSE(CONTROL!$C$22, $C$13, 100%, $E$13)</f>
        <v>15.5738</v>
      </c>
      <c r="H765" s="61">
        <f>25.4231* CHOOSE(CONTROL!$C$22, $C$13, 100%, $E$13)</f>
        <v>25.423100000000002</v>
      </c>
      <c r="I765" s="61">
        <f>25.4247 * CHOOSE(CONTROL!$C$22, $C$13, 100%, $E$13)</f>
        <v>25.424700000000001</v>
      </c>
      <c r="J765" s="61">
        <f>15.5722 * CHOOSE(CONTROL!$C$22, $C$13, 100%, $E$13)</f>
        <v>15.5722</v>
      </c>
      <c r="K765" s="61">
        <f>15.5738 * CHOOSE(CONTROL!$C$22, $C$13, 100%, $E$13)</f>
        <v>15.5738</v>
      </c>
    </row>
    <row r="766" spans="1:11" ht="15">
      <c r="A766" s="13">
        <v>65167</v>
      </c>
      <c r="B766" s="60">
        <f>13.141 * CHOOSE(CONTROL!$C$22, $C$13, 100%, $E$13)</f>
        <v>13.141</v>
      </c>
      <c r="C766" s="60">
        <f>13.141 * CHOOSE(CONTROL!$C$22, $C$13, 100%, $E$13)</f>
        <v>13.141</v>
      </c>
      <c r="D766" s="60">
        <f>13.1661 * CHOOSE(CONTROL!$C$22, $C$13, 100%, $E$13)</f>
        <v>13.1661</v>
      </c>
      <c r="E766" s="61">
        <f>15.5229 * CHOOSE(CONTROL!$C$22, $C$13, 100%, $E$13)</f>
        <v>15.5229</v>
      </c>
      <c r="F766" s="61">
        <f>15.5229 * CHOOSE(CONTROL!$C$22, $C$13, 100%, $E$13)</f>
        <v>15.5229</v>
      </c>
      <c r="G766" s="61">
        <f>15.5245 * CHOOSE(CONTROL!$C$22, $C$13, 100%, $E$13)</f>
        <v>15.5245</v>
      </c>
      <c r="H766" s="61">
        <f>25.4761* CHOOSE(CONTROL!$C$22, $C$13, 100%, $E$13)</f>
        <v>25.476099999999999</v>
      </c>
      <c r="I766" s="61">
        <f>25.4777 * CHOOSE(CONTROL!$C$22, $C$13, 100%, $E$13)</f>
        <v>25.477699999999999</v>
      </c>
      <c r="J766" s="61">
        <f>15.5229 * CHOOSE(CONTROL!$C$22, $C$13, 100%, $E$13)</f>
        <v>15.5229</v>
      </c>
      <c r="K766" s="61">
        <f>15.5245 * CHOOSE(CONTROL!$C$22, $C$13, 100%, $E$13)</f>
        <v>15.5245</v>
      </c>
    </row>
    <row r="767" spans="1:11" ht="15">
      <c r="A767" s="13">
        <v>65197</v>
      </c>
      <c r="B767" s="60">
        <f>13.3479 * CHOOSE(CONTROL!$C$22, $C$13, 100%, $E$13)</f>
        <v>13.347899999999999</v>
      </c>
      <c r="C767" s="60">
        <f>13.3479 * CHOOSE(CONTROL!$C$22, $C$13, 100%, $E$13)</f>
        <v>13.347899999999999</v>
      </c>
      <c r="D767" s="60">
        <f>13.373 * CHOOSE(CONTROL!$C$22, $C$13, 100%, $E$13)</f>
        <v>13.372999999999999</v>
      </c>
      <c r="E767" s="61">
        <f>15.8193 * CHOOSE(CONTROL!$C$22, $C$13, 100%, $E$13)</f>
        <v>15.8193</v>
      </c>
      <c r="F767" s="61">
        <f>15.8193 * CHOOSE(CONTROL!$C$22, $C$13, 100%, $E$13)</f>
        <v>15.8193</v>
      </c>
      <c r="G767" s="61">
        <f>15.8209 * CHOOSE(CONTROL!$C$22, $C$13, 100%, $E$13)</f>
        <v>15.8209</v>
      </c>
      <c r="H767" s="61">
        <f>25.5291* CHOOSE(CONTROL!$C$22, $C$13, 100%, $E$13)</f>
        <v>25.5291</v>
      </c>
      <c r="I767" s="61">
        <f>25.5308 * CHOOSE(CONTROL!$C$22, $C$13, 100%, $E$13)</f>
        <v>25.530799999999999</v>
      </c>
      <c r="J767" s="61">
        <f>15.8193 * CHOOSE(CONTROL!$C$22, $C$13, 100%, $E$13)</f>
        <v>15.8193</v>
      </c>
      <c r="K767" s="61">
        <f>15.8209 * CHOOSE(CONTROL!$C$22, $C$13, 100%, $E$13)</f>
        <v>15.8209</v>
      </c>
    </row>
    <row r="768" spans="1:11" ht="15">
      <c r="A768" s="13">
        <v>65228</v>
      </c>
      <c r="B768" s="60">
        <f>13.3546 * CHOOSE(CONTROL!$C$22, $C$13, 100%, $E$13)</f>
        <v>13.3546</v>
      </c>
      <c r="C768" s="60">
        <f>13.3546 * CHOOSE(CONTROL!$C$22, $C$13, 100%, $E$13)</f>
        <v>13.3546</v>
      </c>
      <c r="D768" s="60">
        <f>13.3797 * CHOOSE(CONTROL!$C$22, $C$13, 100%, $E$13)</f>
        <v>13.3797</v>
      </c>
      <c r="E768" s="61">
        <f>15.6632 * CHOOSE(CONTROL!$C$22, $C$13, 100%, $E$13)</f>
        <v>15.6632</v>
      </c>
      <c r="F768" s="61">
        <f>15.6632 * CHOOSE(CONTROL!$C$22, $C$13, 100%, $E$13)</f>
        <v>15.6632</v>
      </c>
      <c r="G768" s="61">
        <f>15.6648 * CHOOSE(CONTROL!$C$22, $C$13, 100%, $E$13)</f>
        <v>15.6648</v>
      </c>
      <c r="H768" s="61">
        <f>25.5823* CHOOSE(CONTROL!$C$22, $C$13, 100%, $E$13)</f>
        <v>25.5823</v>
      </c>
      <c r="I768" s="61">
        <f>25.5839 * CHOOSE(CONTROL!$C$22, $C$13, 100%, $E$13)</f>
        <v>25.5839</v>
      </c>
      <c r="J768" s="61">
        <f>15.6632 * CHOOSE(CONTROL!$C$22, $C$13, 100%, $E$13)</f>
        <v>15.6632</v>
      </c>
      <c r="K768" s="61">
        <f>15.6648 * CHOOSE(CONTROL!$C$22, $C$13, 100%, $E$13)</f>
        <v>15.6648</v>
      </c>
    </row>
    <row r="769" spans="1:11" ht="15">
      <c r="A769" s="13">
        <v>65259</v>
      </c>
      <c r="B769" s="60">
        <f>13.3516 * CHOOSE(CONTROL!$C$22, $C$13, 100%, $E$13)</f>
        <v>13.351599999999999</v>
      </c>
      <c r="C769" s="60">
        <f>13.3516 * CHOOSE(CONTROL!$C$22, $C$13, 100%, $E$13)</f>
        <v>13.351599999999999</v>
      </c>
      <c r="D769" s="60">
        <f>13.3767 * CHOOSE(CONTROL!$C$22, $C$13, 100%, $E$13)</f>
        <v>13.3767</v>
      </c>
      <c r="E769" s="61">
        <f>15.6433 * CHOOSE(CONTROL!$C$22, $C$13, 100%, $E$13)</f>
        <v>15.6433</v>
      </c>
      <c r="F769" s="61">
        <f>15.6433 * CHOOSE(CONTROL!$C$22, $C$13, 100%, $E$13)</f>
        <v>15.6433</v>
      </c>
      <c r="G769" s="61">
        <f>15.6449 * CHOOSE(CONTROL!$C$22, $C$13, 100%, $E$13)</f>
        <v>15.6449</v>
      </c>
      <c r="H769" s="61">
        <f>25.6356* CHOOSE(CONTROL!$C$22, $C$13, 100%, $E$13)</f>
        <v>25.6356</v>
      </c>
      <c r="I769" s="61">
        <f>25.6372 * CHOOSE(CONTROL!$C$22, $C$13, 100%, $E$13)</f>
        <v>25.6372</v>
      </c>
      <c r="J769" s="61">
        <f>15.6433 * CHOOSE(CONTROL!$C$22, $C$13, 100%, $E$13)</f>
        <v>15.6433</v>
      </c>
      <c r="K769" s="61">
        <f>15.6449 * CHOOSE(CONTROL!$C$22, $C$13, 100%, $E$13)</f>
        <v>15.6449</v>
      </c>
    </row>
    <row r="770" spans="1:11" ht="15">
      <c r="A770" s="13">
        <v>65289</v>
      </c>
      <c r="B770" s="60">
        <f>13.3774 * CHOOSE(CONTROL!$C$22, $C$13, 100%, $E$13)</f>
        <v>13.3774</v>
      </c>
      <c r="C770" s="60">
        <f>13.3774 * CHOOSE(CONTROL!$C$22, $C$13, 100%, $E$13)</f>
        <v>13.3774</v>
      </c>
      <c r="D770" s="60">
        <f>13.3899 * CHOOSE(CONTROL!$C$22, $C$13, 100%, $E$13)</f>
        <v>13.389900000000001</v>
      </c>
      <c r="E770" s="61">
        <f>15.7013 * CHOOSE(CONTROL!$C$22, $C$13, 100%, $E$13)</f>
        <v>15.7013</v>
      </c>
      <c r="F770" s="61">
        <f>15.7013 * CHOOSE(CONTROL!$C$22, $C$13, 100%, $E$13)</f>
        <v>15.7013</v>
      </c>
      <c r="G770" s="61">
        <f>15.7015 * CHOOSE(CONTROL!$C$22, $C$13, 100%, $E$13)</f>
        <v>15.701499999999999</v>
      </c>
      <c r="H770" s="61">
        <f>25.689* CHOOSE(CONTROL!$C$22, $C$13, 100%, $E$13)</f>
        <v>25.689</v>
      </c>
      <c r="I770" s="61">
        <f>25.6892 * CHOOSE(CONTROL!$C$22, $C$13, 100%, $E$13)</f>
        <v>25.6892</v>
      </c>
      <c r="J770" s="61">
        <f>15.7013 * CHOOSE(CONTROL!$C$22, $C$13, 100%, $E$13)</f>
        <v>15.7013</v>
      </c>
      <c r="K770" s="61">
        <f>15.7015 * CHOOSE(CONTROL!$C$22, $C$13, 100%, $E$13)</f>
        <v>15.701499999999999</v>
      </c>
    </row>
    <row r="771" spans="1:11" ht="15">
      <c r="A771" s="13">
        <v>65320</v>
      </c>
      <c r="B771" s="60">
        <f>13.3804 * CHOOSE(CONTROL!$C$22, $C$13, 100%, $E$13)</f>
        <v>13.3804</v>
      </c>
      <c r="C771" s="60">
        <f>13.3804 * CHOOSE(CONTROL!$C$22, $C$13, 100%, $E$13)</f>
        <v>13.3804</v>
      </c>
      <c r="D771" s="60">
        <f>13.393 * CHOOSE(CONTROL!$C$22, $C$13, 100%, $E$13)</f>
        <v>13.393000000000001</v>
      </c>
      <c r="E771" s="61">
        <f>15.7391 * CHOOSE(CONTROL!$C$22, $C$13, 100%, $E$13)</f>
        <v>15.739100000000001</v>
      </c>
      <c r="F771" s="61">
        <f>15.7391 * CHOOSE(CONTROL!$C$22, $C$13, 100%, $E$13)</f>
        <v>15.739100000000001</v>
      </c>
      <c r="G771" s="61">
        <f>15.7393 * CHOOSE(CONTROL!$C$22, $C$13, 100%, $E$13)</f>
        <v>15.7393</v>
      </c>
      <c r="H771" s="61">
        <f>25.7426* CHOOSE(CONTROL!$C$22, $C$13, 100%, $E$13)</f>
        <v>25.742599999999999</v>
      </c>
      <c r="I771" s="61">
        <f>25.7427 * CHOOSE(CONTROL!$C$22, $C$13, 100%, $E$13)</f>
        <v>25.742699999999999</v>
      </c>
      <c r="J771" s="61">
        <f>15.7391 * CHOOSE(CONTROL!$C$22, $C$13, 100%, $E$13)</f>
        <v>15.739100000000001</v>
      </c>
      <c r="K771" s="61">
        <f>15.7393 * CHOOSE(CONTROL!$C$22, $C$13, 100%, $E$13)</f>
        <v>15.7393</v>
      </c>
    </row>
    <row r="772" spans="1:11" ht="15">
      <c r="A772" s="13">
        <v>65350</v>
      </c>
      <c r="B772" s="60">
        <f>13.3804 * CHOOSE(CONTROL!$C$22, $C$13, 100%, $E$13)</f>
        <v>13.3804</v>
      </c>
      <c r="C772" s="60">
        <f>13.3804 * CHOOSE(CONTROL!$C$22, $C$13, 100%, $E$13)</f>
        <v>13.3804</v>
      </c>
      <c r="D772" s="60">
        <f>13.393 * CHOOSE(CONTROL!$C$22, $C$13, 100%, $E$13)</f>
        <v>13.393000000000001</v>
      </c>
      <c r="E772" s="61">
        <f>15.6498 * CHOOSE(CONTROL!$C$22, $C$13, 100%, $E$13)</f>
        <v>15.649800000000001</v>
      </c>
      <c r="F772" s="61">
        <f>15.6498 * CHOOSE(CONTROL!$C$22, $C$13, 100%, $E$13)</f>
        <v>15.649800000000001</v>
      </c>
      <c r="G772" s="61">
        <f>15.65 * CHOOSE(CONTROL!$C$22, $C$13, 100%, $E$13)</f>
        <v>15.65</v>
      </c>
      <c r="H772" s="61">
        <f>25.7962* CHOOSE(CONTROL!$C$22, $C$13, 100%, $E$13)</f>
        <v>25.796199999999999</v>
      </c>
      <c r="I772" s="61">
        <f>25.7964 * CHOOSE(CONTROL!$C$22, $C$13, 100%, $E$13)</f>
        <v>25.796399999999998</v>
      </c>
      <c r="J772" s="61">
        <f>15.6498 * CHOOSE(CONTROL!$C$22, $C$13, 100%, $E$13)</f>
        <v>15.649800000000001</v>
      </c>
      <c r="K772" s="61">
        <f>15.65 * CHOOSE(CONTROL!$C$22, $C$13, 100%, $E$13)</f>
        <v>15.65</v>
      </c>
    </row>
    <row r="773" spans="1:11" ht="15">
      <c r="A773" s="13">
        <v>65381</v>
      </c>
      <c r="B773" s="60">
        <f>13.3809 * CHOOSE(CONTROL!$C$22, $C$13, 100%, $E$13)</f>
        <v>13.3809</v>
      </c>
      <c r="C773" s="60">
        <f>13.3809 * CHOOSE(CONTROL!$C$22, $C$13, 100%, $E$13)</f>
        <v>13.3809</v>
      </c>
      <c r="D773" s="60">
        <f>13.3934 * CHOOSE(CONTROL!$C$22, $C$13, 100%, $E$13)</f>
        <v>13.3934</v>
      </c>
      <c r="E773" s="61">
        <f>15.7124 * CHOOSE(CONTROL!$C$22, $C$13, 100%, $E$13)</f>
        <v>15.712400000000001</v>
      </c>
      <c r="F773" s="61">
        <f>15.7124 * CHOOSE(CONTROL!$C$22, $C$13, 100%, $E$13)</f>
        <v>15.712400000000001</v>
      </c>
      <c r="G773" s="61">
        <f>15.7126 * CHOOSE(CONTROL!$C$22, $C$13, 100%, $E$13)</f>
        <v>15.7126</v>
      </c>
      <c r="H773" s="61">
        <f>25.6582* CHOOSE(CONTROL!$C$22, $C$13, 100%, $E$13)</f>
        <v>25.658200000000001</v>
      </c>
      <c r="I773" s="61">
        <f>25.6584 * CHOOSE(CONTROL!$C$22, $C$13, 100%, $E$13)</f>
        <v>25.6584</v>
      </c>
      <c r="J773" s="61">
        <f>15.7124 * CHOOSE(CONTROL!$C$22, $C$13, 100%, $E$13)</f>
        <v>15.712400000000001</v>
      </c>
      <c r="K773" s="61">
        <f>15.7126 * CHOOSE(CONTROL!$C$22, $C$13, 100%, $E$13)</f>
        <v>15.7126</v>
      </c>
    </row>
    <row r="774" spans="1:11" ht="15">
      <c r="A774" s="13">
        <v>65412</v>
      </c>
      <c r="B774" s="60">
        <f>13.3778 * CHOOSE(CONTROL!$C$22, $C$13, 100%, $E$13)</f>
        <v>13.377800000000001</v>
      </c>
      <c r="C774" s="60">
        <f>13.3778 * CHOOSE(CONTROL!$C$22, $C$13, 100%, $E$13)</f>
        <v>13.377800000000001</v>
      </c>
      <c r="D774" s="60">
        <f>13.3904 * CHOOSE(CONTROL!$C$22, $C$13, 100%, $E$13)</f>
        <v>13.3904</v>
      </c>
      <c r="E774" s="61">
        <f>15.5384 * CHOOSE(CONTROL!$C$22, $C$13, 100%, $E$13)</f>
        <v>15.538399999999999</v>
      </c>
      <c r="F774" s="61">
        <f>15.5384 * CHOOSE(CONTROL!$C$22, $C$13, 100%, $E$13)</f>
        <v>15.538399999999999</v>
      </c>
      <c r="G774" s="61">
        <f>15.5385 * CHOOSE(CONTROL!$C$22, $C$13, 100%, $E$13)</f>
        <v>15.538500000000001</v>
      </c>
      <c r="H774" s="61">
        <f>25.7117* CHOOSE(CONTROL!$C$22, $C$13, 100%, $E$13)</f>
        <v>25.7117</v>
      </c>
      <c r="I774" s="61">
        <f>25.7119 * CHOOSE(CONTROL!$C$22, $C$13, 100%, $E$13)</f>
        <v>25.7119</v>
      </c>
      <c r="J774" s="61">
        <f>15.5384 * CHOOSE(CONTROL!$C$22, $C$13, 100%, $E$13)</f>
        <v>15.538399999999999</v>
      </c>
      <c r="K774" s="61">
        <f>15.5385 * CHOOSE(CONTROL!$C$22, $C$13, 100%, $E$13)</f>
        <v>15.538500000000001</v>
      </c>
    </row>
    <row r="775" spans="1:11" ht="15">
      <c r="A775" s="13">
        <v>65440</v>
      </c>
      <c r="B775" s="60">
        <f>13.3748 * CHOOSE(CONTROL!$C$22, $C$13, 100%, $E$13)</f>
        <v>13.3748</v>
      </c>
      <c r="C775" s="60">
        <f>13.3748 * CHOOSE(CONTROL!$C$22, $C$13, 100%, $E$13)</f>
        <v>13.3748</v>
      </c>
      <c r="D775" s="60">
        <f>13.3873 * CHOOSE(CONTROL!$C$22, $C$13, 100%, $E$13)</f>
        <v>13.3873</v>
      </c>
      <c r="E775" s="61">
        <f>15.6718 * CHOOSE(CONTROL!$C$22, $C$13, 100%, $E$13)</f>
        <v>15.671799999999999</v>
      </c>
      <c r="F775" s="61">
        <f>15.6718 * CHOOSE(CONTROL!$C$22, $C$13, 100%, $E$13)</f>
        <v>15.671799999999999</v>
      </c>
      <c r="G775" s="61">
        <f>15.672 * CHOOSE(CONTROL!$C$22, $C$13, 100%, $E$13)</f>
        <v>15.672000000000001</v>
      </c>
      <c r="H775" s="61">
        <f>25.7653* CHOOSE(CONTROL!$C$22, $C$13, 100%, $E$13)</f>
        <v>25.7653</v>
      </c>
      <c r="I775" s="61">
        <f>25.7654 * CHOOSE(CONTROL!$C$22, $C$13, 100%, $E$13)</f>
        <v>25.7654</v>
      </c>
      <c r="J775" s="61">
        <f>15.6718 * CHOOSE(CONTROL!$C$22, $C$13, 100%, $E$13)</f>
        <v>15.671799999999999</v>
      </c>
      <c r="K775" s="61">
        <f>15.672 * CHOOSE(CONTROL!$C$22, $C$13, 100%, $E$13)</f>
        <v>15.672000000000001</v>
      </c>
    </row>
    <row r="776" spans="1:11" ht="15">
      <c r="A776" s="13">
        <v>65471</v>
      </c>
      <c r="B776" s="60">
        <f>13.3804 * CHOOSE(CONTROL!$C$22, $C$13, 100%, $E$13)</f>
        <v>13.3804</v>
      </c>
      <c r="C776" s="60">
        <f>13.3804 * CHOOSE(CONTROL!$C$22, $C$13, 100%, $E$13)</f>
        <v>13.3804</v>
      </c>
      <c r="D776" s="60">
        <f>13.393 * CHOOSE(CONTROL!$C$22, $C$13, 100%, $E$13)</f>
        <v>13.393000000000001</v>
      </c>
      <c r="E776" s="61">
        <f>15.8131 * CHOOSE(CONTROL!$C$22, $C$13, 100%, $E$13)</f>
        <v>15.8131</v>
      </c>
      <c r="F776" s="61">
        <f>15.8131 * CHOOSE(CONTROL!$C$22, $C$13, 100%, $E$13)</f>
        <v>15.8131</v>
      </c>
      <c r="G776" s="61">
        <f>15.8133 * CHOOSE(CONTROL!$C$22, $C$13, 100%, $E$13)</f>
        <v>15.8133</v>
      </c>
      <c r="H776" s="61">
        <f>25.8189* CHOOSE(CONTROL!$C$22, $C$13, 100%, $E$13)</f>
        <v>25.818899999999999</v>
      </c>
      <c r="I776" s="61">
        <f>25.8191 * CHOOSE(CONTROL!$C$22, $C$13, 100%, $E$13)</f>
        <v>25.819099999999999</v>
      </c>
      <c r="J776" s="61">
        <f>15.8131 * CHOOSE(CONTROL!$C$22, $C$13, 100%, $E$13)</f>
        <v>15.8131</v>
      </c>
      <c r="K776" s="61">
        <f>15.8133 * CHOOSE(CONTROL!$C$22, $C$13, 100%, $E$13)</f>
        <v>15.8133</v>
      </c>
    </row>
    <row r="777" spans="1:11" ht="15">
      <c r="A777" s="13">
        <v>65501</v>
      </c>
      <c r="B777" s="60">
        <f>13.3804 * CHOOSE(CONTROL!$C$22, $C$13, 100%, $E$13)</f>
        <v>13.3804</v>
      </c>
      <c r="C777" s="60">
        <f>13.3804 * CHOOSE(CONTROL!$C$22, $C$13, 100%, $E$13)</f>
        <v>13.3804</v>
      </c>
      <c r="D777" s="60">
        <f>13.4055 * CHOOSE(CONTROL!$C$22, $C$13, 100%, $E$13)</f>
        <v>13.4055</v>
      </c>
      <c r="E777" s="61">
        <f>15.8677 * CHOOSE(CONTROL!$C$22, $C$13, 100%, $E$13)</f>
        <v>15.867699999999999</v>
      </c>
      <c r="F777" s="61">
        <f>15.8677 * CHOOSE(CONTROL!$C$22, $C$13, 100%, $E$13)</f>
        <v>15.867699999999999</v>
      </c>
      <c r="G777" s="61">
        <f>15.8693 * CHOOSE(CONTROL!$C$22, $C$13, 100%, $E$13)</f>
        <v>15.869300000000001</v>
      </c>
      <c r="H777" s="61">
        <f>25.8727* CHOOSE(CONTROL!$C$22, $C$13, 100%, $E$13)</f>
        <v>25.872699999999998</v>
      </c>
      <c r="I777" s="61">
        <f>25.8743 * CHOOSE(CONTROL!$C$22, $C$13, 100%, $E$13)</f>
        <v>25.874300000000002</v>
      </c>
      <c r="J777" s="61">
        <f>15.8677 * CHOOSE(CONTROL!$C$22, $C$13, 100%, $E$13)</f>
        <v>15.867699999999999</v>
      </c>
      <c r="K777" s="61">
        <f>15.8693 * CHOOSE(CONTROL!$C$22, $C$13, 100%, $E$13)</f>
        <v>15.869300000000001</v>
      </c>
    </row>
    <row r="778" spans="1:11" ht="15">
      <c r="A778" s="13">
        <v>65532</v>
      </c>
      <c r="B778" s="60">
        <f>13.3865 * CHOOSE(CONTROL!$C$22, $C$13, 100%, $E$13)</f>
        <v>13.3865</v>
      </c>
      <c r="C778" s="60">
        <f>13.3865 * CHOOSE(CONTROL!$C$22, $C$13, 100%, $E$13)</f>
        <v>13.3865</v>
      </c>
      <c r="D778" s="60">
        <f>13.4116 * CHOOSE(CONTROL!$C$22, $C$13, 100%, $E$13)</f>
        <v>13.4116</v>
      </c>
      <c r="E778" s="61">
        <f>15.8174 * CHOOSE(CONTROL!$C$22, $C$13, 100%, $E$13)</f>
        <v>15.817399999999999</v>
      </c>
      <c r="F778" s="61">
        <f>15.8174 * CHOOSE(CONTROL!$C$22, $C$13, 100%, $E$13)</f>
        <v>15.817399999999999</v>
      </c>
      <c r="G778" s="61">
        <f>15.819 * CHOOSE(CONTROL!$C$22, $C$13, 100%, $E$13)</f>
        <v>15.819000000000001</v>
      </c>
      <c r="H778" s="61">
        <f>25.9266* CHOOSE(CONTROL!$C$22, $C$13, 100%, $E$13)</f>
        <v>25.926600000000001</v>
      </c>
      <c r="I778" s="61">
        <f>25.9282 * CHOOSE(CONTROL!$C$22, $C$13, 100%, $E$13)</f>
        <v>25.9282</v>
      </c>
      <c r="J778" s="61">
        <f>15.8174 * CHOOSE(CONTROL!$C$22, $C$13, 100%, $E$13)</f>
        <v>15.817399999999999</v>
      </c>
      <c r="K778" s="61">
        <f>15.819 * CHOOSE(CONTROL!$C$22, $C$13, 100%, $E$13)</f>
        <v>15.819000000000001</v>
      </c>
    </row>
    <row r="779" spans="1:11" ht="15">
      <c r="A779" s="13">
        <v>65562</v>
      </c>
      <c r="B779" s="60">
        <f>13.5972 * CHOOSE(CONTROL!$C$22, $C$13, 100%, $E$13)</f>
        <v>13.597200000000001</v>
      </c>
      <c r="C779" s="60">
        <f>13.5972 * CHOOSE(CONTROL!$C$22, $C$13, 100%, $E$13)</f>
        <v>13.597200000000001</v>
      </c>
      <c r="D779" s="60">
        <f>13.6222 * CHOOSE(CONTROL!$C$22, $C$13, 100%, $E$13)</f>
        <v>13.622199999999999</v>
      </c>
      <c r="E779" s="61">
        <f>16.1192 * CHOOSE(CONTROL!$C$22, $C$13, 100%, $E$13)</f>
        <v>16.119199999999999</v>
      </c>
      <c r="F779" s="61">
        <f>16.1192 * CHOOSE(CONTROL!$C$22, $C$13, 100%, $E$13)</f>
        <v>16.119199999999999</v>
      </c>
      <c r="G779" s="61">
        <f>16.1208 * CHOOSE(CONTROL!$C$22, $C$13, 100%, $E$13)</f>
        <v>16.120799999999999</v>
      </c>
      <c r="H779" s="61">
        <f>25.9806* CHOOSE(CONTROL!$C$22, $C$13, 100%, $E$13)</f>
        <v>25.980599999999999</v>
      </c>
      <c r="I779" s="61">
        <f>25.9822 * CHOOSE(CONTROL!$C$22, $C$13, 100%, $E$13)</f>
        <v>25.982199999999999</v>
      </c>
      <c r="J779" s="61">
        <f>16.1192 * CHOOSE(CONTROL!$C$22, $C$13, 100%, $E$13)</f>
        <v>16.119199999999999</v>
      </c>
      <c r="K779" s="61">
        <f>16.1208 * CHOOSE(CONTROL!$C$22, $C$13, 100%, $E$13)</f>
        <v>16.120799999999999</v>
      </c>
    </row>
    <row r="780" spans="1:11" ht="15">
      <c r="A780" s="13">
        <v>65593</v>
      </c>
      <c r="B780" s="60">
        <f>13.6038 * CHOOSE(CONTROL!$C$22, $C$13, 100%, $E$13)</f>
        <v>13.6038</v>
      </c>
      <c r="C780" s="60">
        <f>13.6038 * CHOOSE(CONTROL!$C$22, $C$13, 100%, $E$13)</f>
        <v>13.6038</v>
      </c>
      <c r="D780" s="60">
        <f>13.6289 * CHOOSE(CONTROL!$C$22, $C$13, 100%, $E$13)</f>
        <v>13.6289</v>
      </c>
      <c r="E780" s="61">
        <f>15.9601 * CHOOSE(CONTROL!$C$22, $C$13, 100%, $E$13)</f>
        <v>15.960100000000001</v>
      </c>
      <c r="F780" s="61">
        <f>15.9601 * CHOOSE(CONTROL!$C$22, $C$13, 100%, $E$13)</f>
        <v>15.960100000000001</v>
      </c>
      <c r="G780" s="61">
        <f>15.9617 * CHOOSE(CONTROL!$C$22, $C$13, 100%, $E$13)</f>
        <v>15.9617</v>
      </c>
      <c r="H780" s="61">
        <f>26.0348* CHOOSE(CONTROL!$C$22, $C$13, 100%, $E$13)</f>
        <v>26.034800000000001</v>
      </c>
      <c r="I780" s="61">
        <f>26.0364 * CHOOSE(CONTROL!$C$22, $C$13, 100%, $E$13)</f>
        <v>26.0364</v>
      </c>
      <c r="J780" s="61">
        <f>15.9601 * CHOOSE(CONTROL!$C$22, $C$13, 100%, $E$13)</f>
        <v>15.960100000000001</v>
      </c>
      <c r="K780" s="61">
        <f>15.9617 * CHOOSE(CONTROL!$C$22, $C$13, 100%, $E$13)</f>
        <v>15.9617</v>
      </c>
    </row>
    <row r="781" spans="1:11" ht="15">
      <c r="A781" s="13">
        <v>65624</v>
      </c>
      <c r="B781" s="60">
        <f>13.6008 * CHOOSE(CONTROL!$C$22, $C$13, 100%, $E$13)</f>
        <v>13.6008</v>
      </c>
      <c r="C781" s="60">
        <f>13.6008 * CHOOSE(CONTROL!$C$22, $C$13, 100%, $E$13)</f>
        <v>13.6008</v>
      </c>
      <c r="D781" s="60">
        <f>13.6259 * CHOOSE(CONTROL!$C$22, $C$13, 100%, $E$13)</f>
        <v>13.6259</v>
      </c>
      <c r="E781" s="61">
        <f>15.9398 * CHOOSE(CONTROL!$C$22, $C$13, 100%, $E$13)</f>
        <v>15.9398</v>
      </c>
      <c r="F781" s="61">
        <f>15.9398 * CHOOSE(CONTROL!$C$22, $C$13, 100%, $E$13)</f>
        <v>15.9398</v>
      </c>
      <c r="G781" s="61">
        <f>15.9414 * CHOOSE(CONTROL!$C$22, $C$13, 100%, $E$13)</f>
        <v>15.9414</v>
      </c>
      <c r="H781" s="61">
        <f>26.089* CHOOSE(CONTROL!$C$22, $C$13, 100%, $E$13)</f>
        <v>26.088999999999999</v>
      </c>
      <c r="I781" s="61">
        <f>26.0906 * CHOOSE(CONTROL!$C$22, $C$13, 100%, $E$13)</f>
        <v>26.090599999999998</v>
      </c>
      <c r="J781" s="61">
        <f>15.9398 * CHOOSE(CONTROL!$C$22, $C$13, 100%, $E$13)</f>
        <v>15.9398</v>
      </c>
      <c r="K781" s="61">
        <f>15.9414 * CHOOSE(CONTROL!$C$22, $C$13, 100%, $E$13)</f>
        <v>15.9414</v>
      </c>
    </row>
    <row r="782" spans="1:11" ht="15">
      <c r="A782" s="13">
        <v>65654</v>
      </c>
      <c r="B782" s="60">
        <f>13.6274 * CHOOSE(CONTROL!$C$22, $C$13, 100%, $E$13)</f>
        <v>13.6274</v>
      </c>
      <c r="C782" s="60">
        <f>13.6274 * CHOOSE(CONTROL!$C$22, $C$13, 100%, $E$13)</f>
        <v>13.6274</v>
      </c>
      <c r="D782" s="60">
        <f>13.64 * CHOOSE(CONTROL!$C$22, $C$13, 100%, $E$13)</f>
        <v>13.64</v>
      </c>
      <c r="E782" s="61">
        <f>15.9991 * CHOOSE(CONTROL!$C$22, $C$13, 100%, $E$13)</f>
        <v>15.9991</v>
      </c>
      <c r="F782" s="61">
        <f>15.9991 * CHOOSE(CONTROL!$C$22, $C$13, 100%, $E$13)</f>
        <v>15.9991</v>
      </c>
      <c r="G782" s="61">
        <f>15.9993 * CHOOSE(CONTROL!$C$22, $C$13, 100%, $E$13)</f>
        <v>15.9993</v>
      </c>
      <c r="H782" s="61">
        <f>26.1434* CHOOSE(CONTROL!$C$22, $C$13, 100%, $E$13)</f>
        <v>26.1434</v>
      </c>
      <c r="I782" s="61">
        <f>26.1435 * CHOOSE(CONTROL!$C$22, $C$13, 100%, $E$13)</f>
        <v>26.1435</v>
      </c>
      <c r="J782" s="61">
        <f>15.9991 * CHOOSE(CONTROL!$C$22, $C$13, 100%, $E$13)</f>
        <v>15.9991</v>
      </c>
      <c r="K782" s="61">
        <f>15.9993 * CHOOSE(CONTROL!$C$22, $C$13, 100%, $E$13)</f>
        <v>15.9993</v>
      </c>
    </row>
    <row r="783" spans="1:11" ht="15">
      <c r="A783" s="13">
        <v>65685</v>
      </c>
      <c r="B783" s="60">
        <f>13.6305 * CHOOSE(CONTROL!$C$22, $C$13, 100%, $E$13)</f>
        <v>13.6305</v>
      </c>
      <c r="C783" s="60">
        <f>13.6305 * CHOOSE(CONTROL!$C$22, $C$13, 100%, $E$13)</f>
        <v>13.6305</v>
      </c>
      <c r="D783" s="60">
        <f>13.643 * CHOOSE(CONTROL!$C$22, $C$13, 100%, $E$13)</f>
        <v>13.643000000000001</v>
      </c>
      <c r="E783" s="61">
        <f>16.0376 * CHOOSE(CONTROL!$C$22, $C$13, 100%, $E$13)</f>
        <v>16.037600000000001</v>
      </c>
      <c r="F783" s="61">
        <f>16.0376 * CHOOSE(CONTROL!$C$22, $C$13, 100%, $E$13)</f>
        <v>16.037600000000001</v>
      </c>
      <c r="G783" s="61">
        <f>16.0378 * CHOOSE(CONTROL!$C$22, $C$13, 100%, $E$13)</f>
        <v>16.037800000000001</v>
      </c>
      <c r="H783" s="61">
        <f>26.1978* CHOOSE(CONTROL!$C$22, $C$13, 100%, $E$13)</f>
        <v>26.197800000000001</v>
      </c>
      <c r="I783" s="61">
        <f>26.198 * CHOOSE(CONTROL!$C$22, $C$13, 100%, $E$13)</f>
        <v>26.198</v>
      </c>
      <c r="J783" s="61">
        <f>16.0376 * CHOOSE(CONTROL!$C$22, $C$13, 100%, $E$13)</f>
        <v>16.037600000000001</v>
      </c>
      <c r="K783" s="61">
        <f>16.0378 * CHOOSE(CONTROL!$C$22, $C$13, 100%, $E$13)</f>
        <v>16.037800000000001</v>
      </c>
    </row>
    <row r="784" spans="1:11" ht="15">
      <c r="A784" s="13">
        <v>65715</v>
      </c>
      <c r="B784" s="60">
        <f>13.6305 * CHOOSE(CONTROL!$C$22, $C$13, 100%, $E$13)</f>
        <v>13.6305</v>
      </c>
      <c r="C784" s="60">
        <f>13.6305 * CHOOSE(CONTROL!$C$22, $C$13, 100%, $E$13)</f>
        <v>13.6305</v>
      </c>
      <c r="D784" s="60">
        <f>13.643 * CHOOSE(CONTROL!$C$22, $C$13, 100%, $E$13)</f>
        <v>13.643000000000001</v>
      </c>
      <c r="E784" s="61">
        <f>15.9467 * CHOOSE(CONTROL!$C$22, $C$13, 100%, $E$13)</f>
        <v>15.9467</v>
      </c>
      <c r="F784" s="61">
        <f>15.9467 * CHOOSE(CONTROL!$C$22, $C$13, 100%, $E$13)</f>
        <v>15.9467</v>
      </c>
      <c r="G784" s="61">
        <f>15.9468 * CHOOSE(CONTROL!$C$22, $C$13, 100%, $E$13)</f>
        <v>15.9468</v>
      </c>
      <c r="H784" s="61">
        <f>26.2524* CHOOSE(CONTROL!$C$22, $C$13, 100%, $E$13)</f>
        <v>26.252400000000002</v>
      </c>
      <c r="I784" s="61">
        <f>26.2526 * CHOOSE(CONTROL!$C$22, $C$13, 100%, $E$13)</f>
        <v>26.252600000000001</v>
      </c>
      <c r="J784" s="61">
        <f>15.9467 * CHOOSE(CONTROL!$C$22, $C$13, 100%, $E$13)</f>
        <v>15.9467</v>
      </c>
      <c r="K784" s="61">
        <f>15.9468 * CHOOSE(CONTROL!$C$22, $C$13, 100%, $E$13)</f>
        <v>15.9468</v>
      </c>
    </row>
    <row r="785" spans="1:11" ht="15">
      <c r="A785" s="13">
        <v>65746</v>
      </c>
      <c r="B785" s="60">
        <f>13.6262 * CHOOSE(CONTROL!$C$22, $C$13, 100%, $E$13)</f>
        <v>13.626200000000001</v>
      </c>
      <c r="C785" s="60">
        <f>13.6262 * CHOOSE(CONTROL!$C$22, $C$13, 100%, $E$13)</f>
        <v>13.626200000000001</v>
      </c>
      <c r="D785" s="60">
        <f>13.6387 * CHOOSE(CONTROL!$C$22, $C$13, 100%, $E$13)</f>
        <v>13.6387</v>
      </c>
      <c r="E785" s="61">
        <f>16.0048 * CHOOSE(CONTROL!$C$22, $C$13, 100%, $E$13)</f>
        <v>16.004799999999999</v>
      </c>
      <c r="F785" s="61">
        <f>16.0048 * CHOOSE(CONTROL!$C$22, $C$13, 100%, $E$13)</f>
        <v>16.004799999999999</v>
      </c>
      <c r="G785" s="61">
        <f>16.005 * CHOOSE(CONTROL!$C$22, $C$13, 100%, $E$13)</f>
        <v>16.004999999999999</v>
      </c>
      <c r="H785" s="61">
        <f>26.1041* CHOOSE(CONTROL!$C$22, $C$13, 100%, $E$13)</f>
        <v>26.104099999999999</v>
      </c>
      <c r="I785" s="61">
        <f>26.1043 * CHOOSE(CONTROL!$C$22, $C$13, 100%, $E$13)</f>
        <v>26.104299999999999</v>
      </c>
      <c r="J785" s="61">
        <f>16.0048 * CHOOSE(CONTROL!$C$22, $C$13, 100%, $E$13)</f>
        <v>16.004799999999999</v>
      </c>
      <c r="K785" s="61">
        <f>16.005 * CHOOSE(CONTROL!$C$22, $C$13, 100%, $E$13)</f>
        <v>16.004999999999999</v>
      </c>
    </row>
    <row r="786" spans="1:11" ht="15">
      <c r="A786" s="13">
        <v>65777</v>
      </c>
      <c r="B786" s="60">
        <f>13.6231 * CHOOSE(CONTROL!$C$22, $C$13, 100%, $E$13)</f>
        <v>13.623100000000001</v>
      </c>
      <c r="C786" s="60">
        <f>13.6231 * CHOOSE(CONTROL!$C$22, $C$13, 100%, $E$13)</f>
        <v>13.623100000000001</v>
      </c>
      <c r="D786" s="60">
        <f>13.6357 * CHOOSE(CONTROL!$C$22, $C$13, 100%, $E$13)</f>
        <v>13.6357</v>
      </c>
      <c r="E786" s="61">
        <f>15.8276 * CHOOSE(CONTROL!$C$22, $C$13, 100%, $E$13)</f>
        <v>15.8276</v>
      </c>
      <c r="F786" s="61">
        <f>15.8276 * CHOOSE(CONTROL!$C$22, $C$13, 100%, $E$13)</f>
        <v>15.8276</v>
      </c>
      <c r="G786" s="61">
        <f>15.8278 * CHOOSE(CONTROL!$C$22, $C$13, 100%, $E$13)</f>
        <v>15.8278</v>
      </c>
      <c r="H786" s="61">
        <f>26.1585* CHOOSE(CONTROL!$C$22, $C$13, 100%, $E$13)</f>
        <v>26.1585</v>
      </c>
      <c r="I786" s="61">
        <f>26.1587 * CHOOSE(CONTROL!$C$22, $C$13, 100%, $E$13)</f>
        <v>26.1587</v>
      </c>
      <c r="J786" s="61">
        <f>15.8276 * CHOOSE(CONTROL!$C$22, $C$13, 100%, $E$13)</f>
        <v>15.8276</v>
      </c>
      <c r="K786" s="61">
        <f>15.8278 * CHOOSE(CONTROL!$C$22, $C$13, 100%, $E$13)</f>
        <v>15.8278</v>
      </c>
    </row>
    <row r="787" spans="1:11" ht="15">
      <c r="A787" s="13">
        <v>65806</v>
      </c>
      <c r="B787" s="60">
        <f>13.6201 * CHOOSE(CONTROL!$C$22, $C$13, 100%, $E$13)</f>
        <v>13.620100000000001</v>
      </c>
      <c r="C787" s="60">
        <f>13.6201 * CHOOSE(CONTROL!$C$22, $C$13, 100%, $E$13)</f>
        <v>13.620100000000001</v>
      </c>
      <c r="D787" s="60">
        <f>13.6326 * CHOOSE(CONTROL!$C$22, $C$13, 100%, $E$13)</f>
        <v>13.6326</v>
      </c>
      <c r="E787" s="61">
        <f>15.9635 * CHOOSE(CONTROL!$C$22, $C$13, 100%, $E$13)</f>
        <v>15.9635</v>
      </c>
      <c r="F787" s="61">
        <f>15.9635 * CHOOSE(CONTROL!$C$22, $C$13, 100%, $E$13)</f>
        <v>15.9635</v>
      </c>
      <c r="G787" s="61">
        <f>15.9637 * CHOOSE(CONTROL!$C$22, $C$13, 100%, $E$13)</f>
        <v>15.963699999999999</v>
      </c>
      <c r="H787" s="61">
        <f>26.213* CHOOSE(CONTROL!$C$22, $C$13, 100%, $E$13)</f>
        <v>26.213000000000001</v>
      </c>
      <c r="I787" s="61">
        <f>26.2132 * CHOOSE(CONTROL!$C$22, $C$13, 100%, $E$13)</f>
        <v>26.213200000000001</v>
      </c>
      <c r="J787" s="61">
        <f>15.9635 * CHOOSE(CONTROL!$C$22, $C$13, 100%, $E$13)</f>
        <v>15.9635</v>
      </c>
      <c r="K787" s="61">
        <f>15.9637 * CHOOSE(CONTROL!$C$22, $C$13, 100%, $E$13)</f>
        <v>15.963699999999999</v>
      </c>
    </row>
    <row r="788" spans="1:11" ht="15">
      <c r="A788" s="13">
        <v>65837</v>
      </c>
      <c r="B788" s="60">
        <f>13.626 * CHOOSE(CONTROL!$C$22, $C$13, 100%, $E$13)</f>
        <v>13.625999999999999</v>
      </c>
      <c r="C788" s="60">
        <f>13.626 * CHOOSE(CONTROL!$C$22, $C$13, 100%, $E$13)</f>
        <v>13.625999999999999</v>
      </c>
      <c r="D788" s="60">
        <f>13.6385 * CHOOSE(CONTROL!$C$22, $C$13, 100%, $E$13)</f>
        <v>13.638500000000001</v>
      </c>
      <c r="E788" s="61">
        <f>16.1076 * CHOOSE(CONTROL!$C$22, $C$13, 100%, $E$13)</f>
        <v>16.107600000000001</v>
      </c>
      <c r="F788" s="61">
        <f>16.1076 * CHOOSE(CONTROL!$C$22, $C$13, 100%, $E$13)</f>
        <v>16.107600000000001</v>
      </c>
      <c r="G788" s="61">
        <f>16.1077 * CHOOSE(CONTROL!$C$22, $C$13, 100%, $E$13)</f>
        <v>16.107700000000001</v>
      </c>
      <c r="H788" s="61">
        <f>26.2676* CHOOSE(CONTROL!$C$22, $C$13, 100%, $E$13)</f>
        <v>26.267600000000002</v>
      </c>
      <c r="I788" s="61">
        <f>26.2678 * CHOOSE(CONTROL!$C$22, $C$13, 100%, $E$13)</f>
        <v>26.267800000000001</v>
      </c>
      <c r="J788" s="61">
        <f>16.1076 * CHOOSE(CONTROL!$C$22, $C$13, 100%, $E$13)</f>
        <v>16.107600000000001</v>
      </c>
      <c r="K788" s="61">
        <f>16.1077 * CHOOSE(CONTROL!$C$22, $C$13, 100%, $E$13)</f>
        <v>16.107700000000001</v>
      </c>
    </row>
    <row r="789" spans="1:11" ht="15">
      <c r="A789" s="13">
        <v>65867</v>
      </c>
      <c r="B789" s="60">
        <f>13.626 * CHOOSE(CONTROL!$C$22, $C$13, 100%, $E$13)</f>
        <v>13.625999999999999</v>
      </c>
      <c r="C789" s="60">
        <f>13.626 * CHOOSE(CONTROL!$C$22, $C$13, 100%, $E$13)</f>
        <v>13.625999999999999</v>
      </c>
      <c r="D789" s="60">
        <f>13.6511 * CHOOSE(CONTROL!$C$22, $C$13, 100%, $E$13)</f>
        <v>13.6511</v>
      </c>
      <c r="E789" s="61">
        <f>16.1632 * CHOOSE(CONTROL!$C$22, $C$13, 100%, $E$13)</f>
        <v>16.1632</v>
      </c>
      <c r="F789" s="61">
        <f>16.1632 * CHOOSE(CONTROL!$C$22, $C$13, 100%, $E$13)</f>
        <v>16.1632</v>
      </c>
      <c r="G789" s="61">
        <f>16.1648 * CHOOSE(CONTROL!$C$22, $C$13, 100%, $E$13)</f>
        <v>16.1648</v>
      </c>
      <c r="H789" s="61">
        <f>26.3223* CHOOSE(CONTROL!$C$22, $C$13, 100%, $E$13)</f>
        <v>26.322299999999998</v>
      </c>
      <c r="I789" s="61">
        <f>26.3239 * CHOOSE(CONTROL!$C$22, $C$13, 100%, $E$13)</f>
        <v>26.323899999999998</v>
      </c>
      <c r="J789" s="61">
        <f>16.1632 * CHOOSE(CONTROL!$C$22, $C$13, 100%, $E$13)</f>
        <v>16.1632</v>
      </c>
      <c r="K789" s="61">
        <f>16.1648 * CHOOSE(CONTROL!$C$22, $C$13, 100%, $E$13)</f>
        <v>16.1648</v>
      </c>
    </row>
    <row r="790" spans="1:11" ht="15">
      <c r="A790" s="13">
        <v>65898</v>
      </c>
      <c r="B790" s="60">
        <f>13.6321 * CHOOSE(CONTROL!$C$22, $C$13, 100%, $E$13)</f>
        <v>13.632099999999999</v>
      </c>
      <c r="C790" s="60">
        <f>13.6321 * CHOOSE(CONTROL!$C$22, $C$13, 100%, $E$13)</f>
        <v>13.632099999999999</v>
      </c>
      <c r="D790" s="60">
        <f>13.6571 * CHOOSE(CONTROL!$C$22, $C$13, 100%, $E$13)</f>
        <v>13.6571</v>
      </c>
      <c r="E790" s="61">
        <f>16.1118 * CHOOSE(CONTROL!$C$22, $C$13, 100%, $E$13)</f>
        <v>16.111799999999999</v>
      </c>
      <c r="F790" s="61">
        <f>16.1118 * CHOOSE(CONTROL!$C$22, $C$13, 100%, $E$13)</f>
        <v>16.111799999999999</v>
      </c>
      <c r="G790" s="61">
        <f>16.1134 * CHOOSE(CONTROL!$C$22, $C$13, 100%, $E$13)</f>
        <v>16.113399999999999</v>
      </c>
      <c r="H790" s="61">
        <f>26.3772* CHOOSE(CONTROL!$C$22, $C$13, 100%, $E$13)</f>
        <v>26.377199999999998</v>
      </c>
      <c r="I790" s="61">
        <f>26.3788 * CHOOSE(CONTROL!$C$22, $C$13, 100%, $E$13)</f>
        <v>26.378799999999998</v>
      </c>
      <c r="J790" s="61">
        <f>16.1118 * CHOOSE(CONTROL!$C$22, $C$13, 100%, $E$13)</f>
        <v>16.111799999999999</v>
      </c>
      <c r="K790" s="61">
        <f>16.1134 * CHOOSE(CONTROL!$C$22, $C$13, 100%, $E$13)</f>
        <v>16.113399999999999</v>
      </c>
    </row>
    <row r="791" spans="1:11" ht="15">
      <c r="A791" s="13">
        <v>65928</v>
      </c>
      <c r="B791" s="60">
        <f>13.8464 * CHOOSE(CONTROL!$C$22, $C$13, 100%, $E$13)</f>
        <v>13.846399999999999</v>
      </c>
      <c r="C791" s="60">
        <f>13.8464 * CHOOSE(CONTROL!$C$22, $C$13, 100%, $E$13)</f>
        <v>13.846399999999999</v>
      </c>
      <c r="D791" s="60">
        <f>13.8715 * CHOOSE(CONTROL!$C$22, $C$13, 100%, $E$13)</f>
        <v>13.871499999999999</v>
      </c>
      <c r="E791" s="61">
        <f>16.4191 * CHOOSE(CONTROL!$C$22, $C$13, 100%, $E$13)</f>
        <v>16.4191</v>
      </c>
      <c r="F791" s="61">
        <f>16.4191 * CHOOSE(CONTROL!$C$22, $C$13, 100%, $E$13)</f>
        <v>16.4191</v>
      </c>
      <c r="G791" s="61">
        <f>16.4207 * CHOOSE(CONTROL!$C$22, $C$13, 100%, $E$13)</f>
        <v>16.4207</v>
      </c>
      <c r="H791" s="61">
        <f>26.4321* CHOOSE(CONTROL!$C$22, $C$13, 100%, $E$13)</f>
        <v>26.432099999999998</v>
      </c>
      <c r="I791" s="61">
        <f>26.4337 * CHOOSE(CONTROL!$C$22, $C$13, 100%, $E$13)</f>
        <v>26.433700000000002</v>
      </c>
      <c r="J791" s="61">
        <f>16.4191 * CHOOSE(CONTROL!$C$22, $C$13, 100%, $E$13)</f>
        <v>16.4191</v>
      </c>
      <c r="K791" s="61">
        <f>16.4207 * CHOOSE(CONTROL!$C$22, $C$13, 100%, $E$13)</f>
        <v>16.4207</v>
      </c>
    </row>
    <row r="792" spans="1:11" ht="15">
      <c r="A792" s="13">
        <v>65959</v>
      </c>
      <c r="B792" s="60">
        <f>13.8531 * CHOOSE(CONTROL!$C$22, $C$13, 100%, $E$13)</f>
        <v>13.8531</v>
      </c>
      <c r="C792" s="60">
        <f>13.8531 * CHOOSE(CONTROL!$C$22, $C$13, 100%, $E$13)</f>
        <v>13.8531</v>
      </c>
      <c r="D792" s="60">
        <f>13.8781 * CHOOSE(CONTROL!$C$22, $C$13, 100%, $E$13)</f>
        <v>13.8781</v>
      </c>
      <c r="E792" s="61">
        <f>16.2569 * CHOOSE(CONTROL!$C$22, $C$13, 100%, $E$13)</f>
        <v>16.256900000000002</v>
      </c>
      <c r="F792" s="61">
        <f>16.2569 * CHOOSE(CONTROL!$C$22, $C$13, 100%, $E$13)</f>
        <v>16.256900000000002</v>
      </c>
      <c r="G792" s="61">
        <f>16.2585 * CHOOSE(CONTROL!$C$22, $C$13, 100%, $E$13)</f>
        <v>16.258500000000002</v>
      </c>
      <c r="H792" s="61">
        <f>26.4872* CHOOSE(CONTROL!$C$22, $C$13, 100%, $E$13)</f>
        <v>26.487200000000001</v>
      </c>
      <c r="I792" s="61">
        <f>26.4888 * CHOOSE(CONTROL!$C$22, $C$13, 100%, $E$13)</f>
        <v>26.488800000000001</v>
      </c>
      <c r="J792" s="61">
        <f>16.2569 * CHOOSE(CONTROL!$C$22, $C$13, 100%, $E$13)</f>
        <v>16.256900000000002</v>
      </c>
      <c r="K792" s="61">
        <f>16.2585 * CHOOSE(CONTROL!$C$22, $C$13, 100%, $E$13)</f>
        <v>16.258500000000002</v>
      </c>
    </row>
    <row r="793" spans="1:11" ht="15">
      <c r="A793" s="13">
        <v>65990</v>
      </c>
      <c r="B793" s="60">
        <f>13.85 * CHOOSE(CONTROL!$C$22, $C$13, 100%, $E$13)</f>
        <v>13.85</v>
      </c>
      <c r="C793" s="60">
        <f>13.85 * CHOOSE(CONTROL!$C$22, $C$13, 100%, $E$13)</f>
        <v>13.85</v>
      </c>
      <c r="D793" s="60">
        <f>13.8751 * CHOOSE(CONTROL!$C$22, $C$13, 100%, $E$13)</f>
        <v>13.8751</v>
      </c>
      <c r="E793" s="61">
        <f>16.2362 * CHOOSE(CONTROL!$C$22, $C$13, 100%, $E$13)</f>
        <v>16.2362</v>
      </c>
      <c r="F793" s="61">
        <f>16.2362 * CHOOSE(CONTROL!$C$22, $C$13, 100%, $E$13)</f>
        <v>16.2362</v>
      </c>
      <c r="G793" s="61">
        <f>16.2378 * CHOOSE(CONTROL!$C$22, $C$13, 100%, $E$13)</f>
        <v>16.2378</v>
      </c>
      <c r="H793" s="61">
        <f>26.5424* CHOOSE(CONTROL!$C$22, $C$13, 100%, $E$13)</f>
        <v>26.542400000000001</v>
      </c>
      <c r="I793" s="61">
        <f>26.544 * CHOOSE(CONTROL!$C$22, $C$13, 100%, $E$13)</f>
        <v>26.544</v>
      </c>
      <c r="J793" s="61">
        <f>16.2362 * CHOOSE(CONTROL!$C$22, $C$13, 100%, $E$13)</f>
        <v>16.2362</v>
      </c>
      <c r="K793" s="61">
        <f>16.2378 * CHOOSE(CONTROL!$C$22, $C$13, 100%, $E$13)</f>
        <v>16.2378</v>
      </c>
    </row>
    <row r="794" spans="1:11" ht="15">
      <c r="A794" s="13">
        <v>66020</v>
      </c>
      <c r="B794" s="60">
        <f>13.8774 * CHOOSE(CONTROL!$C$22, $C$13, 100%, $E$13)</f>
        <v>13.8774</v>
      </c>
      <c r="C794" s="60">
        <f>13.8774 * CHOOSE(CONTROL!$C$22, $C$13, 100%, $E$13)</f>
        <v>13.8774</v>
      </c>
      <c r="D794" s="60">
        <f>13.89 * CHOOSE(CONTROL!$C$22, $C$13, 100%, $E$13)</f>
        <v>13.89</v>
      </c>
      <c r="E794" s="61">
        <f>16.297 * CHOOSE(CONTROL!$C$22, $C$13, 100%, $E$13)</f>
        <v>16.297000000000001</v>
      </c>
      <c r="F794" s="61">
        <f>16.297 * CHOOSE(CONTROL!$C$22, $C$13, 100%, $E$13)</f>
        <v>16.297000000000001</v>
      </c>
      <c r="G794" s="61">
        <f>16.2971 * CHOOSE(CONTROL!$C$22, $C$13, 100%, $E$13)</f>
        <v>16.2971</v>
      </c>
      <c r="H794" s="61">
        <f>26.5977* CHOOSE(CONTROL!$C$22, $C$13, 100%, $E$13)</f>
        <v>26.5977</v>
      </c>
      <c r="I794" s="61">
        <f>26.5979 * CHOOSE(CONTROL!$C$22, $C$13, 100%, $E$13)</f>
        <v>26.597899999999999</v>
      </c>
      <c r="J794" s="61">
        <f>16.297 * CHOOSE(CONTROL!$C$22, $C$13, 100%, $E$13)</f>
        <v>16.297000000000001</v>
      </c>
      <c r="K794" s="61">
        <f>16.2971 * CHOOSE(CONTROL!$C$22, $C$13, 100%, $E$13)</f>
        <v>16.2971</v>
      </c>
    </row>
    <row r="795" spans="1:11" ht="15">
      <c r="A795" s="13">
        <v>66051</v>
      </c>
      <c r="B795" s="60">
        <f>13.8805 * CHOOSE(CONTROL!$C$22, $C$13, 100%, $E$13)</f>
        <v>13.8805</v>
      </c>
      <c r="C795" s="60">
        <f>13.8805 * CHOOSE(CONTROL!$C$22, $C$13, 100%, $E$13)</f>
        <v>13.8805</v>
      </c>
      <c r="D795" s="60">
        <f>13.893 * CHOOSE(CONTROL!$C$22, $C$13, 100%, $E$13)</f>
        <v>13.893000000000001</v>
      </c>
      <c r="E795" s="61">
        <f>16.3362 * CHOOSE(CONTROL!$C$22, $C$13, 100%, $E$13)</f>
        <v>16.336200000000002</v>
      </c>
      <c r="F795" s="61">
        <f>16.3362 * CHOOSE(CONTROL!$C$22, $C$13, 100%, $E$13)</f>
        <v>16.336200000000002</v>
      </c>
      <c r="G795" s="61">
        <f>16.3363 * CHOOSE(CONTROL!$C$22, $C$13, 100%, $E$13)</f>
        <v>16.336300000000001</v>
      </c>
      <c r="H795" s="61">
        <f>26.6531* CHOOSE(CONTROL!$C$22, $C$13, 100%, $E$13)</f>
        <v>26.653099999999998</v>
      </c>
      <c r="I795" s="61">
        <f>26.6533 * CHOOSE(CONTROL!$C$22, $C$13, 100%, $E$13)</f>
        <v>26.653300000000002</v>
      </c>
      <c r="J795" s="61">
        <f>16.3362 * CHOOSE(CONTROL!$C$22, $C$13, 100%, $E$13)</f>
        <v>16.336200000000002</v>
      </c>
      <c r="K795" s="61">
        <f>16.3363 * CHOOSE(CONTROL!$C$22, $C$13, 100%, $E$13)</f>
        <v>16.336300000000001</v>
      </c>
    </row>
    <row r="796" spans="1:11" ht="15">
      <c r="A796" s="13">
        <v>66081</v>
      </c>
      <c r="B796" s="60">
        <f>13.8805 * CHOOSE(CONTROL!$C$22, $C$13, 100%, $E$13)</f>
        <v>13.8805</v>
      </c>
      <c r="C796" s="60">
        <f>13.8805 * CHOOSE(CONTROL!$C$22, $C$13, 100%, $E$13)</f>
        <v>13.8805</v>
      </c>
      <c r="D796" s="60">
        <f>13.893 * CHOOSE(CONTROL!$C$22, $C$13, 100%, $E$13)</f>
        <v>13.893000000000001</v>
      </c>
      <c r="E796" s="61">
        <f>16.2435 * CHOOSE(CONTROL!$C$22, $C$13, 100%, $E$13)</f>
        <v>16.243500000000001</v>
      </c>
      <c r="F796" s="61">
        <f>16.2435 * CHOOSE(CONTROL!$C$22, $C$13, 100%, $E$13)</f>
        <v>16.243500000000001</v>
      </c>
      <c r="G796" s="61">
        <f>16.2437 * CHOOSE(CONTROL!$C$22, $C$13, 100%, $E$13)</f>
        <v>16.2437</v>
      </c>
      <c r="H796" s="61">
        <f>26.7086* CHOOSE(CONTROL!$C$22, $C$13, 100%, $E$13)</f>
        <v>26.708600000000001</v>
      </c>
      <c r="I796" s="61">
        <f>26.7088 * CHOOSE(CONTROL!$C$22, $C$13, 100%, $E$13)</f>
        <v>26.7088</v>
      </c>
      <c r="J796" s="61">
        <f>16.2435 * CHOOSE(CONTROL!$C$22, $C$13, 100%, $E$13)</f>
        <v>16.243500000000001</v>
      </c>
      <c r="K796" s="61">
        <f>16.2437 * CHOOSE(CONTROL!$C$22, $C$13, 100%, $E$13)</f>
        <v>16.2437</v>
      </c>
    </row>
    <row r="797" spans="1:11" ht="15">
      <c r="A797" s="13">
        <v>66112</v>
      </c>
      <c r="B797" s="60">
        <f>13.8715 * CHOOSE(CONTROL!$C$22, $C$13, 100%, $E$13)</f>
        <v>13.871499999999999</v>
      </c>
      <c r="C797" s="60">
        <f>13.8715 * CHOOSE(CONTROL!$C$22, $C$13, 100%, $E$13)</f>
        <v>13.871499999999999</v>
      </c>
      <c r="D797" s="60">
        <f>13.884 * CHOOSE(CONTROL!$C$22, $C$13, 100%, $E$13)</f>
        <v>13.884</v>
      </c>
      <c r="E797" s="61">
        <f>16.2972 * CHOOSE(CONTROL!$C$22, $C$13, 100%, $E$13)</f>
        <v>16.2972</v>
      </c>
      <c r="F797" s="61">
        <f>16.2972 * CHOOSE(CONTROL!$C$22, $C$13, 100%, $E$13)</f>
        <v>16.2972</v>
      </c>
      <c r="G797" s="61">
        <f>16.2974 * CHOOSE(CONTROL!$C$22, $C$13, 100%, $E$13)</f>
        <v>16.2974</v>
      </c>
      <c r="H797" s="61">
        <f>26.55* CHOOSE(CONTROL!$C$22, $C$13, 100%, $E$13)</f>
        <v>26.55</v>
      </c>
      <c r="I797" s="61">
        <f>26.5502 * CHOOSE(CONTROL!$C$22, $C$13, 100%, $E$13)</f>
        <v>26.5502</v>
      </c>
      <c r="J797" s="61">
        <f>16.2972 * CHOOSE(CONTROL!$C$22, $C$13, 100%, $E$13)</f>
        <v>16.2972</v>
      </c>
      <c r="K797" s="61">
        <f>16.2974 * CHOOSE(CONTROL!$C$22, $C$13, 100%, $E$13)</f>
        <v>16.2974</v>
      </c>
    </row>
    <row r="798" spans="1:11" ht="15">
      <c r="A798" s="13">
        <v>66143</v>
      </c>
      <c r="B798" s="60">
        <f>13.8685 * CHOOSE(CONTROL!$C$22, $C$13, 100%, $E$13)</f>
        <v>13.868499999999999</v>
      </c>
      <c r="C798" s="60">
        <f>13.8685 * CHOOSE(CONTROL!$C$22, $C$13, 100%, $E$13)</f>
        <v>13.868499999999999</v>
      </c>
      <c r="D798" s="60">
        <f>13.881 * CHOOSE(CONTROL!$C$22, $C$13, 100%, $E$13)</f>
        <v>13.881</v>
      </c>
      <c r="E798" s="61">
        <f>16.1168 * CHOOSE(CONTROL!$C$22, $C$13, 100%, $E$13)</f>
        <v>16.116800000000001</v>
      </c>
      <c r="F798" s="61">
        <f>16.1168 * CHOOSE(CONTROL!$C$22, $C$13, 100%, $E$13)</f>
        <v>16.116800000000001</v>
      </c>
      <c r="G798" s="61">
        <f>16.117 * CHOOSE(CONTROL!$C$22, $C$13, 100%, $E$13)</f>
        <v>16.117000000000001</v>
      </c>
      <c r="H798" s="61">
        <f>26.6053* CHOOSE(CONTROL!$C$22, $C$13, 100%, $E$13)</f>
        <v>26.6053</v>
      </c>
      <c r="I798" s="61">
        <f>26.6055 * CHOOSE(CONTROL!$C$22, $C$13, 100%, $E$13)</f>
        <v>26.605499999999999</v>
      </c>
      <c r="J798" s="61">
        <f>16.1168 * CHOOSE(CONTROL!$C$22, $C$13, 100%, $E$13)</f>
        <v>16.116800000000001</v>
      </c>
      <c r="K798" s="61">
        <f>16.117 * CHOOSE(CONTROL!$C$22, $C$13, 100%, $E$13)</f>
        <v>16.117000000000001</v>
      </c>
    </row>
    <row r="799" spans="1:11" ht="15">
      <c r="A799" s="13">
        <v>66171</v>
      </c>
      <c r="B799" s="60">
        <f>13.8654 * CHOOSE(CONTROL!$C$22, $C$13, 100%, $E$13)</f>
        <v>13.865399999999999</v>
      </c>
      <c r="C799" s="60">
        <f>13.8654 * CHOOSE(CONTROL!$C$22, $C$13, 100%, $E$13)</f>
        <v>13.865399999999999</v>
      </c>
      <c r="D799" s="60">
        <f>13.878 * CHOOSE(CONTROL!$C$22, $C$13, 100%, $E$13)</f>
        <v>13.878</v>
      </c>
      <c r="E799" s="61">
        <f>16.2553 * CHOOSE(CONTROL!$C$22, $C$13, 100%, $E$13)</f>
        <v>16.255299999999998</v>
      </c>
      <c r="F799" s="61">
        <f>16.2553 * CHOOSE(CONTROL!$C$22, $C$13, 100%, $E$13)</f>
        <v>16.255299999999998</v>
      </c>
      <c r="G799" s="61">
        <f>16.2554 * CHOOSE(CONTROL!$C$22, $C$13, 100%, $E$13)</f>
        <v>16.255400000000002</v>
      </c>
      <c r="H799" s="61">
        <f>26.6608* CHOOSE(CONTROL!$C$22, $C$13, 100%, $E$13)</f>
        <v>26.660799999999998</v>
      </c>
      <c r="I799" s="61">
        <f>26.6609 * CHOOSE(CONTROL!$C$22, $C$13, 100%, $E$13)</f>
        <v>26.660900000000002</v>
      </c>
      <c r="J799" s="61">
        <f>16.2553 * CHOOSE(CONTROL!$C$22, $C$13, 100%, $E$13)</f>
        <v>16.255299999999998</v>
      </c>
      <c r="K799" s="61">
        <f>16.2554 * CHOOSE(CONTROL!$C$22, $C$13, 100%, $E$13)</f>
        <v>16.255400000000002</v>
      </c>
    </row>
    <row r="800" spans="1:11" ht="15">
      <c r="A800" s="13">
        <v>66202</v>
      </c>
      <c r="B800" s="60">
        <f>13.8715 * CHOOSE(CONTROL!$C$22, $C$13, 100%, $E$13)</f>
        <v>13.871499999999999</v>
      </c>
      <c r="C800" s="60">
        <f>13.8715 * CHOOSE(CONTROL!$C$22, $C$13, 100%, $E$13)</f>
        <v>13.871499999999999</v>
      </c>
      <c r="D800" s="60">
        <f>13.884 * CHOOSE(CONTROL!$C$22, $C$13, 100%, $E$13)</f>
        <v>13.884</v>
      </c>
      <c r="E800" s="61">
        <f>16.402 * CHOOSE(CONTROL!$C$22, $C$13, 100%, $E$13)</f>
        <v>16.402000000000001</v>
      </c>
      <c r="F800" s="61">
        <f>16.402 * CHOOSE(CONTROL!$C$22, $C$13, 100%, $E$13)</f>
        <v>16.402000000000001</v>
      </c>
      <c r="G800" s="61">
        <f>16.4022 * CHOOSE(CONTROL!$C$22, $C$13, 100%, $E$13)</f>
        <v>16.402200000000001</v>
      </c>
      <c r="H800" s="61">
        <f>26.7163* CHOOSE(CONTROL!$C$22, $C$13, 100%, $E$13)</f>
        <v>26.7163</v>
      </c>
      <c r="I800" s="61">
        <f>26.7165 * CHOOSE(CONTROL!$C$22, $C$13, 100%, $E$13)</f>
        <v>26.7165</v>
      </c>
      <c r="J800" s="61">
        <f>16.402 * CHOOSE(CONTROL!$C$22, $C$13, 100%, $E$13)</f>
        <v>16.402000000000001</v>
      </c>
      <c r="K800" s="61">
        <f>16.4022 * CHOOSE(CONTROL!$C$22, $C$13, 100%, $E$13)</f>
        <v>16.402200000000001</v>
      </c>
    </row>
    <row r="801" spans="1:11" ht="15">
      <c r="A801" s="13">
        <v>66232</v>
      </c>
      <c r="B801" s="60">
        <f>13.8715 * CHOOSE(CONTROL!$C$22, $C$13, 100%, $E$13)</f>
        <v>13.871499999999999</v>
      </c>
      <c r="C801" s="60">
        <f>13.8715 * CHOOSE(CONTROL!$C$22, $C$13, 100%, $E$13)</f>
        <v>13.871499999999999</v>
      </c>
      <c r="D801" s="60">
        <f>13.8966 * CHOOSE(CONTROL!$C$22, $C$13, 100%, $E$13)</f>
        <v>13.896599999999999</v>
      </c>
      <c r="E801" s="61">
        <f>16.4586 * CHOOSE(CONTROL!$C$22, $C$13, 100%, $E$13)</f>
        <v>16.458600000000001</v>
      </c>
      <c r="F801" s="61">
        <f>16.4586 * CHOOSE(CONTROL!$C$22, $C$13, 100%, $E$13)</f>
        <v>16.458600000000001</v>
      </c>
      <c r="G801" s="61">
        <f>16.4602 * CHOOSE(CONTROL!$C$22, $C$13, 100%, $E$13)</f>
        <v>16.4602</v>
      </c>
      <c r="H801" s="61">
        <f>26.772* CHOOSE(CONTROL!$C$22, $C$13, 100%, $E$13)</f>
        <v>26.771999999999998</v>
      </c>
      <c r="I801" s="61">
        <f>26.7736 * CHOOSE(CONTROL!$C$22, $C$13, 100%, $E$13)</f>
        <v>26.773599999999998</v>
      </c>
      <c r="J801" s="61">
        <f>16.4586 * CHOOSE(CONTROL!$C$22, $C$13, 100%, $E$13)</f>
        <v>16.458600000000001</v>
      </c>
      <c r="K801" s="61">
        <f>16.4602 * CHOOSE(CONTROL!$C$22, $C$13, 100%, $E$13)</f>
        <v>16.4602</v>
      </c>
    </row>
    <row r="802" spans="1:11" ht="15">
      <c r="A802" s="13">
        <v>66263</v>
      </c>
      <c r="B802" s="60">
        <f>13.8776 * CHOOSE(CONTROL!$C$22, $C$13, 100%, $E$13)</f>
        <v>13.877599999999999</v>
      </c>
      <c r="C802" s="60">
        <f>13.8776 * CHOOSE(CONTROL!$C$22, $C$13, 100%, $E$13)</f>
        <v>13.877599999999999</v>
      </c>
      <c r="D802" s="60">
        <f>13.9027 * CHOOSE(CONTROL!$C$22, $C$13, 100%, $E$13)</f>
        <v>13.902699999999999</v>
      </c>
      <c r="E802" s="61">
        <f>16.4063 * CHOOSE(CONTROL!$C$22, $C$13, 100%, $E$13)</f>
        <v>16.406300000000002</v>
      </c>
      <c r="F802" s="61">
        <f>16.4063 * CHOOSE(CONTROL!$C$22, $C$13, 100%, $E$13)</f>
        <v>16.406300000000002</v>
      </c>
      <c r="G802" s="61">
        <f>16.4079 * CHOOSE(CONTROL!$C$22, $C$13, 100%, $E$13)</f>
        <v>16.407900000000001</v>
      </c>
      <c r="H802" s="61">
        <f>26.8277* CHOOSE(CONTROL!$C$22, $C$13, 100%, $E$13)</f>
        <v>26.8277</v>
      </c>
      <c r="I802" s="61">
        <f>26.8293 * CHOOSE(CONTROL!$C$22, $C$13, 100%, $E$13)</f>
        <v>26.8293</v>
      </c>
      <c r="J802" s="61">
        <f>16.4063 * CHOOSE(CONTROL!$C$22, $C$13, 100%, $E$13)</f>
        <v>16.406300000000002</v>
      </c>
      <c r="K802" s="61">
        <f>16.4079 * CHOOSE(CONTROL!$C$22, $C$13, 100%, $E$13)</f>
        <v>16.407900000000001</v>
      </c>
    </row>
    <row r="803" spans="1:11" ht="15">
      <c r="A803" s="13">
        <v>66293</v>
      </c>
      <c r="B803" s="60">
        <f>14.0956 * CHOOSE(CONTROL!$C$22, $C$13, 100%, $E$13)</f>
        <v>14.095599999999999</v>
      </c>
      <c r="C803" s="60">
        <f>14.0956 * CHOOSE(CONTROL!$C$22, $C$13, 100%, $E$13)</f>
        <v>14.095599999999999</v>
      </c>
      <c r="D803" s="60">
        <f>14.1207 * CHOOSE(CONTROL!$C$22, $C$13, 100%, $E$13)</f>
        <v>14.120699999999999</v>
      </c>
      <c r="E803" s="61">
        <f>16.7189 * CHOOSE(CONTROL!$C$22, $C$13, 100%, $E$13)</f>
        <v>16.718900000000001</v>
      </c>
      <c r="F803" s="61">
        <f>16.7189 * CHOOSE(CONTROL!$C$22, $C$13, 100%, $E$13)</f>
        <v>16.718900000000001</v>
      </c>
      <c r="G803" s="61">
        <f>16.7205 * CHOOSE(CONTROL!$C$22, $C$13, 100%, $E$13)</f>
        <v>16.720500000000001</v>
      </c>
      <c r="H803" s="61">
        <f>26.8836* CHOOSE(CONTROL!$C$22, $C$13, 100%, $E$13)</f>
        <v>26.883600000000001</v>
      </c>
      <c r="I803" s="61">
        <f>26.8852 * CHOOSE(CONTROL!$C$22, $C$13, 100%, $E$13)</f>
        <v>26.885200000000001</v>
      </c>
      <c r="J803" s="61">
        <f>16.7189 * CHOOSE(CONTROL!$C$22, $C$13, 100%, $E$13)</f>
        <v>16.718900000000001</v>
      </c>
      <c r="K803" s="61">
        <f>16.7205 * CHOOSE(CONTROL!$C$22, $C$13, 100%, $E$13)</f>
        <v>16.720500000000001</v>
      </c>
    </row>
    <row r="804" spans="1:11" ht="15">
      <c r="A804" s="13">
        <v>66324</v>
      </c>
      <c r="B804" s="60">
        <f>14.1023 * CHOOSE(CONTROL!$C$22, $C$13, 100%, $E$13)</f>
        <v>14.1023</v>
      </c>
      <c r="C804" s="60">
        <f>14.1023 * CHOOSE(CONTROL!$C$22, $C$13, 100%, $E$13)</f>
        <v>14.1023</v>
      </c>
      <c r="D804" s="60">
        <f>14.1274 * CHOOSE(CONTROL!$C$22, $C$13, 100%, $E$13)</f>
        <v>14.1274</v>
      </c>
      <c r="E804" s="61">
        <f>16.5537 * CHOOSE(CONTROL!$C$22, $C$13, 100%, $E$13)</f>
        <v>16.553699999999999</v>
      </c>
      <c r="F804" s="61">
        <f>16.5537 * CHOOSE(CONTROL!$C$22, $C$13, 100%, $E$13)</f>
        <v>16.553699999999999</v>
      </c>
      <c r="G804" s="61">
        <f>16.5553 * CHOOSE(CONTROL!$C$22, $C$13, 100%, $E$13)</f>
        <v>16.555299999999999</v>
      </c>
      <c r="H804" s="61">
        <f>26.9396* CHOOSE(CONTROL!$C$22, $C$13, 100%, $E$13)</f>
        <v>26.939599999999999</v>
      </c>
      <c r="I804" s="61">
        <f>26.9412 * CHOOSE(CONTROL!$C$22, $C$13, 100%, $E$13)</f>
        <v>26.941199999999998</v>
      </c>
      <c r="J804" s="61">
        <f>16.5537 * CHOOSE(CONTROL!$C$22, $C$13, 100%, $E$13)</f>
        <v>16.553699999999999</v>
      </c>
      <c r="K804" s="61">
        <f>16.5553 * CHOOSE(CONTROL!$C$22, $C$13, 100%, $E$13)</f>
        <v>16.555299999999999</v>
      </c>
    </row>
    <row r="805" spans="1:11" ht="15">
      <c r="A805" s="13">
        <v>66355</v>
      </c>
      <c r="B805" s="60">
        <f>14.0992 * CHOOSE(CONTROL!$C$22, $C$13, 100%, $E$13)</f>
        <v>14.0992</v>
      </c>
      <c r="C805" s="60">
        <f>14.0992 * CHOOSE(CONTROL!$C$22, $C$13, 100%, $E$13)</f>
        <v>14.0992</v>
      </c>
      <c r="D805" s="60">
        <f>14.1243 * CHOOSE(CONTROL!$C$22, $C$13, 100%, $E$13)</f>
        <v>14.1243</v>
      </c>
      <c r="E805" s="61">
        <f>16.5327 * CHOOSE(CONTROL!$C$22, $C$13, 100%, $E$13)</f>
        <v>16.532699999999998</v>
      </c>
      <c r="F805" s="61">
        <f>16.5327 * CHOOSE(CONTROL!$C$22, $C$13, 100%, $E$13)</f>
        <v>16.532699999999998</v>
      </c>
      <c r="G805" s="61">
        <f>16.5343 * CHOOSE(CONTROL!$C$22, $C$13, 100%, $E$13)</f>
        <v>16.534300000000002</v>
      </c>
      <c r="H805" s="61">
        <f>26.9958* CHOOSE(CONTROL!$C$22, $C$13, 100%, $E$13)</f>
        <v>26.995799999999999</v>
      </c>
      <c r="I805" s="61">
        <f>26.9974 * CHOOSE(CONTROL!$C$22, $C$13, 100%, $E$13)</f>
        <v>26.997399999999999</v>
      </c>
      <c r="J805" s="61">
        <f>16.5327 * CHOOSE(CONTROL!$C$22, $C$13, 100%, $E$13)</f>
        <v>16.532699999999998</v>
      </c>
      <c r="K805" s="61">
        <f>16.5343 * CHOOSE(CONTROL!$C$22, $C$13, 100%, $E$13)</f>
        <v>16.534300000000002</v>
      </c>
    </row>
    <row r="806" spans="1:11" ht="15">
      <c r="A806" s="13">
        <v>66385</v>
      </c>
      <c r="B806" s="60">
        <f>14.1275 * CHOOSE(CONTROL!$C$22, $C$13, 100%, $E$13)</f>
        <v>14.1275</v>
      </c>
      <c r="C806" s="60">
        <f>14.1275 * CHOOSE(CONTROL!$C$22, $C$13, 100%, $E$13)</f>
        <v>14.1275</v>
      </c>
      <c r="D806" s="60">
        <f>14.14 * CHOOSE(CONTROL!$C$22, $C$13, 100%, $E$13)</f>
        <v>14.14</v>
      </c>
      <c r="E806" s="61">
        <f>16.5948 * CHOOSE(CONTROL!$C$22, $C$13, 100%, $E$13)</f>
        <v>16.594799999999999</v>
      </c>
      <c r="F806" s="61">
        <f>16.5948 * CHOOSE(CONTROL!$C$22, $C$13, 100%, $E$13)</f>
        <v>16.594799999999999</v>
      </c>
      <c r="G806" s="61">
        <f>16.595 * CHOOSE(CONTROL!$C$22, $C$13, 100%, $E$13)</f>
        <v>16.594999999999999</v>
      </c>
      <c r="H806" s="61">
        <f>27.052* CHOOSE(CONTROL!$C$22, $C$13, 100%, $E$13)</f>
        <v>27.052</v>
      </c>
      <c r="I806" s="61">
        <f>27.0522 * CHOOSE(CONTROL!$C$22, $C$13, 100%, $E$13)</f>
        <v>27.052199999999999</v>
      </c>
      <c r="J806" s="61">
        <f>16.5948 * CHOOSE(CONTROL!$C$22, $C$13, 100%, $E$13)</f>
        <v>16.594799999999999</v>
      </c>
      <c r="K806" s="61">
        <f>16.595 * CHOOSE(CONTROL!$C$22, $C$13, 100%, $E$13)</f>
        <v>16.594999999999999</v>
      </c>
    </row>
    <row r="807" spans="1:11" ht="15">
      <c r="A807" s="13">
        <v>66416</v>
      </c>
      <c r="B807" s="60">
        <f>14.1305 * CHOOSE(CONTROL!$C$22, $C$13, 100%, $E$13)</f>
        <v>14.1305</v>
      </c>
      <c r="C807" s="60">
        <f>14.1305 * CHOOSE(CONTROL!$C$22, $C$13, 100%, $E$13)</f>
        <v>14.1305</v>
      </c>
      <c r="D807" s="60">
        <f>14.143 * CHOOSE(CONTROL!$C$22, $C$13, 100%, $E$13)</f>
        <v>14.143000000000001</v>
      </c>
      <c r="E807" s="61">
        <f>16.6347 * CHOOSE(CONTROL!$C$22, $C$13, 100%, $E$13)</f>
        <v>16.634699999999999</v>
      </c>
      <c r="F807" s="61">
        <f>16.6347 * CHOOSE(CONTROL!$C$22, $C$13, 100%, $E$13)</f>
        <v>16.634699999999999</v>
      </c>
      <c r="G807" s="61">
        <f>16.6349 * CHOOSE(CONTROL!$C$22, $C$13, 100%, $E$13)</f>
        <v>16.634899999999998</v>
      </c>
      <c r="H807" s="61">
        <f>27.1084* CHOOSE(CONTROL!$C$22, $C$13, 100%, $E$13)</f>
        <v>27.1084</v>
      </c>
      <c r="I807" s="61">
        <f>27.1085 * CHOOSE(CONTROL!$C$22, $C$13, 100%, $E$13)</f>
        <v>27.108499999999999</v>
      </c>
      <c r="J807" s="61">
        <f>16.6347 * CHOOSE(CONTROL!$C$22, $C$13, 100%, $E$13)</f>
        <v>16.634699999999999</v>
      </c>
      <c r="K807" s="61">
        <f>16.6349 * CHOOSE(CONTROL!$C$22, $C$13, 100%, $E$13)</f>
        <v>16.634899999999998</v>
      </c>
    </row>
    <row r="808" spans="1:11" ht="15">
      <c r="A808" s="13">
        <v>66446</v>
      </c>
      <c r="B808" s="60">
        <f>14.1305 * CHOOSE(CONTROL!$C$22, $C$13, 100%, $E$13)</f>
        <v>14.1305</v>
      </c>
      <c r="C808" s="60">
        <f>14.1305 * CHOOSE(CONTROL!$C$22, $C$13, 100%, $E$13)</f>
        <v>14.1305</v>
      </c>
      <c r="D808" s="60">
        <f>14.143 * CHOOSE(CONTROL!$C$22, $C$13, 100%, $E$13)</f>
        <v>14.143000000000001</v>
      </c>
      <c r="E808" s="61">
        <f>16.5403 * CHOOSE(CONTROL!$C$22, $C$13, 100%, $E$13)</f>
        <v>16.540299999999998</v>
      </c>
      <c r="F808" s="61">
        <f>16.5403 * CHOOSE(CONTROL!$C$22, $C$13, 100%, $E$13)</f>
        <v>16.540299999999998</v>
      </c>
      <c r="G808" s="61">
        <f>16.5405 * CHOOSE(CONTROL!$C$22, $C$13, 100%, $E$13)</f>
        <v>16.540500000000002</v>
      </c>
      <c r="H808" s="61">
        <f>27.1648* CHOOSE(CONTROL!$C$22, $C$13, 100%, $E$13)</f>
        <v>27.1648</v>
      </c>
      <c r="I808" s="61">
        <f>27.165 * CHOOSE(CONTROL!$C$22, $C$13, 100%, $E$13)</f>
        <v>27.164999999999999</v>
      </c>
      <c r="J808" s="61">
        <f>16.5403 * CHOOSE(CONTROL!$C$22, $C$13, 100%, $E$13)</f>
        <v>16.540299999999998</v>
      </c>
      <c r="K808" s="61">
        <f>16.5405 * CHOOSE(CONTROL!$C$22, $C$13, 100%, $E$13)</f>
        <v>16.540500000000002</v>
      </c>
    </row>
    <row r="809" spans="1:11" ht="15">
      <c r="A809" s="13">
        <v>66477</v>
      </c>
      <c r="B809" s="60">
        <f>14.1168 * CHOOSE(CONTROL!$C$22, $C$13, 100%, $E$13)</f>
        <v>14.1168</v>
      </c>
      <c r="C809" s="60">
        <f>14.1168 * CHOOSE(CONTROL!$C$22, $C$13, 100%, $E$13)</f>
        <v>14.1168</v>
      </c>
      <c r="D809" s="60">
        <f>14.1294 * CHOOSE(CONTROL!$C$22, $C$13, 100%, $E$13)</f>
        <v>14.1294</v>
      </c>
      <c r="E809" s="61">
        <f>16.5897 * CHOOSE(CONTROL!$C$22, $C$13, 100%, $E$13)</f>
        <v>16.589700000000001</v>
      </c>
      <c r="F809" s="61">
        <f>16.5897 * CHOOSE(CONTROL!$C$22, $C$13, 100%, $E$13)</f>
        <v>16.589700000000001</v>
      </c>
      <c r="G809" s="61">
        <f>16.5898 * CHOOSE(CONTROL!$C$22, $C$13, 100%, $E$13)</f>
        <v>16.5898</v>
      </c>
      <c r="H809" s="61">
        <f>26.9959* CHOOSE(CONTROL!$C$22, $C$13, 100%, $E$13)</f>
        <v>26.995899999999999</v>
      </c>
      <c r="I809" s="61">
        <f>26.9961 * CHOOSE(CONTROL!$C$22, $C$13, 100%, $E$13)</f>
        <v>26.996099999999998</v>
      </c>
      <c r="J809" s="61">
        <f>16.5897 * CHOOSE(CONTROL!$C$22, $C$13, 100%, $E$13)</f>
        <v>16.589700000000001</v>
      </c>
      <c r="K809" s="61">
        <f>16.5898 * CHOOSE(CONTROL!$C$22, $C$13, 100%, $E$13)</f>
        <v>16.5898</v>
      </c>
    </row>
    <row r="810" spans="1:11" ht="15">
      <c r="A810" s="13">
        <v>66508</v>
      </c>
      <c r="B810" s="60">
        <f>14.1138 * CHOOSE(CONTROL!$C$22, $C$13, 100%, $E$13)</f>
        <v>14.113799999999999</v>
      </c>
      <c r="C810" s="60">
        <f>14.1138 * CHOOSE(CONTROL!$C$22, $C$13, 100%, $E$13)</f>
        <v>14.113799999999999</v>
      </c>
      <c r="D810" s="60">
        <f>14.1263 * CHOOSE(CONTROL!$C$22, $C$13, 100%, $E$13)</f>
        <v>14.126300000000001</v>
      </c>
      <c r="E810" s="61">
        <f>16.406 * CHOOSE(CONTROL!$C$22, $C$13, 100%, $E$13)</f>
        <v>16.405999999999999</v>
      </c>
      <c r="F810" s="61">
        <f>16.406 * CHOOSE(CONTROL!$C$22, $C$13, 100%, $E$13)</f>
        <v>16.405999999999999</v>
      </c>
      <c r="G810" s="61">
        <f>16.4062 * CHOOSE(CONTROL!$C$22, $C$13, 100%, $E$13)</f>
        <v>16.406199999999998</v>
      </c>
      <c r="H810" s="61">
        <f>27.0522* CHOOSE(CONTROL!$C$22, $C$13, 100%, $E$13)</f>
        <v>27.052199999999999</v>
      </c>
      <c r="I810" s="61">
        <f>27.0523 * CHOOSE(CONTROL!$C$22, $C$13, 100%, $E$13)</f>
        <v>27.052299999999999</v>
      </c>
      <c r="J810" s="61">
        <f>16.406 * CHOOSE(CONTROL!$C$22, $C$13, 100%, $E$13)</f>
        <v>16.405999999999999</v>
      </c>
      <c r="K810" s="61">
        <f>16.4062 * CHOOSE(CONTROL!$C$22, $C$13, 100%, $E$13)</f>
        <v>16.406199999999998</v>
      </c>
    </row>
    <row r="811" spans="1:11" ht="15">
      <c r="A811" s="13">
        <v>66536</v>
      </c>
      <c r="B811" s="60">
        <f>14.1107 * CHOOSE(CONTROL!$C$22, $C$13, 100%, $E$13)</f>
        <v>14.1107</v>
      </c>
      <c r="C811" s="60">
        <f>14.1107 * CHOOSE(CONTROL!$C$22, $C$13, 100%, $E$13)</f>
        <v>14.1107</v>
      </c>
      <c r="D811" s="60">
        <f>14.1233 * CHOOSE(CONTROL!$C$22, $C$13, 100%, $E$13)</f>
        <v>14.1233</v>
      </c>
      <c r="E811" s="61">
        <f>16.547 * CHOOSE(CONTROL!$C$22, $C$13, 100%, $E$13)</f>
        <v>16.547000000000001</v>
      </c>
      <c r="F811" s="61">
        <f>16.547 * CHOOSE(CONTROL!$C$22, $C$13, 100%, $E$13)</f>
        <v>16.547000000000001</v>
      </c>
      <c r="G811" s="61">
        <f>16.5472 * CHOOSE(CONTROL!$C$22, $C$13, 100%, $E$13)</f>
        <v>16.5472</v>
      </c>
      <c r="H811" s="61">
        <f>27.1085* CHOOSE(CONTROL!$C$22, $C$13, 100%, $E$13)</f>
        <v>27.108499999999999</v>
      </c>
      <c r="I811" s="61">
        <f>27.1087 * CHOOSE(CONTROL!$C$22, $C$13, 100%, $E$13)</f>
        <v>27.108699999999999</v>
      </c>
      <c r="J811" s="61">
        <f>16.547 * CHOOSE(CONTROL!$C$22, $C$13, 100%, $E$13)</f>
        <v>16.547000000000001</v>
      </c>
      <c r="K811" s="61">
        <f>16.5472 * CHOOSE(CONTROL!$C$22, $C$13, 100%, $E$13)</f>
        <v>16.5472</v>
      </c>
    </row>
    <row r="812" spans="1:11" ht="15">
      <c r="A812" s="13">
        <v>66567</v>
      </c>
      <c r="B812" s="60">
        <f>14.117 * CHOOSE(CONTROL!$C$22, $C$13, 100%, $E$13)</f>
        <v>14.117000000000001</v>
      </c>
      <c r="C812" s="60">
        <f>14.117 * CHOOSE(CONTROL!$C$22, $C$13, 100%, $E$13)</f>
        <v>14.117000000000001</v>
      </c>
      <c r="D812" s="60">
        <f>14.1296 * CHOOSE(CONTROL!$C$22, $C$13, 100%, $E$13)</f>
        <v>14.1296</v>
      </c>
      <c r="E812" s="61">
        <f>16.6965 * CHOOSE(CONTROL!$C$22, $C$13, 100%, $E$13)</f>
        <v>16.6965</v>
      </c>
      <c r="F812" s="61">
        <f>16.6965 * CHOOSE(CONTROL!$C$22, $C$13, 100%, $E$13)</f>
        <v>16.6965</v>
      </c>
      <c r="G812" s="61">
        <f>16.6966 * CHOOSE(CONTROL!$C$22, $C$13, 100%, $E$13)</f>
        <v>16.6966</v>
      </c>
      <c r="H812" s="61">
        <f>27.165* CHOOSE(CONTROL!$C$22, $C$13, 100%, $E$13)</f>
        <v>27.164999999999999</v>
      </c>
      <c r="I812" s="61">
        <f>27.1652 * CHOOSE(CONTROL!$C$22, $C$13, 100%, $E$13)</f>
        <v>27.165199999999999</v>
      </c>
      <c r="J812" s="61">
        <f>16.6965 * CHOOSE(CONTROL!$C$22, $C$13, 100%, $E$13)</f>
        <v>16.6965</v>
      </c>
      <c r="K812" s="61">
        <f>16.6966 * CHOOSE(CONTROL!$C$22, $C$13, 100%, $E$13)</f>
        <v>16.6966</v>
      </c>
    </row>
    <row r="813" spans="1:11" ht="15">
      <c r="A813" s="13">
        <v>66597</v>
      </c>
      <c r="B813" s="60">
        <f>14.117 * CHOOSE(CONTROL!$C$22, $C$13, 100%, $E$13)</f>
        <v>14.117000000000001</v>
      </c>
      <c r="C813" s="60">
        <f>14.117 * CHOOSE(CONTROL!$C$22, $C$13, 100%, $E$13)</f>
        <v>14.117000000000001</v>
      </c>
      <c r="D813" s="60">
        <f>14.1421 * CHOOSE(CONTROL!$C$22, $C$13, 100%, $E$13)</f>
        <v>14.142099999999999</v>
      </c>
      <c r="E813" s="61">
        <f>16.7541 * CHOOSE(CONTROL!$C$22, $C$13, 100%, $E$13)</f>
        <v>16.754100000000001</v>
      </c>
      <c r="F813" s="61">
        <f>16.7541 * CHOOSE(CONTROL!$C$22, $C$13, 100%, $E$13)</f>
        <v>16.754100000000001</v>
      </c>
      <c r="G813" s="61">
        <f>16.7557 * CHOOSE(CONTROL!$C$22, $C$13, 100%, $E$13)</f>
        <v>16.755700000000001</v>
      </c>
      <c r="H813" s="61">
        <f>27.2216* CHOOSE(CONTROL!$C$22, $C$13, 100%, $E$13)</f>
        <v>27.221599999999999</v>
      </c>
      <c r="I813" s="61">
        <f>27.2232 * CHOOSE(CONTROL!$C$22, $C$13, 100%, $E$13)</f>
        <v>27.223199999999999</v>
      </c>
      <c r="J813" s="61">
        <f>16.7541 * CHOOSE(CONTROL!$C$22, $C$13, 100%, $E$13)</f>
        <v>16.754100000000001</v>
      </c>
      <c r="K813" s="61">
        <f>16.7557 * CHOOSE(CONTROL!$C$22, $C$13, 100%, $E$13)</f>
        <v>16.755700000000001</v>
      </c>
    </row>
    <row r="814" spans="1:11" ht="15">
      <c r="A814" s="13">
        <v>66628</v>
      </c>
      <c r="B814" s="60">
        <f>14.1231 * CHOOSE(CONTROL!$C$22, $C$13, 100%, $E$13)</f>
        <v>14.123100000000001</v>
      </c>
      <c r="C814" s="60">
        <f>14.1231 * CHOOSE(CONTROL!$C$22, $C$13, 100%, $E$13)</f>
        <v>14.123100000000001</v>
      </c>
      <c r="D814" s="60">
        <f>14.1482 * CHOOSE(CONTROL!$C$22, $C$13, 100%, $E$13)</f>
        <v>14.148199999999999</v>
      </c>
      <c r="E814" s="61">
        <f>16.7007 * CHOOSE(CONTROL!$C$22, $C$13, 100%, $E$13)</f>
        <v>16.700700000000001</v>
      </c>
      <c r="F814" s="61">
        <f>16.7007 * CHOOSE(CONTROL!$C$22, $C$13, 100%, $E$13)</f>
        <v>16.700700000000001</v>
      </c>
      <c r="G814" s="61">
        <f>16.7023 * CHOOSE(CONTROL!$C$22, $C$13, 100%, $E$13)</f>
        <v>16.702300000000001</v>
      </c>
      <c r="H814" s="61">
        <f>27.2783* CHOOSE(CONTROL!$C$22, $C$13, 100%, $E$13)</f>
        <v>27.278300000000002</v>
      </c>
      <c r="I814" s="61">
        <f>27.2799 * CHOOSE(CONTROL!$C$22, $C$13, 100%, $E$13)</f>
        <v>27.279900000000001</v>
      </c>
      <c r="J814" s="61">
        <f>16.7007 * CHOOSE(CONTROL!$C$22, $C$13, 100%, $E$13)</f>
        <v>16.700700000000001</v>
      </c>
      <c r="K814" s="61">
        <f>16.7023 * CHOOSE(CONTROL!$C$22, $C$13, 100%, $E$13)</f>
        <v>16.702300000000001</v>
      </c>
    </row>
    <row r="815" spans="1:11" ht="15">
      <c r="A815" s="13">
        <v>66658</v>
      </c>
      <c r="B815" s="60">
        <f>14.3448 * CHOOSE(CONTROL!$C$22, $C$13, 100%, $E$13)</f>
        <v>14.344799999999999</v>
      </c>
      <c r="C815" s="60">
        <f>14.3448 * CHOOSE(CONTROL!$C$22, $C$13, 100%, $E$13)</f>
        <v>14.344799999999999</v>
      </c>
      <c r="D815" s="60">
        <f>14.3699 * CHOOSE(CONTROL!$C$22, $C$13, 100%, $E$13)</f>
        <v>14.369899999999999</v>
      </c>
      <c r="E815" s="61">
        <f>17.0188 * CHOOSE(CONTROL!$C$22, $C$13, 100%, $E$13)</f>
        <v>17.018799999999999</v>
      </c>
      <c r="F815" s="61">
        <f>17.0188 * CHOOSE(CONTROL!$C$22, $C$13, 100%, $E$13)</f>
        <v>17.018799999999999</v>
      </c>
      <c r="G815" s="61">
        <f>17.0204 * CHOOSE(CONTROL!$C$22, $C$13, 100%, $E$13)</f>
        <v>17.020399999999999</v>
      </c>
      <c r="H815" s="61">
        <f>27.3351* CHOOSE(CONTROL!$C$22, $C$13, 100%, $E$13)</f>
        <v>27.335100000000001</v>
      </c>
      <c r="I815" s="61">
        <f>27.3367 * CHOOSE(CONTROL!$C$22, $C$13, 100%, $E$13)</f>
        <v>27.3367</v>
      </c>
      <c r="J815" s="61">
        <f>17.0188 * CHOOSE(CONTROL!$C$22, $C$13, 100%, $E$13)</f>
        <v>17.018799999999999</v>
      </c>
      <c r="K815" s="61">
        <f>17.0204 * CHOOSE(CONTROL!$C$22, $C$13, 100%, $E$13)</f>
        <v>17.020399999999999</v>
      </c>
    </row>
    <row r="816" spans="1:11" ht="15">
      <c r="A816" s="13">
        <v>66689</v>
      </c>
      <c r="B816" s="60">
        <f>14.3515 * CHOOSE(CONTROL!$C$22, $C$13, 100%, $E$13)</f>
        <v>14.3515</v>
      </c>
      <c r="C816" s="60">
        <f>14.3515 * CHOOSE(CONTROL!$C$22, $C$13, 100%, $E$13)</f>
        <v>14.3515</v>
      </c>
      <c r="D816" s="60">
        <f>14.3766 * CHOOSE(CONTROL!$C$22, $C$13, 100%, $E$13)</f>
        <v>14.3766</v>
      </c>
      <c r="E816" s="61">
        <f>16.8506 * CHOOSE(CONTROL!$C$22, $C$13, 100%, $E$13)</f>
        <v>16.8506</v>
      </c>
      <c r="F816" s="61">
        <f>16.8506 * CHOOSE(CONTROL!$C$22, $C$13, 100%, $E$13)</f>
        <v>16.8506</v>
      </c>
      <c r="G816" s="61">
        <f>16.8522 * CHOOSE(CONTROL!$C$22, $C$13, 100%, $E$13)</f>
        <v>16.8522</v>
      </c>
      <c r="H816" s="61">
        <f>27.3921* CHOOSE(CONTROL!$C$22, $C$13, 100%, $E$13)</f>
        <v>27.392099999999999</v>
      </c>
      <c r="I816" s="61">
        <f>27.3937 * CHOOSE(CONTROL!$C$22, $C$13, 100%, $E$13)</f>
        <v>27.393699999999999</v>
      </c>
      <c r="J816" s="61">
        <f>16.8506 * CHOOSE(CONTROL!$C$22, $C$13, 100%, $E$13)</f>
        <v>16.8506</v>
      </c>
      <c r="K816" s="61">
        <f>16.8522 * CHOOSE(CONTROL!$C$22, $C$13, 100%, $E$13)</f>
        <v>16.8522</v>
      </c>
    </row>
    <row r="817" spans="1:11" ht="15">
      <c r="A817" s="13">
        <v>66720</v>
      </c>
      <c r="B817" s="60">
        <f>14.3484 * CHOOSE(CONTROL!$C$22, $C$13, 100%, $E$13)</f>
        <v>14.3484</v>
      </c>
      <c r="C817" s="60">
        <f>14.3484 * CHOOSE(CONTROL!$C$22, $C$13, 100%, $E$13)</f>
        <v>14.3484</v>
      </c>
      <c r="D817" s="60">
        <f>14.3735 * CHOOSE(CONTROL!$C$22, $C$13, 100%, $E$13)</f>
        <v>14.3735</v>
      </c>
      <c r="E817" s="61">
        <f>16.8292 * CHOOSE(CONTROL!$C$22, $C$13, 100%, $E$13)</f>
        <v>16.8292</v>
      </c>
      <c r="F817" s="61">
        <f>16.8292 * CHOOSE(CONTROL!$C$22, $C$13, 100%, $E$13)</f>
        <v>16.8292</v>
      </c>
      <c r="G817" s="61">
        <f>16.8308 * CHOOSE(CONTROL!$C$22, $C$13, 100%, $E$13)</f>
        <v>16.8308</v>
      </c>
      <c r="H817" s="61">
        <f>27.4491* CHOOSE(CONTROL!$C$22, $C$13, 100%, $E$13)</f>
        <v>27.449100000000001</v>
      </c>
      <c r="I817" s="61">
        <f>27.4507 * CHOOSE(CONTROL!$C$22, $C$13, 100%, $E$13)</f>
        <v>27.450700000000001</v>
      </c>
      <c r="J817" s="61">
        <f>16.8292 * CHOOSE(CONTROL!$C$22, $C$13, 100%, $E$13)</f>
        <v>16.8292</v>
      </c>
      <c r="K817" s="61">
        <f>16.8308 * CHOOSE(CONTROL!$C$22, $C$13, 100%, $E$13)</f>
        <v>16.8308</v>
      </c>
    </row>
    <row r="818" spans="1:11" ht="15">
      <c r="A818" s="13">
        <v>66750</v>
      </c>
      <c r="B818" s="60">
        <f>14.3775 * CHOOSE(CONTROL!$C$22, $C$13, 100%, $E$13)</f>
        <v>14.3775</v>
      </c>
      <c r="C818" s="60">
        <f>14.3775 * CHOOSE(CONTROL!$C$22, $C$13, 100%, $E$13)</f>
        <v>14.3775</v>
      </c>
      <c r="D818" s="60">
        <f>14.39 * CHOOSE(CONTROL!$C$22, $C$13, 100%, $E$13)</f>
        <v>14.39</v>
      </c>
      <c r="E818" s="61">
        <f>16.8927 * CHOOSE(CONTROL!$C$22, $C$13, 100%, $E$13)</f>
        <v>16.892700000000001</v>
      </c>
      <c r="F818" s="61">
        <f>16.8927 * CHOOSE(CONTROL!$C$22, $C$13, 100%, $E$13)</f>
        <v>16.892700000000001</v>
      </c>
      <c r="G818" s="61">
        <f>16.8928 * CHOOSE(CONTROL!$C$22, $C$13, 100%, $E$13)</f>
        <v>16.892800000000001</v>
      </c>
      <c r="H818" s="61">
        <f>27.5063* CHOOSE(CONTROL!$C$22, $C$13, 100%, $E$13)</f>
        <v>27.5063</v>
      </c>
      <c r="I818" s="61">
        <f>27.5065 * CHOOSE(CONTROL!$C$22, $C$13, 100%, $E$13)</f>
        <v>27.506499999999999</v>
      </c>
      <c r="J818" s="61">
        <f>16.8927 * CHOOSE(CONTROL!$C$22, $C$13, 100%, $E$13)</f>
        <v>16.892700000000001</v>
      </c>
      <c r="K818" s="61">
        <f>16.8928 * CHOOSE(CONTROL!$C$22, $C$13, 100%, $E$13)</f>
        <v>16.892800000000001</v>
      </c>
    </row>
    <row r="819" spans="1:11" ht="15">
      <c r="A819" s="13">
        <v>66781</v>
      </c>
      <c r="B819" s="60">
        <f>14.3805 * CHOOSE(CONTROL!$C$22, $C$13, 100%, $E$13)</f>
        <v>14.3805</v>
      </c>
      <c r="C819" s="60">
        <f>14.3805 * CHOOSE(CONTROL!$C$22, $C$13, 100%, $E$13)</f>
        <v>14.3805</v>
      </c>
      <c r="D819" s="60">
        <f>14.3931 * CHOOSE(CONTROL!$C$22, $C$13, 100%, $E$13)</f>
        <v>14.3931</v>
      </c>
      <c r="E819" s="61">
        <f>16.9332 * CHOOSE(CONTROL!$C$22, $C$13, 100%, $E$13)</f>
        <v>16.933199999999999</v>
      </c>
      <c r="F819" s="61">
        <f>16.9332 * CHOOSE(CONTROL!$C$22, $C$13, 100%, $E$13)</f>
        <v>16.933199999999999</v>
      </c>
      <c r="G819" s="61">
        <f>16.9334 * CHOOSE(CONTROL!$C$22, $C$13, 100%, $E$13)</f>
        <v>16.933399999999999</v>
      </c>
      <c r="H819" s="61">
        <f>27.5636* CHOOSE(CONTROL!$C$22, $C$13, 100%, $E$13)</f>
        <v>27.563600000000001</v>
      </c>
      <c r="I819" s="61">
        <f>27.5638 * CHOOSE(CONTROL!$C$22, $C$13, 100%, $E$13)</f>
        <v>27.563800000000001</v>
      </c>
      <c r="J819" s="61">
        <f>16.9332 * CHOOSE(CONTROL!$C$22, $C$13, 100%, $E$13)</f>
        <v>16.933199999999999</v>
      </c>
      <c r="K819" s="61">
        <f>16.9334 * CHOOSE(CONTROL!$C$22, $C$13, 100%, $E$13)</f>
        <v>16.933399999999999</v>
      </c>
    </row>
    <row r="820" spans="1:11" ht="15">
      <c r="A820" s="13">
        <v>66811</v>
      </c>
      <c r="B820" s="60">
        <f>14.3805 * CHOOSE(CONTROL!$C$22, $C$13, 100%, $E$13)</f>
        <v>14.3805</v>
      </c>
      <c r="C820" s="60">
        <f>14.3805 * CHOOSE(CONTROL!$C$22, $C$13, 100%, $E$13)</f>
        <v>14.3805</v>
      </c>
      <c r="D820" s="60">
        <f>14.3931 * CHOOSE(CONTROL!$C$22, $C$13, 100%, $E$13)</f>
        <v>14.3931</v>
      </c>
      <c r="E820" s="61">
        <f>16.8371 * CHOOSE(CONTROL!$C$22, $C$13, 100%, $E$13)</f>
        <v>16.8371</v>
      </c>
      <c r="F820" s="61">
        <f>16.8371 * CHOOSE(CONTROL!$C$22, $C$13, 100%, $E$13)</f>
        <v>16.8371</v>
      </c>
      <c r="G820" s="61">
        <f>16.8373 * CHOOSE(CONTROL!$C$22, $C$13, 100%, $E$13)</f>
        <v>16.837299999999999</v>
      </c>
      <c r="H820" s="61">
        <f>27.6211* CHOOSE(CONTROL!$C$22, $C$13, 100%, $E$13)</f>
        <v>27.621099999999998</v>
      </c>
      <c r="I820" s="61">
        <f>27.6212 * CHOOSE(CONTROL!$C$22, $C$13, 100%, $E$13)</f>
        <v>27.621200000000002</v>
      </c>
      <c r="J820" s="61">
        <f>16.8371 * CHOOSE(CONTROL!$C$22, $C$13, 100%, $E$13)</f>
        <v>16.8371</v>
      </c>
      <c r="K820" s="61">
        <f>16.8373 * CHOOSE(CONTROL!$C$22, $C$13, 100%, $E$13)</f>
        <v>16.837299999999999</v>
      </c>
    </row>
    <row r="821" spans="1:11" ht="15">
      <c r="A821" s="13">
        <v>66842</v>
      </c>
      <c r="B821" s="60">
        <f>14.3621 * CHOOSE(CONTROL!$C$22, $C$13, 100%, $E$13)</f>
        <v>14.3621</v>
      </c>
      <c r="C821" s="60">
        <f>14.3621 * CHOOSE(CONTROL!$C$22, $C$13, 100%, $E$13)</f>
        <v>14.3621</v>
      </c>
      <c r="D821" s="60">
        <f>14.3747 * CHOOSE(CONTROL!$C$22, $C$13, 100%, $E$13)</f>
        <v>14.374700000000001</v>
      </c>
      <c r="E821" s="61">
        <f>16.8821 * CHOOSE(CONTROL!$C$22, $C$13, 100%, $E$13)</f>
        <v>16.882100000000001</v>
      </c>
      <c r="F821" s="61">
        <f>16.8821 * CHOOSE(CONTROL!$C$22, $C$13, 100%, $E$13)</f>
        <v>16.882100000000001</v>
      </c>
      <c r="G821" s="61">
        <f>16.8822 * CHOOSE(CONTROL!$C$22, $C$13, 100%, $E$13)</f>
        <v>16.882200000000001</v>
      </c>
      <c r="H821" s="61">
        <f>27.4418* CHOOSE(CONTROL!$C$22, $C$13, 100%, $E$13)</f>
        <v>27.441800000000001</v>
      </c>
      <c r="I821" s="61">
        <f>27.442 * CHOOSE(CONTROL!$C$22, $C$13, 100%, $E$13)</f>
        <v>27.442</v>
      </c>
      <c r="J821" s="61">
        <f>16.8821 * CHOOSE(CONTROL!$C$22, $C$13, 100%, $E$13)</f>
        <v>16.882100000000001</v>
      </c>
      <c r="K821" s="61">
        <f>16.8822 * CHOOSE(CONTROL!$C$22, $C$13, 100%, $E$13)</f>
        <v>16.882200000000001</v>
      </c>
    </row>
    <row r="822" spans="1:11" ht="15">
      <c r="A822" s="13">
        <v>66873</v>
      </c>
      <c r="B822" s="60">
        <f>14.3591 * CHOOSE(CONTROL!$C$22, $C$13, 100%, $E$13)</f>
        <v>14.3591</v>
      </c>
      <c r="C822" s="60">
        <f>14.3591 * CHOOSE(CONTROL!$C$22, $C$13, 100%, $E$13)</f>
        <v>14.3591</v>
      </c>
      <c r="D822" s="60">
        <f>14.3716 * CHOOSE(CONTROL!$C$22, $C$13, 100%, $E$13)</f>
        <v>14.371600000000001</v>
      </c>
      <c r="E822" s="61">
        <f>16.6952 * CHOOSE(CONTROL!$C$22, $C$13, 100%, $E$13)</f>
        <v>16.6952</v>
      </c>
      <c r="F822" s="61">
        <f>16.6952 * CHOOSE(CONTROL!$C$22, $C$13, 100%, $E$13)</f>
        <v>16.6952</v>
      </c>
      <c r="G822" s="61">
        <f>16.6954 * CHOOSE(CONTROL!$C$22, $C$13, 100%, $E$13)</f>
        <v>16.695399999999999</v>
      </c>
      <c r="H822" s="61">
        <f>27.499* CHOOSE(CONTROL!$C$22, $C$13, 100%, $E$13)</f>
        <v>27.498999999999999</v>
      </c>
      <c r="I822" s="61">
        <f>27.4992 * CHOOSE(CONTROL!$C$22, $C$13, 100%, $E$13)</f>
        <v>27.499199999999998</v>
      </c>
      <c r="J822" s="61">
        <f>16.6952 * CHOOSE(CONTROL!$C$22, $C$13, 100%, $E$13)</f>
        <v>16.6952</v>
      </c>
      <c r="K822" s="61">
        <f>16.6954 * CHOOSE(CONTROL!$C$22, $C$13, 100%, $E$13)</f>
        <v>16.695399999999999</v>
      </c>
    </row>
    <row r="823" spans="1:11" ht="15">
      <c r="A823" s="13">
        <v>66901</v>
      </c>
      <c r="B823" s="60">
        <f>14.3561 * CHOOSE(CONTROL!$C$22, $C$13, 100%, $E$13)</f>
        <v>14.3561</v>
      </c>
      <c r="C823" s="60">
        <f>14.3561 * CHOOSE(CONTROL!$C$22, $C$13, 100%, $E$13)</f>
        <v>14.3561</v>
      </c>
      <c r="D823" s="60">
        <f>14.3686 * CHOOSE(CONTROL!$C$22, $C$13, 100%, $E$13)</f>
        <v>14.368600000000001</v>
      </c>
      <c r="E823" s="61">
        <f>16.8387 * CHOOSE(CONTROL!$C$22, $C$13, 100%, $E$13)</f>
        <v>16.838699999999999</v>
      </c>
      <c r="F823" s="61">
        <f>16.8387 * CHOOSE(CONTROL!$C$22, $C$13, 100%, $E$13)</f>
        <v>16.838699999999999</v>
      </c>
      <c r="G823" s="61">
        <f>16.8389 * CHOOSE(CONTROL!$C$22, $C$13, 100%, $E$13)</f>
        <v>16.838899999999999</v>
      </c>
      <c r="H823" s="61">
        <f>27.5563* CHOOSE(CONTROL!$C$22, $C$13, 100%, $E$13)</f>
        <v>27.5563</v>
      </c>
      <c r="I823" s="61">
        <f>27.5564 * CHOOSE(CONTROL!$C$22, $C$13, 100%, $E$13)</f>
        <v>27.5564</v>
      </c>
      <c r="J823" s="61">
        <f>16.8387 * CHOOSE(CONTROL!$C$22, $C$13, 100%, $E$13)</f>
        <v>16.838699999999999</v>
      </c>
      <c r="K823" s="61">
        <f>16.8389 * CHOOSE(CONTROL!$C$22, $C$13, 100%, $E$13)</f>
        <v>16.838899999999999</v>
      </c>
    </row>
    <row r="824" spans="1:11" ht="15">
      <c r="A824" s="13">
        <v>66932</v>
      </c>
      <c r="B824" s="60">
        <f>14.3625 * CHOOSE(CONTROL!$C$22, $C$13, 100%, $E$13)</f>
        <v>14.362500000000001</v>
      </c>
      <c r="C824" s="60">
        <f>14.3625 * CHOOSE(CONTROL!$C$22, $C$13, 100%, $E$13)</f>
        <v>14.362500000000001</v>
      </c>
      <c r="D824" s="60">
        <f>14.3751 * CHOOSE(CONTROL!$C$22, $C$13, 100%, $E$13)</f>
        <v>14.3751</v>
      </c>
      <c r="E824" s="61">
        <f>16.9909 * CHOOSE(CONTROL!$C$22, $C$13, 100%, $E$13)</f>
        <v>16.9909</v>
      </c>
      <c r="F824" s="61">
        <f>16.9909 * CHOOSE(CONTROL!$C$22, $C$13, 100%, $E$13)</f>
        <v>16.9909</v>
      </c>
      <c r="G824" s="61">
        <f>16.9911 * CHOOSE(CONTROL!$C$22, $C$13, 100%, $E$13)</f>
        <v>16.991099999999999</v>
      </c>
      <c r="H824" s="61">
        <f>27.6137* CHOOSE(CONTROL!$C$22, $C$13, 100%, $E$13)</f>
        <v>27.613700000000001</v>
      </c>
      <c r="I824" s="61">
        <f>27.6138 * CHOOSE(CONTROL!$C$22, $C$13, 100%, $E$13)</f>
        <v>27.613800000000001</v>
      </c>
      <c r="J824" s="61">
        <f>16.9909 * CHOOSE(CONTROL!$C$22, $C$13, 100%, $E$13)</f>
        <v>16.9909</v>
      </c>
      <c r="K824" s="61">
        <f>16.9911 * CHOOSE(CONTROL!$C$22, $C$13, 100%, $E$13)</f>
        <v>16.991099999999999</v>
      </c>
    </row>
    <row r="825" spans="1:11" ht="15">
      <c r="A825" s="13">
        <v>66962</v>
      </c>
      <c r="B825" s="60">
        <f>14.3625 * CHOOSE(CONTROL!$C$22, $C$13, 100%, $E$13)</f>
        <v>14.362500000000001</v>
      </c>
      <c r="C825" s="60">
        <f>14.3625 * CHOOSE(CONTROL!$C$22, $C$13, 100%, $E$13)</f>
        <v>14.362500000000001</v>
      </c>
      <c r="D825" s="60">
        <f>14.3876 * CHOOSE(CONTROL!$C$22, $C$13, 100%, $E$13)</f>
        <v>14.387600000000001</v>
      </c>
      <c r="E825" s="61">
        <f>17.0496 * CHOOSE(CONTROL!$C$22, $C$13, 100%, $E$13)</f>
        <v>17.049600000000002</v>
      </c>
      <c r="F825" s="61">
        <f>17.0496 * CHOOSE(CONTROL!$C$22, $C$13, 100%, $E$13)</f>
        <v>17.049600000000002</v>
      </c>
      <c r="G825" s="61">
        <f>17.0512 * CHOOSE(CONTROL!$C$22, $C$13, 100%, $E$13)</f>
        <v>17.051200000000001</v>
      </c>
      <c r="H825" s="61">
        <f>27.6712* CHOOSE(CONTROL!$C$22, $C$13, 100%, $E$13)</f>
        <v>27.671199999999999</v>
      </c>
      <c r="I825" s="61">
        <f>27.6728 * CHOOSE(CONTROL!$C$22, $C$13, 100%, $E$13)</f>
        <v>27.672799999999999</v>
      </c>
      <c r="J825" s="61">
        <f>17.0496 * CHOOSE(CONTROL!$C$22, $C$13, 100%, $E$13)</f>
        <v>17.049600000000002</v>
      </c>
      <c r="K825" s="61">
        <f>17.0512 * CHOOSE(CONTROL!$C$22, $C$13, 100%, $E$13)</f>
        <v>17.051200000000001</v>
      </c>
    </row>
    <row r="826" spans="1:11" ht="15">
      <c r="A826" s="13">
        <v>66993</v>
      </c>
      <c r="B826" s="60">
        <f>14.3686 * CHOOSE(CONTROL!$C$22, $C$13, 100%, $E$13)</f>
        <v>14.368600000000001</v>
      </c>
      <c r="C826" s="60">
        <f>14.3686 * CHOOSE(CONTROL!$C$22, $C$13, 100%, $E$13)</f>
        <v>14.368600000000001</v>
      </c>
      <c r="D826" s="60">
        <f>14.3937 * CHOOSE(CONTROL!$C$22, $C$13, 100%, $E$13)</f>
        <v>14.393700000000001</v>
      </c>
      <c r="E826" s="61">
        <f>16.9951 * CHOOSE(CONTROL!$C$22, $C$13, 100%, $E$13)</f>
        <v>16.995100000000001</v>
      </c>
      <c r="F826" s="61">
        <f>16.9951 * CHOOSE(CONTROL!$C$22, $C$13, 100%, $E$13)</f>
        <v>16.995100000000001</v>
      </c>
      <c r="G826" s="61">
        <f>16.9967 * CHOOSE(CONTROL!$C$22, $C$13, 100%, $E$13)</f>
        <v>16.996700000000001</v>
      </c>
      <c r="H826" s="61">
        <f>27.7288* CHOOSE(CONTROL!$C$22, $C$13, 100%, $E$13)</f>
        <v>27.7288</v>
      </c>
      <c r="I826" s="61">
        <f>27.7305 * CHOOSE(CONTROL!$C$22, $C$13, 100%, $E$13)</f>
        <v>27.730499999999999</v>
      </c>
      <c r="J826" s="61">
        <f>16.9951 * CHOOSE(CONTROL!$C$22, $C$13, 100%, $E$13)</f>
        <v>16.995100000000001</v>
      </c>
      <c r="K826" s="61">
        <f>16.9967 * CHOOSE(CONTROL!$C$22, $C$13, 100%, $E$13)</f>
        <v>16.996700000000001</v>
      </c>
    </row>
    <row r="827" spans="1:11" ht="15">
      <c r="A827" s="13">
        <v>67023</v>
      </c>
      <c r="B827" s="60">
        <f>14.594 * CHOOSE(CONTROL!$C$22, $C$13, 100%, $E$13)</f>
        <v>14.593999999999999</v>
      </c>
      <c r="C827" s="60">
        <f>14.594 * CHOOSE(CONTROL!$C$22, $C$13, 100%, $E$13)</f>
        <v>14.593999999999999</v>
      </c>
      <c r="D827" s="60">
        <f>14.6191 * CHOOSE(CONTROL!$C$22, $C$13, 100%, $E$13)</f>
        <v>14.6191</v>
      </c>
      <c r="E827" s="61">
        <f>17.3187 * CHOOSE(CONTROL!$C$22, $C$13, 100%, $E$13)</f>
        <v>17.3187</v>
      </c>
      <c r="F827" s="61">
        <f>17.3187 * CHOOSE(CONTROL!$C$22, $C$13, 100%, $E$13)</f>
        <v>17.3187</v>
      </c>
      <c r="G827" s="61">
        <f>17.3203 * CHOOSE(CONTROL!$C$22, $C$13, 100%, $E$13)</f>
        <v>17.3203</v>
      </c>
      <c r="H827" s="61">
        <f>27.7866* CHOOSE(CONTROL!$C$22, $C$13, 100%, $E$13)</f>
        <v>27.7866</v>
      </c>
      <c r="I827" s="61">
        <f>27.7882 * CHOOSE(CONTROL!$C$22, $C$13, 100%, $E$13)</f>
        <v>27.7882</v>
      </c>
      <c r="J827" s="61">
        <f>17.3187 * CHOOSE(CONTROL!$C$22, $C$13, 100%, $E$13)</f>
        <v>17.3187</v>
      </c>
      <c r="K827" s="61">
        <f>17.3203 * CHOOSE(CONTROL!$C$22, $C$13, 100%, $E$13)</f>
        <v>17.3203</v>
      </c>
    </row>
    <row r="828" spans="1:11" ht="15">
      <c r="A828" s="13">
        <v>67054</v>
      </c>
      <c r="B828" s="60">
        <f>14.6007 * CHOOSE(CONTROL!$C$22, $C$13, 100%, $E$13)</f>
        <v>14.6007</v>
      </c>
      <c r="C828" s="60">
        <f>14.6007 * CHOOSE(CONTROL!$C$22, $C$13, 100%, $E$13)</f>
        <v>14.6007</v>
      </c>
      <c r="D828" s="60">
        <f>14.6258 * CHOOSE(CONTROL!$C$22, $C$13, 100%, $E$13)</f>
        <v>14.6258</v>
      </c>
      <c r="E828" s="61">
        <f>17.1474 * CHOOSE(CONTROL!$C$22, $C$13, 100%, $E$13)</f>
        <v>17.147400000000001</v>
      </c>
      <c r="F828" s="61">
        <f>17.1474 * CHOOSE(CONTROL!$C$22, $C$13, 100%, $E$13)</f>
        <v>17.147400000000001</v>
      </c>
      <c r="G828" s="61">
        <f>17.149 * CHOOSE(CONTROL!$C$22, $C$13, 100%, $E$13)</f>
        <v>17.149000000000001</v>
      </c>
      <c r="H828" s="61">
        <f>27.8445* CHOOSE(CONTROL!$C$22, $C$13, 100%, $E$13)</f>
        <v>27.8445</v>
      </c>
      <c r="I828" s="61">
        <f>27.8461 * CHOOSE(CONTROL!$C$22, $C$13, 100%, $E$13)</f>
        <v>27.8461</v>
      </c>
      <c r="J828" s="61">
        <f>17.1474 * CHOOSE(CONTROL!$C$22, $C$13, 100%, $E$13)</f>
        <v>17.147400000000001</v>
      </c>
      <c r="K828" s="61">
        <f>17.149 * CHOOSE(CONTROL!$C$22, $C$13, 100%, $E$13)</f>
        <v>17.149000000000001</v>
      </c>
    </row>
    <row r="829" spans="1:11" ht="15">
      <c r="A829" s="13">
        <v>67085</v>
      </c>
      <c r="B829" s="60">
        <f>14.5977 * CHOOSE(CONTROL!$C$22, $C$13, 100%, $E$13)</f>
        <v>14.5977</v>
      </c>
      <c r="C829" s="60">
        <f>14.5977 * CHOOSE(CONTROL!$C$22, $C$13, 100%, $E$13)</f>
        <v>14.5977</v>
      </c>
      <c r="D829" s="60">
        <f>14.6227 * CHOOSE(CONTROL!$C$22, $C$13, 100%, $E$13)</f>
        <v>14.6227</v>
      </c>
      <c r="E829" s="61">
        <f>17.1257 * CHOOSE(CONTROL!$C$22, $C$13, 100%, $E$13)</f>
        <v>17.125699999999998</v>
      </c>
      <c r="F829" s="61">
        <f>17.1257 * CHOOSE(CONTROL!$C$22, $C$13, 100%, $E$13)</f>
        <v>17.125699999999998</v>
      </c>
      <c r="G829" s="61">
        <f>17.1273 * CHOOSE(CONTROL!$C$22, $C$13, 100%, $E$13)</f>
        <v>17.127300000000002</v>
      </c>
      <c r="H829" s="61">
        <f>27.9025* CHOOSE(CONTROL!$C$22, $C$13, 100%, $E$13)</f>
        <v>27.9025</v>
      </c>
      <c r="I829" s="61">
        <f>27.9041 * CHOOSE(CONTROL!$C$22, $C$13, 100%, $E$13)</f>
        <v>27.9041</v>
      </c>
      <c r="J829" s="61">
        <f>17.1257 * CHOOSE(CONTROL!$C$22, $C$13, 100%, $E$13)</f>
        <v>17.125699999999998</v>
      </c>
      <c r="K829" s="61">
        <f>17.1273 * CHOOSE(CONTROL!$C$22, $C$13, 100%, $E$13)</f>
        <v>17.127300000000002</v>
      </c>
    </row>
    <row r="830" spans="1:11" ht="15">
      <c r="A830" s="13">
        <v>67115</v>
      </c>
      <c r="B830" s="60">
        <f>14.6275 * CHOOSE(CONTROL!$C$22, $C$13, 100%, $E$13)</f>
        <v>14.6275</v>
      </c>
      <c r="C830" s="60">
        <f>14.6275 * CHOOSE(CONTROL!$C$22, $C$13, 100%, $E$13)</f>
        <v>14.6275</v>
      </c>
      <c r="D830" s="60">
        <f>14.64 * CHOOSE(CONTROL!$C$22, $C$13, 100%, $E$13)</f>
        <v>14.64</v>
      </c>
      <c r="E830" s="61">
        <f>17.1905 * CHOOSE(CONTROL!$C$22, $C$13, 100%, $E$13)</f>
        <v>17.1905</v>
      </c>
      <c r="F830" s="61">
        <f>17.1905 * CHOOSE(CONTROL!$C$22, $C$13, 100%, $E$13)</f>
        <v>17.1905</v>
      </c>
      <c r="G830" s="61">
        <f>17.1907 * CHOOSE(CONTROL!$C$22, $C$13, 100%, $E$13)</f>
        <v>17.1907</v>
      </c>
      <c r="H830" s="61">
        <f>27.9606* CHOOSE(CONTROL!$C$22, $C$13, 100%, $E$13)</f>
        <v>27.960599999999999</v>
      </c>
      <c r="I830" s="61">
        <f>27.9608 * CHOOSE(CONTROL!$C$22, $C$13, 100%, $E$13)</f>
        <v>27.960799999999999</v>
      </c>
      <c r="J830" s="61">
        <f>17.1905 * CHOOSE(CONTROL!$C$22, $C$13, 100%, $E$13)</f>
        <v>17.1905</v>
      </c>
      <c r="K830" s="61">
        <f>17.1907 * CHOOSE(CONTROL!$C$22, $C$13, 100%, $E$13)</f>
        <v>17.1907</v>
      </c>
    </row>
    <row r="831" spans="1:11" ht="15">
      <c r="A831" s="13">
        <v>67146</v>
      </c>
      <c r="B831" s="60">
        <f>14.6305 * CHOOSE(CONTROL!$C$22, $C$13, 100%, $E$13)</f>
        <v>14.6305</v>
      </c>
      <c r="C831" s="60">
        <f>14.6305 * CHOOSE(CONTROL!$C$22, $C$13, 100%, $E$13)</f>
        <v>14.6305</v>
      </c>
      <c r="D831" s="60">
        <f>14.6431 * CHOOSE(CONTROL!$C$22, $C$13, 100%, $E$13)</f>
        <v>14.6431</v>
      </c>
      <c r="E831" s="61">
        <f>17.2317 * CHOOSE(CONTROL!$C$22, $C$13, 100%, $E$13)</f>
        <v>17.2317</v>
      </c>
      <c r="F831" s="61">
        <f>17.2317 * CHOOSE(CONTROL!$C$22, $C$13, 100%, $E$13)</f>
        <v>17.2317</v>
      </c>
      <c r="G831" s="61">
        <f>17.2319 * CHOOSE(CONTROL!$C$22, $C$13, 100%, $E$13)</f>
        <v>17.2319</v>
      </c>
      <c r="H831" s="61">
        <f>28.0189* CHOOSE(CONTROL!$C$22, $C$13, 100%, $E$13)</f>
        <v>28.018899999999999</v>
      </c>
      <c r="I831" s="61">
        <f>28.0191 * CHOOSE(CONTROL!$C$22, $C$13, 100%, $E$13)</f>
        <v>28.019100000000002</v>
      </c>
      <c r="J831" s="61">
        <f>17.2317 * CHOOSE(CONTROL!$C$22, $C$13, 100%, $E$13)</f>
        <v>17.2317</v>
      </c>
      <c r="K831" s="61">
        <f>17.2319 * CHOOSE(CONTROL!$C$22, $C$13, 100%, $E$13)</f>
        <v>17.2319</v>
      </c>
    </row>
    <row r="832" spans="1:11" ht="15">
      <c r="A832" s="13">
        <v>67176</v>
      </c>
      <c r="B832" s="60">
        <f>14.6305 * CHOOSE(CONTROL!$C$22, $C$13, 100%, $E$13)</f>
        <v>14.6305</v>
      </c>
      <c r="C832" s="60">
        <f>14.6305 * CHOOSE(CONTROL!$C$22, $C$13, 100%, $E$13)</f>
        <v>14.6305</v>
      </c>
      <c r="D832" s="60">
        <f>14.6431 * CHOOSE(CONTROL!$C$22, $C$13, 100%, $E$13)</f>
        <v>14.6431</v>
      </c>
      <c r="E832" s="61">
        <f>17.134 * CHOOSE(CONTROL!$C$22, $C$13, 100%, $E$13)</f>
        <v>17.134</v>
      </c>
      <c r="F832" s="61">
        <f>17.134 * CHOOSE(CONTROL!$C$22, $C$13, 100%, $E$13)</f>
        <v>17.134</v>
      </c>
      <c r="G832" s="61">
        <f>17.1342 * CHOOSE(CONTROL!$C$22, $C$13, 100%, $E$13)</f>
        <v>17.1342</v>
      </c>
      <c r="H832" s="61">
        <f>28.0773* CHOOSE(CONTROL!$C$22, $C$13, 100%, $E$13)</f>
        <v>28.077300000000001</v>
      </c>
      <c r="I832" s="61">
        <f>28.0774 * CHOOSE(CONTROL!$C$22, $C$13, 100%, $E$13)</f>
        <v>28.077400000000001</v>
      </c>
      <c r="J832" s="61">
        <f>17.134 * CHOOSE(CONTROL!$C$22, $C$13, 100%, $E$13)</f>
        <v>17.134</v>
      </c>
      <c r="K832" s="61">
        <f>17.1342 * CHOOSE(CONTROL!$C$22, $C$13, 100%, $E$13)</f>
        <v>17.1342</v>
      </c>
    </row>
    <row r="833" spans="1:11" ht="15">
      <c r="A833" s="13">
        <v>67207</v>
      </c>
      <c r="B833" s="60">
        <f>14.6075 * CHOOSE(CONTROL!$C$22, $C$13, 100%, $E$13)</f>
        <v>14.6075</v>
      </c>
      <c r="C833" s="60">
        <f>14.6075 * CHOOSE(CONTROL!$C$22, $C$13, 100%, $E$13)</f>
        <v>14.6075</v>
      </c>
      <c r="D833" s="60">
        <f>14.62 * CHOOSE(CONTROL!$C$22, $C$13, 100%, $E$13)</f>
        <v>14.62</v>
      </c>
      <c r="E833" s="61">
        <f>17.1745 * CHOOSE(CONTROL!$C$22, $C$13, 100%, $E$13)</f>
        <v>17.174499999999998</v>
      </c>
      <c r="F833" s="61">
        <f>17.1745 * CHOOSE(CONTROL!$C$22, $C$13, 100%, $E$13)</f>
        <v>17.174499999999998</v>
      </c>
      <c r="G833" s="61">
        <f>17.1747 * CHOOSE(CONTROL!$C$22, $C$13, 100%, $E$13)</f>
        <v>17.174700000000001</v>
      </c>
      <c r="H833" s="61">
        <f>27.8877* CHOOSE(CONTROL!$C$22, $C$13, 100%, $E$13)</f>
        <v>27.887699999999999</v>
      </c>
      <c r="I833" s="61">
        <f>27.8879 * CHOOSE(CONTROL!$C$22, $C$13, 100%, $E$13)</f>
        <v>27.887899999999998</v>
      </c>
      <c r="J833" s="61">
        <f>17.1745 * CHOOSE(CONTROL!$C$22, $C$13, 100%, $E$13)</f>
        <v>17.174499999999998</v>
      </c>
      <c r="K833" s="61">
        <f>17.1747 * CHOOSE(CONTROL!$C$22, $C$13, 100%, $E$13)</f>
        <v>17.174700000000001</v>
      </c>
    </row>
    <row r="834" spans="1:11" ht="15">
      <c r="A834" s="13">
        <v>67238</v>
      </c>
      <c r="B834" s="60">
        <f>14.6044 * CHOOSE(CONTROL!$C$22, $C$13, 100%, $E$13)</f>
        <v>14.6044</v>
      </c>
      <c r="C834" s="60">
        <f>14.6044 * CHOOSE(CONTROL!$C$22, $C$13, 100%, $E$13)</f>
        <v>14.6044</v>
      </c>
      <c r="D834" s="60">
        <f>14.617 * CHOOSE(CONTROL!$C$22, $C$13, 100%, $E$13)</f>
        <v>14.617000000000001</v>
      </c>
      <c r="E834" s="61">
        <f>16.9844 * CHOOSE(CONTROL!$C$22, $C$13, 100%, $E$13)</f>
        <v>16.984400000000001</v>
      </c>
      <c r="F834" s="61">
        <f>16.9844 * CHOOSE(CONTROL!$C$22, $C$13, 100%, $E$13)</f>
        <v>16.984400000000001</v>
      </c>
      <c r="G834" s="61">
        <f>16.9846 * CHOOSE(CONTROL!$C$22, $C$13, 100%, $E$13)</f>
        <v>16.9846</v>
      </c>
      <c r="H834" s="61">
        <f>27.9458* CHOOSE(CONTROL!$C$22, $C$13, 100%, $E$13)</f>
        <v>27.945799999999998</v>
      </c>
      <c r="I834" s="61">
        <f>27.946 * CHOOSE(CONTROL!$C$22, $C$13, 100%, $E$13)</f>
        <v>27.946000000000002</v>
      </c>
      <c r="J834" s="61">
        <f>16.9844 * CHOOSE(CONTROL!$C$22, $C$13, 100%, $E$13)</f>
        <v>16.984400000000001</v>
      </c>
      <c r="K834" s="61">
        <f>16.9846 * CHOOSE(CONTROL!$C$22, $C$13, 100%, $E$13)</f>
        <v>16.9846</v>
      </c>
    </row>
    <row r="835" spans="1:11" ht="15">
      <c r="A835" s="13">
        <v>67267</v>
      </c>
      <c r="B835" s="60">
        <f>14.6014 * CHOOSE(CONTROL!$C$22, $C$13, 100%, $E$13)</f>
        <v>14.6014</v>
      </c>
      <c r="C835" s="60">
        <f>14.6014 * CHOOSE(CONTROL!$C$22, $C$13, 100%, $E$13)</f>
        <v>14.6014</v>
      </c>
      <c r="D835" s="60">
        <f>14.6139 * CHOOSE(CONTROL!$C$22, $C$13, 100%, $E$13)</f>
        <v>14.613899999999999</v>
      </c>
      <c r="E835" s="61">
        <f>17.1305 * CHOOSE(CONTROL!$C$22, $C$13, 100%, $E$13)</f>
        <v>17.130500000000001</v>
      </c>
      <c r="F835" s="61">
        <f>17.1305 * CHOOSE(CONTROL!$C$22, $C$13, 100%, $E$13)</f>
        <v>17.130500000000001</v>
      </c>
      <c r="G835" s="61">
        <f>17.1306 * CHOOSE(CONTROL!$C$22, $C$13, 100%, $E$13)</f>
        <v>17.130600000000001</v>
      </c>
      <c r="H835" s="61">
        <f>28.004* CHOOSE(CONTROL!$C$22, $C$13, 100%, $E$13)</f>
        <v>28.004000000000001</v>
      </c>
      <c r="I835" s="61">
        <f>28.0042 * CHOOSE(CONTROL!$C$22, $C$13, 100%, $E$13)</f>
        <v>28.004200000000001</v>
      </c>
      <c r="J835" s="61">
        <f>17.1305 * CHOOSE(CONTROL!$C$22, $C$13, 100%, $E$13)</f>
        <v>17.130500000000001</v>
      </c>
      <c r="K835" s="61">
        <f>17.1306 * CHOOSE(CONTROL!$C$22, $C$13, 100%, $E$13)</f>
        <v>17.130600000000001</v>
      </c>
    </row>
    <row r="836" spans="1:11" ht="15">
      <c r="A836" s="13">
        <v>67298</v>
      </c>
      <c r="B836" s="60">
        <f>14.6081 * CHOOSE(CONTROL!$C$22, $C$13, 100%, $E$13)</f>
        <v>14.6081</v>
      </c>
      <c r="C836" s="60">
        <f>14.6081 * CHOOSE(CONTROL!$C$22, $C$13, 100%, $E$13)</f>
        <v>14.6081</v>
      </c>
      <c r="D836" s="60">
        <f>14.6206 * CHOOSE(CONTROL!$C$22, $C$13, 100%, $E$13)</f>
        <v>14.6206</v>
      </c>
      <c r="E836" s="61">
        <f>17.2854 * CHOOSE(CONTROL!$C$22, $C$13, 100%, $E$13)</f>
        <v>17.285399999999999</v>
      </c>
      <c r="F836" s="61">
        <f>17.2854 * CHOOSE(CONTROL!$C$22, $C$13, 100%, $E$13)</f>
        <v>17.285399999999999</v>
      </c>
      <c r="G836" s="61">
        <f>17.2855 * CHOOSE(CONTROL!$C$22, $C$13, 100%, $E$13)</f>
        <v>17.285499999999999</v>
      </c>
      <c r="H836" s="61">
        <f>28.0624* CHOOSE(CONTROL!$C$22, $C$13, 100%, $E$13)</f>
        <v>28.0624</v>
      </c>
      <c r="I836" s="61">
        <f>28.0625 * CHOOSE(CONTROL!$C$22, $C$13, 100%, $E$13)</f>
        <v>28.0625</v>
      </c>
      <c r="J836" s="61">
        <f>17.2854 * CHOOSE(CONTROL!$C$22, $C$13, 100%, $E$13)</f>
        <v>17.285399999999999</v>
      </c>
      <c r="K836" s="61">
        <f>17.2855 * CHOOSE(CONTROL!$C$22, $C$13, 100%, $E$13)</f>
        <v>17.285499999999999</v>
      </c>
    </row>
    <row r="837" spans="1:11" ht="15">
      <c r="A837" s="13">
        <v>67328</v>
      </c>
      <c r="B837" s="60">
        <f>14.6081 * CHOOSE(CONTROL!$C$22, $C$13, 100%, $E$13)</f>
        <v>14.6081</v>
      </c>
      <c r="C837" s="60">
        <f>14.6081 * CHOOSE(CONTROL!$C$22, $C$13, 100%, $E$13)</f>
        <v>14.6081</v>
      </c>
      <c r="D837" s="60">
        <f>14.6332 * CHOOSE(CONTROL!$C$22, $C$13, 100%, $E$13)</f>
        <v>14.6332</v>
      </c>
      <c r="E837" s="61">
        <f>17.345 * CHOOSE(CONTROL!$C$22, $C$13, 100%, $E$13)</f>
        <v>17.344999999999999</v>
      </c>
      <c r="F837" s="61">
        <f>17.345 * CHOOSE(CONTROL!$C$22, $C$13, 100%, $E$13)</f>
        <v>17.344999999999999</v>
      </c>
      <c r="G837" s="61">
        <f>17.3466 * CHOOSE(CONTROL!$C$22, $C$13, 100%, $E$13)</f>
        <v>17.346599999999999</v>
      </c>
      <c r="H837" s="61">
        <f>28.1208* CHOOSE(CONTROL!$C$22, $C$13, 100%, $E$13)</f>
        <v>28.120799999999999</v>
      </c>
      <c r="I837" s="61">
        <f>28.1224 * CHOOSE(CONTROL!$C$22, $C$13, 100%, $E$13)</f>
        <v>28.122399999999999</v>
      </c>
      <c r="J837" s="61">
        <f>17.345 * CHOOSE(CONTROL!$C$22, $C$13, 100%, $E$13)</f>
        <v>17.344999999999999</v>
      </c>
      <c r="K837" s="61">
        <f>17.3466 * CHOOSE(CONTROL!$C$22, $C$13, 100%, $E$13)</f>
        <v>17.346599999999999</v>
      </c>
    </row>
    <row r="838" spans="1:11" ht="15">
      <c r="A838" s="13">
        <v>67359</v>
      </c>
      <c r="B838" s="60">
        <f>14.6142 * CHOOSE(CONTROL!$C$22, $C$13, 100%, $E$13)</f>
        <v>14.6142</v>
      </c>
      <c r="C838" s="60">
        <f>14.6142 * CHOOSE(CONTROL!$C$22, $C$13, 100%, $E$13)</f>
        <v>14.6142</v>
      </c>
      <c r="D838" s="60">
        <f>14.6392 * CHOOSE(CONTROL!$C$22, $C$13, 100%, $E$13)</f>
        <v>14.639200000000001</v>
      </c>
      <c r="E838" s="61">
        <f>17.2896 * CHOOSE(CONTROL!$C$22, $C$13, 100%, $E$13)</f>
        <v>17.2896</v>
      </c>
      <c r="F838" s="61">
        <f>17.2896 * CHOOSE(CONTROL!$C$22, $C$13, 100%, $E$13)</f>
        <v>17.2896</v>
      </c>
      <c r="G838" s="61">
        <f>17.2912 * CHOOSE(CONTROL!$C$22, $C$13, 100%, $E$13)</f>
        <v>17.2912</v>
      </c>
      <c r="H838" s="61">
        <f>28.1794* CHOOSE(CONTROL!$C$22, $C$13, 100%, $E$13)</f>
        <v>28.179400000000001</v>
      </c>
      <c r="I838" s="61">
        <f>28.181 * CHOOSE(CONTROL!$C$22, $C$13, 100%, $E$13)</f>
        <v>28.181000000000001</v>
      </c>
      <c r="J838" s="61">
        <f>17.2896 * CHOOSE(CONTROL!$C$22, $C$13, 100%, $E$13)</f>
        <v>17.2896</v>
      </c>
      <c r="K838" s="61">
        <f>17.2912 * CHOOSE(CONTROL!$C$22, $C$13, 100%, $E$13)</f>
        <v>17.2912</v>
      </c>
    </row>
    <row r="839" spans="1:11" ht="15">
      <c r="A839" s="13">
        <v>67389</v>
      </c>
      <c r="B839" s="60">
        <f>14.8432 * CHOOSE(CONTROL!$C$22, $C$13, 100%, $E$13)</f>
        <v>14.8432</v>
      </c>
      <c r="C839" s="60">
        <f>14.8432 * CHOOSE(CONTROL!$C$22, $C$13, 100%, $E$13)</f>
        <v>14.8432</v>
      </c>
      <c r="D839" s="60">
        <f>14.8683 * CHOOSE(CONTROL!$C$22, $C$13, 100%, $E$13)</f>
        <v>14.8683</v>
      </c>
      <c r="E839" s="61">
        <f>17.6186 * CHOOSE(CONTROL!$C$22, $C$13, 100%, $E$13)</f>
        <v>17.618600000000001</v>
      </c>
      <c r="F839" s="61">
        <f>17.6186 * CHOOSE(CONTROL!$C$22, $C$13, 100%, $E$13)</f>
        <v>17.618600000000001</v>
      </c>
      <c r="G839" s="61">
        <f>17.6202 * CHOOSE(CONTROL!$C$22, $C$13, 100%, $E$13)</f>
        <v>17.620200000000001</v>
      </c>
      <c r="H839" s="61">
        <f>28.2381* CHOOSE(CONTROL!$C$22, $C$13, 100%, $E$13)</f>
        <v>28.238099999999999</v>
      </c>
      <c r="I839" s="61">
        <f>28.2397 * CHOOSE(CONTROL!$C$22, $C$13, 100%, $E$13)</f>
        <v>28.239699999999999</v>
      </c>
      <c r="J839" s="61">
        <f>17.6186 * CHOOSE(CONTROL!$C$22, $C$13, 100%, $E$13)</f>
        <v>17.618600000000001</v>
      </c>
      <c r="K839" s="61">
        <f>17.6202 * CHOOSE(CONTROL!$C$22, $C$13, 100%, $E$13)</f>
        <v>17.620200000000001</v>
      </c>
    </row>
    <row r="840" spans="1:11" ht="15">
      <c r="A840" s="13">
        <v>67420</v>
      </c>
      <c r="B840" s="60">
        <f>14.8499 * CHOOSE(CONTROL!$C$22, $C$13, 100%, $E$13)</f>
        <v>14.8499</v>
      </c>
      <c r="C840" s="60">
        <f>14.8499 * CHOOSE(CONTROL!$C$22, $C$13, 100%, $E$13)</f>
        <v>14.8499</v>
      </c>
      <c r="D840" s="60">
        <f>14.875 * CHOOSE(CONTROL!$C$22, $C$13, 100%, $E$13)</f>
        <v>14.875</v>
      </c>
      <c r="E840" s="61">
        <f>17.4442 * CHOOSE(CONTROL!$C$22, $C$13, 100%, $E$13)</f>
        <v>17.444199999999999</v>
      </c>
      <c r="F840" s="61">
        <f>17.4442 * CHOOSE(CONTROL!$C$22, $C$13, 100%, $E$13)</f>
        <v>17.444199999999999</v>
      </c>
      <c r="G840" s="61">
        <f>17.4458 * CHOOSE(CONTROL!$C$22, $C$13, 100%, $E$13)</f>
        <v>17.445799999999998</v>
      </c>
      <c r="H840" s="61">
        <f>28.2969* CHOOSE(CONTROL!$C$22, $C$13, 100%, $E$13)</f>
        <v>28.296900000000001</v>
      </c>
      <c r="I840" s="61">
        <f>28.2985 * CHOOSE(CONTROL!$C$22, $C$13, 100%, $E$13)</f>
        <v>28.298500000000001</v>
      </c>
      <c r="J840" s="61">
        <f>17.4442 * CHOOSE(CONTROL!$C$22, $C$13, 100%, $E$13)</f>
        <v>17.444199999999999</v>
      </c>
      <c r="K840" s="61">
        <f>17.4458 * CHOOSE(CONTROL!$C$22, $C$13, 100%, $E$13)</f>
        <v>17.445799999999998</v>
      </c>
    </row>
    <row r="841" spans="1:11" ht="15">
      <c r="A841" s="13">
        <v>67451</v>
      </c>
      <c r="B841" s="60">
        <f>14.8469 * CHOOSE(CONTROL!$C$22, $C$13, 100%, $E$13)</f>
        <v>14.8469</v>
      </c>
      <c r="C841" s="60">
        <f>14.8469 * CHOOSE(CONTROL!$C$22, $C$13, 100%, $E$13)</f>
        <v>14.8469</v>
      </c>
      <c r="D841" s="60">
        <f>14.872 * CHOOSE(CONTROL!$C$22, $C$13, 100%, $E$13)</f>
        <v>14.872</v>
      </c>
      <c r="E841" s="61">
        <f>17.4222 * CHOOSE(CONTROL!$C$22, $C$13, 100%, $E$13)</f>
        <v>17.4222</v>
      </c>
      <c r="F841" s="61">
        <f>17.4222 * CHOOSE(CONTROL!$C$22, $C$13, 100%, $E$13)</f>
        <v>17.4222</v>
      </c>
      <c r="G841" s="61">
        <f>17.4238 * CHOOSE(CONTROL!$C$22, $C$13, 100%, $E$13)</f>
        <v>17.4238</v>
      </c>
      <c r="H841" s="61">
        <f>28.3559* CHOOSE(CONTROL!$C$22, $C$13, 100%, $E$13)</f>
        <v>28.355899999999998</v>
      </c>
      <c r="I841" s="61">
        <f>28.3575 * CHOOSE(CONTROL!$C$22, $C$13, 100%, $E$13)</f>
        <v>28.357500000000002</v>
      </c>
      <c r="J841" s="61">
        <f>17.4222 * CHOOSE(CONTROL!$C$22, $C$13, 100%, $E$13)</f>
        <v>17.4222</v>
      </c>
      <c r="K841" s="61">
        <f>17.4238 * CHOOSE(CONTROL!$C$22, $C$13, 100%, $E$13)</f>
        <v>17.4238</v>
      </c>
    </row>
    <row r="842" spans="1:11" ht="15">
      <c r="A842" s="13">
        <v>67481</v>
      </c>
      <c r="B842" s="60">
        <f>14.8775 * CHOOSE(CONTROL!$C$22, $C$13, 100%, $E$13)</f>
        <v>14.8775</v>
      </c>
      <c r="C842" s="60">
        <f>14.8775 * CHOOSE(CONTROL!$C$22, $C$13, 100%, $E$13)</f>
        <v>14.8775</v>
      </c>
      <c r="D842" s="60">
        <f>14.8901 * CHOOSE(CONTROL!$C$22, $C$13, 100%, $E$13)</f>
        <v>14.8901</v>
      </c>
      <c r="E842" s="61">
        <f>17.4884 * CHOOSE(CONTROL!$C$22, $C$13, 100%, $E$13)</f>
        <v>17.488399999999999</v>
      </c>
      <c r="F842" s="61">
        <f>17.4884 * CHOOSE(CONTROL!$C$22, $C$13, 100%, $E$13)</f>
        <v>17.488399999999999</v>
      </c>
      <c r="G842" s="61">
        <f>17.4885 * CHOOSE(CONTROL!$C$22, $C$13, 100%, $E$13)</f>
        <v>17.488499999999998</v>
      </c>
      <c r="H842" s="61">
        <f>28.415* CHOOSE(CONTROL!$C$22, $C$13, 100%, $E$13)</f>
        <v>28.414999999999999</v>
      </c>
      <c r="I842" s="61">
        <f>28.4151 * CHOOSE(CONTROL!$C$22, $C$13, 100%, $E$13)</f>
        <v>28.415099999999999</v>
      </c>
      <c r="J842" s="61">
        <f>17.4884 * CHOOSE(CONTROL!$C$22, $C$13, 100%, $E$13)</f>
        <v>17.488399999999999</v>
      </c>
      <c r="K842" s="61">
        <f>17.4885 * CHOOSE(CONTROL!$C$22, $C$13, 100%, $E$13)</f>
        <v>17.488499999999998</v>
      </c>
    </row>
    <row r="843" spans="1:11" ht="15">
      <c r="A843" s="13">
        <v>67512</v>
      </c>
      <c r="B843" s="60">
        <f>14.8806 * CHOOSE(CONTROL!$C$22, $C$13, 100%, $E$13)</f>
        <v>14.880599999999999</v>
      </c>
      <c r="C843" s="60">
        <f>14.8806 * CHOOSE(CONTROL!$C$22, $C$13, 100%, $E$13)</f>
        <v>14.880599999999999</v>
      </c>
      <c r="D843" s="60">
        <f>14.8931 * CHOOSE(CONTROL!$C$22, $C$13, 100%, $E$13)</f>
        <v>14.8931</v>
      </c>
      <c r="E843" s="61">
        <f>17.5303 * CHOOSE(CONTROL!$C$22, $C$13, 100%, $E$13)</f>
        <v>17.5303</v>
      </c>
      <c r="F843" s="61">
        <f>17.5303 * CHOOSE(CONTROL!$C$22, $C$13, 100%, $E$13)</f>
        <v>17.5303</v>
      </c>
      <c r="G843" s="61">
        <f>17.5304 * CHOOSE(CONTROL!$C$22, $C$13, 100%, $E$13)</f>
        <v>17.5304</v>
      </c>
      <c r="H843" s="61">
        <f>28.4742* CHOOSE(CONTROL!$C$22, $C$13, 100%, $E$13)</f>
        <v>28.4742</v>
      </c>
      <c r="I843" s="61">
        <f>28.4743 * CHOOSE(CONTROL!$C$22, $C$13, 100%, $E$13)</f>
        <v>28.474299999999999</v>
      </c>
      <c r="J843" s="61">
        <f>17.5303 * CHOOSE(CONTROL!$C$22, $C$13, 100%, $E$13)</f>
        <v>17.5303</v>
      </c>
      <c r="K843" s="61">
        <f>17.5304 * CHOOSE(CONTROL!$C$22, $C$13, 100%, $E$13)</f>
        <v>17.5304</v>
      </c>
    </row>
    <row r="844" spans="1:11" ht="15">
      <c r="A844" s="13">
        <v>67542</v>
      </c>
      <c r="B844" s="60">
        <f>14.8806 * CHOOSE(CONTROL!$C$22, $C$13, 100%, $E$13)</f>
        <v>14.880599999999999</v>
      </c>
      <c r="C844" s="60">
        <f>14.8806 * CHOOSE(CONTROL!$C$22, $C$13, 100%, $E$13)</f>
        <v>14.880599999999999</v>
      </c>
      <c r="D844" s="60">
        <f>14.8931 * CHOOSE(CONTROL!$C$22, $C$13, 100%, $E$13)</f>
        <v>14.8931</v>
      </c>
      <c r="E844" s="61">
        <f>17.4308 * CHOOSE(CONTROL!$C$22, $C$13, 100%, $E$13)</f>
        <v>17.430800000000001</v>
      </c>
      <c r="F844" s="61">
        <f>17.4308 * CHOOSE(CONTROL!$C$22, $C$13, 100%, $E$13)</f>
        <v>17.430800000000001</v>
      </c>
      <c r="G844" s="61">
        <f>17.431 * CHOOSE(CONTROL!$C$22, $C$13, 100%, $E$13)</f>
        <v>17.431000000000001</v>
      </c>
      <c r="H844" s="61">
        <f>28.5335* CHOOSE(CONTROL!$C$22, $C$13, 100%, $E$13)</f>
        <v>28.5335</v>
      </c>
      <c r="I844" s="61">
        <f>28.5337 * CHOOSE(CONTROL!$C$22, $C$13, 100%, $E$13)</f>
        <v>28.5337</v>
      </c>
      <c r="J844" s="61">
        <f>17.4308 * CHOOSE(CONTROL!$C$22, $C$13, 100%, $E$13)</f>
        <v>17.430800000000001</v>
      </c>
      <c r="K844" s="61">
        <f>17.431 * CHOOSE(CONTROL!$C$22, $C$13, 100%, $E$13)</f>
        <v>17.431000000000001</v>
      </c>
    </row>
    <row r="845" spans="1:11" ht="15">
      <c r="A845" s="13">
        <v>67573</v>
      </c>
      <c r="B845" s="60">
        <f>14.8528 * CHOOSE(CONTROL!$C$22, $C$13, 100%, $E$13)</f>
        <v>14.8528</v>
      </c>
      <c r="C845" s="60">
        <f>14.8528 * CHOOSE(CONTROL!$C$22, $C$13, 100%, $E$13)</f>
        <v>14.8528</v>
      </c>
      <c r="D845" s="60">
        <f>14.8653 * CHOOSE(CONTROL!$C$22, $C$13, 100%, $E$13)</f>
        <v>14.8653</v>
      </c>
      <c r="E845" s="61">
        <f>17.4669 * CHOOSE(CONTROL!$C$22, $C$13, 100%, $E$13)</f>
        <v>17.466899999999999</v>
      </c>
      <c r="F845" s="61">
        <f>17.4669 * CHOOSE(CONTROL!$C$22, $C$13, 100%, $E$13)</f>
        <v>17.466899999999999</v>
      </c>
      <c r="G845" s="61">
        <f>17.4671 * CHOOSE(CONTROL!$C$22, $C$13, 100%, $E$13)</f>
        <v>17.467099999999999</v>
      </c>
      <c r="H845" s="61">
        <f>28.3336* CHOOSE(CONTROL!$C$22, $C$13, 100%, $E$13)</f>
        <v>28.333600000000001</v>
      </c>
      <c r="I845" s="61">
        <f>28.3338 * CHOOSE(CONTROL!$C$22, $C$13, 100%, $E$13)</f>
        <v>28.3338</v>
      </c>
      <c r="J845" s="61">
        <f>17.4669 * CHOOSE(CONTROL!$C$22, $C$13, 100%, $E$13)</f>
        <v>17.466899999999999</v>
      </c>
      <c r="K845" s="61">
        <f>17.4671 * CHOOSE(CONTROL!$C$22, $C$13, 100%, $E$13)</f>
        <v>17.467099999999999</v>
      </c>
    </row>
    <row r="846" spans="1:11" ht="15">
      <c r="A846" s="13">
        <v>67604</v>
      </c>
      <c r="B846" s="60">
        <f>14.8497 * CHOOSE(CONTROL!$C$22, $C$13, 100%, $E$13)</f>
        <v>14.8497</v>
      </c>
      <c r="C846" s="60">
        <f>14.8497 * CHOOSE(CONTROL!$C$22, $C$13, 100%, $E$13)</f>
        <v>14.8497</v>
      </c>
      <c r="D846" s="60">
        <f>14.8623 * CHOOSE(CONTROL!$C$22, $C$13, 100%, $E$13)</f>
        <v>14.862299999999999</v>
      </c>
      <c r="E846" s="61">
        <f>17.2736 * CHOOSE(CONTROL!$C$22, $C$13, 100%, $E$13)</f>
        <v>17.273599999999998</v>
      </c>
      <c r="F846" s="61">
        <f>17.2736 * CHOOSE(CONTROL!$C$22, $C$13, 100%, $E$13)</f>
        <v>17.273599999999998</v>
      </c>
      <c r="G846" s="61">
        <f>17.2738 * CHOOSE(CONTROL!$C$22, $C$13, 100%, $E$13)</f>
        <v>17.273800000000001</v>
      </c>
      <c r="H846" s="61">
        <f>28.3926* CHOOSE(CONTROL!$C$22, $C$13, 100%, $E$13)</f>
        <v>28.392600000000002</v>
      </c>
      <c r="I846" s="61">
        <f>28.3928 * CHOOSE(CONTROL!$C$22, $C$13, 100%, $E$13)</f>
        <v>28.392800000000001</v>
      </c>
      <c r="J846" s="61">
        <f>17.2736 * CHOOSE(CONTROL!$C$22, $C$13, 100%, $E$13)</f>
        <v>17.273599999999998</v>
      </c>
      <c r="K846" s="61">
        <f>17.2738 * CHOOSE(CONTROL!$C$22, $C$13, 100%, $E$13)</f>
        <v>17.273800000000001</v>
      </c>
    </row>
    <row r="847" spans="1:11" ht="15">
      <c r="A847" s="13">
        <v>67632</v>
      </c>
      <c r="B847" s="60">
        <f>14.8467 * CHOOSE(CONTROL!$C$22, $C$13, 100%, $E$13)</f>
        <v>14.8467</v>
      </c>
      <c r="C847" s="60">
        <f>14.8467 * CHOOSE(CONTROL!$C$22, $C$13, 100%, $E$13)</f>
        <v>14.8467</v>
      </c>
      <c r="D847" s="60">
        <f>14.8592 * CHOOSE(CONTROL!$C$22, $C$13, 100%, $E$13)</f>
        <v>14.8592</v>
      </c>
      <c r="E847" s="61">
        <f>17.4222 * CHOOSE(CONTROL!$C$22, $C$13, 100%, $E$13)</f>
        <v>17.4222</v>
      </c>
      <c r="F847" s="61">
        <f>17.4222 * CHOOSE(CONTROL!$C$22, $C$13, 100%, $E$13)</f>
        <v>17.4222</v>
      </c>
      <c r="G847" s="61">
        <f>17.4224 * CHOOSE(CONTROL!$C$22, $C$13, 100%, $E$13)</f>
        <v>17.4224</v>
      </c>
      <c r="H847" s="61">
        <f>28.4518* CHOOSE(CONTROL!$C$22, $C$13, 100%, $E$13)</f>
        <v>28.451799999999999</v>
      </c>
      <c r="I847" s="61">
        <f>28.4519 * CHOOSE(CONTROL!$C$22, $C$13, 100%, $E$13)</f>
        <v>28.451899999999998</v>
      </c>
      <c r="J847" s="61">
        <f>17.4222 * CHOOSE(CONTROL!$C$22, $C$13, 100%, $E$13)</f>
        <v>17.4222</v>
      </c>
      <c r="K847" s="61">
        <f>17.4224 * CHOOSE(CONTROL!$C$22, $C$13, 100%, $E$13)</f>
        <v>17.4224</v>
      </c>
    </row>
    <row r="848" spans="1:11" ht="15">
      <c r="A848" s="13">
        <v>67663</v>
      </c>
      <c r="B848" s="60">
        <f>14.8536 * CHOOSE(CONTROL!$C$22, $C$13, 100%, $E$13)</f>
        <v>14.8536</v>
      </c>
      <c r="C848" s="60">
        <f>14.8536 * CHOOSE(CONTROL!$C$22, $C$13, 100%, $E$13)</f>
        <v>14.8536</v>
      </c>
      <c r="D848" s="60">
        <f>14.8661 * CHOOSE(CONTROL!$C$22, $C$13, 100%, $E$13)</f>
        <v>14.866099999999999</v>
      </c>
      <c r="E848" s="61">
        <f>17.5798 * CHOOSE(CONTROL!$C$22, $C$13, 100%, $E$13)</f>
        <v>17.579799999999999</v>
      </c>
      <c r="F848" s="61">
        <f>17.5798 * CHOOSE(CONTROL!$C$22, $C$13, 100%, $E$13)</f>
        <v>17.579799999999999</v>
      </c>
      <c r="G848" s="61">
        <f>17.58 * CHOOSE(CONTROL!$C$22, $C$13, 100%, $E$13)</f>
        <v>17.579999999999998</v>
      </c>
      <c r="H848" s="61">
        <f>28.511* CHOOSE(CONTROL!$C$22, $C$13, 100%, $E$13)</f>
        <v>28.510999999999999</v>
      </c>
      <c r="I848" s="61">
        <f>28.5112 * CHOOSE(CONTROL!$C$22, $C$13, 100%, $E$13)</f>
        <v>28.511199999999999</v>
      </c>
      <c r="J848" s="61">
        <f>17.5798 * CHOOSE(CONTROL!$C$22, $C$13, 100%, $E$13)</f>
        <v>17.579799999999999</v>
      </c>
      <c r="K848" s="61">
        <f>17.58 * CHOOSE(CONTROL!$C$22, $C$13, 100%, $E$13)</f>
        <v>17.579999999999998</v>
      </c>
    </row>
    <row r="849" spans="1:11" ht="15">
      <c r="A849" s="13">
        <v>67693</v>
      </c>
      <c r="B849" s="60">
        <f>14.8536 * CHOOSE(CONTROL!$C$22, $C$13, 100%, $E$13)</f>
        <v>14.8536</v>
      </c>
      <c r="C849" s="60">
        <f>14.8536 * CHOOSE(CONTROL!$C$22, $C$13, 100%, $E$13)</f>
        <v>14.8536</v>
      </c>
      <c r="D849" s="60">
        <f>14.8787 * CHOOSE(CONTROL!$C$22, $C$13, 100%, $E$13)</f>
        <v>14.8787</v>
      </c>
      <c r="E849" s="61">
        <f>17.6405 * CHOOSE(CONTROL!$C$22, $C$13, 100%, $E$13)</f>
        <v>17.640499999999999</v>
      </c>
      <c r="F849" s="61">
        <f>17.6405 * CHOOSE(CONTROL!$C$22, $C$13, 100%, $E$13)</f>
        <v>17.640499999999999</v>
      </c>
      <c r="G849" s="61">
        <f>17.6421 * CHOOSE(CONTROL!$C$22, $C$13, 100%, $E$13)</f>
        <v>17.642099999999999</v>
      </c>
      <c r="H849" s="61">
        <f>28.5704* CHOOSE(CONTROL!$C$22, $C$13, 100%, $E$13)</f>
        <v>28.570399999999999</v>
      </c>
      <c r="I849" s="61">
        <f>28.572 * CHOOSE(CONTROL!$C$22, $C$13, 100%, $E$13)</f>
        <v>28.571999999999999</v>
      </c>
      <c r="J849" s="61">
        <f>17.6405 * CHOOSE(CONTROL!$C$22, $C$13, 100%, $E$13)</f>
        <v>17.640499999999999</v>
      </c>
      <c r="K849" s="61">
        <f>17.6421 * CHOOSE(CONTROL!$C$22, $C$13, 100%, $E$13)</f>
        <v>17.642099999999999</v>
      </c>
    </row>
    <row r="850" spans="1:11" ht="15">
      <c r="A850" s="13">
        <v>67724</v>
      </c>
      <c r="B850" s="60">
        <f>14.8597 * CHOOSE(CONTROL!$C$22, $C$13, 100%, $E$13)</f>
        <v>14.8597</v>
      </c>
      <c r="C850" s="60">
        <f>14.8597 * CHOOSE(CONTROL!$C$22, $C$13, 100%, $E$13)</f>
        <v>14.8597</v>
      </c>
      <c r="D850" s="60">
        <f>14.8848 * CHOOSE(CONTROL!$C$22, $C$13, 100%, $E$13)</f>
        <v>14.8848</v>
      </c>
      <c r="E850" s="61">
        <f>17.584 * CHOOSE(CONTROL!$C$22, $C$13, 100%, $E$13)</f>
        <v>17.584</v>
      </c>
      <c r="F850" s="61">
        <f>17.584 * CHOOSE(CONTROL!$C$22, $C$13, 100%, $E$13)</f>
        <v>17.584</v>
      </c>
      <c r="G850" s="61">
        <f>17.5856 * CHOOSE(CONTROL!$C$22, $C$13, 100%, $E$13)</f>
        <v>17.585599999999999</v>
      </c>
      <c r="H850" s="61">
        <f>28.63* CHOOSE(CONTROL!$C$22, $C$13, 100%, $E$13)</f>
        <v>28.63</v>
      </c>
      <c r="I850" s="61">
        <f>28.6316 * CHOOSE(CONTROL!$C$22, $C$13, 100%, $E$13)</f>
        <v>28.631599999999999</v>
      </c>
      <c r="J850" s="61">
        <f>17.584 * CHOOSE(CONTROL!$C$22, $C$13, 100%, $E$13)</f>
        <v>17.584</v>
      </c>
      <c r="K850" s="61">
        <f>17.5856 * CHOOSE(CONTROL!$C$22, $C$13, 100%, $E$13)</f>
        <v>17.585599999999999</v>
      </c>
    </row>
    <row r="851" spans="1:11" ht="15">
      <c r="A851" s="13">
        <v>67754</v>
      </c>
      <c r="B851" s="60">
        <f>15.0924 * CHOOSE(CONTROL!$C$22, $C$13, 100%, $E$13)</f>
        <v>15.0924</v>
      </c>
      <c r="C851" s="60">
        <f>15.0924 * CHOOSE(CONTROL!$C$22, $C$13, 100%, $E$13)</f>
        <v>15.0924</v>
      </c>
      <c r="D851" s="60">
        <f>15.1175 * CHOOSE(CONTROL!$C$22, $C$13, 100%, $E$13)</f>
        <v>15.1175</v>
      </c>
      <c r="E851" s="61">
        <f>17.9185 * CHOOSE(CONTROL!$C$22, $C$13, 100%, $E$13)</f>
        <v>17.918500000000002</v>
      </c>
      <c r="F851" s="61">
        <f>17.9185 * CHOOSE(CONTROL!$C$22, $C$13, 100%, $E$13)</f>
        <v>17.918500000000002</v>
      </c>
      <c r="G851" s="61">
        <f>17.9201 * CHOOSE(CONTROL!$C$22, $C$13, 100%, $E$13)</f>
        <v>17.920100000000001</v>
      </c>
      <c r="H851" s="61">
        <f>28.6896* CHOOSE(CONTROL!$C$22, $C$13, 100%, $E$13)</f>
        <v>28.689599999999999</v>
      </c>
      <c r="I851" s="61">
        <f>28.6912 * CHOOSE(CONTROL!$C$22, $C$13, 100%, $E$13)</f>
        <v>28.691199999999998</v>
      </c>
      <c r="J851" s="61">
        <f>17.9185 * CHOOSE(CONTROL!$C$22, $C$13, 100%, $E$13)</f>
        <v>17.918500000000002</v>
      </c>
      <c r="K851" s="61">
        <f>17.9201 * CHOOSE(CONTROL!$C$22, $C$13, 100%, $E$13)</f>
        <v>17.920100000000001</v>
      </c>
    </row>
    <row r="852" spans="1:11" ht="15">
      <c r="A852" s="13">
        <v>67785</v>
      </c>
      <c r="B852" s="60">
        <f>15.0991 * CHOOSE(CONTROL!$C$22, $C$13, 100%, $E$13)</f>
        <v>15.0991</v>
      </c>
      <c r="C852" s="60">
        <f>15.0991 * CHOOSE(CONTROL!$C$22, $C$13, 100%, $E$13)</f>
        <v>15.0991</v>
      </c>
      <c r="D852" s="60">
        <f>15.1242 * CHOOSE(CONTROL!$C$22, $C$13, 100%, $E$13)</f>
        <v>15.1242</v>
      </c>
      <c r="E852" s="61">
        <f>17.7411 * CHOOSE(CONTROL!$C$22, $C$13, 100%, $E$13)</f>
        <v>17.741099999999999</v>
      </c>
      <c r="F852" s="61">
        <f>17.7411 * CHOOSE(CONTROL!$C$22, $C$13, 100%, $E$13)</f>
        <v>17.741099999999999</v>
      </c>
      <c r="G852" s="61">
        <f>17.7427 * CHOOSE(CONTROL!$C$22, $C$13, 100%, $E$13)</f>
        <v>17.742699999999999</v>
      </c>
      <c r="H852" s="61">
        <f>28.7494* CHOOSE(CONTROL!$C$22, $C$13, 100%, $E$13)</f>
        <v>28.749400000000001</v>
      </c>
      <c r="I852" s="61">
        <f>28.751 * CHOOSE(CONTROL!$C$22, $C$13, 100%, $E$13)</f>
        <v>28.751000000000001</v>
      </c>
      <c r="J852" s="61">
        <f>17.7411 * CHOOSE(CONTROL!$C$22, $C$13, 100%, $E$13)</f>
        <v>17.741099999999999</v>
      </c>
      <c r="K852" s="61">
        <f>17.7427 * CHOOSE(CONTROL!$C$22, $C$13, 100%, $E$13)</f>
        <v>17.742699999999999</v>
      </c>
    </row>
    <row r="853" spans="1:11" ht="15">
      <c r="A853" s="13">
        <v>67816</v>
      </c>
      <c r="B853" s="60">
        <f>15.0961 * CHOOSE(CONTROL!$C$22, $C$13, 100%, $E$13)</f>
        <v>15.0961</v>
      </c>
      <c r="C853" s="60">
        <f>15.0961 * CHOOSE(CONTROL!$C$22, $C$13, 100%, $E$13)</f>
        <v>15.0961</v>
      </c>
      <c r="D853" s="60">
        <f>15.1212 * CHOOSE(CONTROL!$C$22, $C$13, 100%, $E$13)</f>
        <v>15.1212</v>
      </c>
      <c r="E853" s="61">
        <f>17.7187 * CHOOSE(CONTROL!$C$22, $C$13, 100%, $E$13)</f>
        <v>17.718699999999998</v>
      </c>
      <c r="F853" s="61">
        <f>17.7187 * CHOOSE(CONTROL!$C$22, $C$13, 100%, $E$13)</f>
        <v>17.718699999999998</v>
      </c>
      <c r="G853" s="61">
        <f>17.7203 * CHOOSE(CONTROL!$C$22, $C$13, 100%, $E$13)</f>
        <v>17.720300000000002</v>
      </c>
      <c r="H853" s="61">
        <f>28.8093* CHOOSE(CONTROL!$C$22, $C$13, 100%, $E$13)</f>
        <v>28.8093</v>
      </c>
      <c r="I853" s="61">
        <f>28.8109 * CHOOSE(CONTROL!$C$22, $C$13, 100%, $E$13)</f>
        <v>28.8109</v>
      </c>
      <c r="J853" s="61">
        <f>17.7187 * CHOOSE(CONTROL!$C$22, $C$13, 100%, $E$13)</f>
        <v>17.718699999999998</v>
      </c>
      <c r="K853" s="61">
        <f>17.7203 * CHOOSE(CONTROL!$C$22, $C$13, 100%, $E$13)</f>
        <v>17.720300000000002</v>
      </c>
    </row>
    <row r="854" spans="1:11" ht="15">
      <c r="A854" s="13">
        <v>67846</v>
      </c>
      <c r="B854" s="60">
        <f>15.1275 * CHOOSE(CONTROL!$C$22, $C$13, 100%, $E$13)</f>
        <v>15.1275</v>
      </c>
      <c r="C854" s="60">
        <f>15.1275 * CHOOSE(CONTROL!$C$22, $C$13, 100%, $E$13)</f>
        <v>15.1275</v>
      </c>
      <c r="D854" s="60">
        <f>15.1401 * CHOOSE(CONTROL!$C$22, $C$13, 100%, $E$13)</f>
        <v>15.1401</v>
      </c>
      <c r="E854" s="61">
        <f>17.7862 * CHOOSE(CONTROL!$C$22, $C$13, 100%, $E$13)</f>
        <v>17.786200000000001</v>
      </c>
      <c r="F854" s="61">
        <f>17.7862 * CHOOSE(CONTROL!$C$22, $C$13, 100%, $E$13)</f>
        <v>17.786200000000001</v>
      </c>
      <c r="G854" s="61">
        <f>17.7864 * CHOOSE(CONTROL!$C$22, $C$13, 100%, $E$13)</f>
        <v>17.7864</v>
      </c>
      <c r="H854" s="61">
        <f>28.8693* CHOOSE(CONTROL!$C$22, $C$13, 100%, $E$13)</f>
        <v>28.869299999999999</v>
      </c>
      <c r="I854" s="61">
        <f>28.8695 * CHOOSE(CONTROL!$C$22, $C$13, 100%, $E$13)</f>
        <v>28.869499999999999</v>
      </c>
      <c r="J854" s="61">
        <f>17.7862 * CHOOSE(CONTROL!$C$22, $C$13, 100%, $E$13)</f>
        <v>17.786200000000001</v>
      </c>
      <c r="K854" s="61">
        <f>17.7864 * CHOOSE(CONTROL!$C$22, $C$13, 100%, $E$13)</f>
        <v>17.7864</v>
      </c>
    </row>
    <row r="855" spans="1:11" ht="15">
      <c r="A855" s="13">
        <v>67877</v>
      </c>
      <c r="B855" s="60">
        <f>15.1306 * CHOOSE(CONTROL!$C$22, $C$13, 100%, $E$13)</f>
        <v>15.130599999999999</v>
      </c>
      <c r="C855" s="60">
        <f>15.1306 * CHOOSE(CONTROL!$C$22, $C$13, 100%, $E$13)</f>
        <v>15.130599999999999</v>
      </c>
      <c r="D855" s="60">
        <f>15.1431 * CHOOSE(CONTROL!$C$22, $C$13, 100%, $E$13)</f>
        <v>15.1431</v>
      </c>
      <c r="E855" s="61">
        <f>17.8288 * CHOOSE(CONTROL!$C$22, $C$13, 100%, $E$13)</f>
        <v>17.828800000000001</v>
      </c>
      <c r="F855" s="61">
        <f>17.8288 * CHOOSE(CONTROL!$C$22, $C$13, 100%, $E$13)</f>
        <v>17.828800000000001</v>
      </c>
      <c r="G855" s="61">
        <f>17.829 * CHOOSE(CONTROL!$C$22, $C$13, 100%, $E$13)</f>
        <v>17.829000000000001</v>
      </c>
      <c r="H855" s="61">
        <f>28.9294* CHOOSE(CONTROL!$C$22, $C$13, 100%, $E$13)</f>
        <v>28.929400000000001</v>
      </c>
      <c r="I855" s="61">
        <f>28.9296 * CHOOSE(CONTROL!$C$22, $C$13, 100%, $E$13)</f>
        <v>28.929600000000001</v>
      </c>
      <c r="J855" s="61">
        <f>17.8288 * CHOOSE(CONTROL!$C$22, $C$13, 100%, $E$13)</f>
        <v>17.828800000000001</v>
      </c>
      <c r="K855" s="61">
        <f>17.829 * CHOOSE(CONTROL!$C$22, $C$13, 100%, $E$13)</f>
        <v>17.829000000000001</v>
      </c>
    </row>
    <row r="856" spans="1:11" ht="15">
      <c r="A856" s="13">
        <v>67907</v>
      </c>
      <c r="B856" s="60">
        <f>15.1306 * CHOOSE(CONTROL!$C$22, $C$13, 100%, $E$13)</f>
        <v>15.130599999999999</v>
      </c>
      <c r="C856" s="60">
        <f>15.1306 * CHOOSE(CONTROL!$C$22, $C$13, 100%, $E$13)</f>
        <v>15.130599999999999</v>
      </c>
      <c r="D856" s="60">
        <f>15.1431 * CHOOSE(CONTROL!$C$22, $C$13, 100%, $E$13)</f>
        <v>15.1431</v>
      </c>
      <c r="E856" s="61">
        <f>17.7276 * CHOOSE(CONTROL!$C$22, $C$13, 100%, $E$13)</f>
        <v>17.727599999999999</v>
      </c>
      <c r="F856" s="61">
        <f>17.7276 * CHOOSE(CONTROL!$C$22, $C$13, 100%, $E$13)</f>
        <v>17.727599999999999</v>
      </c>
      <c r="G856" s="61">
        <f>17.7278 * CHOOSE(CONTROL!$C$22, $C$13, 100%, $E$13)</f>
        <v>17.727799999999998</v>
      </c>
      <c r="H856" s="61">
        <f>28.9897* CHOOSE(CONTROL!$C$22, $C$13, 100%, $E$13)</f>
        <v>28.989699999999999</v>
      </c>
      <c r="I856" s="61">
        <f>28.9899 * CHOOSE(CONTROL!$C$22, $C$13, 100%, $E$13)</f>
        <v>28.989899999999999</v>
      </c>
      <c r="J856" s="61">
        <f>17.7276 * CHOOSE(CONTROL!$C$22, $C$13, 100%, $E$13)</f>
        <v>17.727599999999999</v>
      </c>
      <c r="K856" s="61">
        <f>17.7278 * CHOOSE(CONTROL!$C$22, $C$13, 100%, $E$13)</f>
        <v>17.727799999999998</v>
      </c>
    </row>
    <row r="857" spans="1:11" ht="15">
      <c r="A857" s="13">
        <v>67938</v>
      </c>
      <c r="B857" s="60">
        <f>15.0981 * CHOOSE(CONTROL!$C$22, $C$13, 100%, $E$13)</f>
        <v>15.098100000000001</v>
      </c>
      <c r="C857" s="60">
        <f>15.0981 * CHOOSE(CONTROL!$C$22, $C$13, 100%, $E$13)</f>
        <v>15.098100000000001</v>
      </c>
      <c r="D857" s="60">
        <f>15.1106 * CHOOSE(CONTROL!$C$22, $C$13, 100%, $E$13)</f>
        <v>15.1106</v>
      </c>
      <c r="E857" s="61">
        <f>17.7593 * CHOOSE(CONTROL!$C$22, $C$13, 100%, $E$13)</f>
        <v>17.7593</v>
      </c>
      <c r="F857" s="61">
        <f>17.7593 * CHOOSE(CONTROL!$C$22, $C$13, 100%, $E$13)</f>
        <v>17.7593</v>
      </c>
      <c r="G857" s="61">
        <f>17.7595 * CHOOSE(CONTROL!$C$22, $C$13, 100%, $E$13)</f>
        <v>17.759499999999999</v>
      </c>
      <c r="H857" s="61">
        <f>28.7795* CHOOSE(CONTROL!$C$22, $C$13, 100%, $E$13)</f>
        <v>28.779499999999999</v>
      </c>
      <c r="I857" s="61">
        <f>28.7797 * CHOOSE(CONTROL!$C$22, $C$13, 100%, $E$13)</f>
        <v>28.779699999999998</v>
      </c>
      <c r="J857" s="61">
        <f>17.7593 * CHOOSE(CONTROL!$C$22, $C$13, 100%, $E$13)</f>
        <v>17.7593</v>
      </c>
      <c r="K857" s="61">
        <f>17.7595 * CHOOSE(CONTROL!$C$22, $C$13, 100%, $E$13)</f>
        <v>17.759499999999999</v>
      </c>
    </row>
    <row r="858" spans="1:11" ht="15">
      <c r="A858" s="13">
        <v>67969</v>
      </c>
      <c r="B858" s="60">
        <f>15.0951 * CHOOSE(CONTROL!$C$22, $C$13, 100%, $E$13)</f>
        <v>15.0951</v>
      </c>
      <c r="C858" s="60">
        <f>15.0951 * CHOOSE(CONTROL!$C$22, $C$13, 100%, $E$13)</f>
        <v>15.0951</v>
      </c>
      <c r="D858" s="60">
        <f>15.1076 * CHOOSE(CONTROL!$C$22, $C$13, 100%, $E$13)</f>
        <v>15.1076</v>
      </c>
      <c r="E858" s="61">
        <f>17.5628 * CHOOSE(CONTROL!$C$22, $C$13, 100%, $E$13)</f>
        <v>17.562799999999999</v>
      </c>
      <c r="F858" s="61">
        <f>17.5628 * CHOOSE(CONTROL!$C$22, $C$13, 100%, $E$13)</f>
        <v>17.562799999999999</v>
      </c>
      <c r="G858" s="61">
        <f>17.563 * CHOOSE(CONTROL!$C$22, $C$13, 100%, $E$13)</f>
        <v>17.562999999999999</v>
      </c>
      <c r="H858" s="61">
        <f>28.8394* CHOOSE(CONTROL!$C$22, $C$13, 100%, $E$13)</f>
        <v>28.839400000000001</v>
      </c>
      <c r="I858" s="61">
        <f>28.8396 * CHOOSE(CONTROL!$C$22, $C$13, 100%, $E$13)</f>
        <v>28.839600000000001</v>
      </c>
      <c r="J858" s="61">
        <f>17.5628 * CHOOSE(CONTROL!$C$22, $C$13, 100%, $E$13)</f>
        <v>17.562799999999999</v>
      </c>
      <c r="K858" s="61">
        <f>17.563 * CHOOSE(CONTROL!$C$22, $C$13, 100%, $E$13)</f>
        <v>17.562999999999999</v>
      </c>
    </row>
    <row r="859" spans="1:11" ht="15">
      <c r="A859" s="13">
        <v>67997</v>
      </c>
      <c r="B859" s="60">
        <f>15.092 * CHOOSE(CONTROL!$C$22, $C$13, 100%, $E$13)</f>
        <v>15.092000000000001</v>
      </c>
      <c r="C859" s="60">
        <f>15.092 * CHOOSE(CONTROL!$C$22, $C$13, 100%, $E$13)</f>
        <v>15.092000000000001</v>
      </c>
      <c r="D859" s="60">
        <f>15.1046 * CHOOSE(CONTROL!$C$22, $C$13, 100%, $E$13)</f>
        <v>15.1046</v>
      </c>
      <c r="E859" s="61">
        <f>17.7139 * CHOOSE(CONTROL!$C$22, $C$13, 100%, $E$13)</f>
        <v>17.713899999999999</v>
      </c>
      <c r="F859" s="61">
        <f>17.7139 * CHOOSE(CONTROL!$C$22, $C$13, 100%, $E$13)</f>
        <v>17.713899999999999</v>
      </c>
      <c r="G859" s="61">
        <f>17.7141 * CHOOSE(CONTROL!$C$22, $C$13, 100%, $E$13)</f>
        <v>17.714099999999998</v>
      </c>
      <c r="H859" s="61">
        <f>28.8995* CHOOSE(CONTROL!$C$22, $C$13, 100%, $E$13)</f>
        <v>28.8995</v>
      </c>
      <c r="I859" s="61">
        <f>28.8997 * CHOOSE(CONTROL!$C$22, $C$13, 100%, $E$13)</f>
        <v>28.899699999999999</v>
      </c>
      <c r="J859" s="61">
        <f>17.7139 * CHOOSE(CONTROL!$C$22, $C$13, 100%, $E$13)</f>
        <v>17.713899999999999</v>
      </c>
      <c r="K859" s="61">
        <f>17.7141 * CHOOSE(CONTROL!$C$22, $C$13, 100%, $E$13)</f>
        <v>17.714099999999998</v>
      </c>
    </row>
    <row r="860" spans="1:11" ht="15">
      <c r="A860" s="13">
        <v>68028</v>
      </c>
      <c r="B860" s="60">
        <f>15.0991 * CHOOSE(CONTROL!$C$22, $C$13, 100%, $E$13)</f>
        <v>15.0991</v>
      </c>
      <c r="C860" s="60">
        <f>15.0991 * CHOOSE(CONTROL!$C$22, $C$13, 100%, $E$13)</f>
        <v>15.0991</v>
      </c>
      <c r="D860" s="60">
        <f>15.1117 * CHOOSE(CONTROL!$C$22, $C$13, 100%, $E$13)</f>
        <v>15.111700000000001</v>
      </c>
      <c r="E860" s="61">
        <f>17.8742 * CHOOSE(CONTROL!$C$22, $C$13, 100%, $E$13)</f>
        <v>17.874199999999998</v>
      </c>
      <c r="F860" s="61">
        <f>17.8742 * CHOOSE(CONTROL!$C$22, $C$13, 100%, $E$13)</f>
        <v>17.874199999999998</v>
      </c>
      <c r="G860" s="61">
        <f>17.8744 * CHOOSE(CONTROL!$C$22, $C$13, 100%, $E$13)</f>
        <v>17.874400000000001</v>
      </c>
      <c r="H860" s="61">
        <f>28.9597* CHOOSE(CONTROL!$C$22, $C$13, 100%, $E$13)</f>
        <v>28.959700000000002</v>
      </c>
      <c r="I860" s="61">
        <f>28.9599 * CHOOSE(CONTROL!$C$22, $C$13, 100%, $E$13)</f>
        <v>28.959900000000001</v>
      </c>
      <c r="J860" s="61">
        <f>17.8742 * CHOOSE(CONTROL!$C$22, $C$13, 100%, $E$13)</f>
        <v>17.874199999999998</v>
      </c>
      <c r="K860" s="61">
        <f>17.8744 * CHOOSE(CONTROL!$C$22, $C$13, 100%, $E$13)</f>
        <v>17.874400000000001</v>
      </c>
    </row>
    <row r="861" spans="1:11" ht="15">
      <c r="A861" s="13">
        <v>68058</v>
      </c>
      <c r="B861" s="60">
        <f>15.0991 * CHOOSE(CONTROL!$C$22, $C$13, 100%, $E$13)</f>
        <v>15.0991</v>
      </c>
      <c r="C861" s="60">
        <f>15.0991 * CHOOSE(CONTROL!$C$22, $C$13, 100%, $E$13)</f>
        <v>15.0991</v>
      </c>
      <c r="D861" s="60">
        <f>15.1242 * CHOOSE(CONTROL!$C$22, $C$13, 100%, $E$13)</f>
        <v>15.1242</v>
      </c>
      <c r="E861" s="61">
        <f>17.936 * CHOOSE(CONTROL!$C$22, $C$13, 100%, $E$13)</f>
        <v>17.936</v>
      </c>
      <c r="F861" s="61">
        <f>17.936 * CHOOSE(CONTROL!$C$22, $C$13, 100%, $E$13)</f>
        <v>17.936</v>
      </c>
      <c r="G861" s="61">
        <f>17.9376 * CHOOSE(CONTROL!$C$22, $C$13, 100%, $E$13)</f>
        <v>17.9376</v>
      </c>
      <c r="H861" s="61">
        <f>29.0201* CHOOSE(CONTROL!$C$22, $C$13, 100%, $E$13)</f>
        <v>29.020099999999999</v>
      </c>
      <c r="I861" s="61">
        <f>29.0217 * CHOOSE(CONTROL!$C$22, $C$13, 100%, $E$13)</f>
        <v>29.021699999999999</v>
      </c>
      <c r="J861" s="61">
        <f>17.936 * CHOOSE(CONTROL!$C$22, $C$13, 100%, $E$13)</f>
        <v>17.936</v>
      </c>
      <c r="K861" s="61">
        <f>17.9376 * CHOOSE(CONTROL!$C$22, $C$13, 100%, $E$13)</f>
        <v>17.9376</v>
      </c>
    </row>
    <row r="862" spans="1:11" ht="15">
      <c r="A862" s="13">
        <v>68089</v>
      </c>
      <c r="B862" s="60">
        <f>15.1052 * CHOOSE(CONTROL!$C$22, $C$13, 100%, $E$13)</f>
        <v>15.1052</v>
      </c>
      <c r="C862" s="60">
        <f>15.1052 * CHOOSE(CONTROL!$C$22, $C$13, 100%, $E$13)</f>
        <v>15.1052</v>
      </c>
      <c r="D862" s="60">
        <f>15.1303 * CHOOSE(CONTROL!$C$22, $C$13, 100%, $E$13)</f>
        <v>15.1303</v>
      </c>
      <c r="E862" s="61">
        <f>17.8785 * CHOOSE(CONTROL!$C$22, $C$13, 100%, $E$13)</f>
        <v>17.878499999999999</v>
      </c>
      <c r="F862" s="61">
        <f>17.8785 * CHOOSE(CONTROL!$C$22, $C$13, 100%, $E$13)</f>
        <v>17.878499999999999</v>
      </c>
      <c r="G862" s="61">
        <f>17.8801 * CHOOSE(CONTROL!$C$22, $C$13, 100%, $E$13)</f>
        <v>17.880099999999999</v>
      </c>
      <c r="H862" s="61">
        <f>29.0805* CHOOSE(CONTROL!$C$22, $C$13, 100%, $E$13)</f>
        <v>29.080500000000001</v>
      </c>
      <c r="I862" s="61">
        <f>29.0821 * CHOOSE(CONTROL!$C$22, $C$13, 100%, $E$13)</f>
        <v>29.082100000000001</v>
      </c>
      <c r="J862" s="61">
        <f>17.8785 * CHOOSE(CONTROL!$C$22, $C$13, 100%, $E$13)</f>
        <v>17.878499999999999</v>
      </c>
      <c r="K862" s="61">
        <f>17.8801 * CHOOSE(CONTROL!$C$22, $C$13, 100%, $E$13)</f>
        <v>17.880099999999999</v>
      </c>
    </row>
    <row r="863" spans="1:11" ht="15">
      <c r="A863" s="13">
        <v>68119</v>
      </c>
      <c r="B863" s="60">
        <f>15.3417 * CHOOSE(CONTROL!$C$22, $C$13, 100%, $E$13)</f>
        <v>15.341699999999999</v>
      </c>
      <c r="C863" s="60">
        <f>15.3417 * CHOOSE(CONTROL!$C$22, $C$13, 100%, $E$13)</f>
        <v>15.341699999999999</v>
      </c>
      <c r="D863" s="60">
        <f>15.3667 * CHOOSE(CONTROL!$C$22, $C$13, 100%, $E$13)</f>
        <v>15.3667</v>
      </c>
      <c r="E863" s="61">
        <f>18.2184 * CHOOSE(CONTROL!$C$22, $C$13, 100%, $E$13)</f>
        <v>18.218399999999999</v>
      </c>
      <c r="F863" s="61">
        <f>18.2184 * CHOOSE(CONTROL!$C$22, $C$13, 100%, $E$13)</f>
        <v>18.218399999999999</v>
      </c>
      <c r="G863" s="61">
        <f>18.22 * CHOOSE(CONTROL!$C$22, $C$13, 100%, $E$13)</f>
        <v>18.22</v>
      </c>
      <c r="H863" s="61">
        <f>29.1411* CHOOSE(CONTROL!$C$22, $C$13, 100%, $E$13)</f>
        <v>29.141100000000002</v>
      </c>
      <c r="I863" s="61">
        <f>29.1427 * CHOOSE(CONTROL!$C$22, $C$13, 100%, $E$13)</f>
        <v>29.142700000000001</v>
      </c>
      <c r="J863" s="61">
        <f>18.2184 * CHOOSE(CONTROL!$C$22, $C$13, 100%, $E$13)</f>
        <v>18.218399999999999</v>
      </c>
      <c r="K863" s="61">
        <f>18.22 * CHOOSE(CONTROL!$C$22, $C$13, 100%, $E$13)</f>
        <v>18.22</v>
      </c>
    </row>
    <row r="864" spans="1:11" ht="15">
      <c r="A864" s="13">
        <v>68150</v>
      </c>
      <c r="B864" s="60">
        <f>15.3483 * CHOOSE(CONTROL!$C$22, $C$13, 100%, $E$13)</f>
        <v>15.3483</v>
      </c>
      <c r="C864" s="60">
        <f>15.3483 * CHOOSE(CONTROL!$C$22, $C$13, 100%, $E$13)</f>
        <v>15.3483</v>
      </c>
      <c r="D864" s="60">
        <f>15.3734 * CHOOSE(CONTROL!$C$22, $C$13, 100%, $E$13)</f>
        <v>15.3734</v>
      </c>
      <c r="E864" s="61">
        <f>18.0379 * CHOOSE(CONTROL!$C$22, $C$13, 100%, $E$13)</f>
        <v>18.0379</v>
      </c>
      <c r="F864" s="61">
        <f>18.0379 * CHOOSE(CONTROL!$C$22, $C$13, 100%, $E$13)</f>
        <v>18.0379</v>
      </c>
      <c r="G864" s="61">
        <f>18.0395 * CHOOSE(CONTROL!$C$22, $C$13, 100%, $E$13)</f>
        <v>18.0395</v>
      </c>
      <c r="H864" s="61">
        <f>29.2018* CHOOSE(CONTROL!$C$22, $C$13, 100%, $E$13)</f>
        <v>29.201799999999999</v>
      </c>
      <c r="I864" s="61">
        <f>29.2034 * CHOOSE(CONTROL!$C$22, $C$13, 100%, $E$13)</f>
        <v>29.203399999999998</v>
      </c>
      <c r="J864" s="61">
        <f>18.0379 * CHOOSE(CONTROL!$C$22, $C$13, 100%, $E$13)</f>
        <v>18.0379</v>
      </c>
      <c r="K864" s="61">
        <f>18.0395 * CHOOSE(CONTROL!$C$22, $C$13, 100%, $E$13)</f>
        <v>18.0395</v>
      </c>
    </row>
    <row r="865" spans="1:11" ht="15">
      <c r="A865" s="13">
        <v>68181</v>
      </c>
      <c r="B865" s="60">
        <f>15.3453 * CHOOSE(CONTROL!$C$22, $C$13, 100%, $E$13)</f>
        <v>15.3453</v>
      </c>
      <c r="C865" s="60">
        <f>15.3453 * CHOOSE(CONTROL!$C$22, $C$13, 100%, $E$13)</f>
        <v>15.3453</v>
      </c>
      <c r="D865" s="60">
        <f>15.3704 * CHOOSE(CONTROL!$C$22, $C$13, 100%, $E$13)</f>
        <v>15.3704</v>
      </c>
      <c r="E865" s="61">
        <f>18.0152 * CHOOSE(CONTROL!$C$22, $C$13, 100%, $E$13)</f>
        <v>18.0152</v>
      </c>
      <c r="F865" s="61">
        <f>18.0152 * CHOOSE(CONTROL!$C$22, $C$13, 100%, $E$13)</f>
        <v>18.0152</v>
      </c>
      <c r="G865" s="61">
        <f>18.0168 * CHOOSE(CONTROL!$C$22, $C$13, 100%, $E$13)</f>
        <v>18.0168</v>
      </c>
      <c r="H865" s="61">
        <f>29.2626* CHOOSE(CONTROL!$C$22, $C$13, 100%, $E$13)</f>
        <v>29.262599999999999</v>
      </c>
      <c r="I865" s="61">
        <f>29.2642 * CHOOSE(CONTROL!$C$22, $C$13, 100%, $E$13)</f>
        <v>29.264199999999999</v>
      </c>
      <c r="J865" s="61">
        <f>18.0152 * CHOOSE(CONTROL!$C$22, $C$13, 100%, $E$13)</f>
        <v>18.0152</v>
      </c>
      <c r="K865" s="61">
        <f>18.0168 * CHOOSE(CONTROL!$C$22, $C$13, 100%, $E$13)</f>
        <v>18.0168</v>
      </c>
    </row>
    <row r="866" spans="1:11" ht="15">
      <c r="A866" s="13">
        <v>68211</v>
      </c>
      <c r="B866" s="60">
        <f>15.3775 * CHOOSE(CONTROL!$C$22, $C$13, 100%, $E$13)</f>
        <v>15.3775</v>
      </c>
      <c r="C866" s="60">
        <f>15.3775 * CHOOSE(CONTROL!$C$22, $C$13, 100%, $E$13)</f>
        <v>15.3775</v>
      </c>
      <c r="D866" s="60">
        <f>15.3901 * CHOOSE(CONTROL!$C$22, $C$13, 100%, $E$13)</f>
        <v>15.3901</v>
      </c>
      <c r="E866" s="61">
        <f>18.0841 * CHOOSE(CONTROL!$C$22, $C$13, 100%, $E$13)</f>
        <v>18.084099999999999</v>
      </c>
      <c r="F866" s="61">
        <f>18.0841 * CHOOSE(CONTROL!$C$22, $C$13, 100%, $E$13)</f>
        <v>18.084099999999999</v>
      </c>
      <c r="G866" s="61">
        <f>18.0842 * CHOOSE(CONTROL!$C$22, $C$13, 100%, $E$13)</f>
        <v>18.084199999999999</v>
      </c>
      <c r="H866" s="61">
        <f>29.3236* CHOOSE(CONTROL!$C$22, $C$13, 100%, $E$13)</f>
        <v>29.323599999999999</v>
      </c>
      <c r="I866" s="61">
        <f>29.3238 * CHOOSE(CONTROL!$C$22, $C$13, 100%, $E$13)</f>
        <v>29.323799999999999</v>
      </c>
      <c r="J866" s="61">
        <f>18.0841 * CHOOSE(CONTROL!$C$22, $C$13, 100%, $E$13)</f>
        <v>18.084099999999999</v>
      </c>
      <c r="K866" s="61">
        <f>18.0842 * CHOOSE(CONTROL!$C$22, $C$13, 100%, $E$13)</f>
        <v>18.084199999999999</v>
      </c>
    </row>
    <row r="867" spans="1:11" ht="15">
      <c r="A867" s="13">
        <v>68242</v>
      </c>
      <c r="B867" s="60">
        <f>15.3806 * CHOOSE(CONTROL!$C$22, $C$13, 100%, $E$13)</f>
        <v>15.380599999999999</v>
      </c>
      <c r="C867" s="60">
        <f>15.3806 * CHOOSE(CONTROL!$C$22, $C$13, 100%, $E$13)</f>
        <v>15.380599999999999</v>
      </c>
      <c r="D867" s="60">
        <f>15.3931 * CHOOSE(CONTROL!$C$22, $C$13, 100%, $E$13)</f>
        <v>15.3931</v>
      </c>
      <c r="E867" s="61">
        <f>18.1273 * CHOOSE(CONTROL!$C$22, $C$13, 100%, $E$13)</f>
        <v>18.127300000000002</v>
      </c>
      <c r="F867" s="61">
        <f>18.1273 * CHOOSE(CONTROL!$C$22, $C$13, 100%, $E$13)</f>
        <v>18.127300000000002</v>
      </c>
      <c r="G867" s="61">
        <f>18.1275 * CHOOSE(CONTROL!$C$22, $C$13, 100%, $E$13)</f>
        <v>18.127500000000001</v>
      </c>
      <c r="H867" s="61">
        <f>29.3847* CHOOSE(CONTROL!$C$22, $C$13, 100%, $E$13)</f>
        <v>29.384699999999999</v>
      </c>
      <c r="I867" s="61">
        <f>29.3849 * CHOOSE(CONTROL!$C$22, $C$13, 100%, $E$13)</f>
        <v>29.384899999999998</v>
      </c>
      <c r="J867" s="61">
        <f>18.1273 * CHOOSE(CONTROL!$C$22, $C$13, 100%, $E$13)</f>
        <v>18.127300000000002</v>
      </c>
      <c r="K867" s="61">
        <f>18.1275 * CHOOSE(CONTROL!$C$22, $C$13, 100%, $E$13)</f>
        <v>18.127500000000001</v>
      </c>
    </row>
    <row r="868" spans="1:11" ht="15">
      <c r="A868" s="13">
        <v>68272</v>
      </c>
      <c r="B868" s="60">
        <f>15.3806 * CHOOSE(CONTROL!$C$22, $C$13, 100%, $E$13)</f>
        <v>15.380599999999999</v>
      </c>
      <c r="C868" s="60">
        <f>15.3806 * CHOOSE(CONTROL!$C$22, $C$13, 100%, $E$13)</f>
        <v>15.380599999999999</v>
      </c>
      <c r="D868" s="60">
        <f>15.3931 * CHOOSE(CONTROL!$C$22, $C$13, 100%, $E$13)</f>
        <v>15.3931</v>
      </c>
      <c r="E868" s="61">
        <f>18.0245 * CHOOSE(CONTROL!$C$22, $C$13, 100%, $E$13)</f>
        <v>18.0245</v>
      </c>
      <c r="F868" s="61">
        <f>18.0245 * CHOOSE(CONTROL!$C$22, $C$13, 100%, $E$13)</f>
        <v>18.0245</v>
      </c>
      <c r="G868" s="61">
        <f>18.0246 * CHOOSE(CONTROL!$C$22, $C$13, 100%, $E$13)</f>
        <v>18.0246</v>
      </c>
      <c r="H868" s="61">
        <f>29.4459* CHOOSE(CONTROL!$C$22, $C$13, 100%, $E$13)</f>
        <v>29.445900000000002</v>
      </c>
      <c r="I868" s="61">
        <f>29.4461 * CHOOSE(CONTROL!$C$22, $C$13, 100%, $E$13)</f>
        <v>29.446100000000001</v>
      </c>
      <c r="J868" s="61">
        <f>18.0245 * CHOOSE(CONTROL!$C$22, $C$13, 100%, $E$13)</f>
        <v>18.0245</v>
      </c>
      <c r="K868" s="61">
        <f>18.0246 * CHOOSE(CONTROL!$C$22, $C$13, 100%, $E$13)</f>
        <v>18.0246</v>
      </c>
    </row>
    <row r="869" spans="1:11" ht="15">
      <c r="A869" s="13">
        <v>68303</v>
      </c>
      <c r="B869" s="60">
        <f>15.3434 * CHOOSE(CONTROL!$C$22, $C$13, 100%, $E$13)</f>
        <v>15.343400000000001</v>
      </c>
      <c r="C869" s="60">
        <f>15.3434 * CHOOSE(CONTROL!$C$22, $C$13, 100%, $E$13)</f>
        <v>15.343400000000001</v>
      </c>
      <c r="D869" s="60">
        <f>15.356 * CHOOSE(CONTROL!$C$22, $C$13, 100%, $E$13)</f>
        <v>15.356</v>
      </c>
      <c r="E869" s="61">
        <f>18.0517 * CHOOSE(CONTROL!$C$22, $C$13, 100%, $E$13)</f>
        <v>18.0517</v>
      </c>
      <c r="F869" s="61">
        <f>18.0517 * CHOOSE(CONTROL!$C$22, $C$13, 100%, $E$13)</f>
        <v>18.0517</v>
      </c>
      <c r="G869" s="61">
        <f>18.0519 * CHOOSE(CONTROL!$C$22, $C$13, 100%, $E$13)</f>
        <v>18.0519</v>
      </c>
      <c r="H869" s="61">
        <f>29.2254* CHOOSE(CONTROL!$C$22, $C$13, 100%, $E$13)</f>
        <v>29.2254</v>
      </c>
      <c r="I869" s="61">
        <f>29.2255 * CHOOSE(CONTROL!$C$22, $C$13, 100%, $E$13)</f>
        <v>29.2255</v>
      </c>
      <c r="J869" s="61">
        <f>18.0517 * CHOOSE(CONTROL!$C$22, $C$13, 100%, $E$13)</f>
        <v>18.0517</v>
      </c>
      <c r="K869" s="61">
        <f>18.0519 * CHOOSE(CONTROL!$C$22, $C$13, 100%, $E$13)</f>
        <v>18.0519</v>
      </c>
    </row>
    <row r="870" spans="1:11" ht="15">
      <c r="A870" s="13">
        <v>68334</v>
      </c>
      <c r="B870" s="60">
        <f>15.3404 * CHOOSE(CONTROL!$C$22, $C$13, 100%, $E$13)</f>
        <v>15.340400000000001</v>
      </c>
      <c r="C870" s="60">
        <f>15.3404 * CHOOSE(CONTROL!$C$22, $C$13, 100%, $E$13)</f>
        <v>15.340400000000001</v>
      </c>
      <c r="D870" s="60">
        <f>15.3529 * CHOOSE(CONTROL!$C$22, $C$13, 100%, $E$13)</f>
        <v>15.3529</v>
      </c>
      <c r="E870" s="61">
        <f>17.852 * CHOOSE(CONTROL!$C$22, $C$13, 100%, $E$13)</f>
        <v>17.852</v>
      </c>
      <c r="F870" s="61">
        <f>17.852 * CHOOSE(CONTROL!$C$22, $C$13, 100%, $E$13)</f>
        <v>17.852</v>
      </c>
      <c r="G870" s="61">
        <f>17.8522 * CHOOSE(CONTROL!$C$22, $C$13, 100%, $E$13)</f>
        <v>17.8522</v>
      </c>
      <c r="H870" s="61">
        <f>29.2863* CHOOSE(CONTROL!$C$22, $C$13, 100%, $E$13)</f>
        <v>29.286300000000001</v>
      </c>
      <c r="I870" s="61">
        <f>29.2864 * CHOOSE(CONTROL!$C$22, $C$13, 100%, $E$13)</f>
        <v>29.2864</v>
      </c>
      <c r="J870" s="61">
        <f>17.852 * CHOOSE(CONTROL!$C$22, $C$13, 100%, $E$13)</f>
        <v>17.852</v>
      </c>
      <c r="K870" s="61">
        <f>17.8522 * CHOOSE(CONTROL!$C$22, $C$13, 100%, $E$13)</f>
        <v>17.8522</v>
      </c>
    </row>
    <row r="871" spans="1:11" ht="15">
      <c r="A871" s="13">
        <v>68362</v>
      </c>
      <c r="B871" s="60">
        <f>15.3373 * CHOOSE(CONTROL!$C$22, $C$13, 100%, $E$13)</f>
        <v>15.337300000000001</v>
      </c>
      <c r="C871" s="60">
        <f>15.3373 * CHOOSE(CONTROL!$C$22, $C$13, 100%, $E$13)</f>
        <v>15.337300000000001</v>
      </c>
      <c r="D871" s="60">
        <f>15.3499 * CHOOSE(CONTROL!$C$22, $C$13, 100%, $E$13)</f>
        <v>15.3499</v>
      </c>
      <c r="E871" s="61">
        <f>18.0057 * CHOOSE(CONTROL!$C$22, $C$13, 100%, $E$13)</f>
        <v>18.005700000000001</v>
      </c>
      <c r="F871" s="61">
        <f>18.0057 * CHOOSE(CONTROL!$C$22, $C$13, 100%, $E$13)</f>
        <v>18.005700000000001</v>
      </c>
      <c r="G871" s="61">
        <f>18.0058 * CHOOSE(CONTROL!$C$22, $C$13, 100%, $E$13)</f>
        <v>18.005800000000001</v>
      </c>
      <c r="H871" s="61">
        <f>29.3473* CHOOSE(CONTROL!$C$22, $C$13, 100%, $E$13)</f>
        <v>29.347300000000001</v>
      </c>
      <c r="I871" s="61">
        <f>29.3474 * CHOOSE(CONTROL!$C$22, $C$13, 100%, $E$13)</f>
        <v>29.3474</v>
      </c>
      <c r="J871" s="61">
        <f>18.0057 * CHOOSE(CONTROL!$C$22, $C$13, 100%, $E$13)</f>
        <v>18.005700000000001</v>
      </c>
      <c r="K871" s="61">
        <f>18.0058 * CHOOSE(CONTROL!$C$22, $C$13, 100%, $E$13)</f>
        <v>18.005800000000001</v>
      </c>
    </row>
    <row r="872" spans="1:11" ht="15">
      <c r="A872" s="13">
        <v>68393</v>
      </c>
      <c r="B872" s="60">
        <f>15.3446 * CHOOSE(CONTROL!$C$22, $C$13, 100%, $E$13)</f>
        <v>15.3446</v>
      </c>
      <c r="C872" s="60">
        <f>15.3446 * CHOOSE(CONTROL!$C$22, $C$13, 100%, $E$13)</f>
        <v>15.3446</v>
      </c>
      <c r="D872" s="60">
        <f>15.3572 * CHOOSE(CONTROL!$C$22, $C$13, 100%, $E$13)</f>
        <v>15.357200000000001</v>
      </c>
      <c r="E872" s="61">
        <f>18.1687 * CHOOSE(CONTROL!$C$22, $C$13, 100%, $E$13)</f>
        <v>18.168700000000001</v>
      </c>
      <c r="F872" s="61">
        <f>18.1687 * CHOOSE(CONTROL!$C$22, $C$13, 100%, $E$13)</f>
        <v>18.168700000000001</v>
      </c>
      <c r="G872" s="61">
        <f>18.1689 * CHOOSE(CONTROL!$C$22, $C$13, 100%, $E$13)</f>
        <v>18.168900000000001</v>
      </c>
      <c r="H872" s="61">
        <f>29.4084* CHOOSE(CONTROL!$C$22, $C$13, 100%, $E$13)</f>
        <v>29.4084</v>
      </c>
      <c r="I872" s="61">
        <f>29.4086 * CHOOSE(CONTROL!$C$22, $C$13, 100%, $E$13)</f>
        <v>29.4086</v>
      </c>
      <c r="J872" s="61">
        <f>18.1687 * CHOOSE(CONTROL!$C$22, $C$13, 100%, $E$13)</f>
        <v>18.168700000000001</v>
      </c>
      <c r="K872" s="61">
        <f>18.1689 * CHOOSE(CONTROL!$C$22, $C$13, 100%, $E$13)</f>
        <v>18.168900000000001</v>
      </c>
    </row>
    <row r="873" spans="1:11" ht="15">
      <c r="A873" s="13">
        <v>68423</v>
      </c>
      <c r="B873" s="60">
        <f>15.3446 * CHOOSE(CONTROL!$C$22, $C$13, 100%, $E$13)</f>
        <v>15.3446</v>
      </c>
      <c r="C873" s="60">
        <f>15.3446 * CHOOSE(CONTROL!$C$22, $C$13, 100%, $E$13)</f>
        <v>15.3446</v>
      </c>
      <c r="D873" s="60">
        <f>15.3697 * CHOOSE(CONTROL!$C$22, $C$13, 100%, $E$13)</f>
        <v>15.3697</v>
      </c>
      <c r="E873" s="61">
        <f>18.2314 * CHOOSE(CONTROL!$C$22, $C$13, 100%, $E$13)</f>
        <v>18.231400000000001</v>
      </c>
      <c r="F873" s="61">
        <f>18.2314 * CHOOSE(CONTROL!$C$22, $C$13, 100%, $E$13)</f>
        <v>18.231400000000001</v>
      </c>
      <c r="G873" s="61">
        <f>18.233 * CHOOSE(CONTROL!$C$22, $C$13, 100%, $E$13)</f>
        <v>18.233000000000001</v>
      </c>
      <c r="H873" s="61">
        <f>29.4697* CHOOSE(CONTROL!$C$22, $C$13, 100%, $E$13)</f>
        <v>29.4697</v>
      </c>
      <c r="I873" s="61">
        <f>29.4713 * CHOOSE(CONTROL!$C$22, $C$13, 100%, $E$13)</f>
        <v>29.471299999999999</v>
      </c>
      <c r="J873" s="61">
        <f>18.2314 * CHOOSE(CONTROL!$C$22, $C$13, 100%, $E$13)</f>
        <v>18.231400000000001</v>
      </c>
      <c r="K873" s="61">
        <f>18.233 * CHOOSE(CONTROL!$C$22, $C$13, 100%, $E$13)</f>
        <v>18.233000000000001</v>
      </c>
    </row>
    <row r="874" spans="1:11" ht="15">
      <c r="A874" s="13">
        <v>68454</v>
      </c>
      <c r="B874" s="60">
        <f>15.3507 * CHOOSE(CONTROL!$C$22, $C$13, 100%, $E$13)</f>
        <v>15.3507</v>
      </c>
      <c r="C874" s="60">
        <f>15.3507 * CHOOSE(CONTROL!$C$22, $C$13, 100%, $E$13)</f>
        <v>15.3507</v>
      </c>
      <c r="D874" s="60">
        <f>15.3758 * CHOOSE(CONTROL!$C$22, $C$13, 100%, $E$13)</f>
        <v>15.3758</v>
      </c>
      <c r="E874" s="61">
        <f>18.1729 * CHOOSE(CONTROL!$C$22, $C$13, 100%, $E$13)</f>
        <v>18.172899999999998</v>
      </c>
      <c r="F874" s="61">
        <f>18.1729 * CHOOSE(CONTROL!$C$22, $C$13, 100%, $E$13)</f>
        <v>18.172899999999998</v>
      </c>
      <c r="G874" s="61">
        <f>18.1745 * CHOOSE(CONTROL!$C$22, $C$13, 100%, $E$13)</f>
        <v>18.174499999999998</v>
      </c>
      <c r="H874" s="61">
        <f>29.5311* CHOOSE(CONTROL!$C$22, $C$13, 100%, $E$13)</f>
        <v>29.531099999999999</v>
      </c>
      <c r="I874" s="61">
        <f>29.5327 * CHOOSE(CONTROL!$C$22, $C$13, 100%, $E$13)</f>
        <v>29.532699999999998</v>
      </c>
      <c r="J874" s="61">
        <f>18.1729 * CHOOSE(CONTROL!$C$22, $C$13, 100%, $E$13)</f>
        <v>18.172899999999998</v>
      </c>
      <c r="K874" s="61">
        <f>18.1745 * CHOOSE(CONTROL!$C$22, $C$13, 100%, $E$13)</f>
        <v>18.174499999999998</v>
      </c>
    </row>
    <row r="875" spans="1:11" ht="15">
      <c r="A875" s="13">
        <v>68484</v>
      </c>
      <c r="B875" s="60">
        <f>15.5909 * CHOOSE(CONTROL!$C$22, $C$13, 100%, $E$13)</f>
        <v>15.5909</v>
      </c>
      <c r="C875" s="60">
        <f>15.5909 * CHOOSE(CONTROL!$C$22, $C$13, 100%, $E$13)</f>
        <v>15.5909</v>
      </c>
      <c r="D875" s="60">
        <f>15.616 * CHOOSE(CONTROL!$C$22, $C$13, 100%, $E$13)</f>
        <v>15.616</v>
      </c>
      <c r="E875" s="61">
        <f>18.5182 * CHOOSE(CONTROL!$C$22, $C$13, 100%, $E$13)</f>
        <v>18.5182</v>
      </c>
      <c r="F875" s="61">
        <f>18.5182 * CHOOSE(CONTROL!$C$22, $C$13, 100%, $E$13)</f>
        <v>18.5182</v>
      </c>
      <c r="G875" s="61">
        <f>18.5198 * CHOOSE(CONTROL!$C$22, $C$13, 100%, $E$13)</f>
        <v>18.5198</v>
      </c>
      <c r="H875" s="61">
        <f>29.5926* CHOOSE(CONTROL!$C$22, $C$13, 100%, $E$13)</f>
        <v>29.592600000000001</v>
      </c>
      <c r="I875" s="61">
        <f>29.5942 * CHOOSE(CONTROL!$C$22, $C$13, 100%, $E$13)</f>
        <v>29.594200000000001</v>
      </c>
      <c r="J875" s="61">
        <f>18.5182 * CHOOSE(CONTROL!$C$22, $C$13, 100%, $E$13)</f>
        <v>18.5182</v>
      </c>
      <c r="K875" s="61">
        <f>18.5198 * CHOOSE(CONTROL!$C$22, $C$13, 100%, $E$13)</f>
        <v>18.5198</v>
      </c>
    </row>
    <row r="876" spans="1:11" ht="15">
      <c r="A876" s="13">
        <v>68515</v>
      </c>
      <c r="B876" s="60">
        <f>15.5976 * CHOOSE(CONTROL!$C$22, $C$13, 100%, $E$13)</f>
        <v>15.5976</v>
      </c>
      <c r="C876" s="60">
        <f>15.5976 * CHOOSE(CONTROL!$C$22, $C$13, 100%, $E$13)</f>
        <v>15.5976</v>
      </c>
      <c r="D876" s="60">
        <f>15.6226 * CHOOSE(CONTROL!$C$22, $C$13, 100%, $E$13)</f>
        <v>15.6226</v>
      </c>
      <c r="E876" s="61">
        <f>18.3347 * CHOOSE(CONTROL!$C$22, $C$13, 100%, $E$13)</f>
        <v>18.334700000000002</v>
      </c>
      <c r="F876" s="61">
        <f>18.3347 * CHOOSE(CONTROL!$C$22, $C$13, 100%, $E$13)</f>
        <v>18.334700000000002</v>
      </c>
      <c r="G876" s="61">
        <f>18.3363 * CHOOSE(CONTROL!$C$22, $C$13, 100%, $E$13)</f>
        <v>18.336300000000001</v>
      </c>
      <c r="H876" s="61">
        <f>29.6542* CHOOSE(CONTROL!$C$22, $C$13, 100%, $E$13)</f>
        <v>29.654199999999999</v>
      </c>
      <c r="I876" s="61">
        <f>29.6558 * CHOOSE(CONTROL!$C$22, $C$13, 100%, $E$13)</f>
        <v>29.655799999999999</v>
      </c>
      <c r="J876" s="61">
        <f>18.3347 * CHOOSE(CONTROL!$C$22, $C$13, 100%, $E$13)</f>
        <v>18.334700000000002</v>
      </c>
      <c r="K876" s="61">
        <f>18.3363 * CHOOSE(CONTROL!$C$22, $C$13, 100%, $E$13)</f>
        <v>18.336300000000001</v>
      </c>
    </row>
    <row r="877" spans="1:11" ht="15">
      <c r="A877" s="13">
        <v>68546</v>
      </c>
      <c r="B877" s="60">
        <f>15.5945 * CHOOSE(CONTROL!$C$22, $C$13, 100%, $E$13)</f>
        <v>15.5945</v>
      </c>
      <c r="C877" s="60">
        <f>15.5945 * CHOOSE(CONTROL!$C$22, $C$13, 100%, $E$13)</f>
        <v>15.5945</v>
      </c>
      <c r="D877" s="60">
        <f>15.6196 * CHOOSE(CONTROL!$C$22, $C$13, 100%, $E$13)</f>
        <v>15.6196</v>
      </c>
      <c r="E877" s="61">
        <f>18.3117 * CHOOSE(CONTROL!$C$22, $C$13, 100%, $E$13)</f>
        <v>18.311699999999998</v>
      </c>
      <c r="F877" s="61">
        <f>18.3117 * CHOOSE(CONTROL!$C$22, $C$13, 100%, $E$13)</f>
        <v>18.311699999999998</v>
      </c>
      <c r="G877" s="61">
        <f>18.3133 * CHOOSE(CONTROL!$C$22, $C$13, 100%, $E$13)</f>
        <v>18.313300000000002</v>
      </c>
      <c r="H877" s="61">
        <f>29.716* CHOOSE(CONTROL!$C$22, $C$13, 100%, $E$13)</f>
        <v>29.716000000000001</v>
      </c>
      <c r="I877" s="61">
        <f>29.7176 * CHOOSE(CONTROL!$C$22, $C$13, 100%, $E$13)</f>
        <v>29.717600000000001</v>
      </c>
      <c r="J877" s="61">
        <f>18.3117 * CHOOSE(CONTROL!$C$22, $C$13, 100%, $E$13)</f>
        <v>18.311699999999998</v>
      </c>
      <c r="K877" s="61">
        <f>18.3133 * CHOOSE(CONTROL!$C$22, $C$13, 100%, $E$13)</f>
        <v>18.313300000000002</v>
      </c>
    </row>
    <row r="878" spans="1:11" ht="15">
      <c r="A878" s="13">
        <v>68576</v>
      </c>
      <c r="B878" s="60">
        <f>15.6276 * CHOOSE(CONTROL!$C$22, $C$13, 100%, $E$13)</f>
        <v>15.627599999999999</v>
      </c>
      <c r="C878" s="60">
        <f>15.6276 * CHOOSE(CONTROL!$C$22, $C$13, 100%, $E$13)</f>
        <v>15.627599999999999</v>
      </c>
      <c r="D878" s="60">
        <f>15.6401 * CHOOSE(CONTROL!$C$22, $C$13, 100%, $E$13)</f>
        <v>15.6401</v>
      </c>
      <c r="E878" s="61">
        <f>18.3819 * CHOOSE(CONTROL!$C$22, $C$13, 100%, $E$13)</f>
        <v>18.381900000000002</v>
      </c>
      <c r="F878" s="61">
        <f>18.3819 * CHOOSE(CONTROL!$C$22, $C$13, 100%, $E$13)</f>
        <v>18.381900000000002</v>
      </c>
      <c r="G878" s="61">
        <f>18.3821 * CHOOSE(CONTROL!$C$22, $C$13, 100%, $E$13)</f>
        <v>18.382100000000001</v>
      </c>
      <c r="H878" s="61">
        <f>29.7779* CHOOSE(CONTROL!$C$22, $C$13, 100%, $E$13)</f>
        <v>29.777899999999999</v>
      </c>
      <c r="I878" s="61">
        <f>29.7781 * CHOOSE(CONTROL!$C$22, $C$13, 100%, $E$13)</f>
        <v>29.778099999999998</v>
      </c>
      <c r="J878" s="61">
        <f>18.3819 * CHOOSE(CONTROL!$C$22, $C$13, 100%, $E$13)</f>
        <v>18.381900000000002</v>
      </c>
      <c r="K878" s="61">
        <f>18.3821 * CHOOSE(CONTROL!$C$22, $C$13, 100%, $E$13)</f>
        <v>18.382100000000001</v>
      </c>
    </row>
    <row r="879" spans="1:11" ht="15">
      <c r="A879" s="13">
        <v>68607</v>
      </c>
      <c r="B879" s="60">
        <f>15.6306 * CHOOSE(CONTROL!$C$22, $C$13, 100%, $E$13)</f>
        <v>15.630599999999999</v>
      </c>
      <c r="C879" s="60">
        <f>15.6306 * CHOOSE(CONTROL!$C$22, $C$13, 100%, $E$13)</f>
        <v>15.630599999999999</v>
      </c>
      <c r="D879" s="60">
        <f>15.6431 * CHOOSE(CONTROL!$C$22, $C$13, 100%, $E$13)</f>
        <v>15.6431</v>
      </c>
      <c r="E879" s="61">
        <f>18.4258 * CHOOSE(CONTROL!$C$22, $C$13, 100%, $E$13)</f>
        <v>18.425799999999999</v>
      </c>
      <c r="F879" s="61">
        <f>18.4258 * CHOOSE(CONTROL!$C$22, $C$13, 100%, $E$13)</f>
        <v>18.425799999999999</v>
      </c>
      <c r="G879" s="61">
        <f>18.426 * CHOOSE(CONTROL!$C$22, $C$13, 100%, $E$13)</f>
        <v>18.425999999999998</v>
      </c>
      <c r="H879" s="61">
        <f>29.84* CHOOSE(CONTROL!$C$22, $C$13, 100%, $E$13)</f>
        <v>29.84</v>
      </c>
      <c r="I879" s="61">
        <f>29.8401 * CHOOSE(CONTROL!$C$22, $C$13, 100%, $E$13)</f>
        <v>29.8401</v>
      </c>
      <c r="J879" s="61">
        <f>18.4258 * CHOOSE(CONTROL!$C$22, $C$13, 100%, $E$13)</f>
        <v>18.425799999999999</v>
      </c>
      <c r="K879" s="61">
        <f>18.426 * CHOOSE(CONTROL!$C$22, $C$13, 100%, $E$13)</f>
        <v>18.425999999999998</v>
      </c>
    </row>
    <row r="880" spans="1:11" ht="15">
      <c r="A880" s="13">
        <v>68637</v>
      </c>
      <c r="B880" s="60">
        <f>15.6306 * CHOOSE(CONTROL!$C$22, $C$13, 100%, $E$13)</f>
        <v>15.630599999999999</v>
      </c>
      <c r="C880" s="60">
        <f>15.6306 * CHOOSE(CONTROL!$C$22, $C$13, 100%, $E$13)</f>
        <v>15.630599999999999</v>
      </c>
      <c r="D880" s="60">
        <f>15.6431 * CHOOSE(CONTROL!$C$22, $C$13, 100%, $E$13)</f>
        <v>15.6431</v>
      </c>
      <c r="E880" s="61">
        <f>18.3213 * CHOOSE(CONTROL!$C$22, $C$13, 100%, $E$13)</f>
        <v>18.321300000000001</v>
      </c>
      <c r="F880" s="61">
        <f>18.3213 * CHOOSE(CONTROL!$C$22, $C$13, 100%, $E$13)</f>
        <v>18.321300000000001</v>
      </c>
      <c r="G880" s="61">
        <f>18.3215 * CHOOSE(CONTROL!$C$22, $C$13, 100%, $E$13)</f>
        <v>18.3215</v>
      </c>
      <c r="H880" s="61">
        <f>29.9021* CHOOSE(CONTROL!$C$22, $C$13, 100%, $E$13)</f>
        <v>29.902100000000001</v>
      </c>
      <c r="I880" s="61">
        <f>29.9023 * CHOOSE(CONTROL!$C$22, $C$13, 100%, $E$13)</f>
        <v>29.9023</v>
      </c>
      <c r="J880" s="61">
        <f>18.3213 * CHOOSE(CONTROL!$C$22, $C$13, 100%, $E$13)</f>
        <v>18.321300000000001</v>
      </c>
      <c r="K880" s="61">
        <f>18.3215 * CHOOSE(CONTROL!$C$22, $C$13, 100%, $E$13)</f>
        <v>18.3215</v>
      </c>
    </row>
    <row r="881" spans="1:11" ht="15">
      <c r="A881" s="13">
        <v>68668</v>
      </c>
      <c r="B881" s="60">
        <f>15.5887 * CHOOSE(CONTROL!$C$22, $C$13, 100%, $E$13)</f>
        <v>15.588699999999999</v>
      </c>
      <c r="C881" s="60">
        <f>15.5887 * CHOOSE(CONTROL!$C$22, $C$13, 100%, $E$13)</f>
        <v>15.588699999999999</v>
      </c>
      <c r="D881" s="60">
        <f>15.6013 * CHOOSE(CONTROL!$C$22, $C$13, 100%, $E$13)</f>
        <v>15.6013</v>
      </c>
      <c r="E881" s="61">
        <f>18.3441 * CHOOSE(CONTROL!$C$22, $C$13, 100%, $E$13)</f>
        <v>18.344100000000001</v>
      </c>
      <c r="F881" s="61">
        <f>18.3441 * CHOOSE(CONTROL!$C$22, $C$13, 100%, $E$13)</f>
        <v>18.344100000000001</v>
      </c>
      <c r="G881" s="61">
        <f>18.3443 * CHOOSE(CONTROL!$C$22, $C$13, 100%, $E$13)</f>
        <v>18.3443</v>
      </c>
      <c r="H881" s="61">
        <f>29.6713* CHOOSE(CONTROL!$C$22, $C$13, 100%, $E$13)</f>
        <v>29.671299999999999</v>
      </c>
      <c r="I881" s="61">
        <f>29.6714 * CHOOSE(CONTROL!$C$22, $C$13, 100%, $E$13)</f>
        <v>29.671399999999998</v>
      </c>
      <c r="J881" s="61">
        <f>18.3441 * CHOOSE(CONTROL!$C$22, $C$13, 100%, $E$13)</f>
        <v>18.344100000000001</v>
      </c>
      <c r="K881" s="61">
        <f>18.3443 * CHOOSE(CONTROL!$C$22, $C$13, 100%, $E$13)</f>
        <v>18.3443</v>
      </c>
    </row>
    <row r="882" spans="1:11" ht="15">
      <c r="A882" s="13">
        <v>68699</v>
      </c>
      <c r="B882" s="60">
        <f>15.5857 * CHOOSE(CONTROL!$C$22, $C$13, 100%, $E$13)</f>
        <v>15.585699999999999</v>
      </c>
      <c r="C882" s="60">
        <f>15.5857 * CHOOSE(CONTROL!$C$22, $C$13, 100%, $E$13)</f>
        <v>15.585699999999999</v>
      </c>
      <c r="D882" s="60">
        <f>15.5982 * CHOOSE(CONTROL!$C$22, $C$13, 100%, $E$13)</f>
        <v>15.5982</v>
      </c>
      <c r="E882" s="61">
        <f>18.1412 * CHOOSE(CONTROL!$C$22, $C$13, 100%, $E$13)</f>
        <v>18.141200000000001</v>
      </c>
      <c r="F882" s="61">
        <f>18.1412 * CHOOSE(CONTROL!$C$22, $C$13, 100%, $E$13)</f>
        <v>18.141200000000001</v>
      </c>
      <c r="G882" s="61">
        <f>18.1414 * CHOOSE(CONTROL!$C$22, $C$13, 100%, $E$13)</f>
        <v>18.141400000000001</v>
      </c>
      <c r="H882" s="61">
        <f>29.7331* CHOOSE(CONTROL!$C$22, $C$13, 100%, $E$13)</f>
        <v>29.7331</v>
      </c>
      <c r="I882" s="61">
        <f>29.7333 * CHOOSE(CONTROL!$C$22, $C$13, 100%, $E$13)</f>
        <v>29.7333</v>
      </c>
      <c r="J882" s="61">
        <f>18.1412 * CHOOSE(CONTROL!$C$22, $C$13, 100%, $E$13)</f>
        <v>18.141200000000001</v>
      </c>
      <c r="K882" s="61">
        <f>18.1414 * CHOOSE(CONTROL!$C$22, $C$13, 100%, $E$13)</f>
        <v>18.141400000000001</v>
      </c>
    </row>
    <row r="883" spans="1:11" ht="15">
      <c r="A883" s="13">
        <v>68728</v>
      </c>
      <c r="B883" s="60">
        <f>15.5826 * CHOOSE(CONTROL!$C$22, $C$13, 100%, $E$13)</f>
        <v>15.582599999999999</v>
      </c>
      <c r="C883" s="60">
        <f>15.5826 * CHOOSE(CONTROL!$C$22, $C$13, 100%, $E$13)</f>
        <v>15.582599999999999</v>
      </c>
      <c r="D883" s="60">
        <f>15.5952 * CHOOSE(CONTROL!$C$22, $C$13, 100%, $E$13)</f>
        <v>15.5952</v>
      </c>
      <c r="E883" s="61">
        <f>18.2974 * CHOOSE(CONTROL!$C$22, $C$13, 100%, $E$13)</f>
        <v>18.2974</v>
      </c>
      <c r="F883" s="61">
        <f>18.2974 * CHOOSE(CONTROL!$C$22, $C$13, 100%, $E$13)</f>
        <v>18.2974</v>
      </c>
      <c r="G883" s="61">
        <f>18.2976 * CHOOSE(CONTROL!$C$22, $C$13, 100%, $E$13)</f>
        <v>18.297599999999999</v>
      </c>
      <c r="H883" s="61">
        <f>29.795* CHOOSE(CONTROL!$C$22, $C$13, 100%, $E$13)</f>
        <v>29.795000000000002</v>
      </c>
      <c r="I883" s="61">
        <f>29.7952 * CHOOSE(CONTROL!$C$22, $C$13, 100%, $E$13)</f>
        <v>29.795200000000001</v>
      </c>
      <c r="J883" s="61">
        <f>18.2974 * CHOOSE(CONTROL!$C$22, $C$13, 100%, $E$13)</f>
        <v>18.2974</v>
      </c>
      <c r="K883" s="61">
        <f>18.2976 * CHOOSE(CONTROL!$C$22, $C$13, 100%, $E$13)</f>
        <v>18.297599999999999</v>
      </c>
    </row>
    <row r="884" spans="1:11" ht="15">
      <c r="A884" s="13">
        <v>68759</v>
      </c>
      <c r="B884" s="60">
        <f>15.5902 * CHOOSE(CONTROL!$C$22, $C$13, 100%, $E$13)</f>
        <v>15.590199999999999</v>
      </c>
      <c r="C884" s="60">
        <f>15.5902 * CHOOSE(CONTROL!$C$22, $C$13, 100%, $E$13)</f>
        <v>15.590199999999999</v>
      </c>
      <c r="D884" s="60">
        <f>15.6027 * CHOOSE(CONTROL!$C$22, $C$13, 100%, $E$13)</f>
        <v>15.6027</v>
      </c>
      <c r="E884" s="61">
        <f>18.4631 * CHOOSE(CONTROL!$C$22, $C$13, 100%, $E$13)</f>
        <v>18.463100000000001</v>
      </c>
      <c r="F884" s="61">
        <f>18.4631 * CHOOSE(CONTROL!$C$22, $C$13, 100%, $E$13)</f>
        <v>18.463100000000001</v>
      </c>
      <c r="G884" s="61">
        <f>18.4633 * CHOOSE(CONTROL!$C$22, $C$13, 100%, $E$13)</f>
        <v>18.4633</v>
      </c>
      <c r="H884" s="61">
        <f>29.8571* CHOOSE(CONTROL!$C$22, $C$13, 100%, $E$13)</f>
        <v>29.857099999999999</v>
      </c>
      <c r="I884" s="61">
        <f>29.8573 * CHOOSE(CONTROL!$C$22, $C$13, 100%, $E$13)</f>
        <v>29.857299999999999</v>
      </c>
      <c r="J884" s="61">
        <f>18.4631 * CHOOSE(CONTROL!$C$22, $C$13, 100%, $E$13)</f>
        <v>18.463100000000001</v>
      </c>
      <c r="K884" s="61">
        <f>18.4633 * CHOOSE(CONTROL!$C$22, $C$13, 100%, $E$13)</f>
        <v>18.4633</v>
      </c>
    </row>
    <row r="885" spans="1:11" ht="15">
      <c r="A885" s="13">
        <v>68789</v>
      </c>
      <c r="B885" s="60">
        <f>15.5902 * CHOOSE(CONTROL!$C$22, $C$13, 100%, $E$13)</f>
        <v>15.590199999999999</v>
      </c>
      <c r="C885" s="60">
        <f>15.5902 * CHOOSE(CONTROL!$C$22, $C$13, 100%, $E$13)</f>
        <v>15.590199999999999</v>
      </c>
      <c r="D885" s="60">
        <f>15.6153 * CHOOSE(CONTROL!$C$22, $C$13, 100%, $E$13)</f>
        <v>15.6153</v>
      </c>
      <c r="E885" s="61">
        <f>18.5269 * CHOOSE(CONTROL!$C$22, $C$13, 100%, $E$13)</f>
        <v>18.526900000000001</v>
      </c>
      <c r="F885" s="61">
        <f>18.5269 * CHOOSE(CONTROL!$C$22, $C$13, 100%, $E$13)</f>
        <v>18.526900000000001</v>
      </c>
      <c r="G885" s="61">
        <f>18.5285 * CHOOSE(CONTROL!$C$22, $C$13, 100%, $E$13)</f>
        <v>18.528500000000001</v>
      </c>
      <c r="H885" s="61">
        <f>29.9193* CHOOSE(CONTROL!$C$22, $C$13, 100%, $E$13)</f>
        <v>29.9193</v>
      </c>
      <c r="I885" s="61">
        <f>29.9209 * CHOOSE(CONTROL!$C$22, $C$13, 100%, $E$13)</f>
        <v>29.9209</v>
      </c>
      <c r="J885" s="61">
        <f>18.5269 * CHOOSE(CONTROL!$C$22, $C$13, 100%, $E$13)</f>
        <v>18.526900000000001</v>
      </c>
      <c r="K885" s="61">
        <f>18.5285 * CHOOSE(CONTROL!$C$22, $C$13, 100%, $E$13)</f>
        <v>18.528500000000001</v>
      </c>
    </row>
    <row r="886" spans="1:11" ht="15">
      <c r="A886" s="13">
        <v>68820</v>
      </c>
      <c r="B886" s="60">
        <f>15.5963 * CHOOSE(CONTROL!$C$22, $C$13, 100%, $E$13)</f>
        <v>15.596299999999999</v>
      </c>
      <c r="C886" s="60">
        <f>15.5963 * CHOOSE(CONTROL!$C$22, $C$13, 100%, $E$13)</f>
        <v>15.596299999999999</v>
      </c>
      <c r="D886" s="60">
        <f>15.6213 * CHOOSE(CONTROL!$C$22, $C$13, 100%, $E$13)</f>
        <v>15.6213</v>
      </c>
      <c r="E886" s="61">
        <f>18.4674 * CHOOSE(CONTROL!$C$22, $C$13, 100%, $E$13)</f>
        <v>18.467400000000001</v>
      </c>
      <c r="F886" s="61">
        <f>18.4674 * CHOOSE(CONTROL!$C$22, $C$13, 100%, $E$13)</f>
        <v>18.467400000000001</v>
      </c>
      <c r="G886" s="61">
        <f>18.469 * CHOOSE(CONTROL!$C$22, $C$13, 100%, $E$13)</f>
        <v>18.469000000000001</v>
      </c>
      <c r="H886" s="61">
        <f>29.9816* CHOOSE(CONTROL!$C$22, $C$13, 100%, $E$13)</f>
        <v>29.9816</v>
      </c>
      <c r="I886" s="61">
        <f>29.9832 * CHOOSE(CONTROL!$C$22, $C$13, 100%, $E$13)</f>
        <v>29.9832</v>
      </c>
      <c r="J886" s="61">
        <f>18.4674 * CHOOSE(CONTROL!$C$22, $C$13, 100%, $E$13)</f>
        <v>18.467400000000001</v>
      </c>
      <c r="K886" s="61">
        <f>18.469 * CHOOSE(CONTROL!$C$22, $C$13, 100%, $E$13)</f>
        <v>18.469000000000001</v>
      </c>
    </row>
    <row r="887" spans="1:11" ht="15">
      <c r="A887" s="13">
        <v>68850</v>
      </c>
      <c r="B887" s="60">
        <f>15.8401 * CHOOSE(CONTROL!$C$22, $C$13, 100%, $E$13)</f>
        <v>15.8401</v>
      </c>
      <c r="C887" s="60">
        <f>15.8401 * CHOOSE(CONTROL!$C$22, $C$13, 100%, $E$13)</f>
        <v>15.8401</v>
      </c>
      <c r="D887" s="60">
        <f>15.8652 * CHOOSE(CONTROL!$C$22, $C$13, 100%, $E$13)</f>
        <v>15.8652</v>
      </c>
      <c r="E887" s="61">
        <f>18.8181 * CHOOSE(CONTROL!$C$22, $C$13, 100%, $E$13)</f>
        <v>18.818100000000001</v>
      </c>
      <c r="F887" s="61">
        <f>18.8181 * CHOOSE(CONTROL!$C$22, $C$13, 100%, $E$13)</f>
        <v>18.818100000000001</v>
      </c>
      <c r="G887" s="61">
        <f>18.8197 * CHOOSE(CONTROL!$C$22, $C$13, 100%, $E$13)</f>
        <v>18.819700000000001</v>
      </c>
      <c r="H887" s="61">
        <f>30.0441* CHOOSE(CONTROL!$C$22, $C$13, 100%, $E$13)</f>
        <v>30.0441</v>
      </c>
      <c r="I887" s="61">
        <f>30.0457 * CHOOSE(CONTROL!$C$22, $C$13, 100%, $E$13)</f>
        <v>30.0457</v>
      </c>
      <c r="J887" s="61">
        <f>18.8181 * CHOOSE(CONTROL!$C$22, $C$13, 100%, $E$13)</f>
        <v>18.818100000000001</v>
      </c>
      <c r="K887" s="61">
        <f>18.8197 * CHOOSE(CONTROL!$C$22, $C$13, 100%, $E$13)</f>
        <v>18.819700000000001</v>
      </c>
    </row>
    <row r="888" spans="1:11" ht="15">
      <c r="A888" s="13">
        <v>68881</v>
      </c>
      <c r="B888" s="60">
        <f>15.8468 * CHOOSE(CONTROL!$C$22, $C$13, 100%, $E$13)</f>
        <v>15.8468</v>
      </c>
      <c r="C888" s="60">
        <f>15.8468 * CHOOSE(CONTROL!$C$22, $C$13, 100%, $E$13)</f>
        <v>15.8468</v>
      </c>
      <c r="D888" s="60">
        <f>15.8719 * CHOOSE(CONTROL!$C$22, $C$13, 100%, $E$13)</f>
        <v>15.8719</v>
      </c>
      <c r="E888" s="61">
        <f>18.6315 * CHOOSE(CONTROL!$C$22, $C$13, 100%, $E$13)</f>
        <v>18.631499999999999</v>
      </c>
      <c r="F888" s="61">
        <f>18.6315 * CHOOSE(CONTROL!$C$22, $C$13, 100%, $E$13)</f>
        <v>18.631499999999999</v>
      </c>
      <c r="G888" s="61">
        <f>18.6331 * CHOOSE(CONTROL!$C$22, $C$13, 100%, $E$13)</f>
        <v>18.633099999999999</v>
      </c>
      <c r="H888" s="61">
        <f>30.1067* CHOOSE(CONTROL!$C$22, $C$13, 100%, $E$13)</f>
        <v>30.1067</v>
      </c>
      <c r="I888" s="61">
        <f>30.1083 * CHOOSE(CONTROL!$C$22, $C$13, 100%, $E$13)</f>
        <v>30.1083</v>
      </c>
      <c r="J888" s="61">
        <f>18.6315 * CHOOSE(CONTROL!$C$22, $C$13, 100%, $E$13)</f>
        <v>18.631499999999999</v>
      </c>
      <c r="K888" s="61">
        <f>18.6331 * CHOOSE(CONTROL!$C$22, $C$13, 100%, $E$13)</f>
        <v>18.633099999999999</v>
      </c>
    </row>
    <row r="889" spans="1:11" ht="15">
      <c r="A889" s="13">
        <v>68912</v>
      </c>
      <c r="B889" s="60">
        <f>15.8437 * CHOOSE(CONTROL!$C$22, $C$13, 100%, $E$13)</f>
        <v>15.8437</v>
      </c>
      <c r="C889" s="60">
        <f>15.8437 * CHOOSE(CONTROL!$C$22, $C$13, 100%, $E$13)</f>
        <v>15.8437</v>
      </c>
      <c r="D889" s="60">
        <f>15.8688 * CHOOSE(CONTROL!$C$22, $C$13, 100%, $E$13)</f>
        <v>15.8688</v>
      </c>
      <c r="E889" s="61">
        <f>18.6082 * CHOOSE(CONTROL!$C$22, $C$13, 100%, $E$13)</f>
        <v>18.6082</v>
      </c>
      <c r="F889" s="61">
        <f>18.6082 * CHOOSE(CONTROL!$C$22, $C$13, 100%, $E$13)</f>
        <v>18.6082</v>
      </c>
      <c r="G889" s="61">
        <f>18.6098 * CHOOSE(CONTROL!$C$22, $C$13, 100%, $E$13)</f>
        <v>18.6098</v>
      </c>
      <c r="H889" s="61">
        <f>30.1694* CHOOSE(CONTROL!$C$22, $C$13, 100%, $E$13)</f>
        <v>30.1694</v>
      </c>
      <c r="I889" s="61">
        <f>30.171 * CHOOSE(CONTROL!$C$22, $C$13, 100%, $E$13)</f>
        <v>30.170999999999999</v>
      </c>
      <c r="J889" s="61">
        <f>18.6082 * CHOOSE(CONTROL!$C$22, $C$13, 100%, $E$13)</f>
        <v>18.6082</v>
      </c>
      <c r="K889" s="61">
        <f>18.6098 * CHOOSE(CONTROL!$C$22, $C$13, 100%, $E$13)</f>
        <v>18.6098</v>
      </c>
    </row>
    <row r="890" spans="1:11" ht="15">
      <c r="A890" s="13">
        <v>68942</v>
      </c>
      <c r="B890" s="60">
        <f>15.8776 * CHOOSE(CONTROL!$C$22, $C$13, 100%, $E$13)</f>
        <v>15.877599999999999</v>
      </c>
      <c r="C890" s="60">
        <f>15.8776 * CHOOSE(CONTROL!$C$22, $C$13, 100%, $E$13)</f>
        <v>15.877599999999999</v>
      </c>
      <c r="D890" s="60">
        <f>15.8901 * CHOOSE(CONTROL!$C$22, $C$13, 100%, $E$13)</f>
        <v>15.8901</v>
      </c>
      <c r="E890" s="61">
        <f>18.6798 * CHOOSE(CONTROL!$C$22, $C$13, 100%, $E$13)</f>
        <v>18.6798</v>
      </c>
      <c r="F890" s="61">
        <f>18.6798 * CHOOSE(CONTROL!$C$22, $C$13, 100%, $E$13)</f>
        <v>18.6798</v>
      </c>
      <c r="G890" s="61">
        <f>18.6799 * CHOOSE(CONTROL!$C$22, $C$13, 100%, $E$13)</f>
        <v>18.6799</v>
      </c>
      <c r="H890" s="61">
        <f>30.2323* CHOOSE(CONTROL!$C$22, $C$13, 100%, $E$13)</f>
        <v>30.232299999999999</v>
      </c>
      <c r="I890" s="61">
        <f>30.2324 * CHOOSE(CONTROL!$C$22, $C$13, 100%, $E$13)</f>
        <v>30.232399999999998</v>
      </c>
      <c r="J890" s="61">
        <f>18.6798 * CHOOSE(CONTROL!$C$22, $C$13, 100%, $E$13)</f>
        <v>18.6798</v>
      </c>
      <c r="K890" s="61">
        <f>18.6799 * CHOOSE(CONTROL!$C$22, $C$13, 100%, $E$13)</f>
        <v>18.6799</v>
      </c>
    </row>
    <row r="891" spans="1:11" ht="15">
      <c r="A891" s="13">
        <v>68973</v>
      </c>
      <c r="B891" s="60">
        <f>15.8806 * CHOOSE(CONTROL!$C$22, $C$13, 100%, $E$13)</f>
        <v>15.880599999999999</v>
      </c>
      <c r="C891" s="60">
        <f>15.8806 * CHOOSE(CONTROL!$C$22, $C$13, 100%, $E$13)</f>
        <v>15.880599999999999</v>
      </c>
      <c r="D891" s="60">
        <f>15.8932 * CHOOSE(CONTROL!$C$22, $C$13, 100%, $E$13)</f>
        <v>15.8932</v>
      </c>
      <c r="E891" s="61">
        <f>18.7244 * CHOOSE(CONTROL!$C$22, $C$13, 100%, $E$13)</f>
        <v>18.724399999999999</v>
      </c>
      <c r="F891" s="61">
        <f>18.7244 * CHOOSE(CONTROL!$C$22, $C$13, 100%, $E$13)</f>
        <v>18.724399999999999</v>
      </c>
      <c r="G891" s="61">
        <f>18.7245 * CHOOSE(CONTROL!$C$22, $C$13, 100%, $E$13)</f>
        <v>18.724499999999999</v>
      </c>
      <c r="H891" s="61">
        <f>30.2952* CHOOSE(CONTROL!$C$22, $C$13, 100%, $E$13)</f>
        <v>30.295200000000001</v>
      </c>
      <c r="I891" s="61">
        <f>30.2954 * CHOOSE(CONTROL!$C$22, $C$13, 100%, $E$13)</f>
        <v>30.295400000000001</v>
      </c>
      <c r="J891" s="61">
        <f>18.7244 * CHOOSE(CONTROL!$C$22, $C$13, 100%, $E$13)</f>
        <v>18.724399999999999</v>
      </c>
      <c r="K891" s="61">
        <f>18.7245 * CHOOSE(CONTROL!$C$22, $C$13, 100%, $E$13)</f>
        <v>18.724499999999999</v>
      </c>
    </row>
    <row r="892" spans="1:11" ht="15">
      <c r="A892" s="13">
        <v>69003</v>
      </c>
      <c r="B892" s="60">
        <f>15.8806 * CHOOSE(CONTROL!$C$22, $C$13, 100%, $E$13)</f>
        <v>15.880599999999999</v>
      </c>
      <c r="C892" s="60">
        <f>15.8806 * CHOOSE(CONTROL!$C$22, $C$13, 100%, $E$13)</f>
        <v>15.880599999999999</v>
      </c>
      <c r="D892" s="60">
        <f>15.8932 * CHOOSE(CONTROL!$C$22, $C$13, 100%, $E$13)</f>
        <v>15.8932</v>
      </c>
      <c r="E892" s="61">
        <f>18.6181 * CHOOSE(CONTROL!$C$22, $C$13, 100%, $E$13)</f>
        <v>18.618099999999998</v>
      </c>
      <c r="F892" s="61">
        <f>18.6181 * CHOOSE(CONTROL!$C$22, $C$13, 100%, $E$13)</f>
        <v>18.618099999999998</v>
      </c>
      <c r="G892" s="61">
        <f>18.6183 * CHOOSE(CONTROL!$C$22, $C$13, 100%, $E$13)</f>
        <v>18.618300000000001</v>
      </c>
      <c r="H892" s="61">
        <f>30.3584* CHOOSE(CONTROL!$C$22, $C$13, 100%, $E$13)</f>
        <v>30.3584</v>
      </c>
      <c r="I892" s="61">
        <f>30.3585 * CHOOSE(CONTROL!$C$22, $C$13, 100%, $E$13)</f>
        <v>30.358499999999999</v>
      </c>
      <c r="J892" s="61">
        <f>18.6181 * CHOOSE(CONTROL!$C$22, $C$13, 100%, $E$13)</f>
        <v>18.618099999999998</v>
      </c>
      <c r="K892" s="61">
        <f>18.6183 * CHOOSE(CONTROL!$C$22, $C$13, 100%, $E$13)</f>
        <v>18.618300000000001</v>
      </c>
    </row>
    <row r="893" spans="1:11" ht="15">
      <c r="A893" s="13">
        <v>69034</v>
      </c>
      <c r="B893" s="60">
        <f>15.834 * CHOOSE(CONTROL!$C$22, $C$13, 100%, $E$13)</f>
        <v>15.834</v>
      </c>
      <c r="C893" s="60">
        <f>15.834 * CHOOSE(CONTROL!$C$22, $C$13, 100%, $E$13)</f>
        <v>15.834</v>
      </c>
      <c r="D893" s="60">
        <f>15.8466 * CHOOSE(CONTROL!$C$22, $C$13, 100%, $E$13)</f>
        <v>15.8466</v>
      </c>
      <c r="E893" s="61">
        <f>18.6365 * CHOOSE(CONTROL!$C$22, $C$13, 100%, $E$13)</f>
        <v>18.636500000000002</v>
      </c>
      <c r="F893" s="61">
        <f>18.6365 * CHOOSE(CONTROL!$C$22, $C$13, 100%, $E$13)</f>
        <v>18.636500000000002</v>
      </c>
      <c r="G893" s="61">
        <f>18.6367 * CHOOSE(CONTROL!$C$22, $C$13, 100%, $E$13)</f>
        <v>18.636700000000001</v>
      </c>
      <c r="H893" s="61">
        <f>30.1172* CHOOSE(CONTROL!$C$22, $C$13, 100%, $E$13)</f>
        <v>30.1172</v>
      </c>
      <c r="I893" s="61">
        <f>30.1173 * CHOOSE(CONTROL!$C$22, $C$13, 100%, $E$13)</f>
        <v>30.1173</v>
      </c>
      <c r="J893" s="61">
        <f>18.6365 * CHOOSE(CONTROL!$C$22, $C$13, 100%, $E$13)</f>
        <v>18.636500000000002</v>
      </c>
      <c r="K893" s="61">
        <f>18.6367 * CHOOSE(CONTROL!$C$22, $C$13, 100%, $E$13)</f>
        <v>18.636700000000001</v>
      </c>
    </row>
    <row r="894" spans="1:11" ht="15">
      <c r="A894" s="13">
        <v>69065</v>
      </c>
      <c r="B894" s="60">
        <f>15.831 * CHOOSE(CONTROL!$C$22, $C$13, 100%, $E$13)</f>
        <v>15.831</v>
      </c>
      <c r="C894" s="60">
        <f>15.831 * CHOOSE(CONTROL!$C$22, $C$13, 100%, $E$13)</f>
        <v>15.831</v>
      </c>
      <c r="D894" s="60">
        <f>15.8436 * CHOOSE(CONTROL!$C$22, $C$13, 100%, $E$13)</f>
        <v>15.8436</v>
      </c>
      <c r="E894" s="61">
        <f>18.4304 * CHOOSE(CONTROL!$C$22, $C$13, 100%, $E$13)</f>
        <v>18.430399999999999</v>
      </c>
      <c r="F894" s="61">
        <f>18.4304 * CHOOSE(CONTROL!$C$22, $C$13, 100%, $E$13)</f>
        <v>18.430399999999999</v>
      </c>
      <c r="G894" s="61">
        <f>18.4306 * CHOOSE(CONTROL!$C$22, $C$13, 100%, $E$13)</f>
        <v>18.430599999999998</v>
      </c>
      <c r="H894" s="61">
        <f>30.1799* CHOOSE(CONTROL!$C$22, $C$13, 100%, $E$13)</f>
        <v>30.1799</v>
      </c>
      <c r="I894" s="61">
        <f>30.1801 * CHOOSE(CONTROL!$C$22, $C$13, 100%, $E$13)</f>
        <v>30.180099999999999</v>
      </c>
      <c r="J894" s="61">
        <f>18.4304 * CHOOSE(CONTROL!$C$22, $C$13, 100%, $E$13)</f>
        <v>18.430399999999999</v>
      </c>
      <c r="K894" s="61">
        <f>18.4306 * CHOOSE(CONTROL!$C$22, $C$13, 100%, $E$13)</f>
        <v>18.430599999999998</v>
      </c>
    </row>
    <row r="895" spans="1:11" ht="15">
      <c r="A895" s="13">
        <v>69093</v>
      </c>
      <c r="B895" s="60">
        <f>15.828 * CHOOSE(CONTROL!$C$22, $C$13, 100%, $E$13)</f>
        <v>15.827999999999999</v>
      </c>
      <c r="C895" s="60">
        <f>15.828 * CHOOSE(CONTROL!$C$22, $C$13, 100%, $E$13)</f>
        <v>15.827999999999999</v>
      </c>
      <c r="D895" s="60">
        <f>15.8405 * CHOOSE(CONTROL!$C$22, $C$13, 100%, $E$13)</f>
        <v>15.8405</v>
      </c>
      <c r="E895" s="61">
        <f>18.5891 * CHOOSE(CONTROL!$C$22, $C$13, 100%, $E$13)</f>
        <v>18.589099999999998</v>
      </c>
      <c r="F895" s="61">
        <f>18.5891 * CHOOSE(CONTROL!$C$22, $C$13, 100%, $E$13)</f>
        <v>18.589099999999998</v>
      </c>
      <c r="G895" s="61">
        <f>18.5893 * CHOOSE(CONTROL!$C$22, $C$13, 100%, $E$13)</f>
        <v>18.589300000000001</v>
      </c>
      <c r="H895" s="61">
        <f>30.2428* CHOOSE(CONTROL!$C$22, $C$13, 100%, $E$13)</f>
        <v>30.242799999999999</v>
      </c>
      <c r="I895" s="61">
        <f>30.2429 * CHOOSE(CONTROL!$C$22, $C$13, 100%, $E$13)</f>
        <v>30.242899999999999</v>
      </c>
      <c r="J895" s="61">
        <f>18.5891 * CHOOSE(CONTROL!$C$22, $C$13, 100%, $E$13)</f>
        <v>18.589099999999998</v>
      </c>
      <c r="K895" s="61">
        <f>18.5893 * CHOOSE(CONTROL!$C$22, $C$13, 100%, $E$13)</f>
        <v>18.589300000000001</v>
      </c>
    </row>
    <row r="896" spans="1:11" ht="15">
      <c r="A896" s="13">
        <v>69124</v>
      </c>
      <c r="B896" s="60">
        <f>15.8357 * CHOOSE(CONTROL!$C$22, $C$13, 100%, $E$13)</f>
        <v>15.835699999999999</v>
      </c>
      <c r="C896" s="60">
        <f>15.8357 * CHOOSE(CONTROL!$C$22, $C$13, 100%, $E$13)</f>
        <v>15.835699999999999</v>
      </c>
      <c r="D896" s="60">
        <f>15.8482 * CHOOSE(CONTROL!$C$22, $C$13, 100%, $E$13)</f>
        <v>15.8482</v>
      </c>
      <c r="E896" s="61">
        <f>18.7576 * CHOOSE(CONTROL!$C$22, $C$13, 100%, $E$13)</f>
        <v>18.7576</v>
      </c>
      <c r="F896" s="61">
        <f>18.7576 * CHOOSE(CONTROL!$C$22, $C$13, 100%, $E$13)</f>
        <v>18.7576</v>
      </c>
      <c r="G896" s="61">
        <f>18.7578 * CHOOSE(CONTROL!$C$22, $C$13, 100%, $E$13)</f>
        <v>18.7578</v>
      </c>
      <c r="H896" s="61">
        <f>30.3058* CHOOSE(CONTROL!$C$22, $C$13, 100%, $E$13)</f>
        <v>30.305800000000001</v>
      </c>
      <c r="I896" s="61">
        <f>30.306 * CHOOSE(CONTROL!$C$22, $C$13, 100%, $E$13)</f>
        <v>30.306000000000001</v>
      </c>
      <c r="J896" s="61">
        <f>18.7576 * CHOOSE(CONTROL!$C$22, $C$13, 100%, $E$13)</f>
        <v>18.7576</v>
      </c>
      <c r="K896" s="61">
        <f>18.7578 * CHOOSE(CONTROL!$C$22, $C$13, 100%, $E$13)</f>
        <v>18.7578</v>
      </c>
    </row>
    <row r="897" spans="1:11" ht="15">
      <c r="A897" s="13">
        <v>69154</v>
      </c>
      <c r="B897" s="60">
        <f>15.8357 * CHOOSE(CONTROL!$C$22, $C$13, 100%, $E$13)</f>
        <v>15.835699999999999</v>
      </c>
      <c r="C897" s="60">
        <f>15.8357 * CHOOSE(CONTROL!$C$22, $C$13, 100%, $E$13)</f>
        <v>15.835699999999999</v>
      </c>
      <c r="D897" s="60">
        <f>15.8608 * CHOOSE(CONTROL!$C$22, $C$13, 100%, $E$13)</f>
        <v>15.860799999999999</v>
      </c>
      <c r="E897" s="61">
        <f>18.8224 * CHOOSE(CONTROL!$C$22, $C$13, 100%, $E$13)</f>
        <v>18.822399999999998</v>
      </c>
      <c r="F897" s="61">
        <f>18.8224 * CHOOSE(CONTROL!$C$22, $C$13, 100%, $E$13)</f>
        <v>18.822399999999998</v>
      </c>
      <c r="G897" s="61">
        <f>18.824 * CHOOSE(CONTROL!$C$22, $C$13, 100%, $E$13)</f>
        <v>18.824000000000002</v>
      </c>
      <c r="H897" s="61">
        <f>30.3689* CHOOSE(CONTROL!$C$22, $C$13, 100%, $E$13)</f>
        <v>30.3689</v>
      </c>
      <c r="I897" s="61">
        <f>30.3705 * CHOOSE(CONTROL!$C$22, $C$13, 100%, $E$13)</f>
        <v>30.3705</v>
      </c>
      <c r="J897" s="61">
        <f>18.8224 * CHOOSE(CONTROL!$C$22, $C$13, 100%, $E$13)</f>
        <v>18.822399999999998</v>
      </c>
      <c r="K897" s="61">
        <f>18.824 * CHOOSE(CONTROL!$C$22, $C$13, 100%, $E$13)</f>
        <v>18.824000000000002</v>
      </c>
    </row>
    <row r="898" spans="1:11" ht="15">
      <c r="A898" s="13">
        <v>69185</v>
      </c>
      <c r="B898" s="60">
        <f>15.8418 * CHOOSE(CONTROL!$C$22, $C$13, 100%, $E$13)</f>
        <v>15.841799999999999</v>
      </c>
      <c r="C898" s="60">
        <f>15.8418 * CHOOSE(CONTROL!$C$22, $C$13, 100%, $E$13)</f>
        <v>15.841799999999999</v>
      </c>
      <c r="D898" s="60">
        <f>15.8669 * CHOOSE(CONTROL!$C$22, $C$13, 100%, $E$13)</f>
        <v>15.866899999999999</v>
      </c>
      <c r="E898" s="61">
        <f>18.7618 * CHOOSE(CONTROL!$C$22, $C$13, 100%, $E$13)</f>
        <v>18.761800000000001</v>
      </c>
      <c r="F898" s="61">
        <f>18.7618 * CHOOSE(CONTROL!$C$22, $C$13, 100%, $E$13)</f>
        <v>18.761800000000001</v>
      </c>
      <c r="G898" s="61">
        <f>18.7634 * CHOOSE(CONTROL!$C$22, $C$13, 100%, $E$13)</f>
        <v>18.763400000000001</v>
      </c>
      <c r="H898" s="61">
        <f>30.4322* CHOOSE(CONTROL!$C$22, $C$13, 100%, $E$13)</f>
        <v>30.432200000000002</v>
      </c>
      <c r="I898" s="61">
        <f>30.4338 * CHOOSE(CONTROL!$C$22, $C$13, 100%, $E$13)</f>
        <v>30.433800000000002</v>
      </c>
      <c r="J898" s="61">
        <f>18.7618 * CHOOSE(CONTROL!$C$22, $C$13, 100%, $E$13)</f>
        <v>18.761800000000001</v>
      </c>
      <c r="K898" s="61">
        <f>18.7634 * CHOOSE(CONTROL!$C$22, $C$13, 100%, $E$13)</f>
        <v>18.763400000000001</v>
      </c>
    </row>
    <row r="899" spans="1:11" ht="15">
      <c r="A899" s="13">
        <v>69215</v>
      </c>
      <c r="B899" s="60">
        <f>16.0893 * CHOOSE(CONTROL!$C$22, $C$13, 100%, $E$13)</f>
        <v>16.089300000000001</v>
      </c>
      <c r="C899" s="60">
        <f>16.0893 * CHOOSE(CONTROL!$C$22, $C$13, 100%, $E$13)</f>
        <v>16.089300000000001</v>
      </c>
      <c r="D899" s="60">
        <f>16.1144 * CHOOSE(CONTROL!$C$22, $C$13, 100%, $E$13)</f>
        <v>16.1144</v>
      </c>
      <c r="E899" s="61">
        <f>19.118 * CHOOSE(CONTROL!$C$22, $C$13, 100%, $E$13)</f>
        <v>19.117999999999999</v>
      </c>
      <c r="F899" s="61">
        <f>19.118 * CHOOSE(CONTROL!$C$22, $C$13, 100%, $E$13)</f>
        <v>19.117999999999999</v>
      </c>
      <c r="G899" s="61">
        <f>19.1196 * CHOOSE(CONTROL!$C$22, $C$13, 100%, $E$13)</f>
        <v>19.119599999999998</v>
      </c>
      <c r="H899" s="61">
        <f>30.4956* CHOOSE(CONTROL!$C$22, $C$13, 100%, $E$13)</f>
        <v>30.4956</v>
      </c>
      <c r="I899" s="61">
        <f>30.4972 * CHOOSE(CONTROL!$C$22, $C$13, 100%, $E$13)</f>
        <v>30.497199999999999</v>
      </c>
      <c r="J899" s="61">
        <f>19.118 * CHOOSE(CONTROL!$C$22, $C$13, 100%, $E$13)</f>
        <v>19.117999999999999</v>
      </c>
      <c r="K899" s="61">
        <f>19.1196 * CHOOSE(CONTROL!$C$22, $C$13, 100%, $E$13)</f>
        <v>19.119599999999998</v>
      </c>
    </row>
    <row r="900" spans="1:11" ht="15">
      <c r="A900" s="13">
        <v>69246</v>
      </c>
      <c r="B900" s="60">
        <f>16.096 * CHOOSE(CONTROL!$C$22, $C$13, 100%, $E$13)</f>
        <v>16.096</v>
      </c>
      <c r="C900" s="60">
        <f>16.096 * CHOOSE(CONTROL!$C$22, $C$13, 100%, $E$13)</f>
        <v>16.096</v>
      </c>
      <c r="D900" s="60">
        <f>16.1211 * CHOOSE(CONTROL!$C$22, $C$13, 100%, $E$13)</f>
        <v>16.121099999999998</v>
      </c>
      <c r="E900" s="61">
        <f>18.9284 * CHOOSE(CONTROL!$C$22, $C$13, 100%, $E$13)</f>
        <v>18.9284</v>
      </c>
      <c r="F900" s="61">
        <f>18.9284 * CHOOSE(CONTROL!$C$22, $C$13, 100%, $E$13)</f>
        <v>18.9284</v>
      </c>
      <c r="G900" s="61">
        <f>18.93 * CHOOSE(CONTROL!$C$22, $C$13, 100%, $E$13)</f>
        <v>18.93</v>
      </c>
      <c r="H900" s="61">
        <f>30.5591* CHOOSE(CONTROL!$C$22, $C$13, 100%, $E$13)</f>
        <v>30.559100000000001</v>
      </c>
      <c r="I900" s="61">
        <f>30.5607 * CHOOSE(CONTROL!$C$22, $C$13, 100%, $E$13)</f>
        <v>30.560700000000001</v>
      </c>
      <c r="J900" s="61">
        <f>18.9284 * CHOOSE(CONTROL!$C$22, $C$13, 100%, $E$13)</f>
        <v>18.9284</v>
      </c>
      <c r="K900" s="61">
        <f>18.93 * CHOOSE(CONTROL!$C$22, $C$13, 100%, $E$13)</f>
        <v>18.93</v>
      </c>
    </row>
    <row r="901" spans="1:11" ht="15">
      <c r="A901" s="13">
        <v>69277</v>
      </c>
      <c r="B901" s="60">
        <f>16.093 * CHOOSE(CONTROL!$C$22, $C$13, 100%, $E$13)</f>
        <v>16.093</v>
      </c>
      <c r="C901" s="60">
        <f>16.093 * CHOOSE(CONTROL!$C$22, $C$13, 100%, $E$13)</f>
        <v>16.093</v>
      </c>
      <c r="D901" s="60">
        <f>16.118 * CHOOSE(CONTROL!$C$22, $C$13, 100%, $E$13)</f>
        <v>16.117999999999999</v>
      </c>
      <c r="E901" s="61">
        <f>18.9047 * CHOOSE(CONTROL!$C$22, $C$13, 100%, $E$13)</f>
        <v>18.904699999999998</v>
      </c>
      <c r="F901" s="61">
        <f>18.9047 * CHOOSE(CONTROL!$C$22, $C$13, 100%, $E$13)</f>
        <v>18.904699999999998</v>
      </c>
      <c r="G901" s="61">
        <f>18.9063 * CHOOSE(CONTROL!$C$22, $C$13, 100%, $E$13)</f>
        <v>18.906300000000002</v>
      </c>
      <c r="H901" s="61">
        <f>30.6228* CHOOSE(CONTROL!$C$22, $C$13, 100%, $E$13)</f>
        <v>30.622800000000002</v>
      </c>
      <c r="I901" s="61">
        <f>30.6244 * CHOOSE(CONTROL!$C$22, $C$13, 100%, $E$13)</f>
        <v>30.624400000000001</v>
      </c>
      <c r="J901" s="61">
        <f>18.9047 * CHOOSE(CONTROL!$C$22, $C$13, 100%, $E$13)</f>
        <v>18.904699999999998</v>
      </c>
      <c r="K901" s="61">
        <f>18.9063 * CHOOSE(CONTROL!$C$22, $C$13, 100%, $E$13)</f>
        <v>18.906300000000002</v>
      </c>
    </row>
    <row r="902" spans="1:11" ht="15">
      <c r="A902" s="13">
        <v>69307</v>
      </c>
      <c r="B902" s="60">
        <f>16.1276 * CHOOSE(CONTROL!$C$22, $C$13, 100%, $E$13)</f>
        <v>16.127600000000001</v>
      </c>
      <c r="C902" s="60">
        <f>16.1276 * CHOOSE(CONTROL!$C$22, $C$13, 100%, $E$13)</f>
        <v>16.127600000000001</v>
      </c>
      <c r="D902" s="60">
        <f>16.1401 * CHOOSE(CONTROL!$C$22, $C$13, 100%, $E$13)</f>
        <v>16.1401</v>
      </c>
      <c r="E902" s="61">
        <f>18.9776 * CHOOSE(CONTROL!$C$22, $C$13, 100%, $E$13)</f>
        <v>18.977599999999999</v>
      </c>
      <c r="F902" s="61">
        <f>18.9776 * CHOOSE(CONTROL!$C$22, $C$13, 100%, $E$13)</f>
        <v>18.977599999999999</v>
      </c>
      <c r="G902" s="61">
        <f>18.9778 * CHOOSE(CONTROL!$C$22, $C$13, 100%, $E$13)</f>
        <v>18.977799999999998</v>
      </c>
      <c r="H902" s="61">
        <f>30.6866* CHOOSE(CONTROL!$C$22, $C$13, 100%, $E$13)</f>
        <v>30.686599999999999</v>
      </c>
      <c r="I902" s="61">
        <f>30.6868 * CHOOSE(CONTROL!$C$22, $C$13, 100%, $E$13)</f>
        <v>30.686800000000002</v>
      </c>
      <c r="J902" s="61">
        <f>18.9776 * CHOOSE(CONTROL!$C$22, $C$13, 100%, $E$13)</f>
        <v>18.977599999999999</v>
      </c>
      <c r="K902" s="61">
        <f>18.9778 * CHOOSE(CONTROL!$C$22, $C$13, 100%, $E$13)</f>
        <v>18.977799999999998</v>
      </c>
    </row>
    <row r="903" spans="1:11" ht="15">
      <c r="A903" s="13">
        <v>69338</v>
      </c>
      <c r="B903" s="60">
        <f>16.1306 * CHOOSE(CONTROL!$C$22, $C$13, 100%, $E$13)</f>
        <v>16.130600000000001</v>
      </c>
      <c r="C903" s="60">
        <f>16.1306 * CHOOSE(CONTROL!$C$22, $C$13, 100%, $E$13)</f>
        <v>16.130600000000001</v>
      </c>
      <c r="D903" s="60">
        <f>16.1432 * CHOOSE(CONTROL!$C$22, $C$13, 100%, $E$13)</f>
        <v>16.1432</v>
      </c>
      <c r="E903" s="61">
        <f>19.0229 * CHOOSE(CONTROL!$C$22, $C$13, 100%, $E$13)</f>
        <v>19.0229</v>
      </c>
      <c r="F903" s="61">
        <f>19.0229 * CHOOSE(CONTROL!$C$22, $C$13, 100%, $E$13)</f>
        <v>19.0229</v>
      </c>
      <c r="G903" s="61">
        <f>19.0231 * CHOOSE(CONTROL!$C$22, $C$13, 100%, $E$13)</f>
        <v>19.023099999999999</v>
      </c>
      <c r="H903" s="61">
        <f>30.7505* CHOOSE(CONTROL!$C$22, $C$13, 100%, $E$13)</f>
        <v>30.750499999999999</v>
      </c>
      <c r="I903" s="61">
        <f>30.7507 * CHOOSE(CONTROL!$C$22, $C$13, 100%, $E$13)</f>
        <v>30.750699999999998</v>
      </c>
      <c r="J903" s="61">
        <f>19.0229 * CHOOSE(CONTROL!$C$22, $C$13, 100%, $E$13)</f>
        <v>19.0229</v>
      </c>
      <c r="K903" s="61">
        <f>19.0231 * CHOOSE(CONTROL!$C$22, $C$13, 100%, $E$13)</f>
        <v>19.023099999999999</v>
      </c>
    </row>
    <row r="904" spans="1:11" ht="15">
      <c r="A904" s="13">
        <v>69368</v>
      </c>
      <c r="B904" s="60">
        <f>16.1306 * CHOOSE(CONTROL!$C$22, $C$13, 100%, $E$13)</f>
        <v>16.130600000000001</v>
      </c>
      <c r="C904" s="60">
        <f>16.1306 * CHOOSE(CONTROL!$C$22, $C$13, 100%, $E$13)</f>
        <v>16.130600000000001</v>
      </c>
      <c r="D904" s="60">
        <f>16.1432 * CHOOSE(CONTROL!$C$22, $C$13, 100%, $E$13)</f>
        <v>16.1432</v>
      </c>
      <c r="E904" s="61">
        <f>18.915 * CHOOSE(CONTROL!$C$22, $C$13, 100%, $E$13)</f>
        <v>18.914999999999999</v>
      </c>
      <c r="F904" s="61">
        <f>18.915 * CHOOSE(CONTROL!$C$22, $C$13, 100%, $E$13)</f>
        <v>18.914999999999999</v>
      </c>
      <c r="G904" s="61">
        <f>18.9151 * CHOOSE(CONTROL!$C$22, $C$13, 100%, $E$13)</f>
        <v>18.915099999999999</v>
      </c>
      <c r="H904" s="61">
        <f>30.8146* CHOOSE(CONTROL!$C$22, $C$13, 100%, $E$13)</f>
        <v>30.814599999999999</v>
      </c>
      <c r="I904" s="61">
        <f>30.8147 * CHOOSE(CONTROL!$C$22, $C$13, 100%, $E$13)</f>
        <v>30.814699999999998</v>
      </c>
      <c r="J904" s="61">
        <f>18.915 * CHOOSE(CONTROL!$C$22, $C$13, 100%, $E$13)</f>
        <v>18.914999999999999</v>
      </c>
      <c r="K904" s="61">
        <f>18.9151 * CHOOSE(CONTROL!$C$22, $C$13, 100%, $E$13)</f>
        <v>18.915099999999999</v>
      </c>
    </row>
    <row r="905" spans="1:11" ht="15">
      <c r="A905" s="13">
        <v>69399</v>
      </c>
      <c r="B905" s="60">
        <f>16.0794 * CHOOSE(CONTROL!$C$22, $C$13, 100%, $E$13)</f>
        <v>16.0794</v>
      </c>
      <c r="C905" s="60">
        <f>16.0794 * CHOOSE(CONTROL!$C$22, $C$13, 100%, $E$13)</f>
        <v>16.0794</v>
      </c>
      <c r="D905" s="60">
        <f>16.0919 * CHOOSE(CONTROL!$C$22, $C$13, 100%, $E$13)</f>
        <v>16.091899999999999</v>
      </c>
      <c r="E905" s="61">
        <f>18.9289 * CHOOSE(CONTROL!$C$22, $C$13, 100%, $E$13)</f>
        <v>18.928899999999999</v>
      </c>
      <c r="F905" s="61">
        <f>18.9289 * CHOOSE(CONTROL!$C$22, $C$13, 100%, $E$13)</f>
        <v>18.928899999999999</v>
      </c>
      <c r="G905" s="61">
        <f>18.9291 * CHOOSE(CONTROL!$C$22, $C$13, 100%, $E$13)</f>
        <v>18.929099999999998</v>
      </c>
      <c r="H905" s="61">
        <f>30.563* CHOOSE(CONTROL!$C$22, $C$13, 100%, $E$13)</f>
        <v>30.562999999999999</v>
      </c>
      <c r="I905" s="61">
        <f>30.5632 * CHOOSE(CONTROL!$C$22, $C$13, 100%, $E$13)</f>
        <v>30.563199999999998</v>
      </c>
      <c r="J905" s="61">
        <f>18.9289 * CHOOSE(CONTROL!$C$22, $C$13, 100%, $E$13)</f>
        <v>18.928899999999999</v>
      </c>
      <c r="K905" s="61">
        <f>18.9291 * CHOOSE(CONTROL!$C$22, $C$13, 100%, $E$13)</f>
        <v>18.929099999999998</v>
      </c>
    </row>
    <row r="906" spans="1:11" ht="15">
      <c r="A906" s="13">
        <v>69430</v>
      </c>
      <c r="B906" s="60">
        <f>16.0763 * CHOOSE(CONTROL!$C$22, $C$13, 100%, $E$13)</f>
        <v>16.0763</v>
      </c>
      <c r="C906" s="60">
        <f>16.0763 * CHOOSE(CONTROL!$C$22, $C$13, 100%, $E$13)</f>
        <v>16.0763</v>
      </c>
      <c r="D906" s="60">
        <f>16.0889 * CHOOSE(CONTROL!$C$22, $C$13, 100%, $E$13)</f>
        <v>16.088899999999999</v>
      </c>
      <c r="E906" s="61">
        <f>18.7196 * CHOOSE(CONTROL!$C$22, $C$13, 100%, $E$13)</f>
        <v>18.7196</v>
      </c>
      <c r="F906" s="61">
        <f>18.7196 * CHOOSE(CONTROL!$C$22, $C$13, 100%, $E$13)</f>
        <v>18.7196</v>
      </c>
      <c r="G906" s="61">
        <f>18.7198 * CHOOSE(CONTROL!$C$22, $C$13, 100%, $E$13)</f>
        <v>18.719799999999999</v>
      </c>
      <c r="H906" s="61">
        <f>30.6267* CHOOSE(CONTROL!$C$22, $C$13, 100%, $E$13)</f>
        <v>30.6267</v>
      </c>
      <c r="I906" s="61">
        <f>30.6269 * CHOOSE(CONTROL!$C$22, $C$13, 100%, $E$13)</f>
        <v>30.626899999999999</v>
      </c>
      <c r="J906" s="61">
        <f>18.7196 * CHOOSE(CONTROL!$C$22, $C$13, 100%, $E$13)</f>
        <v>18.7196</v>
      </c>
      <c r="K906" s="61">
        <f>18.7198 * CHOOSE(CONTROL!$C$22, $C$13, 100%, $E$13)</f>
        <v>18.719799999999999</v>
      </c>
    </row>
    <row r="907" spans="1:11" ht="15">
      <c r="A907" s="13">
        <v>69458</v>
      </c>
      <c r="B907" s="60">
        <f>16.0733 * CHOOSE(CONTROL!$C$22, $C$13, 100%, $E$13)</f>
        <v>16.0733</v>
      </c>
      <c r="C907" s="60">
        <f>16.0733 * CHOOSE(CONTROL!$C$22, $C$13, 100%, $E$13)</f>
        <v>16.0733</v>
      </c>
      <c r="D907" s="60">
        <f>16.0858 * CHOOSE(CONTROL!$C$22, $C$13, 100%, $E$13)</f>
        <v>16.085799999999999</v>
      </c>
      <c r="E907" s="61">
        <f>18.8809 * CHOOSE(CONTROL!$C$22, $C$13, 100%, $E$13)</f>
        <v>18.8809</v>
      </c>
      <c r="F907" s="61">
        <f>18.8809 * CHOOSE(CONTROL!$C$22, $C$13, 100%, $E$13)</f>
        <v>18.8809</v>
      </c>
      <c r="G907" s="61">
        <f>18.881 * CHOOSE(CONTROL!$C$22, $C$13, 100%, $E$13)</f>
        <v>18.881</v>
      </c>
      <c r="H907" s="61">
        <f>30.6905* CHOOSE(CONTROL!$C$22, $C$13, 100%, $E$13)</f>
        <v>30.6905</v>
      </c>
      <c r="I907" s="61">
        <f>30.6907 * CHOOSE(CONTROL!$C$22, $C$13, 100%, $E$13)</f>
        <v>30.6907</v>
      </c>
      <c r="J907" s="61">
        <f>18.8809 * CHOOSE(CONTROL!$C$22, $C$13, 100%, $E$13)</f>
        <v>18.8809</v>
      </c>
      <c r="K907" s="61">
        <f>18.881 * CHOOSE(CONTROL!$C$22, $C$13, 100%, $E$13)</f>
        <v>18.881</v>
      </c>
    </row>
    <row r="908" spans="1:11" ht="15">
      <c r="A908" s="13">
        <v>69489</v>
      </c>
      <c r="B908" s="60">
        <f>16.0812 * CHOOSE(CONTROL!$C$22, $C$13, 100%, $E$13)</f>
        <v>16.081199999999999</v>
      </c>
      <c r="C908" s="60">
        <f>16.0812 * CHOOSE(CONTROL!$C$22, $C$13, 100%, $E$13)</f>
        <v>16.081199999999999</v>
      </c>
      <c r="D908" s="60">
        <f>16.0938 * CHOOSE(CONTROL!$C$22, $C$13, 100%, $E$13)</f>
        <v>16.093800000000002</v>
      </c>
      <c r="E908" s="61">
        <f>19.052 * CHOOSE(CONTROL!$C$22, $C$13, 100%, $E$13)</f>
        <v>19.052</v>
      </c>
      <c r="F908" s="61">
        <f>19.052 * CHOOSE(CONTROL!$C$22, $C$13, 100%, $E$13)</f>
        <v>19.052</v>
      </c>
      <c r="G908" s="61">
        <f>19.0522 * CHOOSE(CONTROL!$C$22, $C$13, 100%, $E$13)</f>
        <v>19.052199999999999</v>
      </c>
      <c r="H908" s="61">
        <f>30.7545* CHOOSE(CONTROL!$C$22, $C$13, 100%, $E$13)</f>
        <v>30.7545</v>
      </c>
      <c r="I908" s="61">
        <f>30.7546 * CHOOSE(CONTROL!$C$22, $C$13, 100%, $E$13)</f>
        <v>30.7546</v>
      </c>
      <c r="J908" s="61">
        <f>19.052 * CHOOSE(CONTROL!$C$22, $C$13, 100%, $E$13)</f>
        <v>19.052</v>
      </c>
      <c r="K908" s="61">
        <f>19.0522 * CHOOSE(CONTROL!$C$22, $C$13, 100%, $E$13)</f>
        <v>19.052199999999999</v>
      </c>
    </row>
    <row r="909" spans="1:11" ht="15">
      <c r="A909" s="13">
        <v>69519</v>
      </c>
      <c r="B909" s="60">
        <f>16.0812 * CHOOSE(CONTROL!$C$22, $C$13, 100%, $E$13)</f>
        <v>16.081199999999999</v>
      </c>
      <c r="C909" s="60">
        <f>16.0812 * CHOOSE(CONTROL!$C$22, $C$13, 100%, $E$13)</f>
        <v>16.081199999999999</v>
      </c>
      <c r="D909" s="60">
        <f>16.1063 * CHOOSE(CONTROL!$C$22, $C$13, 100%, $E$13)</f>
        <v>16.106300000000001</v>
      </c>
      <c r="E909" s="61">
        <f>19.1178 * CHOOSE(CONTROL!$C$22, $C$13, 100%, $E$13)</f>
        <v>19.117799999999999</v>
      </c>
      <c r="F909" s="61">
        <f>19.1178 * CHOOSE(CONTROL!$C$22, $C$13, 100%, $E$13)</f>
        <v>19.117799999999999</v>
      </c>
      <c r="G909" s="61">
        <f>19.1194 * CHOOSE(CONTROL!$C$22, $C$13, 100%, $E$13)</f>
        <v>19.119399999999999</v>
      </c>
      <c r="H909" s="61">
        <f>30.8185* CHOOSE(CONTROL!$C$22, $C$13, 100%, $E$13)</f>
        <v>30.8185</v>
      </c>
      <c r="I909" s="61">
        <f>30.8201 * CHOOSE(CONTROL!$C$22, $C$13, 100%, $E$13)</f>
        <v>30.8201</v>
      </c>
      <c r="J909" s="61">
        <f>19.1178 * CHOOSE(CONTROL!$C$22, $C$13, 100%, $E$13)</f>
        <v>19.117799999999999</v>
      </c>
      <c r="K909" s="61">
        <f>19.1194 * CHOOSE(CONTROL!$C$22, $C$13, 100%, $E$13)</f>
        <v>19.119399999999999</v>
      </c>
    </row>
    <row r="910" spans="1:11" ht="15">
      <c r="A910" s="13">
        <v>69550</v>
      </c>
      <c r="B910" s="60">
        <f>16.0873 * CHOOSE(CONTROL!$C$22, $C$13, 100%, $E$13)</f>
        <v>16.087299999999999</v>
      </c>
      <c r="C910" s="60">
        <f>16.0873 * CHOOSE(CONTROL!$C$22, $C$13, 100%, $E$13)</f>
        <v>16.087299999999999</v>
      </c>
      <c r="D910" s="60">
        <f>16.1124 * CHOOSE(CONTROL!$C$22, $C$13, 100%, $E$13)</f>
        <v>16.112400000000001</v>
      </c>
      <c r="E910" s="61">
        <f>19.0563 * CHOOSE(CONTROL!$C$22, $C$13, 100%, $E$13)</f>
        <v>19.0563</v>
      </c>
      <c r="F910" s="61">
        <f>19.0563 * CHOOSE(CONTROL!$C$22, $C$13, 100%, $E$13)</f>
        <v>19.0563</v>
      </c>
      <c r="G910" s="61">
        <f>19.0579 * CHOOSE(CONTROL!$C$22, $C$13, 100%, $E$13)</f>
        <v>19.0579</v>
      </c>
      <c r="H910" s="61">
        <f>30.8827* CHOOSE(CONTROL!$C$22, $C$13, 100%, $E$13)</f>
        <v>30.8827</v>
      </c>
      <c r="I910" s="61">
        <f>30.8843 * CHOOSE(CONTROL!$C$22, $C$13, 100%, $E$13)</f>
        <v>30.8843</v>
      </c>
      <c r="J910" s="61">
        <f>19.0563 * CHOOSE(CONTROL!$C$22, $C$13, 100%, $E$13)</f>
        <v>19.0563</v>
      </c>
      <c r="K910" s="61">
        <f>19.0579 * CHOOSE(CONTROL!$C$22, $C$13, 100%, $E$13)</f>
        <v>19.0579</v>
      </c>
    </row>
    <row r="911" spans="1:11" ht="15">
      <c r="A911" s="13">
        <v>69580</v>
      </c>
      <c r="B911" s="60">
        <f>16.3385 * CHOOSE(CONTROL!$C$22, $C$13, 100%, $E$13)</f>
        <v>16.3385</v>
      </c>
      <c r="C911" s="60">
        <f>16.3385 * CHOOSE(CONTROL!$C$22, $C$13, 100%, $E$13)</f>
        <v>16.3385</v>
      </c>
      <c r="D911" s="60">
        <f>16.3636 * CHOOSE(CONTROL!$C$22, $C$13, 100%, $E$13)</f>
        <v>16.363600000000002</v>
      </c>
      <c r="E911" s="61">
        <f>19.4179 * CHOOSE(CONTROL!$C$22, $C$13, 100%, $E$13)</f>
        <v>19.417899999999999</v>
      </c>
      <c r="F911" s="61">
        <f>19.4179 * CHOOSE(CONTROL!$C$22, $C$13, 100%, $E$13)</f>
        <v>19.417899999999999</v>
      </c>
      <c r="G911" s="61">
        <f>19.4195 * CHOOSE(CONTROL!$C$22, $C$13, 100%, $E$13)</f>
        <v>19.419499999999999</v>
      </c>
      <c r="H911" s="61">
        <f>30.9471* CHOOSE(CONTROL!$C$22, $C$13, 100%, $E$13)</f>
        <v>30.947099999999999</v>
      </c>
      <c r="I911" s="61">
        <f>30.9487 * CHOOSE(CONTROL!$C$22, $C$13, 100%, $E$13)</f>
        <v>30.948699999999999</v>
      </c>
      <c r="J911" s="61">
        <f>19.4179 * CHOOSE(CONTROL!$C$22, $C$13, 100%, $E$13)</f>
        <v>19.417899999999999</v>
      </c>
      <c r="K911" s="61">
        <f>19.4195 * CHOOSE(CONTROL!$C$22, $C$13, 100%, $E$13)</f>
        <v>19.419499999999999</v>
      </c>
    </row>
    <row r="912" spans="1:11" ht="15">
      <c r="A912" s="13">
        <v>69611</v>
      </c>
      <c r="B912" s="60">
        <f>16.3452 * CHOOSE(CONTROL!$C$22, $C$13, 100%, $E$13)</f>
        <v>16.345199999999998</v>
      </c>
      <c r="C912" s="60">
        <f>16.3452 * CHOOSE(CONTROL!$C$22, $C$13, 100%, $E$13)</f>
        <v>16.345199999999998</v>
      </c>
      <c r="D912" s="60">
        <f>16.3703 * CHOOSE(CONTROL!$C$22, $C$13, 100%, $E$13)</f>
        <v>16.3703</v>
      </c>
      <c r="E912" s="61">
        <f>19.2252 * CHOOSE(CONTROL!$C$22, $C$13, 100%, $E$13)</f>
        <v>19.225200000000001</v>
      </c>
      <c r="F912" s="61">
        <f>19.2252 * CHOOSE(CONTROL!$C$22, $C$13, 100%, $E$13)</f>
        <v>19.225200000000001</v>
      </c>
      <c r="G912" s="61">
        <f>19.2268 * CHOOSE(CONTROL!$C$22, $C$13, 100%, $E$13)</f>
        <v>19.226800000000001</v>
      </c>
      <c r="H912" s="61">
        <f>31.0115* CHOOSE(CONTROL!$C$22, $C$13, 100%, $E$13)</f>
        <v>31.011500000000002</v>
      </c>
      <c r="I912" s="61">
        <f>31.0132 * CHOOSE(CONTROL!$C$22, $C$13, 100%, $E$13)</f>
        <v>31.013200000000001</v>
      </c>
      <c r="J912" s="61">
        <f>19.2252 * CHOOSE(CONTROL!$C$22, $C$13, 100%, $E$13)</f>
        <v>19.225200000000001</v>
      </c>
      <c r="K912" s="61">
        <f>19.2268 * CHOOSE(CONTROL!$C$22, $C$13, 100%, $E$13)</f>
        <v>19.226800000000001</v>
      </c>
    </row>
    <row r="913" spans="1:11" ht="15">
      <c r="A913" s="13">
        <v>69642</v>
      </c>
      <c r="B913" s="60">
        <f>16.3422 * CHOOSE(CONTROL!$C$22, $C$13, 100%, $E$13)</f>
        <v>16.342199999999998</v>
      </c>
      <c r="C913" s="60">
        <f>16.3422 * CHOOSE(CONTROL!$C$22, $C$13, 100%, $E$13)</f>
        <v>16.342199999999998</v>
      </c>
      <c r="D913" s="60">
        <f>16.3673 * CHOOSE(CONTROL!$C$22, $C$13, 100%, $E$13)</f>
        <v>16.3673</v>
      </c>
      <c r="E913" s="61">
        <f>19.2012 * CHOOSE(CONTROL!$C$22, $C$13, 100%, $E$13)</f>
        <v>19.2012</v>
      </c>
      <c r="F913" s="61">
        <f>19.2012 * CHOOSE(CONTROL!$C$22, $C$13, 100%, $E$13)</f>
        <v>19.2012</v>
      </c>
      <c r="G913" s="61">
        <f>19.2028 * CHOOSE(CONTROL!$C$22, $C$13, 100%, $E$13)</f>
        <v>19.2028</v>
      </c>
      <c r="H913" s="61">
        <f>31.0762* CHOOSE(CONTROL!$C$22, $C$13, 100%, $E$13)</f>
        <v>31.0762</v>
      </c>
      <c r="I913" s="61">
        <f>31.0778 * CHOOSE(CONTROL!$C$22, $C$13, 100%, $E$13)</f>
        <v>31.0778</v>
      </c>
      <c r="J913" s="61">
        <f>19.2012 * CHOOSE(CONTROL!$C$22, $C$13, 100%, $E$13)</f>
        <v>19.2012</v>
      </c>
      <c r="K913" s="61">
        <f>19.2028 * CHOOSE(CONTROL!$C$22, $C$13, 100%, $E$13)</f>
        <v>19.2028</v>
      </c>
    </row>
    <row r="914" spans="1:11" ht="15">
      <c r="A914" s="13">
        <v>69672</v>
      </c>
      <c r="B914" s="60">
        <f>16.3776 * CHOOSE(CONTROL!$C$22, $C$13, 100%, $E$13)</f>
        <v>16.377600000000001</v>
      </c>
      <c r="C914" s="60">
        <f>16.3776 * CHOOSE(CONTROL!$C$22, $C$13, 100%, $E$13)</f>
        <v>16.377600000000001</v>
      </c>
      <c r="D914" s="60">
        <f>16.3902 * CHOOSE(CONTROL!$C$22, $C$13, 100%, $E$13)</f>
        <v>16.3902</v>
      </c>
      <c r="E914" s="61">
        <f>19.2754 * CHOOSE(CONTROL!$C$22, $C$13, 100%, $E$13)</f>
        <v>19.275400000000001</v>
      </c>
      <c r="F914" s="61">
        <f>19.2754 * CHOOSE(CONTROL!$C$22, $C$13, 100%, $E$13)</f>
        <v>19.275400000000001</v>
      </c>
      <c r="G914" s="61">
        <f>19.2756 * CHOOSE(CONTROL!$C$22, $C$13, 100%, $E$13)</f>
        <v>19.275600000000001</v>
      </c>
      <c r="H914" s="61">
        <f>31.1409* CHOOSE(CONTROL!$C$22, $C$13, 100%, $E$13)</f>
        <v>31.140899999999998</v>
      </c>
      <c r="I914" s="61">
        <f>31.1411 * CHOOSE(CONTROL!$C$22, $C$13, 100%, $E$13)</f>
        <v>31.141100000000002</v>
      </c>
      <c r="J914" s="61">
        <f>19.2754 * CHOOSE(CONTROL!$C$22, $C$13, 100%, $E$13)</f>
        <v>19.275400000000001</v>
      </c>
      <c r="K914" s="61">
        <f>19.2756 * CHOOSE(CONTROL!$C$22, $C$13, 100%, $E$13)</f>
        <v>19.275600000000001</v>
      </c>
    </row>
    <row r="915" spans="1:11" ht="15">
      <c r="A915" s="13">
        <v>69703</v>
      </c>
      <c r="B915" s="60">
        <f>16.3807 * CHOOSE(CONTROL!$C$22, $C$13, 100%, $E$13)</f>
        <v>16.380700000000001</v>
      </c>
      <c r="C915" s="60">
        <f>16.3807 * CHOOSE(CONTROL!$C$22, $C$13, 100%, $E$13)</f>
        <v>16.380700000000001</v>
      </c>
      <c r="D915" s="60">
        <f>16.3932 * CHOOSE(CONTROL!$C$22, $C$13, 100%, $E$13)</f>
        <v>16.3932</v>
      </c>
      <c r="E915" s="61">
        <f>19.3214 * CHOOSE(CONTROL!$C$22, $C$13, 100%, $E$13)</f>
        <v>19.321400000000001</v>
      </c>
      <c r="F915" s="61">
        <f>19.3214 * CHOOSE(CONTROL!$C$22, $C$13, 100%, $E$13)</f>
        <v>19.321400000000001</v>
      </c>
      <c r="G915" s="61">
        <f>19.3216 * CHOOSE(CONTROL!$C$22, $C$13, 100%, $E$13)</f>
        <v>19.3216</v>
      </c>
      <c r="H915" s="61">
        <f>31.2058* CHOOSE(CONTROL!$C$22, $C$13, 100%, $E$13)</f>
        <v>31.2058</v>
      </c>
      <c r="I915" s="61">
        <f>31.206 * CHOOSE(CONTROL!$C$22, $C$13, 100%, $E$13)</f>
        <v>31.206</v>
      </c>
      <c r="J915" s="61">
        <f>19.3214 * CHOOSE(CONTROL!$C$22, $C$13, 100%, $E$13)</f>
        <v>19.321400000000001</v>
      </c>
      <c r="K915" s="61">
        <f>19.3216 * CHOOSE(CONTROL!$C$22, $C$13, 100%, $E$13)</f>
        <v>19.3216</v>
      </c>
    </row>
    <row r="916" spans="1:11" ht="15">
      <c r="A916" s="13">
        <v>69733</v>
      </c>
      <c r="B916" s="60">
        <f>16.3807 * CHOOSE(CONTROL!$C$22, $C$13, 100%, $E$13)</f>
        <v>16.380700000000001</v>
      </c>
      <c r="C916" s="60">
        <f>16.3807 * CHOOSE(CONTROL!$C$22, $C$13, 100%, $E$13)</f>
        <v>16.380700000000001</v>
      </c>
      <c r="D916" s="60">
        <f>16.3932 * CHOOSE(CONTROL!$C$22, $C$13, 100%, $E$13)</f>
        <v>16.3932</v>
      </c>
      <c r="E916" s="61">
        <f>19.2118 * CHOOSE(CONTROL!$C$22, $C$13, 100%, $E$13)</f>
        <v>19.2118</v>
      </c>
      <c r="F916" s="61">
        <f>19.2118 * CHOOSE(CONTROL!$C$22, $C$13, 100%, $E$13)</f>
        <v>19.2118</v>
      </c>
      <c r="G916" s="61">
        <f>19.212 * CHOOSE(CONTROL!$C$22, $C$13, 100%, $E$13)</f>
        <v>19.212</v>
      </c>
      <c r="H916" s="61">
        <f>31.2708* CHOOSE(CONTROL!$C$22, $C$13, 100%, $E$13)</f>
        <v>31.270800000000001</v>
      </c>
      <c r="I916" s="61">
        <f>31.271 * CHOOSE(CONTROL!$C$22, $C$13, 100%, $E$13)</f>
        <v>31.271000000000001</v>
      </c>
      <c r="J916" s="61">
        <f>19.2118 * CHOOSE(CONTROL!$C$22, $C$13, 100%, $E$13)</f>
        <v>19.2118</v>
      </c>
      <c r="K916" s="61">
        <f>19.212 * CHOOSE(CONTROL!$C$22, $C$13, 100%, $E$13)</f>
        <v>19.212</v>
      </c>
    </row>
    <row r="917" spans="1:11" ht="15">
      <c r="A917" s="13">
        <v>69764</v>
      </c>
      <c r="B917" s="60">
        <f>16.3247 * CHOOSE(CONTROL!$C$22, $C$13, 100%, $E$13)</f>
        <v>16.3247</v>
      </c>
      <c r="C917" s="60">
        <f>16.3247 * CHOOSE(CONTROL!$C$22, $C$13, 100%, $E$13)</f>
        <v>16.3247</v>
      </c>
      <c r="D917" s="60">
        <f>16.3372 * CHOOSE(CONTROL!$C$22, $C$13, 100%, $E$13)</f>
        <v>16.337199999999999</v>
      </c>
      <c r="E917" s="61">
        <f>19.2214 * CHOOSE(CONTROL!$C$22, $C$13, 100%, $E$13)</f>
        <v>19.221399999999999</v>
      </c>
      <c r="F917" s="61">
        <f>19.2214 * CHOOSE(CONTROL!$C$22, $C$13, 100%, $E$13)</f>
        <v>19.221399999999999</v>
      </c>
      <c r="G917" s="61">
        <f>19.2215 * CHOOSE(CONTROL!$C$22, $C$13, 100%, $E$13)</f>
        <v>19.221499999999999</v>
      </c>
      <c r="H917" s="61">
        <f>31.0089* CHOOSE(CONTROL!$C$22, $C$13, 100%, $E$13)</f>
        <v>31.008900000000001</v>
      </c>
      <c r="I917" s="61">
        <f>31.0091 * CHOOSE(CONTROL!$C$22, $C$13, 100%, $E$13)</f>
        <v>31.0091</v>
      </c>
      <c r="J917" s="61">
        <f>19.2214 * CHOOSE(CONTROL!$C$22, $C$13, 100%, $E$13)</f>
        <v>19.221399999999999</v>
      </c>
      <c r="K917" s="61">
        <f>19.2215 * CHOOSE(CONTROL!$C$22, $C$13, 100%, $E$13)</f>
        <v>19.221499999999999</v>
      </c>
    </row>
    <row r="918" spans="1:11" ht="15">
      <c r="A918" s="13">
        <v>69795</v>
      </c>
      <c r="B918" s="60">
        <f>16.3216 * CHOOSE(CONTROL!$C$22, $C$13, 100%, $E$13)</f>
        <v>16.3216</v>
      </c>
      <c r="C918" s="60">
        <f>16.3216 * CHOOSE(CONTROL!$C$22, $C$13, 100%, $E$13)</f>
        <v>16.3216</v>
      </c>
      <c r="D918" s="60">
        <f>16.3342 * CHOOSE(CONTROL!$C$22, $C$13, 100%, $E$13)</f>
        <v>16.334199999999999</v>
      </c>
      <c r="E918" s="61">
        <f>19.0088 * CHOOSE(CONTROL!$C$22, $C$13, 100%, $E$13)</f>
        <v>19.008800000000001</v>
      </c>
      <c r="F918" s="61">
        <f>19.0088 * CHOOSE(CONTROL!$C$22, $C$13, 100%, $E$13)</f>
        <v>19.008800000000001</v>
      </c>
      <c r="G918" s="61">
        <f>19.009 * CHOOSE(CONTROL!$C$22, $C$13, 100%, $E$13)</f>
        <v>19.009</v>
      </c>
      <c r="H918" s="61">
        <f>31.0735* CHOOSE(CONTROL!$C$22, $C$13, 100%, $E$13)</f>
        <v>31.073499999999999</v>
      </c>
      <c r="I918" s="61">
        <f>31.0737 * CHOOSE(CONTROL!$C$22, $C$13, 100%, $E$13)</f>
        <v>31.073699999999999</v>
      </c>
      <c r="J918" s="61">
        <f>19.0088 * CHOOSE(CONTROL!$C$22, $C$13, 100%, $E$13)</f>
        <v>19.008800000000001</v>
      </c>
      <c r="K918" s="61">
        <f>19.009 * CHOOSE(CONTROL!$C$22, $C$13, 100%, $E$13)</f>
        <v>19.009</v>
      </c>
    </row>
    <row r="919" spans="1:11" ht="15">
      <c r="A919" s="13">
        <v>69823</v>
      </c>
      <c r="B919" s="60">
        <f>16.3186 * CHOOSE(CONTROL!$C$22, $C$13, 100%, $E$13)</f>
        <v>16.3186</v>
      </c>
      <c r="C919" s="60">
        <f>16.3186 * CHOOSE(CONTROL!$C$22, $C$13, 100%, $E$13)</f>
        <v>16.3186</v>
      </c>
      <c r="D919" s="60">
        <f>16.3312 * CHOOSE(CONTROL!$C$22, $C$13, 100%, $E$13)</f>
        <v>16.331199999999999</v>
      </c>
      <c r="E919" s="61">
        <f>19.1726 * CHOOSE(CONTROL!$C$22, $C$13, 100%, $E$13)</f>
        <v>19.172599999999999</v>
      </c>
      <c r="F919" s="61">
        <f>19.1726 * CHOOSE(CONTROL!$C$22, $C$13, 100%, $E$13)</f>
        <v>19.172599999999999</v>
      </c>
      <c r="G919" s="61">
        <f>19.1728 * CHOOSE(CONTROL!$C$22, $C$13, 100%, $E$13)</f>
        <v>19.172799999999999</v>
      </c>
      <c r="H919" s="61">
        <f>31.1383* CHOOSE(CONTROL!$C$22, $C$13, 100%, $E$13)</f>
        <v>31.138300000000001</v>
      </c>
      <c r="I919" s="61">
        <f>31.1384 * CHOOSE(CONTROL!$C$22, $C$13, 100%, $E$13)</f>
        <v>31.138400000000001</v>
      </c>
      <c r="J919" s="61">
        <f>19.1726 * CHOOSE(CONTROL!$C$22, $C$13, 100%, $E$13)</f>
        <v>19.172599999999999</v>
      </c>
      <c r="K919" s="61">
        <f>19.1728 * CHOOSE(CONTROL!$C$22, $C$13, 100%, $E$13)</f>
        <v>19.172799999999999</v>
      </c>
    </row>
    <row r="920" spans="1:11" ht="15">
      <c r="A920" s="13">
        <v>69854</v>
      </c>
      <c r="B920" s="60">
        <f>16.3267 * CHOOSE(CONTROL!$C$22, $C$13, 100%, $E$13)</f>
        <v>16.326699999999999</v>
      </c>
      <c r="C920" s="60">
        <f>16.3267 * CHOOSE(CONTROL!$C$22, $C$13, 100%, $E$13)</f>
        <v>16.326699999999999</v>
      </c>
      <c r="D920" s="60">
        <f>16.3393 * CHOOSE(CONTROL!$C$22, $C$13, 100%, $E$13)</f>
        <v>16.339300000000001</v>
      </c>
      <c r="E920" s="61">
        <f>19.3465 * CHOOSE(CONTROL!$C$22, $C$13, 100%, $E$13)</f>
        <v>19.346499999999999</v>
      </c>
      <c r="F920" s="61">
        <f>19.3465 * CHOOSE(CONTROL!$C$22, $C$13, 100%, $E$13)</f>
        <v>19.346499999999999</v>
      </c>
      <c r="G920" s="61">
        <f>19.3467 * CHOOSE(CONTROL!$C$22, $C$13, 100%, $E$13)</f>
        <v>19.346699999999998</v>
      </c>
      <c r="H920" s="61">
        <f>31.2031* CHOOSE(CONTROL!$C$22, $C$13, 100%, $E$13)</f>
        <v>31.203099999999999</v>
      </c>
      <c r="I920" s="61">
        <f>31.2033 * CHOOSE(CONTROL!$C$22, $C$13, 100%, $E$13)</f>
        <v>31.203299999999999</v>
      </c>
      <c r="J920" s="61">
        <f>19.3465 * CHOOSE(CONTROL!$C$22, $C$13, 100%, $E$13)</f>
        <v>19.346499999999999</v>
      </c>
      <c r="K920" s="61">
        <f>19.3467 * CHOOSE(CONTROL!$C$22, $C$13, 100%, $E$13)</f>
        <v>19.346699999999998</v>
      </c>
    </row>
    <row r="921" spans="1:11" ht="15">
      <c r="A921" s="13">
        <v>69884</v>
      </c>
      <c r="B921" s="60">
        <f>16.3267 * CHOOSE(CONTROL!$C$22, $C$13, 100%, $E$13)</f>
        <v>16.326699999999999</v>
      </c>
      <c r="C921" s="60">
        <f>16.3267 * CHOOSE(CONTROL!$C$22, $C$13, 100%, $E$13)</f>
        <v>16.326699999999999</v>
      </c>
      <c r="D921" s="60">
        <f>16.3518 * CHOOSE(CONTROL!$C$22, $C$13, 100%, $E$13)</f>
        <v>16.351800000000001</v>
      </c>
      <c r="E921" s="61">
        <f>19.4133 * CHOOSE(CONTROL!$C$22, $C$13, 100%, $E$13)</f>
        <v>19.4133</v>
      </c>
      <c r="F921" s="61">
        <f>19.4133 * CHOOSE(CONTROL!$C$22, $C$13, 100%, $E$13)</f>
        <v>19.4133</v>
      </c>
      <c r="G921" s="61">
        <f>19.4149 * CHOOSE(CONTROL!$C$22, $C$13, 100%, $E$13)</f>
        <v>19.414899999999999</v>
      </c>
      <c r="H921" s="61">
        <f>31.2681* CHOOSE(CONTROL!$C$22, $C$13, 100%, $E$13)</f>
        <v>31.2681</v>
      </c>
      <c r="I921" s="61">
        <f>31.2698 * CHOOSE(CONTROL!$C$22, $C$13, 100%, $E$13)</f>
        <v>31.2698</v>
      </c>
      <c r="J921" s="61">
        <f>19.4133 * CHOOSE(CONTROL!$C$22, $C$13, 100%, $E$13)</f>
        <v>19.4133</v>
      </c>
      <c r="K921" s="61">
        <f>19.4149 * CHOOSE(CONTROL!$C$22, $C$13, 100%, $E$13)</f>
        <v>19.414899999999999</v>
      </c>
    </row>
    <row r="922" spans="1:11" ht="15">
      <c r="A922" s="13">
        <v>69915</v>
      </c>
      <c r="B922" s="60">
        <f>16.3328 * CHOOSE(CONTROL!$C$22, $C$13, 100%, $E$13)</f>
        <v>16.332799999999999</v>
      </c>
      <c r="C922" s="60">
        <f>16.3328 * CHOOSE(CONTROL!$C$22, $C$13, 100%, $E$13)</f>
        <v>16.332799999999999</v>
      </c>
      <c r="D922" s="60">
        <f>16.3579 * CHOOSE(CONTROL!$C$22, $C$13, 100%, $E$13)</f>
        <v>16.357900000000001</v>
      </c>
      <c r="E922" s="61">
        <f>19.3507 * CHOOSE(CONTROL!$C$22, $C$13, 100%, $E$13)</f>
        <v>19.3507</v>
      </c>
      <c r="F922" s="61">
        <f>19.3507 * CHOOSE(CONTROL!$C$22, $C$13, 100%, $E$13)</f>
        <v>19.3507</v>
      </c>
      <c r="G922" s="61">
        <f>19.3523 * CHOOSE(CONTROL!$C$22, $C$13, 100%, $E$13)</f>
        <v>19.3523</v>
      </c>
      <c r="H922" s="61">
        <f>31.3333* CHOOSE(CONTROL!$C$22, $C$13, 100%, $E$13)</f>
        <v>31.333300000000001</v>
      </c>
      <c r="I922" s="61">
        <f>31.3349 * CHOOSE(CONTROL!$C$22, $C$13, 100%, $E$13)</f>
        <v>31.334900000000001</v>
      </c>
      <c r="J922" s="61">
        <f>19.3507 * CHOOSE(CONTROL!$C$22, $C$13, 100%, $E$13)</f>
        <v>19.3507</v>
      </c>
      <c r="K922" s="61">
        <f>19.3523 * CHOOSE(CONTROL!$C$22, $C$13, 100%, $E$13)</f>
        <v>19.3523</v>
      </c>
    </row>
    <row r="923" spans="1:11" ht="15">
      <c r="A923" s="13">
        <v>69945</v>
      </c>
      <c r="B923" s="60">
        <f>16.5877 * CHOOSE(CONTROL!$C$22, $C$13, 100%, $E$13)</f>
        <v>16.587700000000002</v>
      </c>
      <c r="C923" s="60">
        <f>16.5877 * CHOOSE(CONTROL!$C$22, $C$13, 100%, $E$13)</f>
        <v>16.587700000000002</v>
      </c>
      <c r="D923" s="60">
        <f>16.6128 * CHOOSE(CONTROL!$C$22, $C$13, 100%, $E$13)</f>
        <v>16.6128</v>
      </c>
      <c r="E923" s="61">
        <f>19.7178 * CHOOSE(CONTROL!$C$22, $C$13, 100%, $E$13)</f>
        <v>19.7178</v>
      </c>
      <c r="F923" s="61">
        <f>19.7178 * CHOOSE(CONTROL!$C$22, $C$13, 100%, $E$13)</f>
        <v>19.7178</v>
      </c>
      <c r="G923" s="61">
        <f>19.7194 * CHOOSE(CONTROL!$C$22, $C$13, 100%, $E$13)</f>
        <v>19.7194</v>
      </c>
      <c r="H923" s="61">
        <f>31.3986* CHOOSE(CONTROL!$C$22, $C$13, 100%, $E$13)</f>
        <v>31.398599999999998</v>
      </c>
      <c r="I923" s="61">
        <f>31.4002 * CHOOSE(CONTROL!$C$22, $C$13, 100%, $E$13)</f>
        <v>31.400200000000002</v>
      </c>
      <c r="J923" s="61">
        <f>19.7178 * CHOOSE(CONTROL!$C$22, $C$13, 100%, $E$13)</f>
        <v>19.7178</v>
      </c>
      <c r="K923" s="61">
        <f>19.7194 * CHOOSE(CONTROL!$C$22, $C$13, 100%, $E$13)</f>
        <v>19.7194</v>
      </c>
    </row>
    <row r="924" spans="1:11" ht="15">
      <c r="A924" s="13">
        <v>69976</v>
      </c>
      <c r="B924" s="60">
        <f>16.5944 * CHOOSE(CONTROL!$C$22, $C$13, 100%, $E$13)</f>
        <v>16.5944</v>
      </c>
      <c r="C924" s="60">
        <f>16.5944 * CHOOSE(CONTROL!$C$22, $C$13, 100%, $E$13)</f>
        <v>16.5944</v>
      </c>
      <c r="D924" s="60">
        <f>16.6195 * CHOOSE(CONTROL!$C$22, $C$13, 100%, $E$13)</f>
        <v>16.619499999999999</v>
      </c>
      <c r="E924" s="61">
        <f>19.522 * CHOOSE(CONTROL!$C$22, $C$13, 100%, $E$13)</f>
        <v>19.521999999999998</v>
      </c>
      <c r="F924" s="61">
        <f>19.522 * CHOOSE(CONTROL!$C$22, $C$13, 100%, $E$13)</f>
        <v>19.521999999999998</v>
      </c>
      <c r="G924" s="61">
        <f>19.5236 * CHOOSE(CONTROL!$C$22, $C$13, 100%, $E$13)</f>
        <v>19.523599999999998</v>
      </c>
      <c r="H924" s="61">
        <f>31.464* CHOOSE(CONTROL!$C$22, $C$13, 100%, $E$13)</f>
        <v>31.463999999999999</v>
      </c>
      <c r="I924" s="61">
        <f>31.4656 * CHOOSE(CONTROL!$C$22, $C$13, 100%, $E$13)</f>
        <v>31.465599999999998</v>
      </c>
      <c r="J924" s="61">
        <f>19.522 * CHOOSE(CONTROL!$C$22, $C$13, 100%, $E$13)</f>
        <v>19.521999999999998</v>
      </c>
      <c r="K924" s="61">
        <f>19.5236 * CHOOSE(CONTROL!$C$22, $C$13, 100%, $E$13)</f>
        <v>19.523599999999998</v>
      </c>
    </row>
    <row r="925" spans="1:11" ht="15">
      <c r="A925" s="13">
        <v>70007</v>
      </c>
      <c r="B925" s="60">
        <f>16.5914 * CHOOSE(CONTROL!$C$22, $C$13, 100%, $E$13)</f>
        <v>16.5914</v>
      </c>
      <c r="C925" s="60">
        <f>16.5914 * CHOOSE(CONTROL!$C$22, $C$13, 100%, $E$13)</f>
        <v>16.5914</v>
      </c>
      <c r="D925" s="60">
        <f>16.6165 * CHOOSE(CONTROL!$C$22, $C$13, 100%, $E$13)</f>
        <v>16.616499999999998</v>
      </c>
      <c r="E925" s="61">
        <f>19.4976 * CHOOSE(CONTROL!$C$22, $C$13, 100%, $E$13)</f>
        <v>19.497599999999998</v>
      </c>
      <c r="F925" s="61">
        <f>19.4976 * CHOOSE(CONTROL!$C$22, $C$13, 100%, $E$13)</f>
        <v>19.497599999999998</v>
      </c>
      <c r="G925" s="61">
        <f>19.4992 * CHOOSE(CONTROL!$C$22, $C$13, 100%, $E$13)</f>
        <v>19.499199999999998</v>
      </c>
      <c r="H925" s="61">
        <f>31.5295* CHOOSE(CONTROL!$C$22, $C$13, 100%, $E$13)</f>
        <v>31.529499999999999</v>
      </c>
      <c r="I925" s="61">
        <f>31.5311 * CHOOSE(CONTROL!$C$22, $C$13, 100%, $E$13)</f>
        <v>31.531099999999999</v>
      </c>
      <c r="J925" s="61">
        <f>19.4976 * CHOOSE(CONTROL!$C$22, $C$13, 100%, $E$13)</f>
        <v>19.497599999999998</v>
      </c>
      <c r="K925" s="61">
        <f>19.4992 * CHOOSE(CONTROL!$C$22, $C$13, 100%, $E$13)</f>
        <v>19.499199999999998</v>
      </c>
    </row>
    <row r="926" spans="1:11" ht="15">
      <c r="A926" s="13">
        <v>70037</v>
      </c>
      <c r="B926" s="60">
        <f>16.6276 * CHOOSE(CONTROL!$C$22, $C$13, 100%, $E$13)</f>
        <v>16.627600000000001</v>
      </c>
      <c r="C926" s="60">
        <f>16.6276 * CHOOSE(CONTROL!$C$22, $C$13, 100%, $E$13)</f>
        <v>16.627600000000001</v>
      </c>
      <c r="D926" s="60">
        <f>16.6402 * CHOOSE(CONTROL!$C$22, $C$13, 100%, $E$13)</f>
        <v>16.6402</v>
      </c>
      <c r="E926" s="61">
        <f>19.5733 * CHOOSE(CONTROL!$C$22, $C$13, 100%, $E$13)</f>
        <v>19.5733</v>
      </c>
      <c r="F926" s="61">
        <f>19.5733 * CHOOSE(CONTROL!$C$22, $C$13, 100%, $E$13)</f>
        <v>19.5733</v>
      </c>
      <c r="G926" s="61">
        <f>19.5735 * CHOOSE(CONTROL!$C$22, $C$13, 100%, $E$13)</f>
        <v>19.573499999999999</v>
      </c>
      <c r="H926" s="61">
        <f>31.5952* CHOOSE(CONTROL!$C$22, $C$13, 100%, $E$13)</f>
        <v>31.595199999999998</v>
      </c>
      <c r="I926" s="61">
        <f>31.5954 * CHOOSE(CONTROL!$C$22, $C$13, 100%, $E$13)</f>
        <v>31.595400000000001</v>
      </c>
      <c r="J926" s="61">
        <f>19.5733 * CHOOSE(CONTROL!$C$22, $C$13, 100%, $E$13)</f>
        <v>19.5733</v>
      </c>
      <c r="K926" s="61">
        <f>19.5735 * CHOOSE(CONTROL!$C$22, $C$13, 100%, $E$13)</f>
        <v>19.573499999999999</v>
      </c>
    </row>
    <row r="927" spans="1:11" ht="15">
      <c r="A927" s="13">
        <v>70068</v>
      </c>
      <c r="B927" s="60">
        <f>16.6307 * CHOOSE(CONTROL!$C$22, $C$13, 100%, $E$13)</f>
        <v>16.630700000000001</v>
      </c>
      <c r="C927" s="60">
        <f>16.6307 * CHOOSE(CONTROL!$C$22, $C$13, 100%, $E$13)</f>
        <v>16.630700000000001</v>
      </c>
      <c r="D927" s="60">
        <f>16.6432 * CHOOSE(CONTROL!$C$22, $C$13, 100%, $E$13)</f>
        <v>16.6432</v>
      </c>
      <c r="E927" s="61">
        <f>19.6199 * CHOOSE(CONTROL!$C$22, $C$13, 100%, $E$13)</f>
        <v>19.619900000000001</v>
      </c>
      <c r="F927" s="61">
        <f>19.6199 * CHOOSE(CONTROL!$C$22, $C$13, 100%, $E$13)</f>
        <v>19.619900000000001</v>
      </c>
      <c r="G927" s="61">
        <f>19.6201 * CHOOSE(CONTROL!$C$22, $C$13, 100%, $E$13)</f>
        <v>19.620100000000001</v>
      </c>
      <c r="H927" s="61">
        <f>31.661* CHOOSE(CONTROL!$C$22, $C$13, 100%, $E$13)</f>
        <v>31.661000000000001</v>
      </c>
      <c r="I927" s="61">
        <f>31.6612 * CHOOSE(CONTROL!$C$22, $C$13, 100%, $E$13)</f>
        <v>31.661200000000001</v>
      </c>
      <c r="J927" s="61">
        <f>19.6199 * CHOOSE(CONTROL!$C$22, $C$13, 100%, $E$13)</f>
        <v>19.619900000000001</v>
      </c>
      <c r="K927" s="61">
        <f>19.6201 * CHOOSE(CONTROL!$C$22, $C$13, 100%, $E$13)</f>
        <v>19.620100000000001</v>
      </c>
    </row>
    <row r="928" spans="1:11" ht="15">
      <c r="A928" s="13">
        <v>70098</v>
      </c>
      <c r="B928" s="60">
        <f>16.6307 * CHOOSE(CONTROL!$C$22, $C$13, 100%, $E$13)</f>
        <v>16.630700000000001</v>
      </c>
      <c r="C928" s="60">
        <f>16.6307 * CHOOSE(CONTROL!$C$22, $C$13, 100%, $E$13)</f>
        <v>16.630700000000001</v>
      </c>
      <c r="D928" s="60">
        <f>16.6432 * CHOOSE(CONTROL!$C$22, $C$13, 100%, $E$13)</f>
        <v>16.6432</v>
      </c>
      <c r="E928" s="61">
        <f>19.5086 * CHOOSE(CONTROL!$C$22, $C$13, 100%, $E$13)</f>
        <v>19.508600000000001</v>
      </c>
      <c r="F928" s="61">
        <f>19.5086 * CHOOSE(CONTROL!$C$22, $C$13, 100%, $E$13)</f>
        <v>19.508600000000001</v>
      </c>
      <c r="G928" s="61">
        <f>19.5088 * CHOOSE(CONTROL!$C$22, $C$13, 100%, $E$13)</f>
        <v>19.508800000000001</v>
      </c>
      <c r="H928" s="61">
        <f>31.727* CHOOSE(CONTROL!$C$22, $C$13, 100%, $E$13)</f>
        <v>31.727</v>
      </c>
      <c r="I928" s="61">
        <f>31.7272 * CHOOSE(CONTROL!$C$22, $C$13, 100%, $E$13)</f>
        <v>31.7272</v>
      </c>
      <c r="J928" s="61">
        <f>19.5086 * CHOOSE(CONTROL!$C$22, $C$13, 100%, $E$13)</f>
        <v>19.508600000000001</v>
      </c>
      <c r="K928" s="61">
        <f>19.5088 * CHOOSE(CONTROL!$C$22, $C$13, 100%, $E$13)</f>
        <v>19.508800000000001</v>
      </c>
    </row>
    <row r="929" spans="1:11" ht="15">
      <c r="A929" s="13">
        <v>70129</v>
      </c>
      <c r="B929" s="60">
        <f>16.57 * CHOOSE(CONTROL!$C$22, $C$13, 100%, $E$13)</f>
        <v>16.57</v>
      </c>
      <c r="C929" s="60">
        <f>16.57 * CHOOSE(CONTROL!$C$22, $C$13, 100%, $E$13)</f>
        <v>16.57</v>
      </c>
      <c r="D929" s="60">
        <f>16.5826 * CHOOSE(CONTROL!$C$22, $C$13, 100%, $E$13)</f>
        <v>16.582599999999999</v>
      </c>
      <c r="E929" s="61">
        <f>19.5138 * CHOOSE(CONTROL!$C$22, $C$13, 100%, $E$13)</f>
        <v>19.5138</v>
      </c>
      <c r="F929" s="61">
        <f>19.5138 * CHOOSE(CONTROL!$C$22, $C$13, 100%, $E$13)</f>
        <v>19.5138</v>
      </c>
      <c r="G929" s="61">
        <f>19.5139 * CHOOSE(CONTROL!$C$22, $C$13, 100%, $E$13)</f>
        <v>19.5139</v>
      </c>
      <c r="H929" s="61">
        <f>31.4548* CHOOSE(CONTROL!$C$22, $C$13, 100%, $E$13)</f>
        <v>31.454799999999999</v>
      </c>
      <c r="I929" s="61">
        <f>31.455 * CHOOSE(CONTROL!$C$22, $C$13, 100%, $E$13)</f>
        <v>31.454999999999998</v>
      </c>
      <c r="J929" s="61">
        <f>19.5138 * CHOOSE(CONTROL!$C$22, $C$13, 100%, $E$13)</f>
        <v>19.5138</v>
      </c>
      <c r="K929" s="61">
        <f>19.5139 * CHOOSE(CONTROL!$C$22, $C$13, 100%, $E$13)</f>
        <v>19.5139</v>
      </c>
    </row>
    <row r="930" spans="1:11" ht="15">
      <c r="A930" s="13">
        <v>70160</v>
      </c>
      <c r="B930" s="60">
        <f>16.567 * CHOOSE(CONTROL!$C$22, $C$13, 100%, $E$13)</f>
        <v>16.567</v>
      </c>
      <c r="C930" s="60">
        <f>16.567 * CHOOSE(CONTROL!$C$22, $C$13, 100%, $E$13)</f>
        <v>16.567</v>
      </c>
      <c r="D930" s="60">
        <f>16.5795 * CHOOSE(CONTROL!$C$22, $C$13, 100%, $E$13)</f>
        <v>16.579499999999999</v>
      </c>
      <c r="E930" s="61">
        <f>19.298 * CHOOSE(CONTROL!$C$22, $C$13, 100%, $E$13)</f>
        <v>19.297999999999998</v>
      </c>
      <c r="F930" s="61">
        <f>19.298 * CHOOSE(CONTROL!$C$22, $C$13, 100%, $E$13)</f>
        <v>19.297999999999998</v>
      </c>
      <c r="G930" s="61">
        <f>19.2982 * CHOOSE(CONTROL!$C$22, $C$13, 100%, $E$13)</f>
        <v>19.298200000000001</v>
      </c>
      <c r="H930" s="61">
        <f>31.5204* CHOOSE(CONTROL!$C$22, $C$13, 100%, $E$13)</f>
        <v>31.520399999999999</v>
      </c>
      <c r="I930" s="61">
        <f>31.5205 * CHOOSE(CONTROL!$C$22, $C$13, 100%, $E$13)</f>
        <v>31.520499999999998</v>
      </c>
      <c r="J930" s="61">
        <f>19.298 * CHOOSE(CONTROL!$C$22, $C$13, 100%, $E$13)</f>
        <v>19.297999999999998</v>
      </c>
      <c r="K930" s="61">
        <f>19.2982 * CHOOSE(CONTROL!$C$22, $C$13, 100%, $E$13)</f>
        <v>19.298200000000001</v>
      </c>
    </row>
    <row r="931" spans="1:11" ht="15">
      <c r="A931" s="13">
        <v>70189</v>
      </c>
      <c r="B931" s="60">
        <f>16.5639 * CHOOSE(CONTROL!$C$22, $C$13, 100%, $E$13)</f>
        <v>16.5639</v>
      </c>
      <c r="C931" s="60">
        <f>16.5639 * CHOOSE(CONTROL!$C$22, $C$13, 100%, $E$13)</f>
        <v>16.5639</v>
      </c>
      <c r="D931" s="60">
        <f>16.5765 * CHOOSE(CONTROL!$C$22, $C$13, 100%, $E$13)</f>
        <v>16.576499999999999</v>
      </c>
      <c r="E931" s="61">
        <f>19.4643 * CHOOSE(CONTROL!$C$22, $C$13, 100%, $E$13)</f>
        <v>19.464300000000001</v>
      </c>
      <c r="F931" s="61">
        <f>19.4643 * CHOOSE(CONTROL!$C$22, $C$13, 100%, $E$13)</f>
        <v>19.464300000000001</v>
      </c>
      <c r="G931" s="61">
        <f>19.4645 * CHOOSE(CONTROL!$C$22, $C$13, 100%, $E$13)</f>
        <v>19.464500000000001</v>
      </c>
      <c r="H931" s="61">
        <f>31.586* CHOOSE(CONTROL!$C$22, $C$13, 100%, $E$13)</f>
        <v>31.585999999999999</v>
      </c>
      <c r="I931" s="61">
        <f>31.5862 * CHOOSE(CONTROL!$C$22, $C$13, 100%, $E$13)</f>
        <v>31.586200000000002</v>
      </c>
      <c r="J931" s="61">
        <f>19.4643 * CHOOSE(CONTROL!$C$22, $C$13, 100%, $E$13)</f>
        <v>19.464300000000001</v>
      </c>
      <c r="K931" s="61">
        <f>19.4645 * CHOOSE(CONTROL!$C$22, $C$13, 100%, $E$13)</f>
        <v>19.464500000000001</v>
      </c>
    </row>
    <row r="932" spans="1:11" ht="15">
      <c r="A932" s="13">
        <v>70220</v>
      </c>
      <c r="B932" s="60">
        <f>16.5723 * CHOOSE(CONTROL!$C$22, $C$13, 100%, $E$13)</f>
        <v>16.572299999999998</v>
      </c>
      <c r="C932" s="60">
        <f>16.5723 * CHOOSE(CONTROL!$C$22, $C$13, 100%, $E$13)</f>
        <v>16.572299999999998</v>
      </c>
      <c r="D932" s="60">
        <f>16.5848 * CHOOSE(CONTROL!$C$22, $C$13, 100%, $E$13)</f>
        <v>16.584800000000001</v>
      </c>
      <c r="E932" s="61">
        <f>19.6409 * CHOOSE(CONTROL!$C$22, $C$13, 100%, $E$13)</f>
        <v>19.640899999999998</v>
      </c>
      <c r="F932" s="61">
        <f>19.6409 * CHOOSE(CONTROL!$C$22, $C$13, 100%, $E$13)</f>
        <v>19.640899999999998</v>
      </c>
      <c r="G932" s="61">
        <f>19.6411 * CHOOSE(CONTROL!$C$22, $C$13, 100%, $E$13)</f>
        <v>19.641100000000002</v>
      </c>
      <c r="H932" s="61">
        <f>31.6518* CHOOSE(CONTROL!$C$22, $C$13, 100%, $E$13)</f>
        <v>31.651800000000001</v>
      </c>
      <c r="I932" s="61">
        <f>31.652 * CHOOSE(CONTROL!$C$22, $C$13, 100%, $E$13)</f>
        <v>31.652000000000001</v>
      </c>
      <c r="J932" s="61">
        <f>19.6409 * CHOOSE(CONTROL!$C$22, $C$13, 100%, $E$13)</f>
        <v>19.640899999999998</v>
      </c>
      <c r="K932" s="61">
        <f>19.6411 * CHOOSE(CONTROL!$C$22, $C$13, 100%, $E$13)</f>
        <v>19.641100000000002</v>
      </c>
    </row>
    <row r="933" spans="1:11" ht="15">
      <c r="A933" s="13">
        <v>70250</v>
      </c>
      <c r="B933" s="60">
        <f>16.5723 * CHOOSE(CONTROL!$C$22, $C$13, 100%, $E$13)</f>
        <v>16.572299999999998</v>
      </c>
      <c r="C933" s="60">
        <f>16.5723 * CHOOSE(CONTROL!$C$22, $C$13, 100%, $E$13)</f>
        <v>16.572299999999998</v>
      </c>
      <c r="D933" s="60">
        <f>16.5974 * CHOOSE(CONTROL!$C$22, $C$13, 100%, $E$13)</f>
        <v>16.5974</v>
      </c>
      <c r="E933" s="61">
        <f>19.7087 * CHOOSE(CONTROL!$C$22, $C$13, 100%, $E$13)</f>
        <v>19.7087</v>
      </c>
      <c r="F933" s="61">
        <f>19.7087 * CHOOSE(CONTROL!$C$22, $C$13, 100%, $E$13)</f>
        <v>19.7087</v>
      </c>
      <c r="G933" s="61">
        <f>19.7103 * CHOOSE(CONTROL!$C$22, $C$13, 100%, $E$13)</f>
        <v>19.7103</v>
      </c>
      <c r="H933" s="61">
        <f>31.7178* CHOOSE(CONTROL!$C$22, $C$13, 100%, $E$13)</f>
        <v>31.7178</v>
      </c>
      <c r="I933" s="61">
        <f>31.7194 * CHOOSE(CONTROL!$C$22, $C$13, 100%, $E$13)</f>
        <v>31.7194</v>
      </c>
      <c r="J933" s="61">
        <f>19.7087 * CHOOSE(CONTROL!$C$22, $C$13, 100%, $E$13)</f>
        <v>19.7087</v>
      </c>
      <c r="K933" s="61">
        <f>19.7103 * CHOOSE(CONTROL!$C$22, $C$13, 100%, $E$13)</f>
        <v>19.7103</v>
      </c>
    </row>
    <row r="934" spans="1:11" ht="15">
      <c r="A934" s="13">
        <v>70281</v>
      </c>
      <c r="B934" s="60">
        <f>16.5784 * CHOOSE(CONTROL!$C$22, $C$13, 100%, $E$13)</f>
        <v>16.578399999999998</v>
      </c>
      <c r="C934" s="60">
        <f>16.5784 * CHOOSE(CONTROL!$C$22, $C$13, 100%, $E$13)</f>
        <v>16.578399999999998</v>
      </c>
      <c r="D934" s="60">
        <f>16.6034 * CHOOSE(CONTROL!$C$22, $C$13, 100%, $E$13)</f>
        <v>16.603400000000001</v>
      </c>
      <c r="E934" s="61">
        <f>19.6452 * CHOOSE(CONTROL!$C$22, $C$13, 100%, $E$13)</f>
        <v>19.645199999999999</v>
      </c>
      <c r="F934" s="61">
        <f>19.6452 * CHOOSE(CONTROL!$C$22, $C$13, 100%, $E$13)</f>
        <v>19.645199999999999</v>
      </c>
      <c r="G934" s="61">
        <f>19.6468 * CHOOSE(CONTROL!$C$22, $C$13, 100%, $E$13)</f>
        <v>19.646799999999999</v>
      </c>
      <c r="H934" s="61">
        <f>31.7838* CHOOSE(CONTROL!$C$22, $C$13, 100%, $E$13)</f>
        <v>31.783799999999999</v>
      </c>
      <c r="I934" s="61">
        <f>31.7854 * CHOOSE(CONTROL!$C$22, $C$13, 100%, $E$13)</f>
        <v>31.785399999999999</v>
      </c>
      <c r="J934" s="61">
        <f>19.6452 * CHOOSE(CONTROL!$C$22, $C$13, 100%, $E$13)</f>
        <v>19.645199999999999</v>
      </c>
      <c r="K934" s="61">
        <f>19.6468 * CHOOSE(CONTROL!$C$22, $C$13, 100%, $E$13)</f>
        <v>19.646799999999999</v>
      </c>
    </row>
    <row r="935" spans="1:11" ht="15">
      <c r="A935" s="13">
        <v>70311</v>
      </c>
      <c r="B935" s="60">
        <f>16.837 * CHOOSE(CONTROL!$C$22, $C$13, 100%, $E$13)</f>
        <v>16.837</v>
      </c>
      <c r="C935" s="60">
        <f>16.837 * CHOOSE(CONTROL!$C$22, $C$13, 100%, $E$13)</f>
        <v>16.837</v>
      </c>
      <c r="D935" s="60">
        <f>16.862 * CHOOSE(CONTROL!$C$22, $C$13, 100%, $E$13)</f>
        <v>16.861999999999998</v>
      </c>
      <c r="E935" s="61">
        <f>20.0177 * CHOOSE(CONTROL!$C$22, $C$13, 100%, $E$13)</f>
        <v>20.017700000000001</v>
      </c>
      <c r="F935" s="61">
        <f>20.0177 * CHOOSE(CONTROL!$C$22, $C$13, 100%, $E$13)</f>
        <v>20.017700000000001</v>
      </c>
      <c r="G935" s="61">
        <f>20.0193 * CHOOSE(CONTROL!$C$22, $C$13, 100%, $E$13)</f>
        <v>20.019300000000001</v>
      </c>
      <c r="H935" s="61">
        <f>31.8501* CHOOSE(CONTROL!$C$22, $C$13, 100%, $E$13)</f>
        <v>31.850100000000001</v>
      </c>
      <c r="I935" s="61">
        <f>31.8517 * CHOOSE(CONTROL!$C$22, $C$13, 100%, $E$13)</f>
        <v>31.851700000000001</v>
      </c>
      <c r="J935" s="61">
        <f>20.0177 * CHOOSE(CONTROL!$C$22, $C$13, 100%, $E$13)</f>
        <v>20.017700000000001</v>
      </c>
      <c r="K935" s="61">
        <f>20.0193 * CHOOSE(CONTROL!$C$22, $C$13, 100%, $E$13)</f>
        <v>20.019300000000001</v>
      </c>
    </row>
    <row r="936" spans="1:11" ht="15">
      <c r="A936" s="13">
        <v>70342</v>
      </c>
      <c r="B936" s="60">
        <f>16.8436 * CHOOSE(CONTROL!$C$22, $C$13, 100%, $E$13)</f>
        <v>16.843599999999999</v>
      </c>
      <c r="C936" s="60">
        <f>16.8436 * CHOOSE(CONTROL!$C$22, $C$13, 100%, $E$13)</f>
        <v>16.843599999999999</v>
      </c>
      <c r="D936" s="60">
        <f>16.8687 * CHOOSE(CONTROL!$C$22, $C$13, 100%, $E$13)</f>
        <v>16.8687</v>
      </c>
      <c r="E936" s="61">
        <f>19.8189 * CHOOSE(CONTROL!$C$22, $C$13, 100%, $E$13)</f>
        <v>19.818899999999999</v>
      </c>
      <c r="F936" s="61">
        <f>19.8189 * CHOOSE(CONTROL!$C$22, $C$13, 100%, $E$13)</f>
        <v>19.818899999999999</v>
      </c>
      <c r="G936" s="61">
        <f>19.8205 * CHOOSE(CONTROL!$C$22, $C$13, 100%, $E$13)</f>
        <v>19.820499999999999</v>
      </c>
      <c r="H936" s="61">
        <f>31.9164* CHOOSE(CONTROL!$C$22, $C$13, 100%, $E$13)</f>
        <v>31.916399999999999</v>
      </c>
      <c r="I936" s="61">
        <f>31.918 * CHOOSE(CONTROL!$C$22, $C$13, 100%, $E$13)</f>
        <v>31.917999999999999</v>
      </c>
      <c r="J936" s="61">
        <f>19.8189 * CHOOSE(CONTROL!$C$22, $C$13, 100%, $E$13)</f>
        <v>19.818899999999999</v>
      </c>
      <c r="K936" s="61">
        <f>19.8205 * CHOOSE(CONTROL!$C$22, $C$13, 100%, $E$13)</f>
        <v>19.820499999999999</v>
      </c>
    </row>
    <row r="937" spans="1:11" ht="15">
      <c r="A937" s="13">
        <v>70373</v>
      </c>
      <c r="B937" s="60">
        <f>16.8406 * CHOOSE(CONTROL!$C$22, $C$13, 100%, $E$13)</f>
        <v>16.840599999999998</v>
      </c>
      <c r="C937" s="60">
        <f>16.8406 * CHOOSE(CONTROL!$C$22, $C$13, 100%, $E$13)</f>
        <v>16.840599999999998</v>
      </c>
      <c r="D937" s="60">
        <f>16.8657 * CHOOSE(CONTROL!$C$22, $C$13, 100%, $E$13)</f>
        <v>16.8657</v>
      </c>
      <c r="E937" s="61">
        <f>19.7941 * CHOOSE(CONTROL!$C$22, $C$13, 100%, $E$13)</f>
        <v>19.7941</v>
      </c>
      <c r="F937" s="61">
        <f>19.7941 * CHOOSE(CONTROL!$C$22, $C$13, 100%, $E$13)</f>
        <v>19.7941</v>
      </c>
      <c r="G937" s="61">
        <f>19.7957 * CHOOSE(CONTROL!$C$22, $C$13, 100%, $E$13)</f>
        <v>19.7957</v>
      </c>
      <c r="H937" s="61">
        <f>31.9829* CHOOSE(CONTROL!$C$22, $C$13, 100%, $E$13)</f>
        <v>31.982900000000001</v>
      </c>
      <c r="I937" s="61">
        <f>31.9845 * CHOOSE(CONTROL!$C$22, $C$13, 100%, $E$13)</f>
        <v>31.984500000000001</v>
      </c>
      <c r="J937" s="61">
        <f>19.7941 * CHOOSE(CONTROL!$C$22, $C$13, 100%, $E$13)</f>
        <v>19.7941</v>
      </c>
      <c r="K937" s="61">
        <f>19.7957 * CHOOSE(CONTROL!$C$22, $C$13, 100%, $E$13)</f>
        <v>19.7957</v>
      </c>
    </row>
    <row r="938" spans="1:11" ht="15">
      <c r="A938" s="13">
        <v>70403</v>
      </c>
      <c r="B938" s="60">
        <f>16.8777 * CHOOSE(CONTROL!$C$22, $C$13, 100%, $E$13)</f>
        <v>16.877700000000001</v>
      </c>
      <c r="C938" s="60">
        <f>16.8777 * CHOOSE(CONTROL!$C$22, $C$13, 100%, $E$13)</f>
        <v>16.877700000000001</v>
      </c>
      <c r="D938" s="60">
        <f>16.8902 * CHOOSE(CONTROL!$C$22, $C$13, 100%, $E$13)</f>
        <v>16.8902</v>
      </c>
      <c r="E938" s="61">
        <f>19.8711 * CHOOSE(CONTROL!$C$22, $C$13, 100%, $E$13)</f>
        <v>19.871099999999998</v>
      </c>
      <c r="F938" s="61">
        <f>19.8711 * CHOOSE(CONTROL!$C$22, $C$13, 100%, $E$13)</f>
        <v>19.871099999999998</v>
      </c>
      <c r="G938" s="61">
        <f>19.8713 * CHOOSE(CONTROL!$C$22, $C$13, 100%, $E$13)</f>
        <v>19.871300000000002</v>
      </c>
      <c r="H938" s="61">
        <f>32.0495* CHOOSE(CONTROL!$C$22, $C$13, 100%, $E$13)</f>
        <v>32.049500000000002</v>
      </c>
      <c r="I938" s="61">
        <f>32.0497 * CHOOSE(CONTROL!$C$22, $C$13, 100%, $E$13)</f>
        <v>32.049700000000001</v>
      </c>
      <c r="J938" s="61">
        <f>19.8711 * CHOOSE(CONTROL!$C$22, $C$13, 100%, $E$13)</f>
        <v>19.871099999999998</v>
      </c>
      <c r="K938" s="61">
        <f>19.8713 * CHOOSE(CONTROL!$C$22, $C$13, 100%, $E$13)</f>
        <v>19.871300000000002</v>
      </c>
    </row>
    <row r="939" spans="1:11" ht="15">
      <c r="A939" s="13">
        <v>70434</v>
      </c>
      <c r="B939" s="60">
        <f>16.8807 * CHOOSE(CONTROL!$C$22, $C$13, 100%, $E$13)</f>
        <v>16.880700000000001</v>
      </c>
      <c r="C939" s="60">
        <f>16.8807 * CHOOSE(CONTROL!$C$22, $C$13, 100%, $E$13)</f>
        <v>16.880700000000001</v>
      </c>
      <c r="D939" s="60">
        <f>16.8932 * CHOOSE(CONTROL!$C$22, $C$13, 100%, $E$13)</f>
        <v>16.8932</v>
      </c>
      <c r="E939" s="61">
        <f>19.9185 * CHOOSE(CONTROL!$C$22, $C$13, 100%, $E$13)</f>
        <v>19.918500000000002</v>
      </c>
      <c r="F939" s="61">
        <f>19.9185 * CHOOSE(CONTROL!$C$22, $C$13, 100%, $E$13)</f>
        <v>19.918500000000002</v>
      </c>
      <c r="G939" s="61">
        <f>19.9187 * CHOOSE(CONTROL!$C$22, $C$13, 100%, $E$13)</f>
        <v>19.918700000000001</v>
      </c>
      <c r="H939" s="61">
        <f>32.1163* CHOOSE(CONTROL!$C$22, $C$13, 100%, $E$13)</f>
        <v>32.116300000000003</v>
      </c>
      <c r="I939" s="61">
        <f>32.1165 * CHOOSE(CONTROL!$C$22, $C$13, 100%, $E$13)</f>
        <v>32.116500000000002</v>
      </c>
      <c r="J939" s="61">
        <f>19.9185 * CHOOSE(CONTROL!$C$22, $C$13, 100%, $E$13)</f>
        <v>19.918500000000002</v>
      </c>
      <c r="K939" s="61">
        <f>19.9187 * CHOOSE(CONTROL!$C$22, $C$13, 100%, $E$13)</f>
        <v>19.918700000000001</v>
      </c>
    </row>
    <row r="940" spans="1:11" ht="15">
      <c r="A940" s="13">
        <v>70464</v>
      </c>
      <c r="B940" s="60">
        <f>16.8807 * CHOOSE(CONTROL!$C$22, $C$13, 100%, $E$13)</f>
        <v>16.880700000000001</v>
      </c>
      <c r="C940" s="60">
        <f>16.8807 * CHOOSE(CONTROL!$C$22, $C$13, 100%, $E$13)</f>
        <v>16.880700000000001</v>
      </c>
      <c r="D940" s="60">
        <f>16.8932 * CHOOSE(CONTROL!$C$22, $C$13, 100%, $E$13)</f>
        <v>16.8932</v>
      </c>
      <c r="E940" s="61">
        <f>19.8054 * CHOOSE(CONTROL!$C$22, $C$13, 100%, $E$13)</f>
        <v>19.805399999999999</v>
      </c>
      <c r="F940" s="61">
        <f>19.8054 * CHOOSE(CONTROL!$C$22, $C$13, 100%, $E$13)</f>
        <v>19.805399999999999</v>
      </c>
      <c r="G940" s="61">
        <f>19.8056 * CHOOSE(CONTROL!$C$22, $C$13, 100%, $E$13)</f>
        <v>19.805599999999998</v>
      </c>
      <c r="H940" s="61">
        <f>32.1832* CHOOSE(CONTROL!$C$22, $C$13, 100%, $E$13)</f>
        <v>32.183199999999999</v>
      </c>
      <c r="I940" s="61">
        <f>32.1834 * CHOOSE(CONTROL!$C$22, $C$13, 100%, $E$13)</f>
        <v>32.183399999999999</v>
      </c>
      <c r="J940" s="61">
        <f>19.8054 * CHOOSE(CONTROL!$C$22, $C$13, 100%, $E$13)</f>
        <v>19.805399999999999</v>
      </c>
      <c r="K940" s="61">
        <f>19.8056 * CHOOSE(CONTROL!$C$22, $C$13, 100%, $E$13)</f>
        <v>19.805599999999998</v>
      </c>
    </row>
    <row r="941" spans="1:11" ht="15">
      <c r="A941" s="13">
        <v>70495</v>
      </c>
      <c r="B941" s="60">
        <f>16.8153 * CHOOSE(CONTROL!$C$22, $C$13, 100%, $E$13)</f>
        <v>16.815300000000001</v>
      </c>
      <c r="C941" s="60">
        <f>16.8153 * CHOOSE(CONTROL!$C$22, $C$13, 100%, $E$13)</f>
        <v>16.815300000000001</v>
      </c>
      <c r="D941" s="60">
        <f>16.8279 * CHOOSE(CONTROL!$C$22, $C$13, 100%, $E$13)</f>
        <v>16.8279</v>
      </c>
      <c r="E941" s="61">
        <f>19.8062 * CHOOSE(CONTROL!$C$22, $C$13, 100%, $E$13)</f>
        <v>19.8062</v>
      </c>
      <c r="F941" s="61">
        <f>19.8062 * CHOOSE(CONTROL!$C$22, $C$13, 100%, $E$13)</f>
        <v>19.8062</v>
      </c>
      <c r="G941" s="61">
        <f>19.8064 * CHOOSE(CONTROL!$C$22, $C$13, 100%, $E$13)</f>
        <v>19.8064</v>
      </c>
      <c r="H941" s="61">
        <f>31.9007* CHOOSE(CONTROL!$C$22, $C$13, 100%, $E$13)</f>
        <v>31.900700000000001</v>
      </c>
      <c r="I941" s="61">
        <f>31.9009 * CHOOSE(CONTROL!$C$22, $C$13, 100%, $E$13)</f>
        <v>31.9009</v>
      </c>
      <c r="J941" s="61">
        <f>19.8062 * CHOOSE(CONTROL!$C$22, $C$13, 100%, $E$13)</f>
        <v>19.8062</v>
      </c>
      <c r="K941" s="61">
        <f>19.8064 * CHOOSE(CONTROL!$C$22, $C$13, 100%, $E$13)</f>
        <v>19.8064</v>
      </c>
    </row>
    <row r="942" spans="1:11" ht="15">
      <c r="A942" s="13">
        <v>70526</v>
      </c>
      <c r="B942" s="60">
        <f>16.8123 * CHOOSE(CONTROL!$C$22, $C$13, 100%, $E$13)</f>
        <v>16.8123</v>
      </c>
      <c r="C942" s="60">
        <f>16.8123 * CHOOSE(CONTROL!$C$22, $C$13, 100%, $E$13)</f>
        <v>16.8123</v>
      </c>
      <c r="D942" s="60">
        <f>16.8248 * CHOOSE(CONTROL!$C$22, $C$13, 100%, $E$13)</f>
        <v>16.8248</v>
      </c>
      <c r="E942" s="61">
        <f>19.5872 * CHOOSE(CONTROL!$C$22, $C$13, 100%, $E$13)</f>
        <v>19.587199999999999</v>
      </c>
      <c r="F942" s="61">
        <f>19.5872 * CHOOSE(CONTROL!$C$22, $C$13, 100%, $E$13)</f>
        <v>19.587199999999999</v>
      </c>
      <c r="G942" s="61">
        <f>19.5874 * CHOOSE(CONTROL!$C$22, $C$13, 100%, $E$13)</f>
        <v>19.587399999999999</v>
      </c>
      <c r="H942" s="61">
        <f>31.9672* CHOOSE(CONTROL!$C$22, $C$13, 100%, $E$13)</f>
        <v>31.967199999999998</v>
      </c>
      <c r="I942" s="61">
        <f>31.9674 * CHOOSE(CONTROL!$C$22, $C$13, 100%, $E$13)</f>
        <v>31.967400000000001</v>
      </c>
      <c r="J942" s="61">
        <f>19.5872 * CHOOSE(CONTROL!$C$22, $C$13, 100%, $E$13)</f>
        <v>19.587199999999999</v>
      </c>
      <c r="K942" s="61">
        <f>19.5874 * CHOOSE(CONTROL!$C$22, $C$13, 100%, $E$13)</f>
        <v>19.587399999999999</v>
      </c>
    </row>
    <row r="943" spans="1:11" ht="15">
      <c r="A943" s="13">
        <v>70554</v>
      </c>
      <c r="B943" s="60">
        <f>16.8092 * CHOOSE(CONTROL!$C$22, $C$13, 100%, $E$13)</f>
        <v>16.809200000000001</v>
      </c>
      <c r="C943" s="60">
        <f>16.8092 * CHOOSE(CONTROL!$C$22, $C$13, 100%, $E$13)</f>
        <v>16.809200000000001</v>
      </c>
      <c r="D943" s="60">
        <f>16.8218 * CHOOSE(CONTROL!$C$22, $C$13, 100%, $E$13)</f>
        <v>16.8218</v>
      </c>
      <c r="E943" s="61">
        <f>19.756 * CHOOSE(CONTROL!$C$22, $C$13, 100%, $E$13)</f>
        <v>19.756</v>
      </c>
      <c r="F943" s="61">
        <f>19.756 * CHOOSE(CONTROL!$C$22, $C$13, 100%, $E$13)</f>
        <v>19.756</v>
      </c>
      <c r="G943" s="61">
        <f>19.7562 * CHOOSE(CONTROL!$C$22, $C$13, 100%, $E$13)</f>
        <v>19.7562</v>
      </c>
      <c r="H943" s="61">
        <f>32.0338* CHOOSE(CONTROL!$C$22, $C$13, 100%, $E$13)</f>
        <v>32.033799999999999</v>
      </c>
      <c r="I943" s="61">
        <f>32.034 * CHOOSE(CONTROL!$C$22, $C$13, 100%, $E$13)</f>
        <v>32.033999999999999</v>
      </c>
      <c r="J943" s="61">
        <f>19.756 * CHOOSE(CONTROL!$C$22, $C$13, 100%, $E$13)</f>
        <v>19.756</v>
      </c>
      <c r="K943" s="61">
        <f>19.7562 * CHOOSE(CONTROL!$C$22, $C$13, 100%, $E$13)</f>
        <v>19.7562</v>
      </c>
    </row>
    <row r="944" spans="1:11" ht="15">
      <c r="A944" s="13">
        <v>70585</v>
      </c>
      <c r="B944" s="60">
        <f>16.8178 * CHOOSE(CONTROL!$C$22, $C$13, 100%, $E$13)</f>
        <v>16.817799999999998</v>
      </c>
      <c r="C944" s="60">
        <f>16.8178 * CHOOSE(CONTROL!$C$22, $C$13, 100%, $E$13)</f>
        <v>16.817799999999998</v>
      </c>
      <c r="D944" s="60">
        <f>16.8303 * CHOOSE(CONTROL!$C$22, $C$13, 100%, $E$13)</f>
        <v>16.830300000000001</v>
      </c>
      <c r="E944" s="61">
        <f>19.9354 * CHOOSE(CONTROL!$C$22, $C$13, 100%, $E$13)</f>
        <v>19.935400000000001</v>
      </c>
      <c r="F944" s="61">
        <f>19.9354 * CHOOSE(CONTROL!$C$22, $C$13, 100%, $E$13)</f>
        <v>19.935400000000001</v>
      </c>
      <c r="G944" s="61">
        <f>19.9356 * CHOOSE(CONTROL!$C$22, $C$13, 100%, $E$13)</f>
        <v>19.935600000000001</v>
      </c>
      <c r="H944" s="61">
        <f>32.1005* CHOOSE(CONTROL!$C$22, $C$13, 100%, $E$13)</f>
        <v>32.100499999999997</v>
      </c>
      <c r="I944" s="61">
        <f>32.1007 * CHOOSE(CONTROL!$C$22, $C$13, 100%, $E$13)</f>
        <v>32.100700000000003</v>
      </c>
      <c r="J944" s="61">
        <f>19.9354 * CHOOSE(CONTROL!$C$22, $C$13, 100%, $E$13)</f>
        <v>19.935400000000001</v>
      </c>
      <c r="K944" s="61">
        <f>19.9356 * CHOOSE(CONTROL!$C$22, $C$13, 100%, $E$13)</f>
        <v>19.935600000000001</v>
      </c>
    </row>
    <row r="945" spans="1:11" ht="15">
      <c r="A945" s="13">
        <v>70615</v>
      </c>
      <c r="B945" s="60">
        <f>16.8178 * CHOOSE(CONTROL!$C$22, $C$13, 100%, $E$13)</f>
        <v>16.817799999999998</v>
      </c>
      <c r="C945" s="60">
        <f>16.8178 * CHOOSE(CONTROL!$C$22, $C$13, 100%, $E$13)</f>
        <v>16.817799999999998</v>
      </c>
      <c r="D945" s="60">
        <f>16.8429 * CHOOSE(CONTROL!$C$22, $C$13, 100%, $E$13)</f>
        <v>16.8429</v>
      </c>
      <c r="E945" s="61">
        <f>20.0042 * CHOOSE(CONTROL!$C$22, $C$13, 100%, $E$13)</f>
        <v>20.004200000000001</v>
      </c>
      <c r="F945" s="61">
        <f>20.0042 * CHOOSE(CONTROL!$C$22, $C$13, 100%, $E$13)</f>
        <v>20.004200000000001</v>
      </c>
      <c r="G945" s="61">
        <f>20.0058 * CHOOSE(CONTROL!$C$22, $C$13, 100%, $E$13)</f>
        <v>20.005800000000001</v>
      </c>
      <c r="H945" s="61">
        <f>32.1674* CHOOSE(CONTROL!$C$22, $C$13, 100%, $E$13)</f>
        <v>32.167400000000001</v>
      </c>
      <c r="I945" s="61">
        <f>32.169 * CHOOSE(CONTROL!$C$22, $C$13, 100%, $E$13)</f>
        <v>32.168999999999997</v>
      </c>
      <c r="J945" s="61">
        <f>20.0042 * CHOOSE(CONTROL!$C$22, $C$13, 100%, $E$13)</f>
        <v>20.004200000000001</v>
      </c>
      <c r="K945" s="61">
        <f>20.0058 * CHOOSE(CONTROL!$C$22, $C$13, 100%, $E$13)</f>
        <v>20.005800000000001</v>
      </c>
    </row>
    <row r="946" spans="1:11" ht="15">
      <c r="A946" s="13">
        <v>70646</v>
      </c>
      <c r="B946" s="60">
        <f>16.8239 * CHOOSE(CONTROL!$C$22, $C$13, 100%, $E$13)</f>
        <v>16.823899999999998</v>
      </c>
      <c r="C946" s="60">
        <f>16.8239 * CHOOSE(CONTROL!$C$22, $C$13, 100%, $E$13)</f>
        <v>16.823899999999998</v>
      </c>
      <c r="D946" s="60">
        <f>16.849 * CHOOSE(CONTROL!$C$22, $C$13, 100%, $E$13)</f>
        <v>16.849</v>
      </c>
      <c r="E946" s="61">
        <f>19.9396 * CHOOSE(CONTROL!$C$22, $C$13, 100%, $E$13)</f>
        <v>19.939599999999999</v>
      </c>
      <c r="F946" s="61">
        <f>19.9396 * CHOOSE(CONTROL!$C$22, $C$13, 100%, $E$13)</f>
        <v>19.939599999999999</v>
      </c>
      <c r="G946" s="61">
        <f>19.9412 * CHOOSE(CONTROL!$C$22, $C$13, 100%, $E$13)</f>
        <v>19.941199999999998</v>
      </c>
      <c r="H946" s="61">
        <f>32.2344* CHOOSE(CONTROL!$C$22, $C$13, 100%, $E$13)</f>
        <v>32.234400000000001</v>
      </c>
      <c r="I946" s="61">
        <f>32.236 * CHOOSE(CONTROL!$C$22, $C$13, 100%, $E$13)</f>
        <v>32.235999999999997</v>
      </c>
      <c r="J946" s="61">
        <f>19.9396 * CHOOSE(CONTROL!$C$22, $C$13, 100%, $E$13)</f>
        <v>19.939599999999999</v>
      </c>
      <c r="K946" s="61">
        <f>19.9412 * CHOOSE(CONTROL!$C$22, $C$13, 100%, $E$13)</f>
        <v>19.941199999999998</v>
      </c>
    </row>
    <row r="947" spans="1:11" ht="15">
      <c r="A947" s="13">
        <v>70676</v>
      </c>
      <c r="B947" s="60">
        <f>17.0862 * CHOOSE(CONTROL!$C$22, $C$13, 100%, $E$13)</f>
        <v>17.086200000000002</v>
      </c>
      <c r="C947" s="60">
        <f>17.0862 * CHOOSE(CONTROL!$C$22, $C$13, 100%, $E$13)</f>
        <v>17.086200000000002</v>
      </c>
      <c r="D947" s="60">
        <f>17.1113 * CHOOSE(CONTROL!$C$22, $C$13, 100%, $E$13)</f>
        <v>17.1113</v>
      </c>
      <c r="E947" s="61">
        <f>20.3175 * CHOOSE(CONTROL!$C$22, $C$13, 100%, $E$13)</f>
        <v>20.317499999999999</v>
      </c>
      <c r="F947" s="61">
        <f>20.3175 * CHOOSE(CONTROL!$C$22, $C$13, 100%, $E$13)</f>
        <v>20.317499999999999</v>
      </c>
      <c r="G947" s="61">
        <f>20.3191 * CHOOSE(CONTROL!$C$22, $C$13, 100%, $E$13)</f>
        <v>20.319099999999999</v>
      </c>
      <c r="H947" s="61">
        <f>32.3016* CHOOSE(CONTROL!$C$22, $C$13, 100%, $E$13)</f>
        <v>32.301600000000001</v>
      </c>
      <c r="I947" s="61">
        <f>32.3032 * CHOOSE(CONTROL!$C$22, $C$13, 100%, $E$13)</f>
        <v>32.303199999999997</v>
      </c>
      <c r="J947" s="61">
        <f>20.3175 * CHOOSE(CONTROL!$C$22, $C$13, 100%, $E$13)</f>
        <v>20.317499999999999</v>
      </c>
      <c r="K947" s="61">
        <f>20.3191 * CHOOSE(CONTROL!$C$22, $C$13, 100%, $E$13)</f>
        <v>20.319099999999999</v>
      </c>
    </row>
    <row r="948" spans="1:11" ht="15">
      <c r="A948" s="13">
        <v>70707</v>
      </c>
      <c r="B948" s="60">
        <f>17.0929 * CHOOSE(CONTROL!$C$22, $C$13, 100%, $E$13)</f>
        <v>17.0929</v>
      </c>
      <c r="C948" s="60">
        <f>17.0929 * CHOOSE(CONTROL!$C$22, $C$13, 100%, $E$13)</f>
        <v>17.0929</v>
      </c>
      <c r="D948" s="60">
        <f>17.1179 * CHOOSE(CONTROL!$C$22, $C$13, 100%, $E$13)</f>
        <v>17.117899999999999</v>
      </c>
      <c r="E948" s="61">
        <f>20.1157 * CHOOSE(CONTROL!$C$22, $C$13, 100%, $E$13)</f>
        <v>20.1157</v>
      </c>
      <c r="F948" s="61">
        <f>20.1157 * CHOOSE(CONTROL!$C$22, $C$13, 100%, $E$13)</f>
        <v>20.1157</v>
      </c>
      <c r="G948" s="61">
        <f>20.1173 * CHOOSE(CONTROL!$C$22, $C$13, 100%, $E$13)</f>
        <v>20.1173</v>
      </c>
      <c r="H948" s="61">
        <f>32.3689* CHOOSE(CONTROL!$C$22, $C$13, 100%, $E$13)</f>
        <v>32.368899999999996</v>
      </c>
      <c r="I948" s="61">
        <f>32.3705 * CHOOSE(CONTROL!$C$22, $C$13, 100%, $E$13)</f>
        <v>32.3705</v>
      </c>
      <c r="J948" s="61">
        <f>20.1157 * CHOOSE(CONTROL!$C$22, $C$13, 100%, $E$13)</f>
        <v>20.1157</v>
      </c>
      <c r="K948" s="61">
        <f>20.1173 * CHOOSE(CONTROL!$C$22, $C$13, 100%, $E$13)</f>
        <v>20.1173</v>
      </c>
    </row>
    <row r="949" spans="1:11" ht="15">
      <c r="A949" s="13">
        <v>70738</v>
      </c>
      <c r="B949" s="60">
        <f>17.0898 * CHOOSE(CONTROL!$C$22, $C$13, 100%, $E$13)</f>
        <v>17.0898</v>
      </c>
      <c r="C949" s="60">
        <f>17.0898 * CHOOSE(CONTROL!$C$22, $C$13, 100%, $E$13)</f>
        <v>17.0898</v>
      </c>
      <c r="D949" s="60">
        <f>17.1149 * CHOOSE(CONTROL!$C$22, $C$13, 100%, $E$13)</f>
        <v>17.114899999999999</v>
      </c>
      <c r="E949" s="61">
        <f>20.0906 * CHOOSE(CONTROL!$C$22, $C$13, 100%, $E$13)</f>
        <v>20.090599999999998</v>
      </c>
      <c r="F949" s="61">
        <f>20.0906 * CHOOSE(CONTROL!$C$22, $C$13, 100%, $E$13)</f>
        <v>20.090599999999998</v>
      </c>
      <c r="G949" s="61">
        <f>20.0922 * CHOOSE(CONTROL!$C$22, $C$13, 100%, $E$13)</f>
        <v>20.092199999999998</v>
      </c>
      <c r="H949" s="61">
        <f>32.4363* CHOOSE(CONTROL!$C$22, $C$13, 100%, $E$13)</f>
        <v>32.436300000000003</v>
      </c>
      <c r="I949" s="61">
        <f>32.4379 * CHOOSE(CONTROL!$C$22, $C$13, 100%, $E$13)</f>
        <v>32.437899999999999</v>
      </c>
      <c r="J949" s="61">
        <f>20.0906 * CHOOSE(CONTROL!$C$22, $C$13, 100%, $E$13)</f>
        <v>20.090599999999998</v>
      </c>
      <c r="K949" s="61">
        <f>20.0922 * CHOOSE(CONTROL!$C$22, $C$13, 100%, $E$13)</f>
        <v>20.092199999999998</v>
      </c>
    </row>
    <row r="950" spans="1:11" ht="15">
      <c r="A950" s="13">
        <v>70768</v>
      </c>
      <c r="B950" s="60">
        <f>17.1277 * CHOOSE(CONTROL!$C$22, $C$13, 100%, $E$13)</f>
        <v>17.127700000000001</v>
      </c>
      <c r="C950" s="60">
        <f>17.1277 * CHOOSE(CONTROL!$C$22, $C$13, 100%, $E$13)</f>
        <v>17.127700000000001</v>
      </c>
      <c r="D950" s="60">
        <f>17.1402 * CHOOSE(CONTROL!$C$22, $C$13, 100%, $E$13)</f>
        <v>17.1402</v>
      </c>
      <c r="E950" s="61">
        <f>20.169 * CHOOSE(CONTROL!$C$22, $C$13, 100%, $E$13)</f>
        <v>20.169</v>
      </c>
      <c r="F950" s="61">
        <f>20.169 * CHOOSE(CONTROL!$C$22, $C$13, 100%, $E$13)</f>
        <v>20.169</v>
      </c>
      <c r="G950" s="61">
        <f>20.1692 * CHOOSE(CONTROL!$C$22, $C$13, 100%, $E$13)</f>
        <v>20.1692</v>
      </c>
      <c r="H950" s="61">
        <f>32.5039* CHOOSE(CONTROL!$C$22, $C$13, 100%, $E$13)</f>
        <v>32.503900000000002</v>
      </c>
      <c r="I950" s="61">
        <f>32.504 * CHOOSE(CONTROL!$C$22, $C$13, 100%, $E$13)</f>
        <v>32.503999999999998</v>
      </c>
      <c r="J950" s="61">
        <f>20.169 * CHOOSE(CONTROL!$C$22, $C$13, 100%, $E$13)</f>
        <v>20.169</v>
      </c>
      <c r="K950" s="61">
        <f>20.1692 * CHOOSE(CONTROL!$C$22, $C$13, 100%, $E$13)</f>
        <v>20.1692</v>
      </c>
    </row>
    <row r="951" spans="1:11" ht="15">
      <c r="A951" s="13">
        <v>70799</v>
      </c>
      <c r="B951" s="60">
        <f>17.1307 * CHOOSE(CONTROL!$C$22, $C$13, 100%, $E$13)</f>
        <v>17.130700000000001</v>
      </c>
      <c r="C951" s="60">
        <f>17.1307 * CHOOSE(CONTROL!$C$22, $C$13, 100%, $E$13)</f>
        <v>17.130700000000001</v>
      </c>
      <c r="D951" s="60">
        <f>17.1433 * CHOOSE(CONTROL!$C$22, $C$13, 100%, $E$13)</f>
        <v>17.1433</v>
      </c>
      <c r="E951" s="61">
        <f>20.217 * CHOOSE(CONTROL!$C$22, $C$13, 100%, $E$13)</f>
        <v>20.216999999999999</v>
      </c>
      <c r="F951" s="61">
        <f>20.217 * CHOOSE(CONTROL!$C$22, $C$13, 100%, $E$13)</f>
        <v>20.216999999999999</v>
      </c>
      <c r="G951" s="61">
        <f>20.2172 * CHOOSE(CONTROL!$C$22, $C$13, 100%, $E$13)</f>
        <v>20.217199999999998</v>
      </c>
      <c r="H951" s="61">
        <f>32.5716* CHOOSE(CONTROL!$C$22, $C$13, 100%, $E$13)</f>
        <v>32.571599999999997</v>
      </c>
      <c r="I951" s="61">
        <f>32.5718 * CHOOSE(CONTROL!$C$22, $C$13, 100%, $E$13)</f>
        <v>32.571800000000003</v>
      </c>
      <c r="J951" s="61">
        <f>20.217 * CHOOSE(CONTROL!$C$22, $C$13, 100%, $E$13)</f>
        <v>20.216999999999999</v>
      </c>
      <c r="K951" s="61">
        <f>20.2172 * CHOOSE(CONTROL!$C$22, $C$13, 100%, $E$13)</f>
        <v>20.217199999999998</v>
      </c>
    </row>
    <row r="952" spans="1:11" ht="15">
      <c r="A952" s="13">
        <v>70829</v>
      </c>
      <c r="B952" s="60">
        <f>17.1307 * CHOOSE(CONTROL!$C$22, $C$13, 100%, $E$13)</f>
        <v>17.130700000000001</v>
      </c>
      <c r="C952" s="60">
        <f>17.1307 * CHOOSE(CONTROL!$C$22, $C$13, 100%, $E$13)</f>
        <v>17.130700000000001</v>
      </c>
      <c r="D952" s="60">
        <f>17.1433 * CHOOSE(CONTROL!$C$22, $C$13, 100%, $E$13)</f>
        <v>17.1433</v>
      </c>
      <c r="E952" s="61">
        <f>20.1023 * CHOOSE(CONTROL!$C$22, $C$13, 100%, $E$13)</f>
        <v>20.1023</v>
      </c>
      <c r="F952" s="61">
        <f>20.1023 * CHOOSE(CONTROL!$C$22, $C$13, 100%, $E$13)</f>
        <v>20.1023</v>
      </c>
      <c r="G952" s="61">
        <f>20.1024 * CHOOSE(CONTROL!$C$22, $C$13, 100%, $E$13)</f>
        <v>20.102399999999999</v>
      </c>
      <c r="H952" s="61">
        <f>32.6394* CHOOSE(CONTROL!$C$22, $C$13, 100%, $E$13)</f>
        <v>32.639400000000002</v>
      </c>
      <c r="I952" s="61">
        <f>32.6396 * CHOOSE(CONTROL!$C$22, $C$13, 100%, $E$13)</f>
        <v>32.639600000000002</v>
      </c>
      <c r="J952" s="61">
        <f>20.1023 * CHOOSE(CONTROL!$C$22, $C$13, 100%, $E$13)</f>
        <v>20.1023</v>
      </c>
      <c r="K952" s="61">
        <f>20.1024 * CHOOSE(CONTROL!$C$22, $C$13, 100%, $E$13)</f>
        <v>20.102399999999999</v>
      </c>
    </row>
    <row r="953" spans="1:11" ht="15">
      <c r="A953" s="13">
        <v>70860</v>
      </c>
      <c r="B953" s="60">
        <f>17.0606 * CHOOSE(CONTROL!$C$22, $C$13, 100%, $E$13)</f>
        <v>17.060600000000001</v>
      </c>
      <c r="C953" s="60">
        <f>17.0606 * CHOOSE(CONTROL!$C$22, $C$13, 100%, $E$13)</f>
        <v>17.060600000000001</v>
      </c>
      <c r="D953" s="60">
        <f>17.0732 * CHOOSE(CONTROL!$C$22, $C$13, 100%, $E$13)</f>
        <v>17.0732</v>
      </c>
      <c r="E953" s="61">
        <f>20.0986 * CHOOSE(CONTROL!$C$22, $C$13, 100%, $E$13)</f>
        <v>20.098600000000001</v>
      </c>
      <c r="F953" s="61">
        <f>20.0986 * CHOOSE(CONTROL!$C$22, $C$13, 100%, $E$13)</f>
        <v>20.098600000000001</v>
      </c>
      <c r="G953" s="61">
        <f>20.0988 * CHOOSE(CONTROL!$C$22, $C$13, 100%, $E$13)</f>
        <v>20.098800000000001</v>
      </c>
      <c r="H953" s="61">
        <f>32.3466* CHOOSE(CONTROL!$C$22, $C$13, 100%, $E$13)</f>
        <v>32.346600000000002</v>
      </c>
      <c r="I953" s="61">
        <f>32.3468 * CHOOSE(CONTROL!$C$22, $C$13, 100%, $E$13)</f>
        <v>32.346800000000002</v>
      </c>
      <c r="J953" s="61">
        <f>20.0986 * CHOOSE(CONTROL!$C$22, $C$13, 100%, $E$13)</f>
        <v>20.098600000000001</v>
      </c>
      <c r="K953" s="61">
        <f>20.0988 * CHOOSE(CONTROL!$C$22, $C$13, 100%, $E$13)</f>
        <v>20.098800000000001</v>
      </c>
    </row>
    <row r="954" spans="1:11" ht="15">
      <c r="A954" s="13">
        <v>70891</v>
      </c>
      <c r="B954" s="60">
        <f>17.0576 * CHOOSE(CONTROL!$C$22, $C$13, 100%, $E$13)</f>
        <v>17.057600000000001</v>
      </c>
      <c r="C954" s="60">
        <f>17.0576 * CHOOSE(CONTROL!$C$22, $C$13, 100%, $E$13)</f>
        <v>17.057600000000001</v>
      </c>
      <c r="D954" s="60">
        <f>17.0701 * CHOOSE(CONTROL!$C$22, $C$13, 100%, $E$13)</f>
        <v>17.0701</v>
      </c>
      <c r="E954" s="61">
        <f>19.8764 * CHOOSE(CONTROL!$C$22, $C$13, 100%, $E$13)</f>
        <v>19.8764</v>
      </c>
      <c r="F954" s="61">
        <f>19.8764 * CHOOSE(CONTROL!$C$22, $C$13, 100%, $E$13)</f>
        <v>19.8764</v>
      </c>
      <c r="G954" s="61">
        <f>19.8766 * CHOOSE(CONTROL!$C$22, $C$13, 100%, $E$13)</f>
        <v>19.8766</v>
      </c>
      <c r="H954" s="61">
        <f>32.414* CHOOSE(CONTROL!$C$22, $C$13, 100%, $E$13)</f>
        <v>32.414000000000001</v>
      </c>
      <c r="I954" s="61">
        <f>32.4142 * CHOOSE(CONTROL!$C$22, $C$13, 100%, $E$13)</f>
        <v>32.414200000000001</v>
      </c>
      <c r="J954" s="61">
        <f>19.8764 * CHOOSE(CONTROL!$C$22, $C$13, 100%, $E$13)</f>
        <v>19.8764</v>
      </c>
      <c r="K954" s="61">
        <f>19.8766 * CHOOSE(CONTROL!$C$22, $C$13, 100%, $E$13)</f>
        <v>19.8766</v>
      </c>
    </row>
    <row r="955" spans="1:11" ht="15">
      <c r="A955" s="13">
        <v>70919</v>
      </c>
      <c r="B955" s="60">
        <f>17.0546 * CHOOSE(CONTROL!$C$22, $C$13, 100%, $E$13)</f>
        <v>17.054600000000001</v>
      </c>
      <c r="C955" s="60">
        <f>17.0546 * CHOOSE(CONTROL!$C$22, $C$13, 100%, $E$13)</f>
        <v>17.054600000000001</v>
      </c>
      <c r="D955" s="60">
        <f>17.0671 * CHOOSE(CONTROL!$C$22, $C$13, 100%, $E$13)</f>
        <v>17.0671</v>
      </c>
      <c r="E955" s="61">
        <f>20.0478 * CHOOSE(CONTROL!$C$22, $C$13, 100%, $E$13)</f>
        <v>20.047799999999999</v>
      </c>
      <c r="F955" s="61">
        <f>20.0478 * CHOOSE(CONTROL!$C$22, $C$13, 100%, $E$13)</f>
        <v>20.047799999999999</v>
      </c>
      <c r="G955" s="61">
        <f>20.048 * CHOOSE(CONTROL!$C$22, $C$13, 100%, $E$13)</f>
        <v>20.047999999999998</v>
      </c>
      <c r="H955" s="61">
        <f>32.4815* CHOOSE(CONTROL!$C$22, $C$13, 100%, $E$13)</f>
        <v>32.481499999999997</v>
      </c>
      <c r="I955" s="61">
        <f>32.4817 * CHOOSE(CONTROL!$C$22, $C$13, 100%, $E$13)</f>
        <v>32.481699999999996</v>
      </c>
      <c r="J955" s="61">
        <f>20.0478 * CHOOSE(CONTROL!$C$22, $C$13, 100%, $E$13)</f>
        <v>20.047799999999999</v>
      </c>
      <c r="K955" s="61">
        <f>20.048 * CHOOSE(CONTROL!$C$22, $C$13, 100%, $E$13)</f>
        <v>20.047999999999998</v>
      </c>
    </row>
    <row r="956" spans="1:11" ht="15">
      <c r="A956" s="13">
        <v>70950</v>
      </c>
      <c r="B956" s="60">
        <f>17.0633 * CHOOSE(CONTROL!$C$22, $C$13, 100%, $E$13)</f>
        <v>17.063300000000002</v>
      </c>
      <c r="C956" s="60">
        <f>17.0633 * CHOOSE(CONTROL!$C$22, $C$13, 100%, $E$13)</f>
        <v>17.063300000000002</v>
      </c>
      <c r="D956" s="60">
        <f>17.0759 * CHOOSE(CONTROL!$C$22, $C$13, 100%, $E$13)</f>
        <v>17.075900000000001</v>
      </c>
      <c r="E956" s="61">
        <f>20.2298 * CHOOSE(CONTROL!$C$22, $C$13, 100%, $E$13)</f>
        <v>20.229800000000001</v>
      </c>
      <c r="F956" s="61">
        <f>20.2298 * CHOOSE(CONTROL!$C$22, $C$13, 100%, $E$13)</f>
        <v>20.229800000000001</v>
      </c>
      <c r="G956" s="61">
        <f>20.23 * CHOOSE(CONTROL!$C$22, $C$13, 100%, $E$13)</f>
        <v>20.23</v>
      </c>
      <c r="H956" s="61">
        <f>32.5492* CHOOSE(CONTROL!$C$22, $C$13, 100%, $E$13)</f>
        <v>32.549199999999999</v>
      </c>
      <c r="I956" s="61">
        <f>32.5494 * CHOOSE(CONTROL!$C$22, $C$13, 100%, $E$13)</f>
        <v>32.549399999999999</v>
      </c>
      <c r="J956" s="61">
        <f>20.2298 * CHOOSE(CONTROL!$C$22, $C$13, 100%, $E$13)</f>
        <v>20.229800000000001</v>
      </c>
      <c r="K956" s="61">
        <f>20.23 * CHOOSE(CONTROL!$C$22, $C$13, 100%, $E$13)</f>
        <v>20.23</v>
      </c>
    </row>
    <row r="957" spans="1:11" ht="15">
      <c r="A957" s="13">
        <v>70980</v>
      </c>
      <c r="B957" s="60">
        <f>17.0633 * CHOOSE(CONTROL!$C$22, $C$13, 100%, $E$13)</f>
        <v>17.063300000000002</v>
      </c>
      <c r="C957" s="60">
        <f>17.0633 * CHOOSE(CONTROL!$C$22, $C$13, 100%, $E$13)</f>
        <v>17.063300000000002</v>
      </c>
      <c r="D957" s="60">
        <f>17.0884 * CHOOSE(CONTROL!$C$22, $C$13, 100%, $E$13)</f>
        <v>17.0884</v>
      </c>
      <c r="E957" s="61">
        <f>20.2997 * CHOOSE(CONTROL!$C$22, $C$13, 100%, $E$13)</f>
        <v>20.299700000000001</v>
      </c>
      <c r="F957" s="61">
        <f>20.2997 * CHOOSE(CONTROL!$C$22, $C$13, 100%, $E$13)</f>
        <v>20.299700000000001</v>
      </c>
      <c r="G957" s="61">
        <f>20.3013 * CHOOSE(CONTROL!$C$22, $C$13, 100%, $E$13)</f>
        <v>20.301300000000001</v>
      </c>
      <c r="H957" s="61">
        <f>32.617* CHOOSE(CONTROL!$C$22, $C$13, 100%, $E$13)</f>
        <v>32.616999999999997</v>
      </c>
      <c r="I957" s="61">
        <f>32.6186 * CHOOSE(CONTROL!$C$22, $C$13, 100%, $E$13)</f>
        <v>32.618600000000001</v>
      </c>
      <c r="J957" s="61">
        <f>20.2997 * CHOOSE(CONTROL!$C$22, $C$13, 100%, $E$13)</f>
        <v>20.299700000000001</v>
      </c>
      <c r="K957" s="61">
        <f>20.3013 * CHOOSE(CONTROL!$C$22, $C$13, 100%, $E$13)</f>
        <v>20.301300000000001</v>
      </c>
    </row>
    <row r="958" spans="1:11" ht="15">
      <c r="A958" s="13">
        <v>71011</v>
      </c>
      <c r="B958" s="60">
        <f>17.0694 * CHOOSE(CONTROL!$C$22, $C$13, 100%, $E$13)</f>
        <v>17.069400000000002</v>
      </c>
      <c r="C958" s="60">
        <f>17.0694 * CHOOSE(CONTROL!$C$22, $C$13, 100%, $E$13)</f>
        <v>17.069400000000002</v>
      </c>
      <c r="D958" s="60">
        <f>17.0945 * CHOOSE(CONTROL!$C$22, $C$13, 100%, $E$13)</f>
        <v>17.0945</v>
      </c>
      <c r="E958" s="61">
        <f>20.2341 * CHOOSE(CONTROL!$C$22, $C$13, 100%, $E$13)</f>
        <v>20.234100000000002</v>
      </c>
      <c r="F958" s="61">
        <f>20.2341 * CHOOSE(CONTROL!$C$22, $C$13, 100%, $E$13)</f>
        <v>20.234100000000002</v>
      </c>
      <c r="G958" s="61">
        <f>20.2357 * CHOOSE(CONTROL!$C$22, $C$13, 100%, $E$13)</f>
        <v>20.235700000000001</v>
      </c>
      <c r="H958" s="61">
        <f>32.685* CHOOSE(CONTROL!$C$22, $C$13, 100%, $E$13)</f>
        <v>32.685000000000002</v>
      </c>
      <c r="I958" s="61">
        <f>32.6866 * CHOOSE(CONTROL!$C$22, $C$13, 100%, $E$13)</f>
        <v>32.686599999999999</v>
      </c>
      <c r="J958" s="61">
        <f>20.2341 * CHOOSE(CONTROL!$C$22, $C$13, 100%, $E$13)</f>
        <v>20.234100000000002</v>
      </c>
      <c r="K958" s="61">
        <f>20.2357 * CHOOSE(CONTROL!$C$22, $C$13, 100%, $E$13)</f>
        <v>20.235700000000001</v>
      </c>
    </row>
    <row r="959" spans="1:11" ht="15">
      <c r="A959" s="13">
        <v>71041</v>
      </c>
      <c r="B959" s="60">
        <f>17.3354 * CHOOSE(CONTROL!$C$22, $C$13, 100%, $E$13)</f>
        <v>17.3354</v>
      </c>
      <c r="C959" s="60">
        <f>17.3354 * CHOOSE(CONTROL!$C$22, $C$13, 100%, $E$13)</f>
        <v>17.3354</v>
      </c>
      <c r="D959" s="60">
        <f>17.3605 * CHOOSE(CONTROL!$C$22, $C$13, 100%, $E$13)</f>
        <v>17.360499999999998</v>
      </c>
      <c r="E959" s="61">
        <f>20.6174 * CHOOSE(CONTROL!$C$22, $C$13, 100%, $E$13)</f>
        <v>20.6174</v>
      </c>
      <c r="F959" s="61">
        <f>20.6174 * CHOOSE(CONTROL!$C$22, $C$13, 100%, $E$13)</f>
        <v>20.6174</v>
      </c>
      <c r="G959" s="61">
        <f>20.619 * CHOOSE(CONTROL!$C$22, $C$13, 100%, $E$13)</f>
        <v>20.619</v>
      </c>
      <c r="H959" s="61">
        <f>32.7531* CHOOSE(CONTROL!$C$22, $C$13, 100%, $E$13)</f>
        <v>32.753100000000003</v>
      </c>
      <c r="I959" s="61">
        <f>32.7547 * CHOOSE(CONTROL!$C$22, $C$13, 100%, $E$13)</f>
        <v>32.7547</v>
      </c>
      <c r="J959" s="61">
        <f>20.6174 * CHOOSE(CONTROL!$C$22, $C$13, 100%, $E$13)</f>
        <v>20.6174</v>
      </c>
      <c r="K959" s="61">
        <f>20.619 * CHOOSE(CONTROL!$C$22, $C$13, 100%, $E$13)</f>
        <v>20.619</v>
      </c>
    </row>
    <row r="960" spans="1:11" ht="15">
      <c r="A960" s="13">
        <v>71072</v>
      </c>
      <c r="B960" s="60">
        <f>17.3421 * CHOOSE(CONTROL!$C$22, $C$13, 100%, $E$13)</f>
        <v>17.342099999999999</v>
      </c>
      <c r="C960" s="60">
        <f>17.3421 * CHOOSE(CONTROL!$C$22, $C$13, 100%, $E$13)</f>
        <v>17.342099999999999</v>
      </c>
      <c r="D960" s="60">
        <f>17.3672 * CHOOSE(CONTROL!$C$22, $C$13, 100%, $E$13)</f>
        <v>17.3672</v>
      </c>
      <c r="E960" s="61">
        <f>20.4125 * CHOOSE(CONTROL!$C$22, $C$13, 100%, $E$13)</f>
        <v>20.412500000000001</v>
      </c>
      <c r="F960" s="61">
        <f>20.4125 * CHOOSE(CONTROL!$C$22, $C$13, 100%, $E$13)</f>
        <v>20.412500000000001</v>
      </c>
      <c r="G960" s="61">
        <f>20.4141 * CHOOSE(CONTROL!$C$22, $C$13, 100%, $E$13)</f>
        <v>20.414100000000001</v>
      </c>
      <c r="H960" s="61">
        <f>32.8213* CHOOSE(CONTROL!$C$22, $C$13, 100%, $E$13)</f>
        <v>32.821300000000001</v>
      </c>
      <c r="I960" s="61">
        <f>32.8229 * CHOOSE(CONTROL!$C$22, $C$13, 100%, $E$13)</f>
        <v>32.822899999999997</v>
      </c>
      <c r="J960" s="61">
        <f>20.4125 * CHOOSE(CONTROL!$C$22, $C$13, 100%, $E$13)</f>
        <v>20.412500000000001</v>
      </c>
      <c r="K960" s="61">
        <f>20.4141 * CHOOSE(CONTROL!$C$22, $C$13, 100%, $E$13)</f>
        <v>20.414100000000001</v>
      </c>
    </row>
    <row r="961" spans="1:11" ht="15">
      <c r="A961" s="13">
        <v>71103</v>
      </c>
      <c r="B961" s="60">
        <f>17.339 * CHOOSE(CONTROL!$C$22, $C$13, 100%, $E$13)</f>
        <v>17.338999999999999</v>
      </c>
      <c r="C961" s="60">
        <f>17.339 * CHOOSE(CONTROL!$C$22, $C$13, 100%, $E$13)</f>
        <v>17.338999999999999</v>
      </c>
      <c r="D961" s="60">
        <f>17.3641 * CHOOSE(CONTROL!$C$22, $C$13, 100%, $E$13)</f>
        <v>17.364100000000001</v>
      </c>
      <c r="E961" s="61">
        <f>20.3871 * CHOOSE(CONTROL!$C$22, $C$13, 100%, $E$13)</f>
        <v>20.3871</v>
      </c>
      <c r="F961" s="61">
        <f>20.3871 * CHOOSE(CONTROL!$C$22, $C$13, 100%, $E$13)</f>
        <v>20.3871</v>
      </c>
      <c r="G961" s="61">
        <f>20.3887 * CHOOSE(CONTROL!$C$22, $C$13, 100%, $E$13)</f>
        <v>20.3887</v>
      </c>
      <c r="H961" s="61">
        <f>32.8897* CHOOSE(CONTROL!$C$22, $C$13, 100%, $E$13)</f>
        <v>32.889699999999998</v>
      </c>
      <c r="I961" s="61">
        <f>32.8913 * CHOOSE(CONTROL!$C$22, $C$13, 100%, $E$13)</f>
        <v>32.891300000000001</v>
      </c>
      <c r="J961" s="61">
        <f>20.3871 * CHOOSE(CONTROL!$C$22, $C$13, 100%, $E$13)</f>
        <v>20.3871</v>
      </c>
      <c r="K961" s="61">
        <f>20.3887 * CHOOSE(CONTROL!$C$22, $C$13, 100%, $E$13)</f>
        <v>20.3887</v>
      </c>
    </row>
    <row r="962" spans="1:11" ht="15">
      <c r="A962" s="13">
        <v>71133</v>
      </c>
      <c r="B962" s="60">
        <f>17.3777 * CHOOSE(CONTROL!$C$22, $C$13, 100%, $E$13)</f>
        <v>17.377700000000001</v>
      </c>
      <c r="C962" s="60">
        <f>17.3777 * CHOOSE(CONTROL!$C$22, $C$13, 100%, $E$13)</f>
        <v>17.377700000000001</v>
      </c>
      <c r="D962" s="60">
        <f>17.3902 * CHOOSE(CONTROL!$C$22, $C$13, 100%, $E$13)</f>
        <v>17.3902</v>
      </c>
      <c r="E962" s="61">
        <f>20.4668 * CHOOSE(CONTROL!$C$22, $C$13, 100%, $E$13)</f>
        <v>20.466799999999999</v>
      </c>
      <c r="F962" s="61">
        <f>20.4668 * CHOOSE(CONTROL!$C$22, $C$13, 100%, $E$13)</f>
        <v>20.466799999999999</v>
      </c>
      <c r="G962" s="61">
        <f>20.467 * CHOOSE(CONTROL!$C$22, $C$13, 100%, $E$13)</f>
        <v>20.466999999999999</v>
      </c>
      <c r="H962" s="61">
        <f>32.9582* CHOOSE(CONTROL!$C$22, $C$13, 100%, $E$13)</f>
        <v>32.958199999999998</v>
      </c>
      <c r="I962" s="61">
        <f>32.9584 * CHOOSE(CONTROL!$C$22, $C$13, 100%, $E$13)</f>
        <v>32.958399999999997</v>
      </c>
      <c r="J962" s="61">
        <f>20.4668 * CHOOSE(CONTROL!$C$22, $C$13, 100%, $E$13)</f>
        <v>20.466799999999999</v>
      </c>
      <c r="K962" s="61">
        <f>20.467 * CHOOSE(CONTROL!$C$22, $C$13, 100%, $E$13)</f>
        <v>20.466999999999999</v>
      </c>
    </row>
    <row r="963" spans="1:11" ht="15">
      <c r="A963" s="13">
        <v>71164</v>
      </c>
      <c r="B963" s="60">
        <f>17.3807 * CHOOSE(CONTROL!$C$22, $C$13, 100%, $E$13)</f>
        <v>17.380700000000001</v>
      </c>
      <c r="C963" s="60">
        <f>17.3807 * CHOOSE(CONTROL!$C$22, $C$13, 100%, $E$13)</f>
        <v>17.380700000000001</v>
      </c>
      <c r="D963" s="60">
        <f>17.3933 * CHOOSE(CONTROL!$C$22, $C$13, 100%, $E$13)</f>
        <v>17.3933</v>
      </c>
      <c r="E963" s="61">
        <f>20.5155 * CHOOSE(CONTROL!$C$22, $C$13, 100%, $E$13)</f>
        <v>20.515499999999999</v>
      </c>
      <c r="F963" s="61">
        <f>20.5155 * CHOOSE(CONTROL!$C$22, $C$13, 100%, $E$13)</f>
        <v>20.515499999999999</v>
      </c>
      <c r="G963" s="61">
        <f>20.5157 * CHOOSE(CONTROL!$C$22, $C$13, 100%, $E$13)</f>
        <v>20.515699999999999</v>
      </c>
      <c r="H963" s="61">
        <f>33.0268* CHOOSE(CONTROL!$C$22, $C$13, 100%, $E$13)</f>
        <v>33.026800000000001</v>
      </c>
      <c r="I963" s="61">
        <f>33.027 * CHOOSE(CONTROL!$C$22, $C$13, 100%, $E$13)</f>
        <v>33.027000000000001</v>
      </c>
      <c r="J963" s="61">
        <f>20.5155 * CHOOSE(CONTROL!$C$22, $C$13, 100%, $E$13)</f>
        <v>20.515499999999999</v>
      </c>
      <c r="K963" s="61">
        <f>20.5157 * CHOOSE(CONTROL!$C$22, $C$13, 100%, $E$13)</f>
        <v>20.515699999999999</v>
      </c>
    </row>
    <row r="964" spans="1:11" ht="15">
      <c r="A964" s="13">
        <v>71194</v>
      </c>
      <c r="B964" s="60">
        <f>17.3807 * CHOOSE(CONTROL!$C$22, $C$13, 100%, $E$13)</f>
        <v>17.380700000000001</v>
      </c>
      <c r="C964" s="60">
        <f>17.3807 * CHOOSE(CONTROL!$C$22, $C$13, 100%, $E$13)</f>
        <v>17.380700000000001</v>
      </c>
      <c r="D964" s="60">
        <f>17.3933 * CHOOSE(CONTROL!$C$22, $C$13, 100%, $E$13)</f>
        <v>17.3933</v>
      </c>
      <c r="E964" s="61">
        <f>20.3991 * CHOOSE(CONTROL!$C$22, $C$13, 100%, $E$13)</f>
        <v>20.399100000000001</v>
      </c>
      <c r="F964" s="61">
        <f>20.3991 * CHOOSE(CONTROL!$C$22, $C$13, 100%, $E$13)</f>
        <v>20.399100000000001</v>
      </c>
      <c r="G964" s="61">
        <f>20.3993 * CHOOSE(CONTROL!$C$22, $C$13, 100%, $E$13)</f>
        <v>20.3993</v>
      </c>
      <c r="H964" s="61">
        <f>33.0957* CHOOSE(CONTROL!$C$22, $C$13, 100%, $E$13)</f>
        <v>33.095700000000001</v>
      </c>
      <c r="I964" s="61">
        <f>33.0958 * CHOOSE(CONTROL!$C$22, $C$13, 100%, $E$13)</f>
        <v>33.095799999999997</v>
      </c>
      <c r="J964" s="61">
        <f>20.3991 * CHOOSE(CONTROL!$C$22, $C$13, 100%, $E$13)</f>
        <v>20.399100000000001</v>
      </c>
      <c r="K964" s="61">
        <f>20.3993 * CHOOSE(CONTROL!$C$22, $C$13, 100%, $E$13)</f>
        <v>20.3993</v>
      </c>
    </row>
    <row r="965" spans="1:11" ht="15">
      <c r="A965" s="13">
        <v>71225</v>
      </c>
      <c r="B965" s="60">
        <f>17.306 * CHOOSE(CONTROL!$C$22, $C$13, 100%, $E$13)</f>
        <v>17.306000000000001</v>
      </c>
      <c r="C965" s="60">
        <f>17.306 * CHOOSE(CONTROL!$C$22, $C$13, 100%, $E$13)</f>
        <v>17.306000000000001</v>
      </c>
      <c r="D965" s="60">
        <f>17.3185 * CHOOSE(CONTROL!$C$22, $C$13, 100%, $E$13)</f>
        <v>17.3185</v>
      </c>
      <c r="E965" s="61">
        <f>20.391 * CHOOSE(CONTROL!$C$22, $C$13, 100%, $E$13)</f>
        <v>20.390999999999998</v>
      </c>
      <c r="F965" s="61">
        <f>20.391 * CHOOSE(CONTROL!$C$22, $C$13, 100%, $E$13)</f>
        <v>20.390999999999998</v>
      </c>
      <c r="G965" s="61">
        <f>20.3912 * CHOOSE(CONTROL!$C$22, $C$13, 100%, $E$13)</f>
        <v>20.391200000000001</v>
      </c>
      <c r="H965" s="61">
        <f>32.7925* CHOOSE(CONTROL!$C$22, $C$13, 100%, $E$13)</f>
        <v>32.792499999999997</v>
      </c>
      <c r="I965" s="61">
        <f>32.7927 * CHOOSE(CONTROL!$C$22, $C$13, 100%, $E$13)</f>
        <v>32.792700000000004</v>
      </c>
      <c r="J965" s="61">
        <f>20.391 * CHOOSE(CONTROL!$C$22, $C$13, 100%, $E$13)</f>
        <v>20.390999999999998</v>
      </c>
      <c r="K965" s="61">
        <f>20.3912 * CHOOSE(CONTROL!$C$22, $C$13, 100%, $E$13)</f>
        <v>20.391200000000001</v>
      </c>
    </row>
    <row r="966" spans="1:11" ht="15">
      <c r="A966" s="13">
        <v>71256</v>
      </c>
      <c r="B966" s="60">
        <f>17.3029 * CHOOSE(CONTROL!$C$22, $C$13, 100%, $E$13)</f>
        <v>17.302900000000001</v>
      </c>
      <c r="C966" s="60">
        <f>17.3029 * CHOOSE(CONTROL!$C$22, $C$13, 100%, $E$13)</f>
        <v>17.302900000000001</v>
      </c>
      <c r="D966" s="60">
        <f>17.3155 * CHOOSE(CONTROL!$C$22, $C$13, 100%, $E$13)</f>
        <v>17.3155</v>
      </c>
      <c r="E966" s="61">
        <f>20.1657 * CHOOSE(CONTROL!$C$22, $C$13, 100%, $E$13)</f>
        <v>20.165700000000001</v>
      </c>
      <c r="F966" s="61">
        <f>20.1657 * CHOOSE(CONTROL!$C$22, $C$13, 100%, $E$13)</f>
        <v>20.165700000000001</v>
      </c>
      <c r="G966" s="61">
        <f>20.1658 * CHOOSE(CONTROL!$C$22, $C$13, 100%, $E$13)</f>
        <v>20.165800000000001</v>
      </c>
      <c r="H966" s="61">
        <f>32.8608* CHOOSE(CONTROL!$C$22, $C$13, 100%, $E$13)</f>
        <v>32.860799999999998</v>
      </c>
      <c r="I966" s="61">
        <f>32.861 * CHOOSE(CONTROL!$C$22, $C$13, 100%, $E$13)</f>
        <v>32.860999999999997</v>
      </c>
      <c r="J966" s="61">
        <f>20.1657 * CHOOSE(CONTROL!$C$22, $C$13, 100%, $E$13)</f>
        <v>20.165700000000001</v>
      </c>
      <c r="K966" s="61">
        <f>20.1658 * CHOOSE(CONTROL!$C$22, $C$13, 100%, $E$13)</f>
        <v>20.165800000000001</v>
      </c>
    </row>
    <row r="967" spans="1:11" ht="15">
      <c r="A967" s="13">
        <v>71284</v>
      </c>
      <c r="B967" s="60">
        <f>17.2999 * CHOOSE(CONTROL!$C$22, $C$13, 100%, $E$13)</f>
        <v>17.299900000000001</v>
      </c>
      <c r="C967" s="60">
        <f>17.2999 * CHOOSE(CONTROL!$C$22, $C$13, 100%, $E$13)</f>
        <v>17.299900000000001</v>
      </c>
      <c r="D967" s="60">
        <f>17.3124 * CHOOSE(CONTROL!$C$22, $C$13, 100%, $E$13)</f>
        <v>17.3124</v>
      </c>
      <c r="E967" s="61">
        <f>20.3395 * CHOOSE(CONTROL!$C$22, $C$13, 100%, $E$13)</f>
        <v>20.339500000000001</v>
      </c>
      <c r="F967" s="61">
        <f>20.3395 * CHOOSE(CONTROL!$C$22, $C$13, 100%, $E$13)</f>
        <v>20.339500000000001</v>
      </c>
      <c r="G967" s="61">
        <f>20.3397 * CHOOSE(CONTROL!$C$22, $C$13, 100%, $E$13)</f>
        <v>20.339700000000001</v>
      </c>
      <c r="H967" s="61">
        <f>32.9293* CHOOSE(CONTROL!$C$22, $C$13, 100%, $E$13)</f>
        <v>32.929299999999998</v>
      </c>
      <c r="I967" s="61">
        <f>32.9295 * CHOOSE(CONTROL!$C$22, $C$13, 100%, $E$13)</f>
        <v>32.929499999999997</v>
      </c>
      <c r="J967" s="61">
        <f>20.3395 * CHOOSE(CONTROL!$C$22, $C$13, 100%, $E$13)</f>
        <v>20.339500000000001</v>
      </c>
      <c r="K967" s="61">
        <f>20.3397 * CHOOSE(CONTROL!$C$22, $C$13, 100%, $E$13)</f>
        <v>20.339700000000001</v>
      </c>
    </row>
    <row r="968" spans="1:11" ht="15">
      <c r="A968" s="13">
        <v>71315</v>
      </c>
      <c r="B968" s="60">
        <f>17.3088 * CHOOSE(CONTROL!$C$22, $C$13, 100%, $E$13)</f>
        <v>17.308800000000002</v>
      </c>
      <c r="C968" s="60">
        <f>17.3088 * CHOOSE(CONTROL!$C$22, $C$13, 100%, $E$13)</f>
        <v>17.308800000000002</v>
      </c>
      <c r="D968" s="60">
        <f>17.3214 * CHOOSE(CONTROL!$C$22, $C$13, 100%, $E$13)</f>
        <v>17.321400000000001</v>
      </c>
      <c r="E968" s="61">
        <f>20.5243 * CHOOSE(CONTROL!$C$22, $C$13, 100%, $E$13)</f>
        <v>20.5243</v>
      </c>
      <c r="F968" s="61">
        <f>20.5243 * CHOOSE(CONTROL!$C$22, $C$13, 100%, $E$13)</f>
        <v>20.5243</v>
      </c>
      <c r="G968" s="61">
        <f>20.5244 * CHOOSE(CONTROL!$C$22, $C$13, 100%, $E$13)</f>
        <v>20.5244</v>
      </c>
      <c r="H968" s="61">
        <f>32.9979* CHOOSE(CONTROL!$C$22, $C$13, 100%, $E$13)</f>
        <v>32.997900000000001</v>
      </c>
      <c r="I968" s="61">
        <f>32.9981 * CHOOSE(CONTROL!$C$22, $C$13, 100%, $E$13)</f>
        <v>32.998100000000001</v>
      </c>
      <c r="J968" s="61">
        <f>20.5243 * CHOOSE(CONTROL!$C$22, $C$13, 100%, $E$13)</f>
        <v>20.5243</v>
      </c>
      <c r="K968" s="61">
        <f>20.5244 * CHOOSE(CONTROL!$C$22, $C$13, 100%, $E$13)</f>
        <v>20.5244</v>
      </c>
    </row>
    <row r="969" spans="1:11" ht="15">
      <c r="A969" s="13">
        <v>71345</v>
      </c>
      <c r="B969" s="60">
        <f>17.3088 * CHOOSE(CONTROL!$C$22, $C$13, 100%, $E$13)</f>
        <v>17.308800000000002</v>
      </c>
      <c r="C969" s="60">
        <f>17.3088 * CHOOSE(CONTROL!$C$22, $C$13, 100%, $E$13)</f>
        <v>17.308800000000002</v>
      </c>
      <c r="D969" s="60">
        <f>17.3339 * CHOOSE(CONTROL!$C$22, $C$13, 100%, $E$13)</f>
        <v>17.3339</v>
      </c>
      <c r="E969" s="61">
        <f>20.5951 * CHOOSE(CONTROL!$C$22, $C$13, 100%, $E$13)</f>
        <v>20.595099999999999</v>
      </c>
      <c r="F969" s="61">
        <f>20.5951 * CHOOSE(CONTROL!$C$22, $C$13, 100%, $E$13)</f>
        <v>20.595099999999999</v>
      </c>
      <c r="G969" s="61">
        <f>20.5967 * CHOOSE(CONTROL!$C$22, $C$13, 100%, $E$13)</f>
        <v>20.596699999999998</v>
      </c>
      <c r="H969" s="61">
        <f>33.0666* CHOOSE(CONTROL!$C$22, $C$13, 100%, $E$13)</f>
        <v>33.066600000000001</v>
      </c>
      <c r="I969" s="61">
        <f>33.0682 * CHOOSE(CONTROL!$C$22, $C$13, 100%, $E$13)</f>
        <v>33.068199999999997</v>
      </c>
      <c r="J969" s="61">
        <f>20.5951 * CHOOSE(CONTROL!$C$22, $C$13, 100%, $E$13)</f>
        <v>20.595099999999999</v>
      </c>
      <c r="K969" s="61">
        <f>20.5967 * CHOOSE(CONTROL!$C$22, $C$13, 100%, $E$13)</f>
        <v>20.596699999999998</v>
      </c>
    </row>
    <row r="970" spans="1:11" ht="15">
      <c r="A970" s="13">
        <v>71376</v>
      </c>
      <c r="B970" s="60">
        <f>17.3149 * CHOOSE(CONTROL!$C$22, $C$13, 100%, $E$13)</f>
        <v>17.314900000000002</v>
      </c>
      <c r="C970" s="60">
        <f>17.3149 * CHOOSE(CONTROL!$C$22, $C$13, 100%, $E$13)</f>
        <v>17.314900000000002</v>
      </c>
      <c r="D970" s="60">
        <f>17.34 * CHOOSE(CONTROL!$C$22, $C$13, 100%, $E$13)</f>
        <v>17.34</v>
      </c>
      <c r="E970" s="61">
        <f>20.5285 * CHOOSE(CONTROL!$C$22, $C$13, 100%, $E$13)</f>
        <v>20.528500000000001</v>
      </c>
      <c r="F970" s="61">
        <f>20.5285 * CHOOSE(CONTROL!$C$22, $C$13, 100%, $E$13)</f>
        <v>20.528500000000001</v>
      </c>
      <c r="G970" s="61">
        <f>20.5301 * CHOOSE(CONTROL!$C$22, $C$13, 100%, $E$13)</f>
        <v>20.530100000000001</v>
      </c>
      <c r="H970" s="61">
        <f>33.1355* CHOOSE(CONTROL!$C$22, $C$13, 100%, $E$13)</f>
        <v>33.1355</v>
      </c>
      <c r="I970" s="61">
        <f>33.1371 * CHOOSE(CONTROL!$C$22, $C$13, 100%, $E$13)</f>
        <v>33.137099999999997</v>
      </c>
      <c r="J970" s="61">
        <f>20.5285 * CHOOSE(CONTROL!$C$22, $C$13, 100%, $E$13)</f>
        <v>20.528500000000001</v>
      </c>
      <c r="K970" s="61">
        <f>20.5301 * CHOOSE(CONTROL!$C$22, $C$13, 100%, $E$13)</f>
        <v>20.530100000000001</v>
      </c>
    </row>
    <row r="971" spans="1:11" ht="15">
      <c r="A971" s="13">
        <v>71406</v>
      </c>
      <c r="B971" s="60">
        <f>17.5846 * CHOOSE(CONTROL!$C$22, $C$13, 100%, $E$13)</f>
        <v>17.584599999999998</v>
      </c>
      <c r="C971" s="60">
        <f>17.5846 * CHOOSE(CONTROL!$C$22, $C$13, 100%, $E$13)</f>
        <v>17.584599999999998</v>
      </c>
      <c r="D971" s="60">
        <f>17.6097 * CHOOSE(CONTROL!$C$22, $C$13, 100%, $E$13)</f>
        <v>17.6097</v>
      </c>
      <c r="E971" s="61">
        <f>20.9173 * CHOOSE(CONTROL!$C$22, $C$13, 100%, $E$13)</f>
        <v>20.917300000000001</v>
      </c>
      <c r="F971" s="61">
        <f>20.9173 * CHOOSE(CONTROL!$C$22, $C$13, 100%, $E$13)</f>
        <v>20.917300000000001</v>
      </c>
      <c r="G971" s="61">
        <f>20.9189 * CHOOSE(CONTROL!$C$22, $C$13, 100%, $E$13)</f>
        <v>20.918900000000001</v>
      </c>
      <c r="H971" s="61">
        <f>33.2045* CHOOSE(CONTROL!$C$22, $C$13, 100%, $E$13)</f>
        <v>33.204500000000003</v>
      </c>
      <c r="I971" s="61">
        <f>33.2061 * CHOOSE(CONTROL!$C$22, $C$13, 100%, $E$13)</f>
        <v>33.206099999999999</v>
      </c>
      <c r="J971" s="61">
        <f>20.9173 * CHOOSE(CONTROL!$C$22, $C$13, 100%, $E$13)</f>
        <v>20.917300000000001</v>
      </c>
      <c r="K971" s="61">
        <f>20.9189 * CHOOSE(CONTROL!$C$22, $C$13, 100%, $E$13)</f>
        <v>20.918900000000001</v>
      </c>
    </row>
    <row r="972" spans="1:11" ht="15">
      <c r="A972" s="13">
        <v>71437</v>
      </c>
      <c r="B972" s="60">
        <f>17.5913 * CHOOSE(CONTROL!$C$22, $C$13, 100%, $E$13)</f>
        <v>17.5913</v>
      </c>
      <c r="C972" s="60">
        <f>17.5913 * CHOOSE(CONTROL!$C$22, $C$13, 100%, $E$13)</f>
        <v>17.5913</v>
      </c>
      <c r="D972" s="60">
        <f>17.6164 * CHOOSE(CONTROL!$C$22, $C$13, 100%, $E$13)</f>
        <v>17.616399999999999</v>
      </c>
      <c r="E972" s="61">
        <f>20.7093 * CHOOSE(CONTROL!$C$22, $C$13, 100%, $E$13)</f>
        <v>20.709299999999999</v>
      </c>
      <c r="F972" s="61">
        <f>20.7093 * CHOOSE(CONTROL!$C$22, $C$13, 100%, $E$13)</f>
        <v>20.709299999999999</v>
      </c>
      <c r="G972" s="61">
        <f>20.711 * CHOOSE(CONTROL!$C$22, $C$13, 100%, $E$13)</f>
        <v>20.710999999999999</v>
      </c>
      <c r="H972" s="61">
        <f>33.2737* CHOOSE(CONTROL!$C$22, $C$13, 100%, $E$13)</f>
        <v>33.273699999999998</v>
      </c>
      <c r="I972" s="61">
        <f>33.2753 * CHOOSE(CONTROL!$C$22, $C$13, 100%, $E$13)</f>
        <v>33.275300000000001</v>
      </c>
      <c r="J972" s="61">
        <f>20.7093 * CHOOSE(CONTROL!$C$22, $C$13, 100%, $E$13)</f>
        <v>20.709299999999999</v>
      </c>
      <c r="K972" s="61">
        <f>20.711 * CHOOSE(CONTROL!$C$22, $C$13, 100%, $E$13)</f>
        <v>20.710999999999999</v>
      </c>
    </row>
    <row r="973" spans="1:11" ht="15">
      <c r="A973" s="13">
        <v>71468</v>
      </c>
      <c r="B973" s="60">
        <f>17.5882 * CHOOSE(CONTROL!$C$22, $C$13, 100%, $E$13)</f>
        <v>17.588200000000001</v>
      </c>
      <c r="C973" s="60">
        <f>17.5882 * CHOOSE(CONTROL!$C$22, $C$13, 100%, $E$13)</f>
        <v>17.588200000000001</v>
      </c>
      <c r="D973" s="60">
        <f>17.6133 * CHOOSE(CONTROL!$C$22, $C$13, 100%, $E$13)</f>
        <v>17.613299999999999</v>
      </c>
      <c r="E973" s="61">
        <f>20.6836 * CHOOSE(CONTROL!$C$22, $C$13, 100%, $E$13)</f>
        <v>20.683599999999998</v>
      </c>
      <c r="F973" s="61">
        <f>20.6836 * CHOOSE(CONTROL!$C$22, $C$13, 100%, $E$13)</f>
        <v>20.683599999999998</v>
      </c>
      <c r="G973" s="61">
        <f>20.6852 * CHOOSE(CONTROL!$C$22, $C$13, 100%, $E$13)</f>
        <v>20.685199999999998</v>
      </c>
      <c r="H973" s="61">
        <f>33.343* CHOOSE(CONTROL!$C$22, $C$13, 100%, $E$13)</f>
        <v>33.343000000000004</v>
      </c>
      <c r="I973" s="61">
        <f>33.3446 * CHOOSE(CONTROL!$C$22, $C$13, 100%, $E$13)</f>
        <v>33.3446</v>
      </c>
      <c r="J973" s="61">
        <f>20.6836 * CHOOSE(CONTROL!$C$22, $C$13, 100%, $E$13)</f>
        <v>20.683599999999998</v>
      </c>
      <c r="K973" s="61">
        <f>20.6852 * CHOOSE(CONTROL!$C$22, $C$13, 100%, $E$13)</f>
        <v>20.685199999999998</v>
      </c>
    </row>
    <row r="974" spans="1:11" ht="15">
      <c r="A974" s="13">
        <v>71498</v>
      </c>
      <c r="B974" s="60">
        <f>17.6277 * CHOOSE(CONTROL!$C$22, $C$13, 100%, $E$13)</f>
        <v>17.627700000000001</v>
      </c>
      <c r="C974" s="60">
        <f>17.6277 * CHOOSE(CONTROL!$C$22, $C$13, 100%, $E$13)</f>
        <v>17.627700000000001</v>
      </c>
      <c r="D974" s="60">
        <f>17.6403 * CHOOSE(CONTROL!$C$22, $C$13, 100%, $E$13)</f>
        <v>17.6403</v>
      </c>
      <c r="E974" s="61">
        <f>20.7647 * CHOOSE(CONTROL!$C$22, $C$13, 100%, $E$13)</f>
        <v>20.764700000000001</v>
      </c>
      <c r="F974" s="61">
        <f>20.7647 * CHOOSE(CONTROL!$C$22, $C$13, 100%, $E$13)</f>
        <v>20.764700000000001</v>
      </c>
      <c r="G974" s="61">
        <f>20.7649 * CHOOSE(CONTROL!$C$22, $C$13, 100%, $E$13)</f>
        <v>20.764900000000001</v>
      </c>
      <c r="H974" s="61">
        <f>33.4125* CHOOSE(CONTROL!$C$22, $C$13, 100%, $E$13)</f>
        <v>33.412500000000001</v>
      </c>
      <c r="I974" s="61">
        <f>33.4127 * CHOOSE(CONTROL!$C$22, $C$13, 100%, $E$13)</f>
        <v>33.412700000000001</v>
      </c>
      <c r="J974" s="61">
        <f>20.7647 * CHOOSE(CONTROL!$C$22, $C$13, 100%, $E$13)</f>
        <v>20.764700000000001</v>
      </c>
      <c r="K974" s="61">
        <f>20.7649 * CHOOSE(CONTROL!$C$22, $C$13, 100%, $E$13)</f>
        <v>20.764900000000001</v>
      </c>
    </row>
    <row r="975" spans="1:11" ht="15">
      <c r="A975" s="13">
        <v>71529</v>
      </c>
      <c r="B975" s="60">
        <f>17.6307 * CHOOSE(CONTROL!$C$22, $C$13, 100%, $E$13)</f>
        <v>17.630700000000001</v>
      </c>
      <c r="C975" s="60">
        <f>17.6307 * CHOOSE(CONTROL!$C$22, $C$13, 100%, $E$13)</f>
        <v>17.630700000000001</v>
      </c>
      <c r="D975" s="60">
        <f>17.6433 * CHOOSE(CONTROL!$C$22, $C$13, 100%, $E$13)</f>
        <v>17.6433</v>
      </c>
      <c r="E975" s="61">
        <f>20.8141 * CHOOSE(CONTROL!$C$22, $C$13, 100%, $E$13)</f>
        <v>20.8141</v>
      </c>
      <c r="F975" s="61">
        <f>20.8141 * CHOOSE(CONTROL!$C$22, $C$13, 100%, $E$13)</f>
        <v>20.8141</v>
      </c>
      <c r="G975" s="61">
        <f>20.8142 * CHOOSE(CONTROL!$C$22, $C$13, 100%, $E$13)</f>
        <v>20.8142</v>
      </c>
      <c r="H975" s="61">
        <f>33.4821* CHOOSE(CONTROL!$C$22, $C$13, 100%, $E$13)</f>
        <v>33.482100000000003</v>
      </c>
      <c r="I975" s="61">
        <f>33.4823 * CHOOSE(CONTROL!$C$22, $C$13, 100%, $E$13)</f>
        <v>33.482300000000002</v>
      </c>
      <c r="J975" s="61">
        <f>20.8141 * CHOOSE(CONTROL!$C$22, $C$13, 100%, $E$13)</f>
        <v>20.8141</v>
      </c>
      <c r="K975" s="61">
        <f>20.8142 * CHOOSE(CONTROL!$C$22, $C$13, 100%, $E$13)</f>
        <v>20.8142</v>
      </c>
    </row>
    <row r="976" spans="1:11" ht="15">
      <c r="A976" s="13">
        <v>71559</v>
      </c>
      <c r="B976" s="60">
        <f>17.6307 * CHOOSE(CONTROL!$C$22, $C$13, 100%, $E$13)</f>
        <v>17.630700000000001</v>
      </c>
      <c r="C976" s="60">
        <f>17.6307 * CHOOSE(CONTROL!$C$22, $C$13, 100%, $E$13)</f>
        <v>17.630700000000001</v>
      </c>
      <c r="D976" s="60">
        <f>17.6433 * CHOOSE(CONTROL!$C$22, $C$13, 100%, $E$13)</f>
        <v>17.6433</v>
      </c>
      <c r="E976" s="61">
        <f>20.6959 * CHOOSE(CONTROL!$C$22, $C$13, 100%, $E$13)</f>
        <v>20.695900000000002</v>
      </c>
      <c r="F976" s="61">
        <f>20.6959 * CHOOSE(CONTROL!$C$22, $C$13, 100%, $E$13)</f>
        <v>20.695900000000002</v>
      </c>
      <c r="G976" s="61">
        <f>20.6961 * CHOOSE(CONTROL!$C$22, $C$13, 100%, $E$13)</f>
        <v>20.696100000000001</v>
      </c>
      <c r="H976" s="61">
        <f>33.5519* CHOOSE(CONTROL!$C$22, $C$13, 100%, $E$13)</f>
        <v>33.551900000000003</v>
      </c>
      <c r="I976" s="61">
        <f>33.552 * CHOOSE(CONTROL!$C$22, $C$13, 100%, $E$13)</f>
        <v>33.552</v>
      </c>
      <c r="J976" s="61">
        <f>20.6959 * CHOOSE(CONTROL!$C$22, $C$13, 100%, $E$13)</f>
        <v>20.695900000000002</v>
      </c>
      <c r="K976" s="61">
        <f>20.6961 * CHOOSE(CONTROL!$C$22, $C$13, 100%, $E$13)</f>
        <v>20.696100000000001</v>
      </c>
    </row>
    <row r="977" spans="1:11" ht="15">
      <c r="A977" s="13">
        <v>71590</v>
      </c>
      <c r="B977" s="60">
        <f>17.5513 * CHOOSE(CONTROL!$C$22, $C$13, 100%, $E$13)</f>
        <v>17.551300000000001</v>
      </c>
      <c r="C977" s="60">
        <f>17.5513 * CHOOSE(CONTROL!$C$22, $C$13, 100%, $E$13)</f>
        <v>17.551300000000001</v>
      </c>
      <c r="D977" s="60">
        <f>17.5638 * CHOOSE(CONTROL!$C$22, $C$13, 100%, $E$13)</f>
        <v>17.563800000000001</v>
      </c>
      <c r="E977" s="61">
        <f>20.6834 * CHOOSE(CONTROL!$C$22, $C$13, 100%, $E$13)</f>
        <v>20.683399999999999</v>
      </c>
      <c r="F977" s="61">
        <f>20.6834 * CHOOSE(CONTROL!$C$22, $C$13, 100%, $E$13)</f>
        <v>20.683399999999999</v>
      </c>
      <c r="G977" s="61">
        <f>20.6836 * CHOOSE(CONTROL!$C$22, $C$13, 100%, $E$13)</f>
        <v>20.683599999999998</v>
      </c>
      <c r="H977" s="61">
        <f>33.2384* CHOOSE(CONTROL!$C$22, $C$13, 100%, $E$13)</f>
        <v>33.238399999999999</v>
      </c>
      <c r="I977" s="61">
        <f>33.2386 * CHOOSE(CONTROL!$C$22, $C$13, 100%, $E$13)</f>
        <v>33.238599999999998</v>
      </c>
      <c r="J977" s="61">
        <f>20.6834 * CHOOSE(CONTROL!$C$22, $C$13, 100%, $E$13)</f>
        <v>20.683399999999999</v>
      </c>
      <c r="K977" s="61">
        <f>20.6836 * CHOOSE(CONTROL!$C$22, $C$13, 100%, $E$13)</f>
        <v>20.683599999999998</v>
      </c>
    </row>
    <row r="978" spans="1:11" ht="15">
      <c r="A978" s="13">
        <v>71621</v>
      </c>
      <c r="B978" s="60">
        <f>17.5482 * CHOOSE(CONTROL!$C$22, $C$13, 100%, $E$13)</f>
        <v>17.548200000000001</v>
      </c>
      <c r="C978" s="60">
        <f>17.5482 * CHOOSE(CONTROL!$C$22, $C$13, 100%, $E$13)</f>
        <v>17.548200000000001</v>
      </c>
      <c r="D978" s="60">
        <f>17.5608 * CHOOSE(CONTROL!$C$22, $C$13, 100%, $E$13)</f>
        <v>17.5608</v>
      </c>
      <c r="E978" s="61">
        <f>20.4549 * CHOOSE(CONTROL!$C$22, $C$13, 100%, $E$13)</f>
        <v>20.454899999999999</v>
      </c>
      <c r="F978" s="61">
        <f>20.4549 * CHOOSE(CONTROL!$C$22, $C$13, 100%, $E$13)</f>
        <v>20.454899999999999</v>
      </c>
      <c r="G978" s="61">
        <f>20.455 * CHOOSE(CONTROL!$C$22, $C$13, 100%, $E$13)</f>
        <v>20.454999999999998</v>
      </c>
      <c r="H978" s="61">
        <f>33.3076* CHOOSE(CONTROL!$C$22, $C$13, 100%, $E$13)</f>
        <v>33.307600000000001</v>
      </c>
      <c r="I978" s="61">
        <f>33.3078 * CHOOSE(CONTROL!$C$22, $C$13, 100%, $E$13)</f>
        <v>33.3078</v>
      </c>
      <c r="J978" s="61">
        <f>20.4549 * CHOOSE(CONTROL!$C$22, $C$13, 100%, $E$13)</f>
        <v>20.454899999999999</v>
      </c>
      <c r="K978" s="61">
        <f>20.455 * CHOOSE(CONTROL!$C$22, $C$13, 100%, $E$13)</f>
        <v>20.454999999999998</v>
      </c>
    </row>
    <row r="979" spans="1:11" ht="15">
      <c r="A979" s="13">
        <v>71650</v>
      </c>
      <c r="B979" s="60">
        <f>17.5452 * CHOOSE(CONTROL!$C$22, $C$13, 100%, $E$13)</f>
        <v>17.545200000000001</v>
      </c>
      <c r="C979" s="60">
        <f>17.5452 * CHOOSE(CONTROL!$C$22, $C$13, 100%, $E$13)</f>
        <v>17.545200000000001</v>
      </c>
      <c r="D979" s="60">
        <f>17.5577 * CHOOSE(CONTROL!$C$22, $C$13, 100%, $E$13)</f>
        <v>17.557700000000001</v>
      </c>
      <c r="E979" s="61">
        <f>20.6312 * CHOOSE(CONTROL!$C$22, $C$13, 100%, $E$13)</f>
        <v>20.6312</v>
      </c>
      <c r="F979" s="61">
        <f>20.6312 * CHOOSE(CONTROL!$C$22, $C$13, 100%, $E$13)</f>
        <v>20.6312</v>
      </c>
      <c r="G979" s="61">
        <f>20.6314 * CHOOSE(CONTROL!$C$22, $C$13, 100%, $E$13)</f>
        <v>20.631399999999999</v>
      </c>
      <c r="H979" s="61">
        <f>33.377* CHOOSE(CONTROL!$C$22, $C$13, 100%, $E$13)</f>
        <v>33.377000000000002</v>
      </c>
      <c r="I979" s="61">
        <f>33.3772 * CHOOSE(CONTROL!$C$22, $C$13, 100%, $E$13)</f>
        <v>33.377200000000002</v>
      </c>
      <c r="J979" s="61">
        <f>20.6312 * CHOOSE(CONTROL!$C$22, $C$13, 100%, $E$13)</f>
        <v>20.6312</v>
      </c>
      <c r="K979" s="61">
        <f>20.6314 * CHOOSE(CONTROL!$C$22, $C$13, 100%, $E$13)</f>
        <v>20.631399999999999</v>
      </c>
    </row>
    <row r="980" spans="1:11" ht="15">
      <c r="A980" s="13">
        <v>71681</v>
      </c>
      <c r="B980" s="60">
        <f>17.5544 * CHOOSE(CONTROL!$C$22, $C$13, 100%, $E$13)</f>
        <v>17.554400000000001</v>
      </c>
      <c r="C980" s="60">
        <f>17.5544 * CHOOSE(CONTROL!$C$22, $C$13, 100%, $E$13)</f>
        <v>17.554400000000001</v>
      </c>
      <c r="D980" s="60">
        <f>17.5669 * CHOOSE(CONTROL!$C$22, $C$13, 100%, $E$13)</f>
        <v>17.5669</v>
      </c>
      <c r="E980" s="61">
        <f>20.8187 * CHOOSE(CONTROL!$C$22, $C$13, 100%, $E$13)</f>
        <v>20.8187</v>
      </c>
      <c r="F980" s="61">
        <f>20.8187 * CHOOSE(CONTROL!$C$22, $C$13, 100%, $E$13)</f>
        <v>20.8187</v>
      </c>
      <c r="G980" s="61">
        <f>20.8189 * CHOOSE(CONTROL!$C$22, $C$13, 100%, $E$13)</f>
        <v>20.818899999999999</v>
      </c>
      <c r="H980" s="61">
        <f>33.4466* CHOOSE(CONTROL!$C$22, $C$13, 100%, $E$13)</f>
        <v>33.446599999999997</v>
      </c>
      <c r="I980" s="61">
        <f>33.4467 * CHOOSE(CONTROL!$C$22, $C$13, 100%, $E$13)</f>
        <v>33.4467</v>
      </c>
      <c r="J980" s="61">
        <f>20.8187 * CHOOSE(CONTROL!$C$22, $C$13, 100%, $E$13)</f>
        <v>20.8187</v>
      </c>
      <c r="K980" s="61">
        <f>20.8189 * CHOOSE(CONTROL!$C$22, $C$13, 100%, $E$13)</f>
        <v>20.818899999999999</v>
      </c>
    </row>
    <row r="981" spans="1:11" ht="15">
      <c r="A981" s="13">
        <v>71711</v>
      </c>
      <c r="B981" s="60">
        <f>17.5544 * CHOOSE(CONTROL!$C$22, $C$13, 100%, $E$13)</f>
        <v>17.554400000000001</v>
      </c>
      <c r="C981" s="60">
        <f>17.5544 * CHOOSE(CONTROL!$C$22, $C$13, 100%, $E$13)</f>
        <v>17.554400000000001</v>
      </c>
      <c r="D981" s="60">
        <f>17.5795 * CHOOSE(CONTROL!$C$22, $C$13, 100%, $E$13)</f>
        <v>17.579499999999999</v>
      </c>
      <c r="E981" s="61">
        <f>20.8906 * CHOOSE(CONTROL!$C$22, $C$13, 100%, $E$13)</f>
        <v>20.890599999999999</v>
      </c>
      <c r="F981" s="61">
        <f>20.8906 * CHOOSE(CONTROL!$C$22, $C$13, 100%, $E$13)</f>
        <v>20.890599999999999</v>
      </c>
      <c r="G981" s="61">
        <f>20.8922 * CHOOSE(CONTROL!$C$22, $C$13, 100%, $E$13)</f>
        <v>20.892199999999999</v>
      </c>
      <c r="H981" s="61">
        <f>33.5162* CHOOSE(CONTROL!$C$22, $C$13, 100%, $E$13)</f>
        <v>33.516199999999998</v>
      </c>
      <c r="I981" s="61">
        <f>33.5178 * CHOOSE(CONTROL!$C$22, $C$13, 100%, $E$13)</f>
        <v>33.517800000000001</v>
      </c>
      <c r="J981" s="61">
        <f>20.8906 * CHOOSE(CONTROL!$C$22, $C$13, 100%, $E$13)</f>
        <v>20.890599999999999</v>
      </c>
      <c r="K981" s="61">
        <f>20.8922 * CHOOSE(CONTROL!$C$22, $C$13, 100%, $E$13)</f>
        <v>20.892199999999999</v>
      </c>
    </row>
    <row r="982" spans="1:11" ht="15">
      <c r="A982" s="13">
        <v>71742</v>
      </c>
      <c r="B982" s="60">
        <f>17.5604 * CHOOSE(CONTROL!$C$22, $C$13, 100%, $E$13)</f>
        <v>17.560400000000001</v>
      </c>
      <c r="C982" s="60">
        <f>17.5604 * CHOOSE(CONTROL!$C$22, $C$13, 100%, $E$13)</f>
        <v>17.560400000000001</v>
      </c>
      <c r="D982" s="60">
        <f>17.5855 * CHOOSE(CONTROL!$C$22, $C$13, 100%, $E$13)</f>
        <v>17.5855</v>
      </c>
      <c r="E982" s="61">
        <f>20.823 * CHOOSE(CONTROL!$C$22, $C$13, 100%, $E$13)</f>
        <v>20.823</v>
      </c>
      <c r="F982" s="61">
        <f>20.823 * CHOOSE(CONTROL!$C$22, $C$13, 100%, $E$13)</f>
        <v>20.823</v>
      </c>
      <c r="G982" s="61">
        <f>20.8246 * CHOOSE(CONTROL!$C$22, $C$13, 100%, $E$13)</f>
        <v>20.8246</v>
      </c>
      <c r="H982" s="61">
        <f>33.5861* CHOOSE(CONTROL!$C$22, $C$13, 100%, $E$13)</f>
        <v>33.586100000000002</v>
      </c>
      <c r="I982" s="61">
        <f>33.5877 * CHOOSE(CONTROL!$C$22, $C$13, 100%, $E$13)</f>
        <v>33.587699999999998</v>
      </c>
      <c r="J982" s="61">
        <f>20.823 * CHOOSE(CONTROL!$C$22, $C$13, 100%, $E$13)</f>
        <v>20.823</v>
      </c>
      <c r="K982" s="61">
        <f>20.8246 * CHOOSE(CONTROL!$C$22, $C$13, 100%, $E$13)</f>
        <v>20.8246</v>
      </c>
    </row>
    <row r="983" spans="1:11" ht="15">
      <c r="A983" s="13">
        <v>71772</v>
      </c>
      <c r="B983" s="60">
        <f>17.8338 * CHOOSE(CONTROL!$C$22, $C$13, 100%, $E$13)</f>
        <v>17.8338</v>
      </c>
      <c r="C983" s="60">
        <f>17.8338 * CHOOSE(CONTROL!$C$22, $C$13, 100%, $E$13)</f>
        <v>17.8338</v>
      </c>
      <c r="D983" s="60">
        <f>17.8589 * CHOOSE(CONTROL!$C$22, $C$13, 100%, $E$13)</f>
        <v>17.858899999999998</v>
      </c>
      <c r="E983" s="61">
        <f>21.2172 * CHOOSE(CONTROL!$C$22, $C$13, 100%, $E$13)</f>
        <v>21.217199999999998</v>
      </c>
      <c r="F983" s="61">
        <f>21.2172 * CHOOSE(CONTROL!$C$22, $C$13, 100%, $E$13)</f>
        <v>21.217199999999998</v>
      </c>
      <c r="G983" s="61">
        <f>21.2188 * CHOOSE(CONTROL!$C$22, $C$13, 100%, $E$13)</f>
        <v>21.218800000000002</v>
      </c>
      <c r="H983" s="61">
        <f>33.656* CHOOSE(CONTROL!$C$22, $C$13, 100%, $E$13)</f>
        <v>33.655999999999999</v>
      </c>
      <c r="I983" s="61">
        <f>33.6576 * CHOOSE(CONTROL!$C$22, $C$13, 100%, $E$13)</f>
        <v>33.657600000000002</v>
      </c>
      <c r="J983" s="61">
        <f>21.2172 * CHOOSE(CONTROL!$C$22, $C$13, 100%, $E$13)</f>
        <v>21.217199999999998</v>
      </c>
      <c r="K983" s="61">
        <f>21.2188 * CHOOSE(CONTROL!$C$22, $C$13, 100%, $E$13)</f>
        <v>21.218800000000002</v>
      </c>
    </row>
    <row r="984" spans="1:11" ht="15">
      <c r="A984" s="13">
        <v>71803</v>
      </c>
      <c r="B984" s="60">
        <f>17.8405 * CHOOSE(CONTROL!$C$22, $C$13, 100%, $E$13)</f>
        <v>17.840499999999999</v>
      </c>
      <c r="C984" s="60">
        <f>17.8405 * CHOOSE(CONTROL!$C$22, $C$13, 100%, $E$13)</f>
        <v>17.840499999999999</v>
      </c>
      <c r="D984" s="60">
        <f>17.8656 * CHOOSE(CONTROL!$C$22, $C$13, 100%, $E$13)</f>
        <v>17.865600000000001</v>
      </c>
      <c r="E984" s="61">
        <f>21.0062 * CHOOSE(CONTROL!$C$22, $C$13, 100%, $E$13)</f>
        <v>21.0062</v>
      </c>
      <c r="F984" s="61">
        <f>21.0062 * CHOOSE(CONTROL!$C$22, $C$13, 100%, $E$13)</f>
        <v>21.0062</v>
      </c>
      <c r="G984" s="61">
        <f>21.0078 * CHOOSE(CONTROL!$C$22, $C$13, 100%, $E$13)</f>
        <v>21.0078</v>
      </c>
      <c r="H984" s="61">
        <f>33.7262* CHOOSE(CONTROL!$C$22, $C$13, 100%, $E$13)</f>
        <v>33.726199999999999</v>
      </c>
      <c r="I984" s="61">
        <f>33.7278 * CHOOSE(CONTROL!$C$22, $C$13, 100%, $E$13)</f>
        <v>33.727800000000002</v>
      </c>
      <c r="J984" s="61">
        <f>21.0062 * CHOOSE(CONTROL!$C$22, $C$13, 100%, $E$13)</f>
        <v>21.0062</v>
      </c>
      <c r="K984" s="61">
        <f>21.0078 * CHOOSE(CONTROL!$C$22, $C$13, 100%, $E$13)</f>
        <v>21.0078</v>
      </c>
    </row>
    <row r="985" spans="1:11" ht="15">
      <c r="A985" s="13">
        <v>71834</v>
      </c>
      <c r="B985" s="60">
        <f>17.8375 * CHOOSE(CONTROL!$C$22, $C$13, 100%, $E$13)</f>
        <v>17.837499999999999</v>
      </c>
      <c r="C985" s="60">
        <f>17.8375 * CHOOSE(CONTROL!$C$22, $C$13, 100%, $E$13)</f>
        <v>17.837499999999999</v>
      </c>
      <c r="D985" s="60">
        <f>17.8625 * CHOOSE(CONTROL!$C$22, $C$13, 100%, $E$13)</f>
        <v>17.862500000000001</v>
      </c>
      <c r="E985" s="61">
        <f>20.9801 * CHOOSE(CONTROL!$C$22, $C$13, 100%, $E$13)</f>
        <v>20.9801</v>
      </c>
      <c r="F985" s="61">
        <f>20.9801 * CHOOSE(CONTROL!$C$22, $C$13, 100%, $E$13)</f>
        <v>20.9801</v>
      </c>
      <c r="G985" s="61">
        <f>20.9817 * CHOOSE(CONTROL!$C$22, $C$13, 100%, $E$13)</f>
        <v>20.9817</v>
      </c>
      <c r="H985" s="61">
        <f>33.7964* CHOOSE(CONTROL!$C$22, $C$13, 100%, $E$13)</f>
        <v>33.796399999999998</v>
      </c>
      <c r="I985" s="61">
        <f>33.798 * CHOOSE(CONTROL!$C$22, $C$13, 100%, $E$13)</f>
        <v>33.798000000000002</v>
      </c>
      <c r="J985" s="61">
        <f>20.9801 * CHOOSE(CONTROL!$C$22, $C$13, 100%, $E$13)</f>
        <v>20.9801</v>
      </c>
      <c r="K985" s="61">
        <f>20.9817 * CHOOSE(CONTROL!$C$22, $C$13, 100%, $E$13)</f>
        <v>20.9817</v>
      </c>
    </row>
    <row r="986" spans="1:11" ht="15">
      <c r="A986" s="13">
        <v>71864</v>
      </c>
      <c r="B986" s="60">
        <f>17.8777 * CHOOSE(CONTROL!$C$22, $C$13, 100%, $E$13)</f>
        <v>17.877700000000001</v>
      </c>
      <c r="C986" s="60">
        <f>17.8777 * CHOOSE(CONTROL!$C$22, $C$13, 100%, $E$13)</f>
        <v>17.877700000000001</v>
      </c>
      <c r="D986" s="60">
        <f>17.8903 * CHOOSE(CONTROL!$C$22, $C$13, 100%, $E$13)</f>
        <v>17.8903</v>
      </c>
      <c r="E986" s="61">
        <f>21.0625 * CHOOSE(CONTROL!$C$22, $C$13, 100%, $E$13)</f>
        <v>21.0625</v>
      </c>
      <c r="F986" s="61">
        <f>21.0625 * CHOOSE(CONTROL!$C$22, $C$13, 100%, $E$13)</f>
        <v>21.0625</v>
      </c>
      <c r="G986" s="61">
        <f>21.0627 * CHOOSE(CONTROL!$C$22, $C$13, 100%, $E$13)</f>
        <v>21.0627</v>
      </c>
      <c r="H986" s="61">
        <f>33.8668* CHOOSE(CONTROL!$C$22, $C$13, 100%, $E$13)</f>
        <v>33.866799999999998</v>
      </c>
      <c r="I986" s="61">
        <f>33.867 * CHOOSE(CONTROL!$C$22, $C$13, 100%, $E$13)</f>
        <v>33.866999999999997</v>
      </c>
      <c r="J986" s="61">
        <f>21.0625 * CHOOSE(CONTROL!$C$22, $C$13, 100%, $E$13)</f>
        <v>21.0625</v>
      </c>
      <c r="K986" s="61">
        <f>21.0627 * CHOOSE(CONTROL!$C$22, $C$13, 100%, $E$13)</f>
        <v>21.0627</v>
      </c>
    </row>
    <row r="987" spans="1:11" ht="15">
      <c r="A987" s="13">
        <v>71895</v>
      </c>
      <c r="B987" s="60">
        <f>17.8808 * CHOOSE(CONTROL!$C$22, $C$13, 100%, $E$13)</f>
        <v>17.880800000000001</v>
      </c>
      <c r="C987" s="60">
        <f>17.8808 * CHOOSE(CONTROL!$C$22, $C$13, 100%, $E$13)</f>
        <v>17.880800000000001</v>
      </c>
      <c r="D987" s="60">
        <f>17.8933 * CHOOSE(CONTROL!$C$22, $C$13, 100%, $E$13)</f>
        <v>17.8933</v>
      </c>
      <c r="E987" s="61">
        <f>21.1126 * CHOOSE(CONTROL!$C$22, $C$13, 100%, $E$13)</f>
        <v>21.1126</v>
      </c>
      <c r="F987" s="61">
        <f>21.1126 * CHOOSE(CONTROL!$C$22, $C$13, 100%, $E$13)</f>
        <v>21.1126</v>
      </c>
      <c r="G987" s="61">
        <f>21.1128 * CHOOSE(CONTROL!$C$22, $C$13, 100%, $E$13)</f>
        <v>21.1128</v>
      </c>
      <c r="H987" s="61">
        <f>33.9374* CHOOSE(CONTROL!$C$22, $C$13, 100%, $E$13)</f>
        <v>33.937399999999997</v>
      </c>
      <c r="I987" s="61">
        <f>33.9376 * CHOOSE(CONTROL!$C$22, $C$13, 100%, $E$13)</f>
        <v>33.937600000000003</v>
      </c>
      <c r="J987" s="61">
        <f>21.1126 * CHOOSE(CONTROL!$C$22, $C$13, 100%, $E$13)</f>
        <v>21.1126</v>
      </c>
      <c r="K987" s="61">
        <f>21.1128 * CHOOSE(CONTROL!$C$22, $C$13, 100%, $E$13)</f>
        <v>21.1128</v>
      </c>
    </row>
    <row r="988" spans="1:11" ht="15">
      <c r="A988" s="13">
        <v>71925</v>
      </c>
      <c r="B988" s="60">
        <f>17.8808 * CHOOSE(CONTROL!$C$22, $C$13, 100%, $E$13)</f>
        <v>17.880800000000001</v>
      </c>
      <c r="C988" s="60">
        <f>17.8808 * CHOOSE(CONTROL!$C$22, $C$13, 100%, $E$13)</f>
        <v>17.880800000000001</v>
      </c>
      <c r="D988" s="60">
        <f>17.8933 * CHOOSE(CONTROL!$C$22, $C$13, 100%, $E$13)</f>
        <v>17.8933</v>
      </c>
      <c r="E988" s="61">
        <f>20.9928 * CHOOSE(CONTROL!$C$22, $C$13, 100%, $E$13)</f>
        <v>20.992799999999999</v>
      </c>
      <c r="F988" s="61">
        <f>20.9928 * CHOOSE(CONTROL!$C$22, $C$13, 100%, $E$13)</f>
        <v>20.992799999999999</v>
      </c>
      <c r="G988" s="61">
        <f>20.9929 * CHOOSE(CONTROL!$C$22, $C$13, 100%, $E$13)</f>
        <v>20.992899999999999</v>
      </c>
      <c r="H988" s="61">
        <f>34.0081* CHOOSE(CONTROL!$C$22, $C$13, 100%, $E$13)</f>
        <v>34.008099999999999</v>
      </c>
      <c r="I988" s="61">
        <f>34.0083 * CHOOSE(CONTROL!$C$22, $C$13, 100%, $E$13)</f>
        <v>34.008299999999998</v>
      </c>
      <c r="J988" s="61">
        <f>20.9928 * CHOOSE(CONTROL!$C$22, $C$13, 100%, $E$13)</f>
        <v>20.992799999999999</v>
      </c>
      <c r="K988" s="61">
        <f>20.9929 * CHOOSE(CONTROL!$C$22, $C$13, 100%, $E$13)</f>
        <v>20.992899999999999</v>
      </c>
    </row>
    <row r="989" spans="1:11" ht="15">
      <c r="A989" s="13">
        <v>71956</v>
      </c>
      <c r="B989" s="60">
        <f>17.7966 * CHOOSE(CONTROL!$C$22, $C$13, 100%, $E$13)</f>
        <v>17.796600000000002</v>
      </c>
      <c r="C989" s="60">
        <f>17.7966 * CHOOSE(CONTROL!$C$22, $C$13, 100%, $E$13)</f>
        <v>17.796600000000002</v>
      </c>
      <c r="D989" s="60">
        <f>17.8091 * CHOOSE(CONTROL!$C$22, $C$13, 100%, $E$13)</f>
        <v>17.809100000000001</v>
      </c>
      <c r="E989" s="61">
        <f>20.9758 * CHOOSE(CONTROL!$C$22, $C$13, 100%, $E$13)</f>
        <v>20.9758</v>
      </c>
      <c r="F989" s="61">
        <f>20.9758 * CHOOSE(CONTROL!$C$22, $C$13, 100%, $E$13)</f>
        <v>20.9758</v>
      </c>
      <c r="G989" s="61">
        <f>20.976 * CHOOSE(CONTROL!$C$22, $C$13, 100%, $E$13)</f>
        <v>20.975999999999999</v>
      </c>
      <c r="H989" s="61">
        <f>33.6843* CHOOSE(CONTROL!$C$22, $C$13, 100%, $E$13)</f>
        <v>33.6843</v>
      </c>
      <c r="I989" s="61">
        <f>33.6845 * CHOOSE(CONTROL!$C$22, $C$13, 100%, $E$13)</f>
        <v>33.6845</v>
      </c>
      <c r="J989" s="61">
        <f>20.9758 * CHOOSE(CONTROL!$C$22, $C$13, 100%, $E$13)</f>
        <v>20.9758</v>
      </c>
      <c r="K989" s="61">
        <f>20.976 * CHOOSE(CONTROL!$C$22, $C$13, 100%, $E$13)</f>
        <v>20.975999999999999</v>
      </c>
    </row>
    <row r="990" spans="1:11" ht="15">
      <c r="A990" s="13">
        <v>71987</v>
      </c>
      <c r="B990" s="60">
        <f>17.7936 * CHOOSE(CONTROL!$C$22, $C$13, 100%, $E$13)</f>
        <v>17.793600000000001</v>
      </c>
      <c r="C990" s="60">
        <f>17.7936 * CHOOSE(CONTROL!$C$22, $C$13, 100%, $E$13)</f>
        <v>17.793600000000001</v>
      </c>
      <c r="D990" s="60">
        <f>17.8061 * CHOOSE(CONTROL!$C$22, $C$13, 100%, $E$13)</f>
        <v>17.806100000000001</v>
      </c>
      <c r="E990" s="61">
        <f>20.7441 * CHOOSE(CONTROL!$C$22, $C$13, 100%, $E$13)</f>
        <v>20.7441</v>
      </c>
      <c r="F990" s="61">
        <f>20.7441 * CHOOSE(CONTROL!$C$22, $C$13, 100%, $E$13)</f>
        <v>20.7441</v>
      </c>
      <c r="G990" s="61">
        <f>20.7442 * CHOOSE(CONTROL!$C$22, $C$13, 100%, $E$13)</f>
        <v>20.744199999999999</v>
      </c>
      <c r="H990" s="61">
        <f>33.7545* CHOOSE(CONTROL!$C$22, $C$13, 100%, $E$13)</f>
        <v>33.7545</v>
      </c>
      <c r="I990" s="61">
        <f>33.7546 * CHOOSE(CONTROL!$C$22, $C$13, 100%, $E$13)</f>
        <v>33.754600000000003</v>
      </c>
      <c r="J990" s="61">
        <f>20.7441 * CHOOSE(CONTROL!$C$22, $C$13, 100%, $E$13)</f>
        <v>20.7441</v>
      </c>
      <c r="K990" s="61">
        <f>20.7442 * CHOOSE(CONTROL!$C$22, $C$13, 100%, $E$13)</f>
        <v>20.744199999999999</v>
      </c>
    </row>
    <row r="991" spans="1:11" ht="15">
      <c r="A991" s="13">
        <v>72015</v>
      </c>
      <c r="B991" s="60">
        <f>17.7905 * CHOOSE(CONTROL!$C$22, $C$13, 100%, $E$13)</f>
        <v>17.790500000000002</v>
      </c>
      <c r="C991" s="60">
        <f>17.7905 * CHOOSE(CONTROL!$C$22, $C$13, 100%, $E$13)</f>
        <v>17.790500000000002</v>
      </c>
      <c r="D991" s="60">
        <f>17.8031 * CHOOSE(CONTROL!$C$22, $C$13, 100%, $E$13)</f>
        <v>17.803100000000001</v>
      </c>
      <c r="E991" s="61">
        <f>20.923 * CHOOSE(CONTROL!$C$22, $C$13, 100%, $E$13)</f>
        <v>20.922999999999998</v>
      </c>
      <c r="F991" s="61">
        <f>20.923 * CHOOSE(CONTROL!$C$22, $C$13, 100%, $E$13)</f>
        <v>20.922999999999998</v>
      </c>
      <c r="G991" s="61">
        <f>20.9232 * CHOOSE(CONTROL!$C$22, $C$13, 100%, $E$13)</f>
        <v>20.923200000000001</v>
      </c>
      <c r="H991" s="61">
        <f>33.8248* CHOOSE(CONTROL!$C$22, $C$13, 100%, $E$13)</f>
        <v>33.824800000000003</v>
      </c>
      <c r="I991" s="61">
        <f>33.825 * CHOOSE(CONTROL!$C$22, $C$13, 100%, $E$13)</f>
        <v>33.825000000000003</v>
      </c>
      <c r="J991" s="61">
        <f>20.923 * CHOOSE(CONTROL!$C$22, $C$13, 100%, $E$13)</f>
        <v>20.922999999999998</v>
      </c>
      <c r="K991" s="61">
        <f>20.9232 * CHOOSE(CONTROL!$C$22, $C$13, 100%, $E$13)</f>
        <v>20.923200000000001</v>
      </c>
    </row>
    <row r="992" spans="1:11" ht="15">
      <c r="A992" s="13">
        <v>72046</v>
      </c>
      <c r="B992" s="60">
        <f>17.7999 * CHOOSE(CONTROL!$C$22, $C$13, 100%, $E$13)</f>
        <v>17.799900000000001</v>
      </c>
      <c r="C992" s="60">
        <f>17.7999 * CHOOSE(CONTROL!$C$22, $C$13, 100%, $E$13)</f>
        <v>17.799900000000001</v>
      </c>
      <c r="D992" s="60">
        <f>17.8124 * CHOOSE(CONTROL!$C$22, $C$13, 100%, $E$13)</f>
        <v>17.8124</v>
      </c>
      <c r="E992" s="61">
        <f>21.1132 * CHOOSE(CONTROL!$C$22, $C$13, 100%, $E$13)</f>
        <v>21.113199999999999</v>
      </c>
      <c r="F992" s="61">
        <f>21.1132 * CHOOSE(CONTROL!$C$22, $C$13, 100%, $E$13)</f>
        <v>21.113199999999999</v>
      </c>
      <c r="G992" s="61">
        <f>21.1133 * CHOOSE(CONTROL!$C$22, $C$13, 100%, $E$13)</f>
        <v>21.113299999999999</v>
      </c>
      <c r="H992" s="61">
        <f>33.8952* CHOOSE(CONTROL!$C$22, $C$13, 100%, $E$13)</f>
        <v>33.895200000000003</v>
      </c>
      <c r="I992" s="61">
        <f>33.8954 * CHOOSE(CONTROL!$C$22, $C$13, 100%, $E$13)</f>
        <v>33.895400000000002</v>
      </c>
      <c r="J992" s="61">
        <f>21.1132 * CHOOSE(CONTROL!$C$22, $C$13, 100%, $E$13)</f>
        <v>21.113199999999999</v>
      </c>
      <c r="K992" s="61">
        <f>21.1133 * CHOOSE(CONTROL!$C$22, $C$13, 100%, $E$13)</f>
        <v>21.113299999999999</v>
      </c>
    </row>
    <row r="993" spans="1:11" ht="15">
      <c r="A993" s="13">
        <v>72076</v>
      </c>
      <c r="B993" s="60">
        <f>17.7999 * CHOOSE(CONTROL!$C$22, $C$13, 100%, $E$13)</f>
        <v>17.799900000000001</v>
      </c>
      <c r="C993" s="60">
        <f>17.7999 * CHOOSE(CONTROL!$C$22, $C$13, 100%, $E$13)</f>
        <v>17.799900000000001</v>
      </c>
      <c r="D993" s="60">
        <f>17.825 * CHOOSE(CONTROL!$C$22, $C$13, 100%, $E$13)</f>
        <v>17.824999999999999</v>
      </c>
      <c r="E993" s="61">
        <f>21.1861 * CHOOSE(CONTROL!$C$22, $C$13, 100%, $E$13)</f>
        <v>21.1861</v>
      </c>
      <c r="F993" s="61">
        <f>21.1861 * CHOOSE(CONTROL!$C$22, $C$13, 100%, $E$13)</f>
        <v>21.1861</v>
      </c>
      <c r="G993" s="61">
        <f>21.1877 * CHOOSE(CONTROL!$C$22, $C$13, 100%, $E$13)</f>
        <v>21.1877</v>
      </c>
      <c r="H993" s="61">
        <f>33.9659* CHOOSE(CONTROL!$C$22, $C$13, 100%, $E$13)</f>
        <v>33.965899999999998</v>
      </c>
      <c r="I993" s="61">
        <f>33.9675 * CHOOSE(CONTROL!$C$22, $C$13, 100%, $E$13)</f>
        <v>33.967500000000001</v>
      </c>
      <c r="J993" s="61">
        <f>21.1861 * CHOOSE(CONTROL!$C$22, $C$13, 100%, $E$13)</f>
        <v>21.1861</v>
      </c>
      <c r="K993" s="61">
        <f>21.1877 * CHOOSE(CONTROL!$C$22, $C$13, 100%, $E$13)</f>
        <v>21.1877</v>
      </c>
    </row>
    <row r="994" spans="1:11" ht="15">
      <c r="A994" s="13">
        <v>72107</v>
      </c>
      <c r="B994" s="60">
        <f>17.806 * CHOOSE(CONTROL!$C$22, $C$13, 100%, $E$13)</f>
        <v>17.806000000000001</v>
      </c>
      <c r="C994" s="60">
        <f>17.806 * CHOOSE(CONTROL!$C$22, $C$13, 100%, $E$13)</f>
        <v>17.806000000000001</v>
      </c>
      <c r="D994" s="60">
        <f>17.8311 * CHOOSE(CONTROL!$C$22, $C$13, 100%, $E$13)</f>
        <v>17.831099999999999</v>
      </c>
      <c r="E994" s="61">
        <f>21.1174 * CHOOSE(CONTROL!$C$22, $C$13, 100%, $E$13)</f>
        <v>21.1174</v>
      </c>
      <c r="F994" s="61">
        <f>21.1174 * CHOOSE(CONTROL!$C$22, $C$13, 100%, $E$13)</f>
        <v>21.1174</v>
      </c>
      <c r="G994" s="61">
        <f>21.119 * CHOOSE(CONTROL!$C$22, $C$13, 100%, $E$13)</f>
        <v>21.119</v>
      </c>
      <c r="H994" s="61">
        <f>34.0366* CHOOSE(CONTROL!$C$22, $C$13, 100%, $E$13)</f>
        <v>34.0366</v>
      </c>
      <c r="I994" s="61">
        <f>34.0382 * CHOOSE(CONTROL!$C$22, $C$13, 100%, $E$13)</f>
        <v>34.038200000000003</v>
      </c>
      <c r="J994" s="61">
        <f>21.1174 * CHOOSE(CONTROL!$C$22, $C$13, 100%, $E$13)</f>
        <v>21.1174</v>
      </c>
      <c r="K994" s="61">
        <f>21.119 * CHOOSE(CONTROL!$C$22, $C$13, 100%, $E$13)</f>
        <v>21.119</v>
      </c>
    </row>
    <row r="995" spans="1:11" ht="15">
      <c r="A995" s="13">
        <v>72137</v>
      </c>
      <c r="B995" s="60">
        <f>18.083 * CHOOSE(CONTROL!$C$22, $C$13, 100%, $E$13)</f>
        <v>18.082999999999998</v>
      </c>
      <c r="C995" s="60">
        <f>18.083 * CHOOSE(CONTROL!$C$22, $C$13, 100%, $E$13)</f>
        <v>18.082999999999998</v>
      </c>
      <c r="D995" s="60">
        <f>18.1081 * CHOOSE(CONTROL!$C$22, $C$13, 100%, $E$13)</f>
        <v>18.1081</v>
      </c>
      <c r="E995" s="61">
        <f>21.5171 * CHOOSE(CONTROL!$C$22, $C$13, 100%, $E$13)</f>
        <v>21.517099999999999</v>
      </c>
      <c r="F995" s="61">
        <f>21.5171 * CHOOSE(CONTROL!$C$22, $C$13, 100%, $E$13)</f>
        <v>21.517099999999999</v>
      </c>
      <c r="G995" s="61">
        <f>21.5187 * CHOOSE(CONTROL!$C$22, $C$13, 100%, $E$13)</f>
        <v>21.518699999999999</v>
      </c>
      <c r="H995" s="61">
        <f>34.1075* CHOOSE(CONTROL!$C$22, $C$13, 100%, $E$13)</f>
        <v>34.107500000000002</v>
      </c>
      <c r="I995" s="61">
        <f>34.1091 * CHOOSE(CONTROL!$C$22, $C$13, 100%, $E$13)</f>
        <v>34.109099999999998</v>
      </c>
      <c r="J995" s="61">
        <f>21.5171 * CHOOSE(CONTROL!$C$22, $C$13, 100%, $E$13)</f>
        <v>21.517099999999999</v>
      </c>
      <c r="K995" s="61">
        <f>21.5187 * CHOOSE(CONTROL!$C$22, $C$13, 100%, $E$13)</f>
        <v>21.518699999999999</v>
      </c>
    </row>
    <row r="996" spans="1:11" ht="15">
      <c r="A996" s="13">
        <v>72168</v>
      </c>
      <c r="B996" s="60">
        <f>18.0897 * CHOOSE(CONTROL!$C$22, $C$13, 100%, $E$13)</f>
        <v>18.089700000000001</v>
      </c>
      <c r="C996" s="60">
        <f>18.0897 * CHOOSE(CONTROL!$C$22, $C$13, 100%, $E$13)</f>
        <v>18.089700000000001</v>
      </c>
      <c r="D996" s="60">
        <f>18.1148 * CHOOSE(CONTROL!$C$22, $C$13, 100%, $E$13)</f>
        <v>18.114799999999999</v>
      </c>
      <c r="E996" s="61">
        <f>21.303 * CHOOSE(CONTROL!$C$22, $C$13, 100%, $E$13)</f>
        <v>21.303000000000001</v>
      </c>
      <c r="F996" s="61">
        <f>21.303 * CHOOSE(CONTROL!$C$22, $C$13, 100%, $E$13)</f>
        <v>21.303000000000001</v>
      </c>
      <c r="G996" s="61">
        <f>21.3046 * CHOOSE(CONTROL!$C$22, $C$13, 100%, $E$13)</f>
        <v>21.304600000000001</v>
      </c>
      <c r="H996" s="61">
        <f>34.1786* CHOOSE(CONTROL!$C$22, $C$13, 100%, $E$13)</f>
        <v>34.178600000000003</v>
      </c>
      <c r="I996" s="61">
        <f>34.1802 * CHOOSE(CONTROL!$C$22, $C$13, 100%, $E$13)</f>
        <v>34.180199999999999</v>
      </c>
      <c r="J996" s="61">
        <f>21.303 * CHOOSE(CONTROL!$C$22, $C$13, 100%, $E$13)</f>
        <v>21.303000000000001</v>
      </c>
      <c r="K996" s="61">
        <f>21.3046 * CHOOSE(CONTROL!$C$22, $C$13, 100%, $E$13)</f>
        <v>21.304600000000001</v>
      </c>
    </row>
    <row r="997" spans="1:11" ht="15">
      <c r="A997" s="13">
        <v>72199</v>
      </c>
      <c r="B997" s="60">
        <f>18.0867 * CHOOSE(CONTROL!$C$22, $C$13, 100%, $E$13)</f>
        <v>18.0867</v>
      </c>
      <c r="C997" s="60">
        <f>18.0867 * CHOOSE(CONTROL!$C$22, $C$13, 100%, $E$13)</f>
        <v>18.0867</v>
      </c>
      <c r="D997" s="60">
        <f>18.1118 * CHOOSE(CONTROL!$C$22, $C$13, 100%, $E$13)</f>
        <v>18.111799999999999</v>
      </c>
      <c r="E997" s="61">
        <f>21.2766 * CHOOSE(CONTROL!$C$22, $C$13, 100%, $E$13)</f>
        <v>21.276599999999998</v>
      </c>
      <c r="F997" s="61">
        <f>21.2766 * CHOOSE(CONTROL!$C$22, $C$13, 100%, $E$13)</f>
        <v>21.276599999999998</v>
      </c>
      <c r="G997" s="61">
        <f>21.2782 * CHOOSE(CONTROL!$C$22, $C$13, 100%, $E$13)</f>
        <v>21.278199999999998</v>
      </c>
      <c r="H997" s="61">
        <f>34.2498* CHOOSE(CONTROL!$C$22, $C$13, 100%, $E$13)</f>
        <v>34.2498</v>
      </c>
      <c r="I997" s="61">
        <f>34.2514 * CHOOSE(CONTROL!$C$22, $C$13, 100%, $E$13)</f>
        <v>34.251399999999997</v>
      </c>
      <c r="J997" s="61">
        <f>21.2766 * CHOOSE(CONTROL!$C$22, $C$13, 100%, $E$13)</f>
        <v>21.276599999999998</v>
      </c>
      <c r="K997" s="61">
        <f>21.2782 * CHOOSE(CONTROL!$C$22, $C$13, 100%, $E$13)</f>
        <v>21.278199999999998</v>
      </c>
    </row>
    <row r="998" spans="1:11" ht="15">
      <c r="A998" s="13">
        <v>72229</v>
      </c>
      <c r="B998" s="60">
        <f>18.1277 * CHOOSE(CONTROL!$C$22, $C$13, 100%, $E$13)</f>
        <v>18.127700000000001</v>
      </c>
      <c r="C998" s="60">
        <f>18.1277 * CHOOSE(CONTROL!$C$22, $C$13, 100%, $E$13)</f>
        <v>18.127700000000001</v>
      </c>
      <c r="D998" s="60">
        <f>18.1403 * CHOOSE(CONTROL!$C$22, $C$13, 100%, $E$13)</f>
        <v>18.1403</v>
      </c>
      <c r="E998" s="61">
        <f>21.3604 * CHOOSE(CONTROL!$C$22, $C$13, 100%, $E$13)</f>
        <v>21.360399999999998</v>
      </c>
      <c r="F998" s="61">
        <f>21.3604 * CHOOSE(CONTROL!$C$22, $C$13, 100%, $E$13)</f>
        <v>21.360399999999998</v>
      </c>
      <c r="G998" s="61">
        <f>21.3606 * CHOOSE(CONTROL!$C$22, $C$13, 100%, $E$13)</f>
        <v>21.360600000000002</v>
      </c>
      <c r="H998" s="61">
        <f>34.3211* CHOOSE(CONTROL!$C$22, $C$13, 100%, $E$13)</f>
        <v>34.321100000000001</v>
      </c>
      <c r="I998" s="61">
        <f>34.3213 * CHOOSE(CONTROL!$C$22, $C$13, 100%, $E$13)</f>
        <v>34.321300000000001</v>
      </c>
      <c r="J998" s="61">
        <f>21.3604 * CHOOSE(CONTROL!$C$22, $C$13, 100%, $E$13)</f>
        <v>21.360399999999998</v>
      </c>
      <c r="K998" s="61">
        <f>21.3606 * CHOOSE(CONTROL!$C$22, $C$13, 100%, $E$13)</f>
        <v>21.360600000000002</v>
      </c>
    </row>
    <row r="999" spans="1:11" ht="15">
      <c r="A999" s="13">
        <v>72260</v>
      </c>
      <c r="B999" s="60">
        <f>18.1308 * CHOOSE(CONTROL!$C$22, $C$13, 100%, $E$13)</f>
        <v>18.130800000000001</v>
      </c>
      <c r="C999" s="60">
        <f>18.1308 * CHOOSE(CONTROL!$C$22, $C$13, 100%, $E$13)</f>
        <v>18.130800000000001</v>
      </c>
      <c r="D999" s="60">
        <f>18.1433 * CHOOSE(CONTROL!$C$22, $C$13, 100%, $E$13)</f>
        <v>18.1433</v>
      </c>
      <c r="E999" s="61">
        <f>21.4111 * CHOOSE(CONTROL!$C$22, $C$13, 100%, $E$13)</f>
        <v>21.411100000000001</v>
      </c>
      <c r="F999" s="61">
        <f>21.4111 * CHOOSE(CONTROL!$C$22, $C$13, 100%, $E$13)</f>
        <v>21.411100000000001</v>
      </c>
      <c r="G999" s="61">
        <f>21.4113 * CHOOSE(CONTROL!$C$22, $C$13, 100%, $E$13)</f>
        <v>21.411300000000001</v>
      </c>
      <c r="H999" s="61">
        <f>34.3927* CHOOSE(CONTROL!$C$22, $C$13, 100%, $E$13)</f>
        <v>34.392699999999998</v>
      </c>
      <c r="I999" s="61">
        <f>34.3928 * CHOOSE(CONTROL!$C$22, $C$13, 100%, $E$13)</f>
        <v>34.392800000000001</v>
      </c>
      <c r="J999" s="61">
        <f>21.4111 * CHOOSE(CONTROL!$C$22, $C$13, 100%, $E$13)</f>
        <v>21.411100000000001</v>
      </c>
      <c r="K999" s="61">
        <f>21.4113 * CHOOSE(CONTROL!$C$22, $C$13, 100%, $E$13)</f>
        <v>21.411300000000001</v>
      </c>
    </row>
    <row r="1000" spans="1:11" ht="15">
      <c r="A1000" s="13">
        <v>72290</v>
      </c>
      <c r="B1000" s="60">
        <f>18.1308 * CHOOSE(CONTROL!$C$22, $C$13, 100%, $E$13)</f>
        <v>18.130800000000001</v>
      </c>
      <c r="C1000" s="60">
        <f>18.1308 * CHOOSE(CONTROL!$C$22, $C$13, 100%, $E$13)</f>
        <v>18.130800000000001</v>
      </c>
      <c r="D1000" s="60">
        <f>18.1433 * CHOOSE(CONTROL!$C$22, $C$13, 100%, $E$13)</f>
        <v>18.1433</v>
      </c>
      <c r="E1000" s="61">
        <f>21.2896 * CHOOSE(CONTROL!$C$22, $C$13, 100%, $E$13)</f>
        <v>21.2896</v>
      </c>
      <c r="F1000" s="61">
        <f>21.2896 * CHOOSE(CONTROL!$C$22, $C$13, 100%, $E$13)</f>
        <v>21.2896</v>
      </c>
      <c r="G1000" s="61">
        <f>21.2898 * CHOOSE(CONTROL!$C$22, $C$13, 100%, $E$13)</f>
        <v>21.2898</v>
      </c>
      <c r="H1000" s="61">
        <f>34.4643* CHOOSE(CONTROL!$C$22, $C$13, 100%, $E$13)</f>
        <v>34.464300000000001</v>
      </c>
      <c r="I1000" s="61">
        <f>34.4645 * CHOOSE(CONTROL!$C$22, $C$13, 100%, $E$13)</f>
        <v>34.464500000000001</v>
      </c>
      <c r="J1000" s="61">
        <f>21.2896 * CHOOSE(CONTROL!$C$22, $C$13, 100%, $E$13)</f>
        <v>21.2896</v>
      </c>
      <c r="K1000" s="61">
        <f>21.2898 * CHOOSE(CONTROL!$C$22, $C$13, 100%, $E$13)</f>
        <v>21.2898</v>
      </c>
    </row>
    <row r="1001" spans="1:11" ht="15">
      <c r="A1001" s="13">
        <v>72321</v>
      </c>
      <c r="B1001" s="60">
        <f>18.0419 * CHOOSE(CONTROL!$C$22, $C$13, 100%, $E$13)</f>
        <v>18.041899999999998</v>
      </c>
      <c r="C1001" s="60">
        <f>18.0419 * CHOOSE(CONTROL!$C$22, $C$13, 100%, $E$13)</f>
        <v>18.041899999999998</v>
      </c>
      <c r="D1001" s="60">
        <f>18.0545 * CHOOSE(CONTROL!$C$22, $C$13, 100%, $E$13)</f>
        <v>18.054500000000001</v>
      </c>
      <c r="E1001" s="61">
        <f>21.2682 * CHOOSE(CONTROL!$C$22, $C$13, 100%, $E$13)</f>
        <v>21.2682</v>
      </c>
      <c r="F1001" s="61">
        <f>21.2682 * CHOOSE(CONTROL!$C$22, $C$13, 100%, $E$13)</f>
        <v>21.2682</v>
      </c>
      <c r="G1001" s="61">
        <f>21.2684 * CHOOSE(CONTROL!$C$22, $C$13, 100%, $E$13)</f>
        <v>21.2684</v>
      </c>
      <c r="H1001" s="61">
        <f>34.1302* CHOOSE(CONTROL!$C$22, $C$13, 100%, $E$13)</f>
        <v>34.130200000000002</v>
      </c>
      <c r="I1001" s="61">
        <f>34.1303 * CHOOSE(CONTROL!$C$22, $C$13, 100%, $E$13)</f>
        <v>34.130299999999998</v>
      </c>
      <c r="J1001" s="61">
        <f>21.2682 * CHOOSE(CONTROL!$C$22, $C$13, 100%, $E$13)</f>
        <v>21.2682</v>
      </c>
      <c r="K1001" s="61">
        <f>21.2684 * CHOOSE(CONTROL!$C$22, $C$13, 100%, $E$13)</f>
        <v>21.2684</v>
      </c>
    </row>
    <row r="1002" spans="1:11" ht="15">
      <c r="A1002" s="13">
        <v>72352</v>
      </c>
      <c r="B1002" s="60">
        <f>18.0389 * CHOOSE(CONTROL!$C$22, $C$13, 100%, $E$13)</f>
        <v>18.038900000000002</v>
      </c>
      <c r="C1002" s="60">
        <f>18.0389 * CHOOSE(CONTROL!$C$22, $C$13, 100%, $E$13)</f>
        <v>18.038900000000002</v>
      </c>
      <c r="D1002" s="60">
        <f>18.0514 * CHOOSE(CONTROL!$C$22, $C$13, 100%, $E$13)</f>
        <v>18.051400000000001</v>
      </c>
      <c r="E1002" s="61">
        <f>21.0333 * CHOOSE(CONTROL!$C$22, $C$13, 100%, $E$13)</f>
        <v>21.033300000000001</v>
      </c>
      <c r="F1002" s="61">
        <f>21.0333 * CHOOSE(CONTROL!$C$22, $C$13, 100%, $E$13)</f>
        <v>21.033300000000001</v>
      </c>
      <c r="G1002" s="61">
        <f>21.0334 * CHOOSE(CONTROL!$C$22, $C$13, 100%, $E$13)</f>
        <v>21.0334</v>
      </c>
      <c r="H1002" s="61">
        <f>34.2013* CHOOSE(CONTROL!$C$22, $C$13, 100%, $E$13)</f>
        <v>34.201300000000003</v>
      </c>
      <c r="I1002" s="61">
        <f>34.2015 * CHOOSE(CONTROL!$C$22, $C$13, 100%, $E$13)</f>
        <v>34.201500000000003</v>
      </c>
      <c r="J1002" s="61">
        <f>21.0333 * CHOOSE(CONTROL!$C$22, $C$13, 100%, $E$13)</f>
        <v>21.033300000000001</v>
      </c>
      <c r="K1002" s="61">
        <f>21.0334 * CHOOSE(CONTROL!$C$22, $C$13, 100%, $E$13)</f>
        <v>21.0334</v>
      </c>
    </row>
    <row r="1003" spans="1:11" ht="15">
      <c r="A1003" s="13">
        <v>72380</v>
      </c>
      <c r="B1003" s="60">
        <f>18.0358 * CHOOSE(CONTROL!$C$22, $C$13, 100%, $E$13)</f>
        <v>18.035799999999998</v>
      </c>
      <c r="C1003" s="60">
        <f>18.0358 * CHOOSE(CONTROL!$C$22, $C$13, 100%, $E$13)</f>
        <v>18.035799999999998</v>
      </c>
      <c r="D1003" s="60">
        <f>18.0484 * CHOOSE(CONTROL!$C$22, $C$13, 100%, $E$13)</f>
        <v>18.048400000000001</v>
      </c>
      <c r="E1003" s="61">
        <f>21.2147 * CHOOSE(CONTROL!$C$22, $C$13, 100%, $E$13)</f>
        <v>21.214700000000001</v>
      </c>
      <c r="F1003" s="61">
        <f>21.2147 * CHOOSE(CONTROL!$C$22, $C$13, 100%, $E$13)</f>
        <v>21.214700000000001</v>
      </c>
      <c r="G1003" s="61">
        <f>21.2149 * CHOOSE(CONTROL!$C$22, $C$13, 100%, $E$13)</f>
        <v>21.2149</v>
      </c>
      <c r="H1003" s="61">
        <f>34.2725* CHOOSE(CONTROL!$C$22, $C$13, 100%, $E$13)</f>
        <v>34.272500000000001</v>
      </c>
      <c r="I1003" s="61">
        <f>34.2727 * CHOOSE(CONTROL!$C$22, $C$13, 100%, $E$13)</f>
        <v>34.2727</v>
      </c>
      <c r="J1003" s="61">
        <f>21.2147 * CHOOSE(CONTROL!$C$22, $C$13, 100%, $E$13)</f>
        <v>21.214700000000001</v>
      </c>
      <c r="K1003" s="61">
        <f>21.2149 * CHOOSE(CONTROL!$C$22, $C$13, 100%, $E$13)</f>
        <v>21.2149</v>
      </c>
    </row>
    <row r="1004" spans="1:11" ht="15">
      <c r="A1004" s="13">
        <v>72411</v>
      </c>
      <c r="B1004" s="60">
        <f>18.0454 * CHOOSE(CONTROL!$C$22, $C$13, 100%, $E$13)</f>
        <v>18.045400000000001</v>
      </c>
      <c r="C1004" s="60">
        <f>18.0454 * CHOOSE(CONTROL!$C$22, $C$13, 100%, $E$13)</f>
        <v>18.045400000000001</v>
      </c>
      <c r="D1004" s="60">
        <f>18.058 * CHOOSE(CONTROL!$C$22, $C$13, 100%, $E$13)</f>
        <v>18.058</v>
      </c>
      <c r="E1004" s="61">
        <f>21.4076 * CHOOSE(CONTROL!$C$22, $C$13, 100%, $E$13)</f>
        <v>21.407599999999999</v>
      </c>
      <c r="F1004" s="61">
        <f>21.4076 * CHOOSE(CONTROL!$C$22, $C$13, 100%, $E$13)</f>
        <v>21.407599999999999</v>
      </c>
      <c r="G1004" s="61">
        <f>21.4078 * CHOOSE(CONTROL!$C$22, $C$13, 100%, $E$13)</f>
        <v>21.407800000000002</v>
      </c>
      <c r="H1004" s="61">
        <f>34.3439* CHOOSE(CONTROL!$C$22, $C$13, 100%, $E$13)</f>
        <v>34.343899999999998</v>
      </c>
      <c r="I1004" s="61">
        <f>34.3441 * CHOOSE(CONTROL!$C$22, $C$13, 100%, $E$13)</f>
        <v>34.344099999999997</v>
      </c>
      <c r="J1004" s="61">
        <f>21.4076 * CHOOSE(CONTROL!$C$22, $C$13, 100%, $E$13)</f>
        <v>21.407599999999999</v>
      </c>
      <c r="K1004" s="61">
        <f>21.4078 * CHOOSE(CONTROL!$C$22, $C$13, 100%, $E$13)</f>
        <v>21.407800000000002</v>
      </c>
    </row>
    <row r="1005" spans="1:11" ht="15">
      <c r="A1005" s="13">
        <v>72441</v>
      </c>
      <c r="B1005" s="60">
        <f>18.0454 * CHOOSE(CONTROL!$C$22, $C$13, 100%, $E$13)</f>
        <v>18.045400000000001</v>
      </c>
      <c r="C1005" s="60">
        <f>18.0454 * CHOOSE(CONTROL!$C$22, $C$13, 100%, $E$13)</f>
        <v>18.045400000000001</v>
      </c>
      <c r="D1005" s="60">
        <f>18.0705 * CHOOSE(CONTROL!$C$22, $C$13, 100%, $E$13)</f>
        <v>18.070499999999999</v>
      </c>
      <c r="E1005" s="61">
        <f>21.4815 * CHOOSE(CONTROL!$C$22, $C$13, 100%, $E$13)</f>
        <v>21.4815</v>
      </c>
      <c r="F1005" s="61">
        <f>21.4815 * CHOOSE(CONTROL!$C$22, $C$13, 100%, $E$13)</f>
        <v>21.4815</v>
      </c>
      <c r="G1005" s="61">
        <f>21.4831 * CHOOSE(CONTROL!$C$22, $C$13, 100%, $E$13)</f>
        <v>21.4831</v>
      </c>
      <c r="H1005" s="61">
        <f>34.4155* CHOOSE(CONTROL!$C$22, $C$13, 100%, $E$13)</f>
        <v>34.415500000000002</v>
      </c>
      <c r="I1005" s="61">
        <f>34.4171 * CHOOSE(CONTROL!$C$22, $C$13, 100%, $E$13)</f>
        <v>34.417099999999998</v>
      </c>
      <c r="J1005" s="61">
        <f>21.4815 * CHOOSE(CONTROL!$C$22, $C$13, 100%, $E$13)</f>
        <v>21.4815</v>
      </c>
      <c r="K1005" s="61">
        <f>21.4831 * CHOOSE(CONTROL!$C$22, $C$13, 100%, $E$13)</f>
        <v>21.4831</v>
      </c>
    </row>
    <row r="1006" spans="1:11" ht="15">
      <c r="A1006" s="13">
        <v>72472</v>
      </c>
      <c r="B1006" s="60">
        <f>18.0515 * CHOOSE(CONTROL!$C$22, $C$13, 100%, $E$13)</f>
        <v>18.051500000000001</v>
      </c>
      <c r="C1006" s="60">
        <f>18.0515 * CHOOSE(CONTROL!$C$22, $C$13, 100%, $E$13)</f>
        <v>18.051500000000001</v>
      </c>
      <c r="D1006" s="60">
        <f>18.0766 * CHOOSE(CONTROL!$C$22, $C$13, 100%, $E$13)</f>
        <v>18.076599999999999</v>
      </c>
      <c r="E1006" s="61">
        <f>21.4118 * CHOOSE(CONTROL!$C$22, $C$13, 100%, $E$13)</f>
        <v>21.411799999999999</v>
      </c>
      <c r="F1006" s="61">
        <f>21.4118 * CHOOSE(CONTROL!$C$22, $C$13, 100%, $E$13)</f>
        <v>21.411799999999999</v>
      </c>
      <c r="G1006" s="61">
        <f>21.4134 * CHOOSE(CONTROL!$C$22, $C$13, 100%, $E$13)</f>
        <v>21.413399999999999</v>
      </c>
      <c r="H1006" s="61">
        <f>34.4872* CHOOSE(CONTROL!$C$22, $C$13, 100%, $E$13)</f>
        <v>34.487200000000001</v>
      </c>
      <c r="I1006" s="61">
        <f>34.4888 * CHOOSE(CONTROL!$C$22, $C$13, 100%, $E$13)</f>
        <v>34.488799999999998</v>
      </c>
      <c r="J1006" s="61">
        <f>21.4118 * CHOOSE(CONTROL!$C$22, $C$13, 100%, $E$13)</f>
        <v>21.411799999999999</v>
      </c>
      <c r="K1006" s="61">
        <f>21.4134 * CHOOSE(CONTROL!$C$22, $C$13, 100%, $E$13)</f>
        <v>21.413399999999999</v>
      </c>
    </row>
    <row r="1007" spans="1:11" ht="15">
      <c r="A1007" s="13">
        <v>72502</v>
      </c>
      <c r="B1007" s="60">
        <f>18.3322 * CHOOSE(CONTROL!$C$22, $C$13, 100%, $E$13)</f>
        <v>18.3322</v>
      </c>
      <c r="C1007" s="60">
        <f>18.3322 * CHOOSE(CONTROL!$C$22, $C$13, 100%, $E$13)</f>
        <v>18.3322</v>
      </c>
      <c r="D1007" s="60">
        <f>18.3573 * CHOOSE(CONTROL!$C$22, $C$13, 100%, $E$13)</f>
        <v>18.357299999999999</v>
      </c>
      <c r="E1007" s="61">
        <f>21.817 * CHOOSE(CONTROL!$C$22, $C$13, 100%, $E$13)</f>
        <v>21.817</v>
      </c>
      <c r="F1007" s="61">
        <f>21.817 * CHOOSE(CONTROL!$C$22, $C$13, 100%, $E$13)</f>
        <v>21.817</v>
      </c>
      <c r="G1007" s="61">
        <f>21.8186 * CHOOSE(CONTROL!$C$22, $C$13, 100%, $E$13)</f>
        <v>21.8186</v>
      </c>
      <c r="H1007" s="61">
        <f>34.559* CHOOSE(CONTROL!$C$22, $C$13, 100%, $E$13)</f>
        <v>34.558999999999997</v>
      </c>
      <c r="I1007" s="61">
        <f>34.5606 * CHOOSE(CONTROL!$C$22, $C$13, 100%, $E$13)</f>
        <v>34.560600000000001</v>
      </c>
      <c r="J1007" s="61">
        <f>21.817 * CHOOSE(CONTROL!$C$22, $C$13, 100%, $E$13)</f>
        <v>21.817</v>
      </c>
      <c r="K1007" s="61">
        <f>21.8186 * CHOOSE(CONTROL!$C$22, $C$13, 100%, $E$13)</f>
        <v>21.8186</v>
      </c>
    </row>
    <row r="1008" spans="1:11" ht="15">
      <c r="A1008" s="13">
        <v>72533</v>
      </c>
      <c r="B1008" s="60">
        <f>18.3389 * CHOOSE(CONTROL!$C$22, $C$13, 100%, $E$13)</f>
        <v>18.338899999999999</v>
      </c>
      <c r="C1008" s="60">
        <f>18.3389 * CHOOSE(CONTROL!$C$22, $C$13, 100%, $E$13)</f>
        <v>18.338899999999999</v>
      </c>
      <c r="D1008" s="60">
        <f>18.364 * CHOOSE(CONTROL!$C$22, $C$13, 100%, $E$13)</f>
        <v>18.364000000000001</v>
      </c>
      <c r="E1008" s="61">
        <f>21.5998 * CHOOSE(CONTROL!$C$22, $C$13, 100%, $E$13)</f>
        <v>21.599799999999998</v>
      </c>
      <c r="F1008" s="61">
        <f>21.5998 * CHOOSE(CONTROL!$C$22, $C$13, 100%, $E$13)</f>
        <v>21.599799999999998</v>
      </c>
      <c r="G1008" s="61">
        <f>21.6014 * CHOOSE(CONTROL!$C$22, $C$13, 100%, $E$13)</f>
        <v>21.601400000000002</v>
      </c>
      <c r="H1008" s="61">
        <f>34.631* CHOOSE(CONTROL!$C$22, $C$13, 100%, $E$13)</f>
        <v>34.631</v>
      </c>
      <c r="I1008" s="61">
        <f>34.6326 * CHOOSE(CONTROL!$C$22, $C$13, 100%, $E$13)</f>
        <v>34.632599999999996</v>
      </c>
      <c r="J1008" s="61">
        <f>21.5998 * CHOOSE(CONTROL!$C$22, $C$13, 100%, $E$13)</f>
        <v>21.599799999999998</v>
      </c>
      <c r="K1008" s="61">
        <f>21.6014 * CHOOSE(CONTROL!$C$22, $C$13, 100%, $E$13)</f>
        <v>21.601400000000002</v>
      </c>
    </row>
    <row r="1009" spans="1:11" ht="15">
      <c r="A1009" s="13">
        <v>72564</v>
      </c>
      <c r="B1009" s="60">
        <f>18.3359 * CHOOSE(CONTROL!$C$22, $C$13, 100%, $E$13)</f>
        <v>18.335899999999999</v>
      </c>
      <c r="C1009" s="60">
        <f>18.3359 * CHOOSE(CONTROL!$C$22, $C$13, 100%, $E$13)</f>
        <v>18.335899999999999</v>
      </c>
      <c r="D1009" s="60">
        <f>18.361 * CHOOSE(CONTROL!$C$22, $C$13, 100%, $E$13)</f>
        <v>18.361000000000001</v>
      </c>
      <c r="E1009" s="61">
        <f>21.5731 * CHOOSE(CONTROL!$C$22, $C$13, 100%, $E$13)</f>
        <v>21.5731</v>
      </c>
      <c r="F1009" s="61">
        <f>21.5731 * CHOOSE(CONTROL!$C$22, $C$13, 100%, $E$13)</f>
        <v>21.5731</v>
      </c>
      <c r="G1009" s="61">
        <f>21.5747 * CHOOSE(CONTROL!$C$22, $C$13, 100%, $E$13)</f>
        <v>21.5747</v>
      </c>
      <c r="H1009" s="61">
        <f>34.7032* CHOOSE(CONTROL!$C$22, $C$13, 100%, $E$13)</f>
        <v>34.703200000000002</v>
      </c>
      <c r="I1009" s="61">
        <f>34.7048 * CHOOSE(CONTROL!$C$22, $C$13, 100%, $E$13)</f>
        <v>34.704799999999999</v>
      </c>
      <c r="J1009" s="61">
        <f>21.5731 * CHOOSE(CONTROL!$C$22, $C$13, 100%, $E$13)</f>
        <v>21.5731</v>
      </c>
      <c r="K1009" s="61">
        <f>21.5747 * CHOOSE(CONTROL!$C$22, $C$13, 100%, $E$13)</f>
        <v>21.5747</v>
      </c>
    </row>
    <row r="1010" spans="1:11" ht="15">
      <c r="A1010" s="13">
        <v>72594</v>
      </c>
      <c r="B1010" s="60">
        <f>18.3778 * CHOOSE(CONTROL!$C$22, $C$13, 100%, $E$13)</f>
        <v>18.377800000000001</v>
      </c>
      <c r="C1010" s="60">
        <f>18.3778 * CHOOSE(CONTROL!$C$22, $C$13, 100%, $E$13)</f>
        <v>18.377800000000001</v>
      </c>
      <c r="D1010" s="60">
        <f>18.3903 * CHOOSE(CONTROL!$C$22, $C$13, 100%, $E$13)</f>
        <v>18.3903</v>
      </c>
      <c r="E1010" s="61">
        <f>21.6582 * CHOOSE(CONTROL!$C$22, $C$13, 100%, $E$13)</f>
        <v>21.658200000000001</v>
      </c>
      <c r="F1010" s="61">
        <f>21.6582 * CHOOSE(CONTROL!$C$22, $C$13, 100%, $E$13)</f>
        <v>21.658200000000001</v>
      </c>
      <c r="G1010" s="61">
        <f>21.6584 * CHOOSE(CONTROL!$C$22, $C$13, 100%, $E$13)</f>
        <v>21.6584</v>
      </c>
      <c r="H1010" s="61">
        <f>34.7755* CHOOSE(CONTROL!$C$22, $C$13, 100%, $E$13)</f>
        <v>34.775500000000001</v>
      </c>
      <c r="I1010" s="61">
        <f>34.7756 * CHOOSE(CONTROL!$C$22, $C$13, 100%, $E$13)</f>
        <v>34.775599999999997</v>
      </c>
      <c r="J1010" s="61">
        <f>21.6582 * CHOOSE(CONTROL!$C$22, $C$13, 100%, $E$13)</f>
        <v>21.658200000000001</v>
      </c>
      <c r="K1010" s="61">
        <f>21.6584 * CHOOSE(CONTROL!$C$22, $C$13, 100%, $E$13)</f>
        <v>21.6584</v>
      </c>
    </row>
    <row r="1011" spans="1:11" ht="15">
      <c r="A1011" s="13">
        <v>72625</v>
      </c>
      <c r="B1011" s="60">
        <f>18.3808 * CHOOSE(CONTROL!$C$22, $C$13, 100%, $E$13)</f>
        <v>18.380800000000001</v>
      </c>
      <c r="C1011" s="60">
        <f>18.3808 * CHOOSE(CONTROL!$C$22, $C$13, 100%, $E$13)</f>
        <v>18.380800000000001</v>
      </c>
      <c r="D1011" s="60">
        <f>18.3933 * CHOOSE(CONTROL!$C$22, $C$13, 100%, $E$13)</f>
        <v>18.3933</v>
      </c>
      <c r="E1011" s="61">
        <f>21.7096 * CHOOSE(CONTROL!$C$22, $C$13, 100%, $E$13)</f>
        <v>21.709599999999998</v>
      </c>
      <c r="F1011" s="61">
        <f>21.7096 * CHOOSE(CONTROL!$C$22, $C$13, 100%, $E$13)</f>
        <v>21.709599999999998</v>
      </c>
      <c r="G1011" s="61">
        <f>21.7098 * CHOOSE(CONTROL!$C$22, $C$13, 100%, $E$13)</f>
        <v>21.709800000000001</v>
      </c>
      <c r="H1011" s="61">
        <f>34.8479* CHOOSE(CONTROL!$C$22, $C$13, 100%, $E$13)</f>
        <v>34.847900000000003</v>
      </c>
      <c r="I1011" s="61">
        <f>34.8481 * CHOOSE(CONTROL!$C$22, $C$13, 100%, $E$13)</f>
        <v>34.848100000000002</v>
      </c>
      <c r="J1011" s="61">
        <f>21.7096 * CHOOSE(CONTROL!$C$22, $C$13, 100%, $E$13)</f>
        <v>21.709599999999998</v>
      </c>
      <c r="K1011" s="61">
        <f>21.7098 * CHOOSE(CONTROL!$C$22, $C$13, 100%, $E$13)</f>
        <v>21.709800000000001</v>
      </c>
    </row>
    <row r="1012" spans="1:11" ht="15">
      <c r="A1012" s="13">
        <v>72655</v>
      </c>
      <c r="B1012" s="60">
        <f>18.3808 * CHOOSE(CONTROL!$C$22, $C$13, 100%, $E$13)</f>
        <v>18.380800000000001</v>
      </c>
      <c r="C1012" s="60">
        <f>18.3808 * CHOOSE(CONTROL!$C$22, $C$13, 100%, $E$13)</f>
        <v>18.380800000000001</v>
      </c>
      <c r="D1012" s="60">
        <f>18.3933 * CHOOSE(CONTROL!$C$22, $C$13, 100%, $E$13)</f>
        <v>18.3933</v>
      </c>
      <c r="E1012" s="61">
        <f>21.5864 * CHOOSE(CONTROL!$C$22, $C$13, 100%, $E$13)</f>
        <v>21.586400000000001</v>
      </c>
      <c r="F1012" s="61">
        <f>21.5864 * CHOOSE(CONTROL!$C$22, $C$13, 100%, $E$13)</f>
        <v>21.586400000000001</v>
      </c>
      <c r="G1012" s="61">
        <f>21.5866 * CHOOSE(CONTROL!$C$22, $C$13, 100%, $E$13)</f>
        <v>21.586600000000001</v>
      </c>
      <c r="H1012" s="61">
        <f>34.9205* CHOOSE(CONTROL!$C$22, $C$13, 100%, $E$13)</f>
        <v>34.920499999999997</v>
      </c>
      <c r="I1012" s="61">
        <f>34.9207 * CHOOSE(CONTROL!$C$22, $C$13, 100%, $E$13)</f>
        <v>34.920699999999997</v>
      </c>
      <c r="J1012" s="61">
        <f>21.5864 * CHOOSE(CONTROL!$C$22, $C$13, 100%, $E$13)</f>
        <v>21.586400000000001</v>
      </c>
      <c r="K1012" s="61">
        <f>21.5866 * CHOOSE(CONTROL!$C$22, $C$13, 100%, $E$13)</f>
        <v>21.586600000000001</v>
      </c>
    </row>
    <row r="1013" spans="1:11" ht="15">
      <c r="A1013" s="13">
        <v>72686</v>
      </c>
      <c r="B1013" s="60">
        <f>18.2872 * CHOOSE(CONTROL!$C$22, $C$13, 100%, $E$13)</f>
        <v>18.287199999999999</v>
      </c>
      <c r="C1013" s="60">
        <f>18.2872 * CHOOSE(CONTROL!$C$22, $C$13, 100%, $E$13)</f>
        <v>18.287199999999999</v>
      </c>
      <c r="D1013" s="60">
        <f>18.2998 * CHOOSE(CONTROL!$C$22, $C$13, 100%, $E$13)</f>
        <v>18.299800000000001</v>
      </c>
      <c r="E1013" s="61">
        <f>21.5606 * CHOOSE(CONTROL!$C$22, $C$13, 100%, $E$13)</f>
        <v>21.560600000000001</v>
      </c>
      <c r="F1013" s="61">
        <f>21.5606 * CHOOSE(CONTROL!$C$22, $C$13, 100%, $E$13)</f>
        <v>21.560600000000001</v>
      </c>
      <c r="G1013" s="61">
        <f>21.5608 * CHOOSE(CONTROL!$C$22, $C$13, 100%, $E$13)</f>
        <v>21.5608</v>
      </c>
      <c r="H1013" s="61">
        <f>34.5761* CHOOSE(CONTROL!$C$22, $C$13, 100%, $E$13)</f>
        <v>34.576099999999997</v>
      </c>
      <c r="I1013" s="61">
        <f>34.5762 * CHOOSE(CONTROL!$C$22, $C$13, 100%, $E$13)</f>
        <v>34.5762</v>
      </c>
      <c r="J1013" s="61">
        <f>21.5606 * CHOOSE(CONTROL!$C$22, $C$13, 100%, $E$13)</f>
        <v>21.560600000000001</v>
      </c>
      <c r="K1013" s="61">
        <f>21.5608 * CHOOSE(CONTROL!$C$22, $C$13, 100%, $E$13)</f>
        <v>21.5608</v>
      </c>
    </row>
    <row r="1014" spans="1:11" ht="15">
      <c r="A1014" s="13">
        <v>72717</v>
      </c>
      <c r="B1014" s="60">
        <f>18.2842 * CHOOSE(CONTROL!$C$22, $C$13, 100%, $E$13)</f>
        <v>18.284199999999998</v>
      </c>
      <c r="C1014" s="60">
        <f>18.2842 * CHOOSE(CONTROL!$C$22, $C$13, 100%, $E$13)</f>
        <v>18.284199999999998</v>
      </c>
      <c r="D1014" s="60">
        <f>18.2967 * CHOOSE(CONTROL!$C$22, $C$13, 100%, $E$13)</f>
        <v>18.296700000000001</v>
      </c>
      <c r="E1014" s="61">
        <f>21.3225 * CHOOSE(CONTROL!$C$22, $C$13, 100%, $E$13)</f>
        <v>21.322500000000002</v>
      </c>
      <c r="F1014" s="61">
        <f>21.3225 * CHOOSE(CONTROL!$C$22, $C$13, 100%, $E$13)</f>
        <v>21.322500000000002</v>
      </c>
      <c r="G1014" s="61">
        <f>21.3227 * CHOOSE(CONTROL!$C$22, $C$13, 100%, $E$13)</f>
        <v>21.322700000000001</v>
      </c>
      <c r="H1014" s="61">
        <f>34.6481* CHOOSE(CONTROL!$C$22, $C$13, 100%, $E$13)</f>
        <v>34.648099999999999</v>
      </c>
      <c r="I1014" s="61">
        <f>34.6483 * CHOOSE(CONTROL!$C$22, $C$13, 100%, $E$13)</f>
        <v>34.648299999999999</v>
      </c>
      <c r="J1014" s="61">
        <f>21.3225 * CHOOSE(CONTROL!$C$22, $C$13, 100%, $E$13)</f>
        <v>21.322500000000002</v>
      </c>
      <c r="K1014" s="61">
        <f>21.3227 * CHOOSE(CONTROL!$C$22, $C$13, 100%, $E$13)</f>
        <v>21.322700000000001</v>
      </c>
    </row>
    <row r="1015" spans="1:11" ht="15">
      <c r="A1015" s="13">
        <v>72745</v>
      </c>
      <c r="B1015" s="60">
        <f>18.2812 * CHOOSE(CONTROL!$C$22, $C$13, 100%, $E$13)</f>
        <v>18.281199999999998</v>
      </c>
      <c r="C1015" s="60">
        <f>18.2812 * CHOOSE(CONTROL!$C$22, $C$13, 100%, $E$13)</f>
        <v>18.281199999999998</v>
      </c>
      <c r="D1015" s="60">
        <f>18.2937 * CHOOSE(CONTROL!$C$22, $C$13, 100%, $E$13)</f>
        <v>18.293700000000001</v>
      </c>
      <c r="E1015" s="61">
        <f>21.5064 * CHOOSE(CONTROL!$C$22, $C$13, 100%, $E$13)</f>
        <v>21.506399999999999</v>
      </c>
      <c r="F1015" s="61">
        <f>21.5064 * CHOOSE(CONTROL!$C$22, $C$13, 100%, $E$13)</f>
        <v>21.506399999999999</v>
      </c>
      <c r="G1015" s="61">
        <f>21.5066 * CHOOSE(CONTROL!$C$22, $C$13, 100%, $E$13)</f>
        <v>21.506599999999999</v>
      </c>
      <c r="H1015" s="61">
        <f>34.7203* CHOOSE(CONTROL!$C$22, $C$13, 100%, $E$13)</f>
        <v>34.720300000000002</v>
      </c>
      <c r="I1015" s="61">
        <f>34.7205 * CHOOSE(CONTROL!$C$22, $C$13, 100%, $E$13)</f>
        <v>34.720500000000001</v>
      </c>
      <c r="J1015" s="61">
        <f>21.5064 * CHOOSE(CONTROL!$C$22, $C$13, 100%, $E$13)</f>
        <v>21.506399999999999</v>
      </c>
      <c r="K1015" s="61">
        <f>21.5066 * CHOOSE(CONTROL!$C$22, $C$13, 100%, $E$13)</f>
        <v>21.506599999999999</v>
      </c>
    </row>
    <row r="1016" spans="1:11" ht="15">
      <c r="A1016" s="13">
        <v>72776</v>
      </c>
      <c r="B1016" s="60">
        <f>18.2909 * CHOOSE(CONTROL!$C$22, $C$13, 100%, $E$13)</f>
        <v>18.290900000000001</v>
      </c>
      <c r="C1016" s="60">
        <f>18.2909 * CHOOSE(CONTROL!$C$22, $C$13, 100%, $E$13)</f>
        <v>18.290900000000001</v>
      </c>
      <c r="D1016" s="60">
        <f>18.3035 * CHOOSE(CONTROL!$C$22, $C$13, 100%, $E$13)</f>
        <v>18.3035</v>
      </c>
      <c r="E1016" s="61">
        <f>21.7021 * CHOOSE(CONTROL!$C$22, $C$13, 100%, $E$13)</f>
        <v>21.702100000000002</v>
      </c>
      <c r="F1016" s="61">
        <f>21.7021 * CHOOSE(CONTROL!$C$22, $C$13, 100%, $E$13)</f>
        <v>21.702100000000002</v>
      </c>
      <c r="G1016" s="61">
        <f>21.7022 * CHOOSE(CONTROL!$C$22, $C$13, 100%, $E$13)</f>
        <v>21.702200000000001</v>
      </c>
      <c r="H1016" s="61">
        <f>34.7926* CHOOSE(CONTROL!$C$22, $C$13, 100%, $E$13)</f>
        <v>34.7926</v>
      </c>
      <c r="I1016" s="61">
        <f>34.7928 * CHOOSE(CONTROL!$C$22, $C$13, 100%, $E$13)</f>
        <v>34.7928</v>
      </c>
      <c r="J1016" s="61">
        <f>21.7021 * CHOOSE(CONTROL!$C$22, $C$13, 100%, $E$13)</f>
        <v>21.702100000000002</v>
      </c>
      <c r="K1016" s="61">
        <f>21.7022 * CHOOSE(CONTROL!$C$22, $C$13, 100%, $E$13)</f>
        <v>21.702200000000001</v>
      </c>
    </row>
    <row r="1017" spans="1:11" ht="15">
      <c r="A1017" s="13">
        <v>72806</v>
      </c>
      <c r="B1017" s="60">
        <f>18.2909 * CHOOSE(CONTROL!$C$22, $C$13, 100%, $E$13)</f>
        <v>18.290900000000001</v>
      </c>
      <c r="C1017" s="60">
        <f>18.2909 * CHOOSE(CONTROL!$C$22, $C$13, 100%, $E$13)</f>
        <v>18.290900000000001</v>
      </c>
      <c r="D1017" s="60">
        <f>18.316 * CHOOSE(CONTROL!$C$22, $C$13, 100%, $E$13)</f>
        <v>18.315999999999999</v>
      </c>
      <c r="E1017" s="61">
        <f>21.777 * CHOOSE(CONTROL!$C$22, $C$13, 100%, $E$13)</f>
        <v>21.777000000000001</v>
      </c>
      <c r="F1017" s="61">
        <f>21.777 * CHOOSE(CONTROL!$C$22, $C$13, 100%, $E$13)</f>
        <v>21.777000000000001</v>
      </c>
      <c r="G1017" s="61">
        <f>21.7786 * CHOOSE(CONTROL!$C$22, $C$13, 100%, $E$13)</f>
        <v>21.778600000000001</v>
      </c>
      <c r="H1017" s="61">
        <f>34.8651* CHOOSE(CONTROL!$C$22, $C$13, 100%, $E$13)</f>
        <v>34.865099999999998</v>
      </c>
      <c r="I1017" s="61">
        <f>34.8667 * CHOOSE(CONTROL!$C$22, $C$13, 100%, $E$13)</f>
        <v>34.866700000000002</v>
      </c>
      <c r="J1017" s="61">
        <f>21.777 * CHOOSE(CONTROL!$C$22, $C$13, 100%, $E$13)</f>
        <v>21.777000000000001</v>
      </c>
      <c r="K1017" s="61">
        <f>21.7786 * CHOOSE(CONTROL!$C$22, $C$13, 100%, $E$13)</f>
        <v>21.778600000000001</v>
      </c>
    </row>
    <row r="1018" spans="1:11" ht="15">
      <c r="A1018" s="13">
        <v>72837</v>
      </c>
      <c r="B1018" s="60">
        <f>18.297 * CHOOSE(CONTROL!$C$22, $C$13, 100%, $E$13)</f>
        <v>18.297000000000001</v>
      </c>
      <c r="C1018" s="60">
        <f>18.297 * CHOOSE(CONTROL!$C$22, $C$13, 100%, $E$13)</f>
        <v>18.297000000000001</v>
      </c>
      <c r="D1018" s="60">
        <f>18.3221 * CHOOSE(CONTROL!$C$22, $C$13, 100%, $E$13)</f>
        <v>18.322099999999999</v>
      </c>
      <c r="E1018" s="61">
        <f>21.7063 * CHOOSE(CONTROL!$C$22, $C$13, 100%, $E$13)</f>
        <v>21.706299999999999</v>
      </c>
      <c r="F1018" s="61">
        <f>21.7063 * CHOOSE(CONTROL!$C$22, $C$13, 100%, $E$13)</f>
        <v>21.706299999999999</v>
      </c>
      <c r="G1018" s="61">
        <f>21.7079 * CHOOSE(CONTROL!$C$22, $C$13, 100%, $E$13)</f>
        <v>21.707899999999999</v>
      </c>
      <c r="H1018" s="61">
        <f>34.9377* CHOOSE(CONTROL!$C$22, $C$13, 100%, $E$13)</f>
        <v>34.9377</v>
      </c>
      <c r="I1018" s="61">
        <f>34.9393 * CHOOSE(CONTROL!$C$22, $C$13, 100%, $E$13)</f>
        <v>34.939300000000003</v>
      </c>
      <c r="J1018" s="61">
        <f>21.7063 * CHOOSE(CONTROL!$C$22, $C$13, 100%, $E$13)</f>
        <v>21.706299999999999</v>
      </c>
      <c r="K1018" s="61">
        <f>21.7079 * CHOOSE(CONTROL!$C$22, $C$13, 100%, $E$13)</f>
        <v>21.707899999999999</v>
      </c>
    </row>
    <row r="1019" spans="1:11" ht="15">
      <c r="A1019" s="13">
        <v>72867</v>
      </c>
      <c r="B1019" s="60">
        <f>18.5815 * CHOOSE(CONTROL!$C$22, $C$13, 100%, $E$13)</f>
        <v>18.581499999999998</v>
      </c>
      <c r="C1019" s="60">
        <f>18.5815 * CHOOSE(CONTROL!$C$22, $C$13, 100%, $E$13)</f>
        <v>18.581499999999998</v>
      </c>
      <c r="D1019" s="60">
        <f>18.6065 * CHOOSE(CONTROL!$C$22, $C$13, 100%, $E$13)</f>
        <v>18.6065</v>
      </c>
      <c r="E1019" s="61">
        <f>22.1168 * CHOOSE(CONTROL!$C$22, $C$13, 100%, $E$13)</f>
        <v>22.116800000000001</v>
      </c>
      <c r="F1019" s="61">
        <f>22.1168 * CHOOSE(CONTROL!$C$22, $C$13, 100%, $E$13)</f>
        <v>22.116800000000001</v>
      </c>
      <c r="G1019" s="61">
        <f>22.1184 * CHOOSE(CONTROL!$C$22, $C$13, 100%, $E$13)</f>
        <v>22.118400000000001</v>
      </c>
      <c r="H1019" s="61">
        <f>35.0105* CHOOSE(CONTROL!$C$22, $C$13, 100%, $E$13)</f>
        <v>35.0105</v>
      </c>
      <c r="I1019" s="61">
        <f>35.0121 * CHOOSE(CONTROL!$C$22, $C$13, 100%, $E$13)</f>
        <v>35.012099999999997</v>
      </c>
      <c r="J1019" s="61">
        <f>22.1168 * CHOOSE(CONTROL!$C$22, $C$13, 100%, $E$13)</f>
        <v>22.116800000000001</v>
      </c>
      <c r="K1019" s="61">
        <f>22.1184 * CHOOSE(CONTROL!$C$22, $C$13, 100%, $E$13)</f>
        <v>22.118400000000001</v>
      </c>
    </row>
    <row r="1020" spans="1:11" ht="15">
      <c r="A1020" s="13">
        <v>72898</v>
      </c>
      <c r="B1020" s="60">
        <f>18.5881 * CHOOSE(CONTROL!$C$22, $C$13, 100%, $E$13)</f>
        <v>18.588100000000001</v>
      </c>
      <c r="C1020" s="60">
        <f>18.5881 * CHOOSE(CONTROL!$C$22, $C$13, 100%, $E$13)</f>
        <v>18.588100000000001</v>
      </c>
      <c r="D1020" s="60">
        <f>18.6132 * CHOOSE(CONTROL!$C$22, $C$13, 100%, $E$13)</f>
        <v>18.613199999999999</v>
      </c>
      <c r="E1020" s="61">
        <f>21.8967 * CHOOSE(CONTROL!$C$22, $C$13, 100%, $E$13)</f>
        <v>21.896699999999999</v>
      </c>
      <c r="F1020" s="61">
        <f>21.8967 * CHOOSE(CONTROL!$C$22, $C$13, 100%, $E$13)</f>
        <v>21.896699999999999</v>
      </c>
      <c r="G1020" s="61">
        <f>21.8983 * CHOOSE(CONTROL!$C$22, $C$13, 100%, $E$13)</f>
        <v>21.898299999999999</v>
      </c>
      <c r="H1020" s="61">
        <f>35.0835* CHOOSE(CONTROL!$C$22, $C$13, 100%, $E$13)</f>
        <v>35.083500000000001</v>
      </c>
      <c r="I1020" s="61">
        <f>35.0851 * CHOOSE(CONTROL!$C$22, $C$13, 100%, $E$13)</f>
        <v>35.085099999999997</v>
      </c>
      <c r="J1020" s="61">
        <f>21.8967 * CHOOSE(CONTROL!$C$22, $C$13, 100%, $E$13)</f>
        <v>21.896699999999999</v>
      </c>
      <c r="K1020" s="61">
        <f>21.8983 * CHOOSE(CONTROL!$C$22, $C$13, 100%, $E$13)</f>
        <v>21.898299999999999</v>
      </c>
    </row>
    <row r="1021" spans="1:11" ht="15">
      <c r="A1021" s="13">
        <v>72929</v>
      </c>
      <c r="B1021" s="60">
        <f>18.5851 * CHOOSE(CONTROL!$C$22, $C$13, 100%, $E$13)</f>
        <v>18.585100000000001</v>
      </c>
      <c r="C1021" s="60">
        <f>18.5851 * CHOOSE(CONTROL!$C$22, $C$13, 100%, $E$13)</f>
        <v>18.585100000000001</v>
      </c>
      <c r="D1021" s="60">
        <f>18.6102 * CHOOSE(CONTROL!$C$22, $C$13, 100%, $E$13)</f>
        <v>18.610199999999999</v>
      </c>
      <c r="E1021" s="61">
        <f>21.8696 * CHOOSE(CONTROL!$C$22, $C$13, 100%, $E$13)</f>
        <v>21.869599999999998</v>
      </c>
      <c r="F1021" s="61">
        <f>21.8696 * CHOOSE(CONTROL!$C$22, $C$13, 100%, $E$13)</f>
        <v>21.869599999999998</v>
      </c>
      <c r="G1021" s="61">
        <f>21.8712 * CHOOSE(CONTROL!$C$22, $C$13, 100%, $E$13)</f>
        <v>21.871200000000002</v>
      </c>
      <c r="H1021" s="61">
        <f>35.1565* CHOOSE(CONTROL!$C$22, $C$13, 100%, $E$13)</f>
        <v>35.156500000000001</v>
      </c>
      <c r="I1021" s="61">
        <f>35.1582 * CHOOSE(CONTROL!$C$22, $C$13, 100%, $E$13)</f>
        <v>35.158200000000001</v>
      </c>
      <c r="J1021" s="61">
        <f>21.8696 * CHOOSE(CONTROL!$C$22, $C$13, 100%, $E$13)</f>
        <v>21.869599999999998</v>
      </c>
      <c r="K1021" s="61">
        <f>21.8712 * CHOOSE(CONTROL!$C$22, $C$13, 100%, $E$13)</f>
        <v>21.871200000000002</v>
      </c>
    </row>
    <row r="1022" spans="1:11" ht="15">
      <c r="A1022" s="13">
        <v>72959</v>
      </c>
      <c r="B1022" s="60">
        <f>18.6278 * CHOOSE(CONTROL!$C$22, $C$13, 100%, $E$13)</f>
        <v>18.627800000000001</v>
      </c>
      <c r="C1022" s="60">
        <f>18.6278 * CHOOSE(CONTROL!$C$22, $C$13, 100%, $E$13)</f>
        <v>18.627800000000001</v>
      </c>
      <c r="D1022" s="60">
        <f>18.6403 * CHOOSE(CONTROL!$C$22, $C$13, 100%, $E$13)</f>
        <v>18.6403</v>
      </c>
      <c r="E1022" s="61">
        <f>21.9561 * CHOOSE(CONTROL!$C$22, $C$13, 100%, $E$13)</f>
        <v>21.956099999999999</v>
      </c>
      <c r="F1022" s="61">
        <f>21.9561 * CHOOSE(CONTROL!$C$22, $C$13, 100%, $E$13)</f>
        <v>21.956099999999999</v>
      </c>
      <c r="G1022" s="61">
        <f>21.9563 * CHOOSE(CONTROL!$C$22, $C$13, 100%, $E$13)</f>
        <v>21.956299999999999</v>
      </c>
      <c r="H1022" s="61">
        <f>35.2298* CHOOSE(CONTROL!$C$22, $C$13, 100%, $E$13)</f>
        <v>35.229799999999997</v>
      </c>
      <c r="I1022" s="61">
        <f>35.23 * CHOOSE(CONTROL!$C$22, $C$13, 100%, $E$13)</f>
        <v>35.229999999999997</v>
      </c>
      <c r="J1022" s="61">
        <f>21.9561 * CHOOSE(CONTROL!$C$22, $C$13, 100%, $E$13)</f>
        <v>21.956099999999999</v>
      </c>
      <c r="K1022" s="61">
        <f>21.9563 * CHOOSE(CONTROL!$C$22, $C$13, 100%, $E$13)</f>
        <v>21.956299999999999</v>
      </c>
    </row>
    <row r="1023" spans="1:11" ht="15">
      <c r="A1023" s="13">
        <v>72990</v>
      </c>
      <c r="B1023" s="60">
        <f>18.6308 * CHOOSE(CONTROL!$C$22, $C$13, 100%, $E$13)</f>
        <v>18.630800000000001</v>
      </c>
      <c r="C1023" s="60">
        <f>18.6308 * CHOOSE(CONTROL!$C$22, $C$13, 100%, $E$13)</f>
        <v>18.630800000000001</v>
      </c>
      <c r="D1023" s="60">
        <f>18.6434 * CHOOSE(CONTROL!$C$22, $C$13, 100%, $E$13)</f>
        <v>18.6434</v>
      </c>
      <c r="E1023" s="61">
        <f>22.0082 * CHOOSE(CONTROL!$C$22, $C$13, 100%, $E$13)</f>
        <v>22.008199999999999</v>
      </c>
      <c r="F1023" s="61">
        <f>22.0082 * CHOOSE(CONTROL!$C$22, $C$13, 100%, $E$13)</f>
        <v>22.008199999999999</v>
      </c>
      <c r="G1023" s="61">
        <f>22.0083 * CHOOSE(CONTROL!$C$22, $C$13, 100%, $E$13)</f>
        <v>22.008299999999998</v>
      </c>
      <c r="H1023" s="61">
        <f>35.3032* CHOOSE(CONTROL!$C$22, $C$13, 100%, $E$13)</f>
        <v>35.303199999999997</v>
      </c>
      <c r="I1023" s="61">
        <f>35.3034 * CHOOSE(CONTROL!$C$22, $C$13, 100%, $E$13)</f>
        <v>35.303400000000003</v>
      </c>
      <c r="J1023" s="61">
        <f>22.0082 * CHOOSE(CONTROL!$C$22, $C$13, 100%, $E$13)</f>
        <v>22.008199999999999</v>
      </c>
      <c r="K1023" s="61">
        <f>22.0083 * CHOOSE(CONTROL!$C$22, $C$13, 100%, $E$13)</f>
        <v>22.008299999999998</v>
      </c>
    </row>
    <row r="1024" spans="1:11" ht="15">
      <c r="A1024" s="13">
        <v>73020</v>
      </c>
      <c r="B1024" s="60">
        <f>18.6308 * CHOOSE(CONTROL!$C$22, $C$13, 100%, $E$13)</f>
        <v>18.630800000000001</v>
      </c>
      <c r="C1024" s="60">
        <f>18.6308 * CHOOSE(CONTROL!$C$22, $C$13, 100%, $E$13)</f>
        <v>18.630800000000001</v>
      </c>
      <c r="D1024" s="60">
        <f>18.6434 * CHOOSE(CONTROL!$C$22, $C$13, 100%, $E$13)</f>
        <v>18.6434</v>
      </c>
      <c r="E1024" s="61">
        <f>21.8833 * CHOOSE(CONTROL!$C$22, $C$13, 100%, $E$13)</f>
        <v>21.883299999999998</v>
      </c>
      <c r="F1024" s="61">
        <f>21.8833 * CHOOSE(CONTROL!$C$22, $C$13, 100%, $E$13)</f>
        <v>21.883299999999998</v>
      </c>
      <c r="G1024" s="61">
        <f>21.8834 * CHOOSE(CONTROL!$C$22, $C$13, 100%, $E$13)</f>
        <v>21.883400000000002</v>
      </c>
      <c r="H1024" s="61">
        <f>35.3767* CHOOSE(CONTROL!$C$22, $C$13, 100%, $E$13)</f>
        <v>35.3767</v>
      </c>
      <c r="I1024" s="61">
        <f>35.3769 * CHOOSE(CONTROL!$C$22, $C$13, 100%, $E$13)</f>
        <v>35.376899999999999</v>
      </c>
      <c r="J1024" s="61">
        <f>21.8833 * CHOOSE(CONTROL!$C$22, $C$13, 100%, $E$13)</f>
        <v>21.883299999999998</v>
      </c>
      <c r="K1024" s="61">
        <f>21.8834 * CHOOSE(CONTROL!$C$22, $C$13, 100%, $E$13)</f>
        <v>21.883400000000002</v>
      </c>
    </row>
    <row r="1025" spans="1:11" ht="15">
      <c r="A1025" s="13">
        <v>73051</v>
      </c>
      <c r="B1025" s="60">
        <f>18.5326 * CHOOSE(CONTROL!$C$22, $C$13, 100%, $E$13)</f>
        <v>18.532599999999999</v>
      </c>
      <c r="C1025" s="60">
        <f>18.5326 * CHOOSE(CONTROL!$C$22, $C$13, 100%, $E$13)</f>
        <v>18.532599999999999</v>
      </c>
      <c r="D1025" s="60">
        <f>18.5451 * CHOOSE(CONTROL!$C$22, $C$13, 100%, $E$13)</f>
        <v>18.545100000000001</v>
      </c>
      <c r="E1025" s="61">
        <f>21.8531 * CHOOSE(CONTROL!$C$22, $C$13, 100%, $E$13)</f>
        <v>21.853100000000001</v>
      </c>
      <c r="F1025" s="61">
        <f>21.8531 * CHOOSE(CONTROL!$C$22, $C$13, 100%, $E$13)</f>
        <v>21.853100000000001</v>
      </c>
      <c r="G1025" s="61">
        <f>21.8532 * CHOOSE(CONTROL!$C$22, $C$13, 100%, $E$13)</f>
        <v>21.853200000000001</v>
      </c>
      <c r="H1025" s="61">
        <f>35.022* CHOOSE(CONTROL!$C$22, $C$13, 100%, $E$13)</f>
        <v>35.021999999999998</v>
      </c>
      <c r="I1025" s="61">
        <f>35.0221 * CHOOSE(CONTROL!$C$22, $C$13, 100%, $E$13)</f>
        <v>35.022100000000002</v>
      </c>
      <c r="J1025" s="61">
        <f>21.8531 * CHOOSE(CONTROL!$C$22, $C$13, 100%, $E$13)</f>
        <v>21.853100000000001</v>
      </c>
      <c r="K1025" s="61">
        <f>21.8532 * CHOOSE(CONTROL!$C$22, $C$13, 100%, $E$13)</f>
        <v>21.853200000000001</v>
      </c>
    </row>
    <row r="1026" spans="1:11" ht="15">
      <c r="A1026" s="13">
        <v>73082</v>
      </c>
      <c r="B1026" s="60">
        <f>18.5295 * CHOOSE(CONTROL!$C$22, $C$13, 100%, $E$13)</f>
        <v>18.529499999999999</v>
      </c>
      <c r="C1026" s="60">
        <f>18.5295 * CHOOSE(CONTROL!$C$22, $C$13, 100%, $E$13)</f>
        <v>18.529499999999999</v>
      </c>
      <c r="D1026" s="60">
        <f>18.5421 * CHOOSE(CONTROL!$C$22, $C$13, 100%, $E$13)</f>
        <v>18.542100000000001</v>
      </c>
      <c r="E1026" s="61">
        <f>21.6117 * CHOOSE(CONTROL!$C$22, $C$13, 100%, $E$13)</f>
        <v>21.611699999999999</v>
      </c>
      <c r="F1026" s="61">
        <f>21.6117 * CHOOSE(CONTROL!$C$22, $C$13, 100%, $E$13)</f>
        <v>21.611699999999999</v>
      </c>
      <c r="G1026" s="61">
        <f>21.6119 * CHOOSE(CONTROL!$C$22, $C$13, 100%, $E$13)</f>
        <v>21.611899999999999</v>
      </c>
      <c r="H1026" s="61">
        <f>35.0949* CHOOSE(CONTROL!$C$22, $C$13, 100%, $E$13)</f>
        <v>35.094900000000003</v>
      </c>
      <c r="I1026" s="61">
        <f>35.0951 * CHOOSE(CONTROL!$C$22, $C$13, 100%, $E$13)</f>
        <v>35.095100000000002</v>
      </c>
      <c r="J1026" s="61">
        <f>21.6117 * CHOOSE(CONTROL!$C$22, $C$13, 100%, $E$13)</f>
        <v>21.611699999999999</v>
      </c>
      <c r="K1026" s="61">
        <f>21.6119 * CHOOSE(CONTROL!$C$22, $C$13, 100%, $E$13)</f>
        <v>21.611899999999999</v>
      </c>
    </row>
    <row r="1027" spans="1:11" ht="15">
      <c r="A1027" s="13">
        <v>73110</v>
      </c>
      <c r="B1027" s="60">
        <f>18.5265 * CHOOSE(CONTROL!$C$22, $C$13, 100%, $E$13)</f>
        <v>18.526499999999999</v>
      </c>
      <c r="C1027" s="60">
        <f>18.5265 * CHOOSE(CONTROL!$C$22, $C$13, 100%, $E$13)</f>
        <v>18.526499999999999</v>
      </c>
      <c r="D1027" s="60">
        <f>18.539 * CHOOSE(CONTROL!$C$22, $C$13, 100%, $E$13)</f>
        <v>18.539000000000001</v>
      </c>
      <c r="E1027" s="61">
        <f>21.7982 * CHOOSE(CONTROL!$C$22, $C$13, 100%, $E$13)</f>
        <v>21.798200000000001</v>
      </c>
      <c r="F1027" s="61">
        <f>21.7982 * CHOOSE(CONTROL!$C$22, $C$13, 100%, $E$13)</f>
        <v>21.798200000000001</v>
      </c>
      <c r="G1027" s="61">
        <f>21.7984 * CHOOSE(CONTROL!$C$22, $C$13, 100%, $E$13)</f>
        <v>21.798400000000001</v>
      </c>
      <c r="H1027" s="61">
        <f>35.168* CHOOSE(CONTROL!$C$22, $C$13, 100%, $E$13)</f>
        <v>35.167999999999999</v>
      </c>
      <c r="I1027" s="61">
        <f>35.1682 * CHOOSE(CONTROL!$C$22, $C$13, 100%, $E$13)</f>
        <v>35.168199999999999</v>
      </c>
      <c r="J1027" s="61">
        <f>21.7982 * CHOOSE(CONTROL!$C$22, $C$13, 100%, $E$13)</f>
        <v>21.798200000000001</v>
      </c>
      <c r="K1027" s="61">
        <f>21.7984 * CHOOSE(CONTROL!$C$22, $C$13, 100%, $E$13)</f>
        <v>21.798400000000001</v>
      </c>
    </row>
    <row r="1028" spans="1:11" ht="15">
      <c r="A1028" s="13">
        <v>73141</v>
      </c>
      <c r="B1028" s="60">
        <f>18.5365 * CHOOSE(CONTROL!$C$22, $C$13, 100%, $E$13)</f>
        <v>18.5365</v>
      </c>
      <c r="C1028" s="60">
        <f>18.5365 * CHOOSE(CONTROL!$C$22, $C$13, 100%, $E$13)</f>
        <v>18.5365</v>
      </c>
      <c r="D1028" s="60">
        <f>18.549 * CHOOSE(CONTROL!$C$22, $C$13, 100%, $E$13)</f>
        <v>18.548999999999999</v>
      </c>
      <c r="E1028" s="61">
        <f>21.9965 * CHOOSE(CONTROL!$C$22, $C$13, 100%, $E$13)</f>
        <v>21.996500000000001</v>
      </c>
      <c r="F1028" s="61">
        <f>21.9965 * CHOOSE(CONTROL!$C$22, $C$13, 100%, $E$13)</f>
        <v>21.996500000000001</v>
      </c>
      <c r="G1028" s="61">
        <f>21.9967 * CHOOSE(CONTROL!$C$22, $C$13, 100%, $E$13)</f>
        <v>21.996700000000001</v>
      </c>
      <c r="H1028" s="61">
        <f>35.2413* CHOOSE(CONTROL!$C$22, $C$13, 100%, $E$13)</f>
        <v>35.241300000000003</v>
      </c>
      <c r="I1028" s="61">
        <f>35.2415 * CHOOSE(CONTROL!$C$22, $C$13, 100%, $E$13)</f>
        <v>35.241500000000002</v>
      </c>
      <c r="J1028" s="61">
        <f>21.9965 * CHOOSE(CONTROL!$C$22, $C$13, 100%, $E$13)</f>
        <v>21.996500000000001</v>
      </c>
      <c r="K1028" s="61">
        <f>21.9967 * CHOOSE(CONTROL!$C$22, $C$13, 100%, $E$13)</f>
        <v>21.996700000000001</v>
      </c>
    </row>
    <row r="1029" spans="1:11" ht="15">
      <c r="A1029" s="13">
        <v>73171</v>
      </c>
      <c r="B1029" s="60">
        <f>18.5365 * CHOOSE(CONTROL!$C$22, $C$13, 100%, $E$13)</f>
        <v>18.5365</v>
      </c>
      <c r="C1029" s="60">
        <f>18.5365 * CHOOSE(CONTROL!$C$22, $C$13, 100%, $E$13)</f>
        <v>18.5365</v>
      </c>
      <c r="D1029" s="60">
        <f>18.5616 * CHOOSE(CONTROL!$C$22, $C$13, 100%, $E$13)</f>
        <v>18.561599999999999</v>
      </c>
      <c r="E1029" s="61">
        <f>22.0725 * CHOOSE(CONTROL!$C$22, $C$13, 100%, $E$13)</f>
        <v>22.072500000000002</v>
      </c>
      <c r="F1029" s="61">
        <f>22.0725 * CHOOSE(CONTROL!$C$22, $C$13, 100%, $E$13)</f>
        <v>22.072500000000002</v>
      </c>
      <c r="G1029" s="61">
        <f>22.0741 * CHOOSE(CONTROL!$C$22, $C$13, 100%, $E$13)</f>
        <v>22.074100000000001</v>
      </c>
      <c r="H1029" s="61">
        <f>35.3147* CHOOSE(CONTROL!$C$22, $C$13, 100%, $E$13)</f>
        <v>35.314700000000002</v>
      </c>
      <c r="I1029" s="61">
        <f>35.3163 * CHOOSE(CONTROL!$C$22, $C$13, 100%, $E$13)</f>
        <v>35.316299999999998</v>
      </c>
      <c r="J1029" s="61">
        <f>22.0725 * CHOOSE(CONTROL!$C$22, $C$13, 100%, $E$13)</f>
        <v>22.072500000000002</v>
      </c>
      <c r="K1029" s="61">
        <f>22.0741 * CHOOSE(CONTROL!$C$22, $C$13, 100%, $E$13)</f>
        <v>22.074100000000001</v>
      </c>
    </row>
    <row r="1030" spans="1:11" ht="15">
      <c r="A1030" s="13">
        <v>73202</v>
      </c>
      <c r="B1030" s="60">
        <f>18.5425 * CHOOSE(CONTROL!$C$22, $C$13, 100%, $E$13)</f>
        <v>18.5425</v>
      </c>
      <c r="C1030" s="60">
        <f>18.5425 * CHOOSE(CONTROL!$C$22, $C$13, 100%, $E$13)</f>
        <v>18.5425</v>
      </c>
      <c r="D1030" s="60">
        <f>18.5676 * CHOOSE(CONTROL!$C$22, $C$13, 100%, $E$13)</f>
        <v>18.567599999999999</v>
      </c>
      <c r="E1030" s="61">
        <f>22.0007 * CHOOSE(CONTROL!$C$22, $C$13, 100%, $E$13)</f>
        <v>22.000699999999998</v>
      </c>
      <c r="F1030" s="61">
        <f>22.0007 * CHOOSE(CONTROL!$C$22, $C$13, 100%, $E$13)</f>
        <v>22.000699999999998</v>
      </c>
      <c r="G1030" s="61">
        <f>22.0023 * CHOOSE(CONTROL!$C$22, $C$13, 100%, $E$13)</f>
        <v>22.002300000000002</v>
      </c>
      <c r="H1030" s="61">
        <f>35.3883* CHOOSE(CONTROL!$C$22, $C$13, 100%, $E$13)</f>
        <v>35.388300000000001</v>
      </c>
      <c r="I1030" s="61">
        <f>35.3899 * CHOOSE(CONTROL!$C$22, $C$13, 100%, $E$13)</f>
        <v>35.389899999999997</v>
      </c>
      <c r="J1030" s="61">
        <f>22.0007 * CHOOSE(CONTROL!$C$22, $C$13, 100%, $E$13)</f>
        <v>22.000699999999998</v>
      </c>
      <c r="K1030" s="61">
        <f>22.0023 * CHOOSE(CONTROL!$C$22, $C$13, 100%, $E$13)</f>
        <v>22.002300000000002</v>
      </c>
    </row>
    <row r="1031" spans="1:11" ht="15">
      <c r="A1031" s="13">
        <v>73232</v>
      </c>
      <c r="B1031" s="60">
        <f>18.8307 * CHOOSE(CONTROL!$C$22, $C$13, 100%, $E$13)</f>
        <v>18.8307</v>
      </c>
      <c r="C1031" s="60">
        <f>18.8307 * CHOOSE(CONTROL!$C$22, $C$13, 100%, $E$13)</f>
        <v>18.8307</v>
      </c>
      <c r="D1031" s="60">
        <f>18.8558 * CHOOSE(CONTROL!$C$22, $C$13, 100%, $E$13)</f>
        <v>18.855799999999999</v>
      </c>
      <c r="E1031" s="61">
        <f>22.4167 * CHOOSE(CONTROL!$C$22, $C$13, 100%, $E$13)</f>
        <v>22.416699999999999</v>
      </c>
      <c r="F1031" s="61">
        <f>22.4167 * CHOOSE(CONTROL!$C$22, $C$13, 100%, $E$13)</f>
        <v>22.416699999999999</v>
      </c>
      <c r="G1031" s="61">
        <f>22.4183 * CHOOSE(CONTROL!$C$22, $C$13, 100%, $E$13)</f>
        <v>22.418299999999999</v>
      </c>
      <c r="H1031" s="61">
        <f>35.462* CHOOSE(CONTROL!$C$22, $C$13, 100%, $E$13)</f>
        <v>35.462000000000003</v>
      </c>
      <c r="I1031" s="61">
        <f>35.4636 * CHOOSE(CONTROL!$C$22, $C$13, 100%, $E$13)</f>
        <v>35.4636</v>
      </c>
      <c r="J1031" s="61">
        <f>22.4167 * CHOOSE(CONTROL!$C$22, $C$13, 100%, $E$13)</f>
        <v>22.416699999999999</v>
      </c>
      <c r="K1031" s="61">
        <f>22.4183 * CHOOSE(CONTROL!$C$22, $C$13, 100%, $E$13)</f>
        <v>22.418299999999999</v>
      </c>
    </row>
    <row r="1032" spans="1:11" ht="15">
      <c r="A1032" s="13">
        <v>73263</v>
      </c>
      <c r="B1032" s="60">
        <f>18.8374 * CHOOSE(CONTROL!$C$22, $C$13, 100%, $E$13)</f>
        <v>18.837399999999999</v>
      </c>
      <c r="C1032" s="60">
        <f>18.8374 * CHOOSE(CONTROL!$C$22, $C$13, 100%, $E$13)</f>
        <v>18.837399999999999</v>
      </c>
      <c r="D1032" s="60">
        <f>18.8624 * CHOOSE(CONTROL!$C$22, $C$13, 100%, $E$13)</f>
        <v>18.862400000000001</v>
      </c>
      <c r="E1032" s="61">
        <f>22.1935 * CHOOSE(CONTROL!$C$22, $C$13, 100%, $E$13)</f>
        <v>22.1935</v>
      </c>
      <c r="F1032" s="61">
        <f>22.1935 * CHOOSE(CONTROL!$C$22, $C$13, 100%, $E$13)</f>
        <v>22.1935</v>
      </c>
      <c r="G1032" s="61">
        <f>22.1951 * CHOOSE(CONTROL!$C$22, $C$13, 100%, $E$13)</f>
        <v>22.1951</v>
      </c>
      <c r="H1032" s="61">
        <f>35.5359* CHOOSE(CONTROL!$C$22, $C$13, 100%, $E$13)</f>
        <v>35.535899999999998</v>
      </c>
      <c r="I1032" s="61">
        <f>35.5375 * CHOOSE(CONTROL!$C$22, $C$13, 100%, $E$13)</f>
        <v>35.537500000000001</v>
      </c>
      <c r="J1032" s="61">
        <f>22.1935 * CHOOSE(CONTROL!$C$22, $C$13, 100%, $E$13)</f>
        <v>22.1935</v>
      </c>
      <c r="K1032" s="61">
        <f>22.1951 * CHOOSE(CONTROL!$C$22, $C$13, 100%, $E$13)</f>
        <v>22.1951</v>
      </c>
    </row>
    <row r="1033" spans="1:11" ht="15">
      <c r="A1033" s="13">
        <v>73294</v>
      </c>
      <c r="B1033" s="60">
        <f>18.8343 * CHOOSE(CONTROL!$C$22, $C$13, 100%, $E$13)</f>
        <v>18.834299999999999</v>
      </c>
      <c r="C1033" s="60">
        <f>18.8343 * CHOOSE(CONTROL!$C$22, $C$13, 100%, $E$13)</f>
        <v>18.834299999999999</v>
      </c>
      <c r="D1033" s="60">
        <f>18.8594 * CHOOSE(CONTROL!$C$22, $C$13, 100%, $E$13)</f>
        <v>18.859400000000001</v>
      </c>
      <c r="E1033" s="61">
        <f>22.1661 * CHOOSE(CONTROL!$C$22, $C$13, 100%, $E$13)</f>
        <v>22.1661</v>
      </c>
      <c r="F1033" s="61">
        <f>22.1661 * CHOOSE(CONTROL!$C$22, $C$13, 100%, $E$13)</f>
        <v>22.1661</v>
      </c>
      <c r="G1033" s="61">
        <f>22.1677 * CHOOSE(CONTROL!$C$22, $C$13, 100%, $E$13)</f>
        <v>22.1677</v>
      </c>
      <c r="H1033" s="61">
        <f>35.6099* CHOOSE(CONTROL!$C$22, $C$13, 100%, $E$13)</f>
        <v>35.609900000000003</v>
      </c>
      <c r="I1033" s="61">
        <f>35.6115 * CHOOSE(CONTROL!$C$22, $C$13, 100%, $E$13)</f>
        <v>35.611499999999999</v>
      </c>
      <c r="J1033" s="61">
        <f>22.1661 * CHOOSE(CONTROL!$C$22, $C$13, 100%, $E$13)</f>
        <v>22.1661</v>
      </c>
      <c r="K1033" s="61">
        <f>22.1677 * CHOOSE(CONTROL!$C$22, $C$13, 100%, $E$13)</f>
        <v>22.1677</v>
      </c>
    </row>
    <row r="1034" spans="1:11" ht="15">
      <c r="A1034" s="13">
        <v>73324</v>
      </c>
      <c r="B1034" s="60">
        <f>18.8778 * CHOOSE(CONTROL!$C$22, $C$13, 100%, $E$13)</f>
        <v>18.877800000000001</v>
      </c>
      <c r="C1034" s="60">
        <f>18.8778 * CHOOSE(CONTROL!$C$22, $C$13, 100%, $E$13)</f>
        <v>18.877800000000001</v>
      </c>
      <c r="D1034" s="60">
        <f>18.8903 * CHOOSE(CONTROL!$C$22, $C$13, 100%, $E$13)</f>
        <v>18.8903</v>
      </c>
      <c r="E1034" s="61">
        <f>22.2539 * CHOOSE(CONTROL!$C$22, $C$13, 100%, $E$13)</f>
        <v>22.253900000000002</v>
      </c>
      <c r="F1034" s="61">
        <f>22.2539 * CHOOSE(CONTROL!$C$22, $C$13, 100%, $E$13)</f>
        <v>22.253900000000002</v>
      </c>
      <c r="G1034" s="61">
        <f>22.2541 * CHOOSE(CONTROL!$C$22, $C$13, 100%, $E$13)</f>
        <v>22.254100000000001</v>
      </c>
      <c r="H1034" s="61">
        <f>35.6841* CHOOSE(CONTROL!$C$22, $C$13, 100%, $E$13)</f>
        <v>35.684100000000001</v>
      </c>
      <c r="I1034" s="61">
        <f>35.6843 * CHOOSE(CONTROL!$C$22, $C$13, 100%, $E$13)</f>
        <v>35.6843</v>
      </c>
      <c r="J1034" s="61">
        <f>22.2539 * CHOOSE(CONTROL!$C$22, $C$13, 100%, $E$13)</f>
        <v>22.253900000000002</v>
      </c>
      <c r="K1034" s="61">
        <f>22.2541 * CHOOSE(CONTROL!$C$22, $C$13, 100%, $E$13)</f>
        <v>22.254100000000001</v>
      </c>
    </row>
    <row r="1035" spans="1:11" ht="15">
      <c r="A1035" s="13">
        <v>73355</v>
      </c>
      <c r="B1035" s="60">
        <f>18.8808 * CHOOSE(CONTROL!$C$22, $C$13, 100%, $E$13)</f>
        <v>18.880800000000001</v>
      </c>
      <c r="C1035" s="60">
        <f>18.8808 * CHOOSE(CONTROL!$C$22, $C$13, 100%, $E$13)</f>
        <v>18.880800000000001</v>
      </c>
      <c r="D1035" s="60">
        <f>18.8934 * CHOOSE(CONTROL!$C$22, $C$13, 100%, $E$13)</f>
        <v>18.8934</v>
      </c>
      <c r="E1035" s="61">
        <f>22.3067 * CHOOSE(CONTROL!$C$22, $C$13, 100%, $E$13)</f>
        <v>22.306699999999999</v>
      </c>
      <c r="F1035" s="61">
        <f>22.3067 * CHOOSE(CONTROL!$C$22, $C$13, 100%, $E$13)</f>
        <v>22.306699999999999</v>
      </c>
      <c r="G1035" s="61">
        <f>22.3069 * CHOOSE(CONTROL!$C$22, $C$13, 100%, $E$13)</f>
        <v>22.306899999999999</v>
      </c>
      <c r="H1035" s="61">
        <f>35.7585* CHOOSE(CONTROL!$C$22, $C$13, 100%, $E$13)</f>
        <v>35.758499999999998</v>
      </c>
      <c r="I1035" s="61">
        <f>35.7586 * CHOOSE(CONTROL!$C$22, $C$13, 100%, $E$13)</f>
        <v>35.758600000000001</v>
      </c>
      <c r="J1035" s="61">
        <f>22.3067 * CHOOSE(CONTROL!$C$22, $C$13, 100%, $E$13)</f>
        <v>22.306699999999999</v>
      </c>
      <c r="K1035" s="61">
        <f>22.3069 * CHOOSE(CONTROL!$C$22, $C$13, 100%, $E$13)</f>
        <v>22.306899999999999</v>
      </c>
    </row>
    <row r="1036" spans="1:11" ht="15">
      <c r="A1036" s="13">
        <v>73385</v>
      </c>
      <c r="B1036" s="60">
        <f>18.8808 * CHOOSE(CONTROL!$C$22, $C$13, 100%, $E$13)</f>
        <v>18.880800000000001</v>
      </c>
      <c r="C1036" s="60">
        <f>18.8808 * CHOOSE(CONTROL!$C$22, $C$13, 100%, $E$13)</f>
        <v>18.880800000000001</v>
      </c>
      <c r="D1036" s="60">
        <f>18.8934 * CHOOSE(CONTROL!$C$22, $C$13, 100%, $E$13)</f>
        <v>18.8934</v>
      </c>
      <c r="E1036" s="61">
        <f>22.1801 * CHOOSE(CONTROL!$C$22, $C$13, 100%, $E$13)</f>
        <v>22.180099999999999</v>
      </c>
      <c r="F1036" s="61">
        <f>22.1801 * CHOOSE(CONTROL!$C$22, $C$13, 100%, $E$13)</f>
        <v>22.180099999999999</v>
      </c>
      <c r="G1036" s="61">
        <f>22.1803 * CHOOSE(CONTROL!$C$22, $C$13, 100%, $E$13)</f>
        <v>22.180299999999999</v>
      </c>
      <c r="H1036" s="61">
        <f>35.833* CHOOSE(CONTROL!$C$22, $C$13, 100%, $E$13)</f>
        <v>35.832999999999998</v>
      </c>
      <c r="I1036" s="61">
        <f>35.8331 * CHOOSE(CONTROL!$C$22, $C$13, 100%, $E$13)</f>
        <v>35.833100000000002</v>
      </c>
      <c r="J1036" s="61">
        <f>22.1801 * CHOOSE(CONTROL!$C$22, $C$13, 100%, $E$13)</f>
        <v>22.180099999999999</v>
      </c>
      <c r="K1036" s="61">
        <f>22.1803 * CHOOSE(CONTROL!$C$22, $C$13, 100%, $E$13)</f>
        <v>22.180299999999999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2.6408833333333335</v>
      </c>
      <c r="C1038" s="60">
        <f t="shared" si="0"/>
        <v>2.6408833333333335</v>
      </c>
      <c r="D1038" s="60">
        <f t="shared" si="0"/>
        <v>2.6586500000000002</v>
      </c>
      <c r="E1038" s="60">
        <f t="shared" si="0"/>
        <v>3.361966666666667</v>
      </c>
      <c r="F1038" s="60">
        <f t="shared" si="0"/>
        <v>4.0214166666666662</v>
      </c>
      <c r="G1038" s="60">
        <f t="shared" si="0"/>
        <v>4.0222000000000007</v>
      </c>
      <c r="H1038" s="60">
        <f t="shared" si="0"/>
        <v>5.7971666666666666</v>
      </c>
      <c r="I1038" s="60">
        <f t="shared" si="0"/>
        <v>5.7979333333333321</v>
      </c>
      <c r="J1038" s="60">
        <f t="shared" si="0"/>
        <v>3.361966666666667</v>
      </c>
      <c r="K1038" s="60">
        <f t="shared" si="0"/>
        <v>3.3627500000000001</v>
      </c>
    </row>
    <row r="1039" spans="1:11" ht="15">
      <c r="A1039" s="3">
        <v>2017</v>
      </c>
      <c r="B1039" s="60">
        <f t="shared" ref="B1039:K1039" si="1">AVERAGE(B29:B40)</f>
        <v>2.7329833333333333</v>
      </c>
      <c r="C1039" s="60">
        <f t="shared" si="1"/>
        <v>2.7329833333333333</v>
      </c>
      <c r="D1039" s="60">
        <f t="shared" si="1"/>
        <v>2.7507333333333333</v>
      </c>
      <c r="E1039" s="60">
        <f t="shared" si="1"/>
        <v>3.5132250000000003</v>
      </c>
      <c r="F1039" s="60">
        <f t="shared" si="1"/>
        <v>3.5132250000000003</v>
      </c>
      <c r="G1039" s="60">
        <f t="shared" si="1"/>
        <v>3.5140083333333334</v>
      </c>
      <c r="H1039" s="60">
        <f t="shared" si="1"/>
        <v>5.943766666666666</v>
      </c>
      <c r="I1039" s="60">
        <f t="shared" si="1"/>
        <v>5.9445249999999987</v>
      </c>
      <c r="J1039" s="60">
        <f t="shared" si="1"/>
        <v>3.5132250000000003</v>
      </c>
      <c r="K1039" s="60">
        <f t="shared" si="1"/>
        <v>3.5140083333333334</v>
      </c>
    </row>
    <row r="1040" spans="1:11" ht="15">
      <c r="A1040" s="3">
        <v>2018</v>
      </c>
      <c r="B1040" s="60">
        <f t="shared" ref="B1040:K1040" si="2">AVERAGE(B41:B52)</f>
        <v>2.8547750000000001</v>
      </c>
      <c r="C1040" s="60">
        <f t="shared" si="2"/>
        <v>2.8547750000000001</v>
      </c>
      <c r="D1040" s="60">
        <f t="shared" si="2"/>
        <v>2.8725499999999999</v>
      </c>
      <c r="E1040" s="60">
        <f t="shared" si="2"/>
        <v>3.3498833333333331</v>
      </c>
      <c r="F1040" s="60">
        <f t="shared" si="2"/>
        <v>3.3498833333333331</v>
      </c>
      <c r="G1040" s="60">
        <f t="shared" si="2"/>
        <v>3.3506499999999999</v>
      </c>
      <c r="H1040" s="60">
        <f t="shared" si="2"/>
        <v>6.0940916666666674</v>
      </c>
      <c r="I1040" s="60">
        <f t="shared" si="2"/>
        <v>6.0948500000000001</v>
      </c>
      <c r="J1040" s="60">
        <f t="shared" si="2"/>
        <v>3.3498833333333331</v>
      </c>
      <c r="K1040" s="60">
        <f t="shared" si="2"/>
        <v>3.3506499999999999</v>
      </c>
    </row>
    <row r="1041" spans="1:11" ht="15">
      <c r="A1041" s="3">
        <v>2019</v>
      </c>
      <c r="B1041" s="60">
        <f t="shared" ref="B1041:K1041" si="3">AVERAGE(B53:B64)</f>
        <v>2.9488833333333333</v>
      </c>
      <c r="C1041" s="60">
        <f t="shared" si="3"/>
        <v>2.9488833333333333</v>
      </c>
      <c r="D1041" s="60">
        <f t="shared" si="3"/>
        <v>2.96665</v>
      </c>
      <c r="E1041" s="60">
        <f t="shared" si="3"/>
        <v>3.4520083333333336</v>
      </c>
      <c r="F1041" s="60">
        <f t="shared" si="3"/>
        <v>3.4520083333333336</v>
      </c>
      <c r="G1041" s="60">
        <f t="shared" si="3"/>
        <v>3.4527833333333326</v>
      </c>
      <c r="H1041" s="60">
        <f t="shared" si="3"/>
        <v>6.2481916666666679</v>
      </c>
      <c r="I1041" s="60">
        <f t="shared" si="3"/>
        <v>6.248966666666667</v>
      </c>
      <c r="J1041" s="60">
        <f t="shared" si="3"/>
        <v>3.4520083333333336</v>
      </c>
      <c r="K1041" s="60">
        <f t="shared" si="3"/>
        <v>3.4527833333333326</v>
      </c>
    </row>
    <row r="1042" spans="1:11" ht="15">
      <c r="A1042" s="3">
        <v>2020</v>
      </c>
      <c r="B1042" s="60">
        <f t="shared" ref="B1042:K1042" si="4">AVERAGE(B65:B76)</f>
        <v>3.0247416666666669</v>
      </c>
      <c r="C1042" s="60">
        <f t="shared" si="4"/>
        <v>3.0247416666666669</v>
      </c>
      <c r="D1042" s="60">
        <f t="shared" si="4"/>
        <v>3.0425083333333336</v>
      </c>
      <c r="E1042" s="60">
        <f t="shared" si="4"/>
        <v>3.5770166666666667</v>
      </c>
      <c r="F1042" s="60">
        <f t="shared" si="4"/>
        <v>3.5770166666666667</v>
      </c>
      <c r="G1042" s="60">
        <f t="shared" si="4"/>
        <v>3.5777916666666667</v>
      </c>
      <c r="H1042" s="60">
        <f t="shared" si="4"/>
        <v>6.4061999999999992</v>
      </c>
      <c r="I1042" s="60">
        <f t="shared" si="4"/>
        <v>6.4069750000000001</v>
      </c>
      <c r="J1042" s="60">
        <f t="shared" si="4"/>
        <v>3.5770166666666667</v>
      </c>
      <c r="K1042" s="60">
        <f t="shared" si="4"/>
        <v>3.5777916666666667</v>
      </c>
    </row>
    <row r="1043" spans="1:11" ht="15">
      <c r="A1043" s="3">
        <v>2021</v>
      </c>
      <c r="B1043" s="60">
        <f t="shared" ref="B1043:K1043" si="5">AVERAGE(B77:B88)</f>
        <v>3.1064250000000002</v>
      </c>
      <c r="C1043" s="60">
        <f t="shared" si="5"/>
        <v>3.1064250000000002</v>
      </c>
      <c r="D1043" s="60">
        <f t="shared" si="5"/>
        <v>3.1242083333333337</v>
      </c>
      <c r="E1043" s="60">
        <f t="shared" si="5"/>
        <v>3.659675</v>
      </c>
      <c r="F1043" s="60">
        <f t="shared" si="5"/>
        <v>3.659675</v>
      </c>
      <c r="G1043" s="60">
        <f t="shared" si="5"/>
        <v>3.660425</v>
      </c>
      <c r="H1043" s="60">
        <f t="shared" si="5"/>
        <v>6.5682</v>
      </c>
      <c r="I1043" s="60">
        <f t="shared" si="5"/>
        <v>6.5689750000000009</v>
      </c>
      <c r="J1043" s="60">
        <f t="shared" si="5"/>
        <v>3.659675</v>
      </c>
      <c r="K1043" s="60">
        <f t="shared" si="5"/>
        <v>3.660425</v>
      </c>
    </row>
    <row r="1044" spans="1:11" ht="15">
      <c r="A1044" s="3">
        <v>2022</v>
      </c>
      <c r="B1044" s="60">
        <f t="shared" ref="B1044:K1044" si="6">AVERAGE(B89:B100)</f>
        <v>3.1894000000000005</v>
      </c>
      <c r="C1044" s="60">
        <f t="shared" si="6"/>
        <v>3.1894000000000005</v>
      </c>
      <c r="D1044" s="60">
        <f t="shared" si="6"/>
        <v>3.2071666666666663</v>
      </c>
      <c r="E1044" s="60">
        <f t="shared" si="6"/>
        <v>3.7376166666666673</v>
      </c>
      <c r="F1044" s="60">
        <f t="shared" si="6"/>
        <v>3.7376166666666673</v>
      </c>
      <c r="G1044" s="60">
        <f t="shared" si="6"/>
        <v>3.7383833333333332</v>
      </c>
      <c r="H1044" s="60">
        <f t="shared" si="6"/>
        <v>6.7342833333333338</v>
      </c>
      <c r="I1044" s="60">
        <f t="shared" si="6"/>
        <v>6.7350666666666674</v>
      </c>
      <c r="J1044" s="60">
        <f t="shared" si="6"/>
        <v>3.7376166666666673</v>
      </c>
      <c r="K1044" s="60">
        <f t="shared" si="6"/>
        <v>3.7383833333333332</v>
      </c>
    </row>
    <row r="1045" spans="1:11" ht="15">
      <c r="A1045" s="3">
        <v>2023</v>
      </c>
      <c r="B1045" s="60">
        <f t="shared" ref="B1045:K1045" si="7">AVERAGE(B101:B112)</f>
        <v>3.2733583333333329</v>
      </c>
      <c r="C1045" s="60">
        <f t="shared" si="7"/>
        <v>3.2733583333333329</v>
      </c>
      <c r="D1045" s="60">
        <f t="shared" si="7"/>
        <v>3.2911416666666664</v>
      </c>
      <c r="E1045" s="60">
        <f t="shared" si="7"/>
        <v>3.8185500000000006</v>
      </c>
      <c r="F1045" s="60">
        <f t="shared" si="7"/>
        <v>3.8185500000000006</v>
      </c>
      <c r="G1045" s="60">
        <f t="shared" si="7"/>
        <v>3.8193250000000005</v>
      </c>
      <c r="H1045" s="60">
        <f t="shared" si="7"/>
        <v>6.9045916666666658</v>
      </c>
      <c r="I1045" s="60">
        <f t="shared" si="7"/>
        <v>6.9053666666666658</v>
      </c>
      <c r="J1045" s="60">
        <f t="shared" si="7"/>
        <v>3.8185500000000006</v>
      </c>
      <c r="K1045" s="60">
        <f t="shared" si="7"/>
        <v>3.8193250000000005</v>
      </c>
    </row>
    <row r="1046" spans="1:11" ht="15">
      <c r="A1046" s="3">
        <v>2024</v>
      </c>
      <c r="B1046" s="60">
        <f t="shared" ref="B1046:K1046" si="8">AVERAGE(B113:B124)</f>
        <v>3.356641666666667</v>
      </c>
      <c r="C1046" s="60">
        <f t="shared" si="8"/>
        <v>3.356641666666667</v>
      </c>
      <c r="D1046" s="60">
        <f t="shared" si="8"/>
        <v>3.3744083333333332</v>
      </c>
      <c r="E1046" s="60">
        <f t="shared" si="8"/>
        <v>3.8828749999999999</v>
      </c>
      <c r="F1046" s="60">
        <f t="shared" si="8"/>
        <v>3.8828749999999999</v>
      </c>
      <c r="G1046" s="60">
        <f t="shared" si="8"/>
        <v>3.8836499999999994</v>
      </c>
      <c r="H1046" s="60">
        <f t="shared" si="8"/>
        <v>7.0792083333333329</v>
      </c>
      <c r="I1046" s="60">
        <f t="shared" si="8"/>
        <v>7.0799750000000001</v>
      </c>
      <c r="J1046" s="60">
        <f t="shared" si="8"/>
        <v>3.8828749999999999</v>
      </c>
      <c r="K1046" s="60">
        <f t="shared" si="8"/>
        <v>3.8836499999999994</v>
      </c>
    </row>
    <row r="1047" spans="1:11" ht="15">
      <c r="A1047" s="3">
        <v>2025</v>
      </c>
      <c r="B1047" s="60">
        <f t="shared" ref="B1047:K1047" si="9">AVERAGE(B125:B136)</f>
        <v>3.4431833333333337</v>
      </c>
      <c r="C1047" s="60">
        <f t="shared" si="9"/>
        <v>3.4431833333333337</v>
      </c>
      <c r="D1047" s="60">
        <f t="shared" si="9"/>
        <v>3.4609416666666668</v>
      </c>
      <c r="E1047" s="60">
        <f t="shared" si="9"/>
        <v>3.9477666666666664</v>
      </c>
      <c r="F1047" s="60">
        <f t="shared" si="9"/>
        <v>3.9477666666666664</v>
      </c>
      <c r="G1047" s="60">
        <f t="shared" si="9"/>
        <v>3.9485499999999991</v>
      </c>
      <c r="H1047" s="60">
        <f t="shared" si="9"/>
        <v>7.2582250000000004</v>
      </c>
      <c r="I1047" s="60">
        <f t="shared" si="9"/>
        <v>7.2589916666666676</v>
      </c>
      <c r="J1047" s="60">
        <f t="shared" si="9"/>
        <v>3.9477666666666664</v>
      </c>
      <c r="K1047" s="60">
        <f t="shared" si="9"/>
        <v>3.9485499999999991</v>
      </c>
    </row>
    <row r="1048" spans="1:11" ht="15">
      <c r="A1048" s="3">
        <v>2026</v>
      </c>
      <c r="B1048" s="60">
        <f t="shared" ref="B1048:K1048" si="10">AVERAGE(B137:B148)</f>
        <v>3.5199749999999992</v>
      </c>
      <c r="C1048" s="60">
        <f t="shared" si="10"/>
        <v>3.5199749999999992</v>
      </c>
      <c r="D1048" s="60">
        <f t="shared" si="10"/>
        <v>3.537725</v>
      </c>
      <c r="E1048" s="60">
        <f t="shared" si="10"/>
        <v>4.0216916666666664</v>
      </c>
      <c r="F1048" s="60">
        <f t="shared" si="10"/>
        <v>4.0216916666666664</v>
      </c>
      <c r="G1048" s="60">
        <f t="shared" si="10"/>
        <v>4.0224750000000009</v>
      </c>
      <c r="H1048" s="60">
        <f t="shared" si="10"/>
        <v>7.4417749999999998</v>
      </c>
      <c r="I1048" s="60">
        <f t="shared" si="10"/>
        <v>7.4425416666666662</v>
      </c>
      <c r="J1048" s="60">
        <f t="shared" si="10"/>
        <v>4.0216916666666664</v>
      </c>
      <c r="K1048" s="60">
        <f t="shared" si="10"/>
        <v>4.0224750000000009</v>
      </c>
    </row>
    <row r="1049" spans="1:11" ht="15">
      <c r="A1049" s="3">
        <v>2027</v>
      </c>
      <c r="B1049" s="60">
        <f t="shared" ref="B1049:K1049" si="11">AVERAGE(B149:B160)</f>
        <v>3.5945083333333336</v>
      </c>
      <c r="C1049" s="60">
        <f t="shared" si="11"/>
        <v>3.5945083333333336</v>
      </c>
      <c r="D1049" s="60">
        <f t="shared" si="11"/>
        <v>3.6122916666666662</v>
      </c>
      <c r="E1049" s="60">
        <f t="shared" si="11"/>
        <v>4.0970250000000004</v>
      </c>
      <c r="F1049" s="60">
        <f t="shared" si="11"/>
        <v>4.0970250000000004</v>
      </c>
      <c r="G1049" s="60">
        <f t="shared" si="11"/>
        <v>4.0977916666666667</v>
      </c>
      <c r="H1049" s="60">
        <f t="shared" si="11"/>
        <v>7.6299583333333345</v>
      </c>
      <c r="I1049" s="60">
        <f t="shared" si="11"/>
        <v>7.6307333333333327</v>
      </c>
      <c r="J1049" s="60">
        <f t="shared" si="11"/>
        <v>4.0970250000000004</v>
      </c>
      <c r="K1049" s="60">
        <f t="shared" si="11"/>
        <v>4.0977916666666667</v>
      </c>
    </row>
    <row r="1050" spans="1:11" ht="15">
      <c r="A1050" s="3">
        <v>2028</v>
      </c>
      <c r="B1050" s="60">
        <f t="shared" ref="B1050:K1050" si="12">AVERAGE(B161:B172)</f>
        <v>3.6865333333333346</v>
      </c>
      <c r="C1050" s="60">
        <f t="shared" si="12"/>
        <v>3.6865333333333346</v>
      </c>
      <c r="D1050" s="60">
        <f t="shared" si="12"/>
        <v>3.7042916666666668</v>
      </c>
      <c r="E1050" s="60">
        <f t="shared" si="12"/>
        <v>4.1895333333333324</v>
      </c>
      <c r="F1050" s="60">
        <f t="shared" si="12"/>
        <v>4.1895333333333324</v>
      </c>
      <c r="G1050" s="60">
        <f t="shared" si="12"/>
        <v>4.1903250000000005</v>
      </c>
      <c r="H1050" s="60">
        <f t="shared" si="12"/>
        <v>7.822916666666667</v>
      </c>
      <c r="I1050" s="60">
        <f t="shared" si="12"/>
        <v>7.823691666666666</v>
      </c>
      <c r="J1050" s="60">
        <f t="shared" si="12"/>
        <v>4.1895333333333324</v>
      </c>
      <c r="K1050" s="60">
        <f t="shared" si="12"/>
        <v>4.1903250000000005</v>
      </c>
    </row>
    <row r="1051" spans="1:11" ht="15">
      <c r="A1051" s="3">
        <v>2029</v>
      </c>
      <c r="B1051" s="60">
        <f t="shared" ref="B1051:K1051" si="13">AVERAGE(B173:B184)</f>
        <v>3.7820583333333331</v>
      </c>
      <c r="C1051" s="60">
        <f t="shared" si="13"/>
        <v>3.7820583333333331</v>
      </c>
      <c r="D1051" s="60">
        <f t="shared" si="13"/>
        <v>3.7998333333333334</v>
      </c>
      <c r="E1051" s="60">
        <f t="shared" si="13"/>
        <v>4.3054249999999996</v>
      </c>
      <c r="F1051" s="60">
        <f t="shared" si="13"/>
        <v>4.3054249999999996</v>
      </c>
      <c r="G1051" s="60">
        <f t="shared" si="13"/>
        <v>4.3062000000000014</v>
      </c>
      <c r="H1051" s="60">
        <f t="shared" si="13"/>
        <v>8.0207499999999996</v>
      </c>
      <c r="I1051" s="60">
        <f t="shared" si="13"/>
        <v>8.0215000000000014</v>
      </c>
      <c r="J1051" s="60">
        <f t="shared" si="13"/>
        <v>4.3054249999999996</v>
      </c>
      <c r="K1051" s="60">
        <f t="shared" si="13"/>
        <v>4.3062000000000014</v>
      </c>
    </row>
    <row r="1052" spans="1:11" ht="15">
      <c r="A1052" s="3">
        <v>2030</v>
      </c>
      <c r="B1052" s="60">
        <f t="shared" ref="B1052:K1052" si="14">AVERAGE(B185:B196)</f>
        <v>3.8811916666666666</v>
      </c>
      <c r="C1052" s="60">
        <f t="shared" si="14"/>
        <v>3.8811916666666666</v>
      </c>
      <c r="D1052" s="60">
        <f t="shared" si="14"/>
        <v>3.8989666666666665</v>
      </c>
      <c r="E1052" s="60">
        <f t="shared" si="14"/>
        <v>4.4246083333333326</v>
      </c>
      <c r="F1052" s="60">
        <f t="shared" si="14"/>
        <v>4.4246083333333326</v>
      </c>
      <c r="G1052" s="60">
        <f t="shared" si="14"/>
        <v>4.4253833333333326</v>
      </c>
      <c r="H1052" s="60">
        <f t="shared" si="14"/>
        <v>8.2235750000000003</v>
      </c>
      <c r="I1052" s="60">
        <f t="shared" si="14"/>
        <v>8.2243499999999994</v>
      </c>
      <c r="J1052" s="60">
        <f t="shared" si="14"/>
        <v>4.4246083333333326</v>
      </c>
      <c r="K1052" s="60">
        <f t="shared" si="14"/>
        <v>4.4253833333333326</v>
      </c>
    </row>
    <row r="1053" spans="1:11" ht="15">
      <c r="A1053" s="3">
        <v>2031</v>
      </c>
      <c r="B1053" s="60">
        <f t="shared" ref="B1053:K1053" si="15">AVERAGE(B197:B208)</f>
        <v>3.9861666666666671</v>
      </c>
      <c r="C1053" s="60">
        <f t="shared" si="15"/>
        <v>3.9861666666666671</v>
      </c>
      <c r="D1053" s="60">
        <f t="shared" si="15"/>
        <v>4.0039166666666679</v>
      </c>
      <c r="E1053" s="60">
        <f t="shared" si="15"/>
        <v>4.564283333333333</v>
      </c>
      <c r="F1053" s="60">
        <f t="shared" si="15"/>
        <v>4.564283333333333</v>
      </c>
      <c r="G1053" s="60">
        <f t="shared" si="15"/>
        <v>4.5650500000000003</v>
      </c>
      <c r="H1053" s="60">
        <f t="shared" si="15"/>
        <v>8.4315499999999997</v>
      </c>
      <c r="I1053" s="60">
        <f t="shared" si="15"/>
        <v>8.4322999999999997</v>
      </c>
      <c r="J1053" s="60">
        <f t="shared" si="15"/>
        <v>4.564283333333333</v>
      </c>
      <c r="K1053" s="60">
        <f t="shared" si="15"/>
        <v>4.5650500000000003</v>
      </c>
    </row>
    <row r="1054" spans="1:11" ht="15">
      <c r="A1054" s="3">
        <v>2032</v>
      </c>
      <c r="B1054" s="60">
        <f t="shared" ref="B1054:K1054" si="16">AVERAGE(B209:B220)</f>
        <v>4.1071416666666662</v>
      </c>
      <c r="C1054" s="60">
        <f t="shared" si="16"/>
        <v>4.1071416666666662</v>
      </c>
      <c r="D1054" s="60">
        <f t="shared" si="16"/>
        <v>4.1248999999999993</v>
      </c>
      <c r="E1054" s="60">
        <f t="shared" si="16"/>
        <v>4.7087666666666665</v>
      </c>
      <c r="F1054" s="60">
        <f t="shared" si="16"/>
        <v>4.7087666666666665</v>
      </c>
      <c r="G1054" s="60">
        <f t="shared" si="16"/>
        <v>4.7095166666666666</v>
      </c>
      <c r="H1054" s="60">
        <f t="shared" si="16"/>
        <v>8.6447666666666674</v>
      </c>
      <c r="I1054" s="60">
        <f t="shared" si="16"/>
        <v>8.6455249999999992</v>
      </c>
      <c r="J1054" s="60">
        <f t="shared" si="16"/>
        <v>4.7087666666666665</v>
      </c>
      <c r="K1054" s="60">
        <f t="shared" si="16"/>
        <v>4.7095166666666666</v>
      </c>
    </row>
    <row r="1055" spans="1:11" ht="15">
      <c r="A1055" s="3">
        <v>2033</v>
      </c>
      <c r="B1055" s="60">
        <f t="shared" ref="B1055:K1055" si="17">AVERAGE(B221:B232)</f>
        <v>4.2320083333333329</v>
      </c>
      <c r="C1055" s="60">
        <f t="shared" si="17"/>
        <v>4.2320083333333329</v>
      </c>
      <c r="D1055" s="60">
        <f t="shared" si="17"/>
        <v>4.249791666666666</v>
      </c>
      <c r="E1055" s="60">
        <f t="shared" si="17"/>
        <v>4.8575416666666671</v>
      </c>
      <c r="F1055" s="60">
        <f t="shared" si="17"/>
        <v>4.8575416666666671</v>
      </c>
      <c r="G1055" s="60">
        <f t="shared" si="17"/>
        <v>4.8583166666666662</v>
      </c>
      <c r="H1055" s="60">
        <f t="shared" si="17"/>
        <v>8.8633666666666659</v>
      </c>
      <c r="I1055" s="60">
        <f t="shared" si="17"/>
        <v>8.8641416666666668</v>
      </c>
      <c r="J1055" s="60">
        <f t="shared" si="17"/>
        <v>4.8575416666666671</v>
      </c>
      <c r="K1055" s="60">
        <f t="shared" si="17"/>
        <v>4.8583166666666662</v>
      </c>
    </row>
    <row r="1056" spans="1:11" ht="15">
      <c r="A1056" s="3">
        <v>2034</v>
      </c>
      <c r="B1056" s="60">
        <f t="shared" ref="B1056:K1056" si="18">AVERAGE(B233:B244)</f>
        <v>4.3617000000000008</v>
      </c>
      <c r="C1056" s="60">
        <f t="shared" si="18"/>
        <v>4.3617000000000008</v>
      </c>
      <c r="D1056" s="60">
        <f t="shared" si="18"/>
        <v>4.3794750000000002</v>
      </c>
      <c r="E1056" s="60">
        <f t="shared" si="18"/>
        <v>5.0112666666666668</v>
      </c>
      <c r="F1056" s="60">
        <f t="shared" si="18"/>
        <v>5.0112666666666668</v>
      </c>
      <c r="G1056" s="60">
        <f t="shared" si="18"/>
        <v>5.012033333333334</v>
      </c>
      <c r="H1056" s="60">
        <f t="shared" si="18"/>
        <v>9.0875166666666658</v>
      </c>
      <c r="I1056" s="60">
        <f t="shared" si="18"/>
        <v>9.088283333333333</v>
      </c>
      <c r="J1056" s="60">
        <f t="shared" si="18"/>
        <v>5.0112666666666668</v>
      </c>
      <c r="K1056" s="60">
        <f t="shared" si="18"/>
        <v>5.012033333333334</v>
      </c>
    </row>
    <row r="1057" spans="1:11" ht="15">
      <c r="A1057" s="3">
        <v>2035</v>
      </c>
      <c r="B1057" s="60">
        <f t="shared" ref="B1057:K1057" si="19">AVERAGE(B245:B256)</f>
        <v>4.4858083333333338</v>
      </c>
      <c r="C1057" s="60">
        <f t="shared" si="19"/>
        <v>4.4858083333333338</v>
      </c>
      <c r="D1057" s="60">
        <f t="shared" si="19"/>
        <v>4.5035916666666669</v>
      </c>
      <c r="E1057" s="60">
        <f t="shared" si="19"/>
        <v>5.1507166666666668</v>
      </c>
      <c r="F1057" s="60">
        <f t="shared" si="19"/>
        <v>5.1507166666666668</v>
      </c>
      <c r="G1057" s="60">
        <f t="shared" si="19"/>
        <v>5.1514749999999996</v>
      </c>
      <c r="H1057" s="60">
        <f t="shared" si="19"/>
        <v>9.3173083333333349</v>
      </c>
      <c r="I1057" s="60">
        <f t="shared" si="19"/>
        <v>9.3180833333333339</v>
      </c>
      <c r="J1057" s="60">
        <f t="shared" si="19"/>
        <v>5.1507166666666668</v>
      </c>
      <c r="K1057" s="60">
        <f t="shared" si="19"/>
        <v>5.1514749999999996</v>
      </c>
    </row>
    <row r="1058" spans="1:11" ht="15">
      <c r="A1058" s="3">
        <v>2036</v>
      </c>
      <c r="B1058" s="60">
        <f t="shared" ref="B1058:K1058" si="20">AVERAGE(B257:B268)</f>
        <v>4.6092000000000004</v>
      </c>
      <c r="C1058" s="60">
        <f t="shared" si="20"/>
        <v>4.6092000000000004</v>
      </c>
      <c r="D1058" s="60">
        <f t="shared" si="20"/>
        <v>4.6269749999999998</v>
      </c>
      <c r="E1058" s="60">
        <f t="shared" si="20"/>
        <v>5.2943249999999997</v>
      </c>
      <c r="F1058" s="60">
        <f t="shared" si="20"/>
        <v>5.2943249999999997</v>
      </c>
      <c r="G1058" s="60">
        <f t="shared" si="20"/>
        <v>5.2950749999999998</v>
      </c>
      <c r="H1058" s="60">
        <f t="shared" si="20"/>
        <v>9.5529416666666673</v>
      </c>
      <c r="I1058" s="60">
        <f t="shared" si="20"/>
        <v>9.5537083333333328</v>
      </c>
      <c r="J1058" s="60">
        <f t="shared" si="20"/>
        <v>5.2943249999999997</v>
      </c>
      <c r="K1058" s="60">
        <f t="shared" si="20"/>
        <v>5.2950749999999998</v>
      </c>
    </row>
    <row r="1059" spans="1:11" ht="15">
      <c r="A1059" s="3">
        <v>2037</v>
      </c>
      <c r="B1059" s="60">
        <f t="shared" ref="B1059:K1059" si="21">AVERAGE(B269:B280)</f>
        <v>4.7357500000000003</v>
      </c>
      <c r="C1059" s="60">
        <f t="shared" si="21"/>
        <v>4.7357500000000003</v>
      </c>
      <c r="D1059" s="60">
        <f t="shared" si="21"/>
        <v>4.7535333333333343</v>
      </c>
      <c r="E1059" s="60">
        <f t="shared" si="21"/>
        <v>5.441816666666667</v>
      </c>
      <c r="F1059" s="60">
        <f t="shared" si="21"/>
        <v>5.441816666666667</v>
      </c>
      <c r="G1059" s="60">
        <f t="shared" si="21"/>
        <v>5.4425916666666661</v>
      </c>
      <c r="H1059" s="60">
        <f t="shared" si="21"/>
        <v>9.7945249999999984</v>
      </c>
      <c r="I1059" s="60">
        <f t="shared" si="21"/>
        <v>9.7952916666666656</v>
      </c>
      <c r="J1059" s="60">
        <f t="shared" si="21"/>
        <v>5.441816666666667</v>
      </c>
      <c r="K1059" s="60">
        <f t="shared" si="21"/>
        <v>5.4425916666666661</v>
      </c>
    </row>
    <row r="1060" spans="1:11" ht="15">
      <c r="A1060" s="3">
        <v>2038</v>
      </c>
      <c r="B1060" s="60">
        <f t="shared" ref="B1060:K1060" si="22">AVERAGE(B281:B292)</f>
        <v>4.8654333333333337</v>
      </c>
      <c r="C1060" s="60">
        <f t="shared" si="22"/>
        <v>4.8654333333333337</v>
      </c>
      <c r="D1060" s="60">
        <f t="shared" si="22"/>
        <v>4.8832166666666668</v>
      </c>
      <c r="E1060" s="60">
        <f t="shared" si="22"/>
        <v>5.594408333333333</v>
      </c>
      <c r="F1060" s="60">
        <f t="shared" si="22"/>
        <v>5.594408333333333</v>
      </c>
      <c r="G1060" s="60">
        <f t="shared" si="22"/>
        <v>5.5951916666666675</v>
      </c>
      <c r="H1060" s="60">
        <f t="shared" si="22"/>
        <v>10.042208333333333</v>
      </c>
      <c r="I1060" s="60">
        <f t="shared" si="22"/>
        <v>10.042958333333333</v>
      </c>
      <c r="J1060" s="60">
        <f t="shared" si="22"/>
        <v>5.594408333333333</v>
      </c>
      <c r="K1060" s="60">
        <f t="shared" si="22"/>
        <v>5.5951916666666675</v>
      </c>
    </row>
    <row r="1061" spans="1:11" ht="15">
      <c r="A1061" s="3">
        <v>2039</v>
      </c>
      <c r="B1061" s="60">
        <f t="shared" ref="B1061:K1061" si="23">AVERAGE(B293:B304)</f>
        <v>5.0003166666666656</v>
      </c>
      <c r="C1061" s="60">
        <f t="shared" si="23"/>
        <v>5.0003166666666656</v>
      </c>
      <c r="D1061" s="60">
        <f t="shared" si="23"/>
        <v>5.0180916666666668</v>
      </c>
      <c r="E1061" s="60">
        <f t="shared" si="23"/>
        <v>5.749200000000001</v>
      </c>
      <c r="F1061" s="60">
        <f t="shared" si="23"/>
        <v>5.749200000000001</v>
      </c>
      <c r="G1061" s="60">
        <f t="shared" si="23"/>
        <v>5.7499666666666664</v>
      </c>
      <c r="H1061" s="60">
        <f t="shared" si="23"/>
        <v>10.296166666666666</v>
      </c>
      <c r="I1061" s="60">
        <f t="shared" si="23"/>
        <v>10.296916666666668</v>
      </c>
      <c r="J1061" s="60">
        <f t="shared" si="23"/>
        <v>5.749200000000001</v>
      </c>
      <c r="K1061" s="60">
        <f t="shared" si="23"/>
        <v>5.7499666666666664</v>
      </c>
    </row>
    <row r="1062" spans="1:11" ht="15">
      <c r="A1062" s="3">
        <v>2040</v>
      </c>
      <c r="B1062" s="60">
        <f t="shared" ref="B1062:K1062" si="24">AVERAGE(B305:B316)</f>
        <v>5.136425</v>
      </c>
      <c r="C1062" s="60">
        <f t="shared" si="24"/>
        <v>5.136425</v>
      </c>
      <c r="D1062" s="60">
        <f t="shared" si="24"/>
        <v>5.1542000000000003</v>
      </c>
      <c r="E1062" s="60">
        <f t="shared" si="24"/>
        <v>5.9101166666666662</v>
      </c>
      <c r="F1062" s="60">
        <f t="shared" si="24"/>
        <v>5.9101166666666662</v>
      </c>
      <c r="G1062" s="60">
        <f t="shared" si="24"/>
        <v>5.9108916666666671</v>
      </c>
      <c r="H1062" s="60">
        <f t="shared" si="24"/>
        <v>10.556541666666666</v>
      </c>
      <c r="I1062" s="60">
        <f t="shared" si="24"/>
        <v>10.557316666666667</v>
      </c>
      <c r="J1062" s="60">
        <f t="shared" si="24"/>
        <v>5.9101166666666662</v>
      </c>
      <c r="K1062" s="60">
        <f t="shared" si="24"/>
        <v>5.9108916666666671</v>
      </c>
    </row>
    <row r="1063" spans="1:11" ht="15">
      <c r="A1063" s="3">
        <v>2041</v>
      </c>
      <c r="B1063" s="60">
        <f t="shared" ref="B1063:K1063" si="25">AVERAGE(B317:B328)</f>
        <v>5.2762833333333345</v>
      </c>
      <c r="C1063" s="60">
        <f t="shared" si="25"/>
        <v>5.2762833333333345</v>
      </c>
      <c r="D1063" s="60">
        <f t="shared" si="25"/>
        <v>5.2940499999999995</v>
      </c>
      <c r="E1063" s="60">
        <f t="shared" si="25"/>
        <v>6.0755333333333335</v>
      </c>
      <c r="F1063" s="60">
        <f t="shared" si="25"/>
        <v>6.0755333333333335</v>
      </c>
      <c r="G1063" s="60">
        <f t="shared" si="25"/>
        <v>6.0763000000000007</v>
      </c>
      <c r="H1063" s="60">
        <f t="shared" si="25"/>
        <v>10.823500000000001</v>
      </c>
      <c r="I1063" s="60">
        <f t="shared" si="25"/>
        <v>10.824266666666666</v>
      </c>
      <c r="J1063" s="60">
        <f t="shared" si="25"/>
        <v>6.0755333333333335</v>
      </c>
      <c r="K1063" s="60">
        <f t="shared" si="25"/>
        <v>6.0763000000000007</v>
      </c>
    </row>
    <row r="1064" spans="1:11" ht="15">
      <c r="A1064" s="3">
        <v>2042</v>
      </c>
      <c r="B1064" s="60">
        <f t="shared" ref="B1064:K1064" si="26">AVERAGE(B329:B340)</f>
        <v>5.4200000000000008</v>
      </c>
      <c r="C1064" s="60">
        <f t="shared" si="26"/>
        <v>5.4200000000000008</v>
      </c>
      <c r="D1064" s="60">
        <f t="shared" si="26"/>
        <v>5.4377583333333339</v>
      </c>
      <c r="E1064" s="60">
        <f t="shared" si="26"/>
        <v>6.2455916666666669</v>
      </c>
      <c r="F1064" s="60">
        <f t="shared" si="26"/>
        <v>6.2455916666666669</v>
      </c>
      <c r="G1064" s="60">
        <f t="shared" si="26"/>
        <v>6.2463499999999996</v>
      </c>
      <c r="H1064" s="60">
        <f t="shared" si="26"/>
        <v>11.097200000000001</v>
      </c>
      <c r="I1064" s="60">
        <f t="shared" si="26"/>
        <v>11.097975</v>
      </c>
      <c r="J1064" s="60">
        <f t="shared" si="26"/>
        <v>6.2455916666666669</v>
      </c>
      <c r="K1064" s="60">
        <f t="shared" si="26"/>
        <v>6.2463499999999996</v>
      </c>
    </row>
    <row r="1065" spans="1:11" ht="15">
      <c r="A1065" s="3">
        <v>2043</v>
      </c>
      <c r="B1065" s="60">
        <f t="shared" ref="B1065:K1065" si="27">AVERAGE(B341:B352)</f>
        <v>5.5676416666666659</v>
      </c>
      <c r="C1065" s="60">
        <f t="shared" si="27"/>
        <v>5.5676416666666659</v>
      </c>
      <c r="D1065" s="60">
        <f t="shared" si="27"/>
        <v>5.5854083333333335</v>
      </c>
      <c r="E1065" s="60">
        <f t="shared" si="27"/>
        <v>6.4204000000000008</v>
      </c>
      <c r="F1065" s="60">
        <f t="shared" si="27"/>
        <v>6.4204000000000008</v>
      </c>
      <c r="G1065" s="60">
        <f t="shared" si="27"/>
        <v>6.4211666666666654</v>
      </c>
      <c r="H1065" s="60">
        <f t="shared" si="27"/>
        <v>11.377841666666667</v>
      </c>
      <c r="I1065" s="60">
        <f t="shared" si="27"/>
        <v>11.378608333333332</v>
      </c>
      <c r="J1065" s="60">
        <f t="shared" si="27"/>
        <v>6.4204000000000008</v>
      </c>
      <c r="K1065" s="60">
        <f t="shared" si="27"/>
        <v>6.4211666666666654</v>
      </c>
    </row>
    <row r="1066" spans="1:11" ht="15">
      <c r="A1066" s="3">
        <v>2044</v>
      </c>
      <c r="B1066" s="60">
        <f t="shared" ref="B1066:K1066" si="28">AVERAGE(B353:B364)</f>
        <v>5.7193499999999995</v>
      </c>
      <c r="C1066" s="60">
        <f t="shared" si="28"/>
        <v>5.7193499999999995</v>
      </c>
      <c r="D1066" s="60">
        <f t="shared" si="28"/>
        <v>5.7371166666666662</v>
      </c>
      <c r="E1066" s="60">
        <f t="shared" si="28"/>
        <v>6.6000916666666649</v>
      </c>
      <c r="F1066" s="60">
        <f t="shared" si="28"/>
        <v>6.6000916666666649</v>
      </c>
      <c r="G1066" s="60">
        <f t="shared" si="28"/>
        <v>6.6008583333333322</v>
      </c>
      <c r="H1066" s="60">
        <f t="shared" si="28"/>
        <v>11.665550000000001</v>
      </c>
      <c r="I1066" s="60">
        <f t="shared" si="28"/>
        <v>11.666325000000001</v>
      </c>
      <c r="J1066" s="60">
        <f t="shared" si="28"/>
        <v>6.6000916666666649</v>
      </c>
      <c r="K1066" s="60">
        <f t="shared" si="28"/>
        <v>6.6008583333333322</v>
      </c>
    </row>
    <row r="1067" spans="1:11" ht="15">
      <c r="A1067" s="3">
        <v>2045</v>
      </c>
      <c r="B1067" s="60">
        <f t="shared" ref="B1067:K1067" si="29">AVERAGE(B365:B376)</f>
        <v>5.875233333333334</v>
      </c>
      <c r="C1067" s="60">
        <f t="shared" si="29"/>
        <v>5.875233333333334</v>
      </c>
      <c r="D1067" s="60">
        <f t="shared" si="29"/>
        <v>5.8929999999999998</v>
      </c>
      <c r="E1067" s="60">
        <f t="shared" si="29"/>
        <v>6.784841666666666</v>
      </c>
      <c r="F1067" s="60">
        <f t="shared" si="29"/>
        <v>6.784841666666666</v>
      </c>
      <c r="G1067" s="60">
        <f t="shared" si="29"/>
        <v>6.7855999999999996</v>
      </c>
      <c r="H1067" s="60">
        <f t="shared" si="29"/>
        <v>11.960566666666667</v>
      </c>
      <c r="I1067" s="60">
        <f t="shared" si="29"/>
        <v>11.961333333333334</v>
      </c>
      <c r="J1067" s="60">
        <f t="shared" si="29"/>
        <v>6.784841666666666</v>
      </c>
      <c r="K1067" s="60">
        <f t="shared" si="29"/>
        <v>6.7855999999999996</v>
      </c>
    </row>
    <row r="1068" spans="1:11" ht="15">
      <c r="A1068" s="3">
        <v>2046</v>
      </c>
      <c r="B1068" s="60">
        <f t="shared" ref="B1068:K1068" si="30">AVERAGE(B377:B388)</f>
        <v>6.0354000000000001</v>
      </c>
      <c r="C1068" s="60">
        <f t="shared" si="30"/>
        <v>6.0354000000000001</v>
      </c>
      <c r="D1068" s="60">
        <f t="shared" si="30"/>
        <v>6.0531666666666668</v>
      </c>
      <c r="E1068" s="60">
        <f t="shared" si="30"/>
        <v>6.9747249999999994</v>
      </c>
      <c r="F1068" s="60">
        <f t="shared" si="30"/>
        <v>6.9747249999999994</v>
      </c>
      <c r="G1068" s="60">
        <f t="shared" si="30"/>
        <v>6.9755000000000011</v>
      </c>
      <c r="H1068" s="60">
        <f t="shared" si="30"/>
        <v>12.263041666666666</v>
      </c>
      <c r="I1068" s="60">
        <f t="shared" si="30"/>
        <v>12.263816666666669</v>
      </c>
      <c r="J1068" s="60">
        <f t="shared" si="30"/>
        <v>6.9747249999999994</v>
      </c>
      <c r="K1068" s="60">
        <f t="shared" si="30"/>
        <v>6.9755000000000011</v>
      </c>
    </row>
    <row r="1069" spans="1:11" ht="15">
      <c r="A1069" s="3">
        <v>2047</v>
      </c>
      <c r="B1069" s="60">
        <f t="shared" ref="B1069:K1069" si="31">AVERAGE(B389:B400)</f>
        <v>6.1999666666666657</v>
      </c>
      <c r="C1069" s="60">
        <f t="shared" si="31"/>
        <v>6.1999666666666657</v>
      </c>
      <c r="D1069" s="60">
        <f t="shared" si="31"/>
        <v>6.2177499999999997</v>
      </c>
      <c r="E1069" s="60">
        <f t="shared" si="31"/>
        <v>7.1699499999999992</v>
      </c>
      <c r="F1069" s="60">
        <f t="shared" si="31"/>
        <v>7.1699499999999992</v>
      </c>
      <c r="G1069" s="60">
        <f t="shared" si="31"/>
        <v>7.170725</v>
      </c>
      <c r="H1069" s="60">
        <f t="shared" si="31"/>
        <v>12.573133333333333</v>
      </c>
      <c r="I1069" s="60">
        <f t="shared" si="31"/>
        <v>12.573900000000002</v>
      </c>
      <c r="J1069" s="60">
        <f t="shared" si="31"/>
        <v>7.1699499999999992</v>
      </c>
      <c r="K1069" s="60">
        <f t="shared" si="31"/>
        <v>7.170725</v>
      </c>
    </row>
    <row r="1070" spans="1:11" ht="15">
      <c r="A1070" s="3">
        <v>2048</v>
      </c>
      <c r="B1070" s="60">
        <f t="shared" ref="B1070:K1070" si="32">AVERAGE(B401:B412)</f>
        <v>6.3690833333333332</v>
      </c>
      <c r="C1070" s="60">
        <f t="shared" si="32"/>
        <v>6.3690833333333332</v>
      </c>
      <c r="D1070" s="60">
        <f t="shared" si="32"/>
        <v>6.3868583333333335</v>
      </c>
      <c r="E1070" s="60">
        <f t="shared" si="32"/>
        <v>7.3706416666666676</v>
      </c>
      <c r="F1070" s="60">
        <f t="shared" si="32"/>
        <v>7.3706416666666676</v>
      </c>
      <c r="G1070" s="60">
        <f t="shared" si="32"/>
        <v>7.3714249999999995</v>
      </c>
      <c r="H1070" s="60">
        <f t="shared" si="32"/>
        <v>12.891116666666667</v>
      </c>
      <c r="I1070" s="60">
        <f t="shared" si="32"/>
        <v>12.891866666666665</v>
      </c>
      <c r="J1070" s="60">
        <f t="shared" si="32"/>
        <v>7.3706416666666676</v>
      </c>
      <c r="K1070" s="60">
        <f t="shared" si="32"/>
        <v>7.3714249999999995</v>
      </c>
    </row>
    <row r="1071" spans="1:11" ht="15">
      <c r="A1071" s="3">
        <v>2049</v>
      </c>
      <c r="B1071" s="60">
        <f t="shared" ref="B1071:K1071" si="33">AVERAGE(B413:B424)</f>
        <v>6.5428583333333341</v>
      </c>
      <c r="C1071" s="60">
        <f t="shared" si="33"/>
        <v>6.5428583333333341</v>
      </c>
      <c r="D1071" s="60">
        <f t="shared" si="33"/>
        <v>6.5606166666666654</v>
      </c>
      <c r="E1071" s="60">
        <f t="shared" si="33"/>
        <v>7.5769250000000001</v>
      </c>
      <c r="F1071" s="60">
        <f t="shared" si="33"/>
        <v>7.5769250000000001</v>
      </c>
      <c r="G1071" s="60">
        <f t="shared" si="33"/>
        <v>7.5777000000000001</v>
      </c>
      <c r="H1071" s="60">
        <f t="shared" si="33"/>
        <v>13.217100000000002</v>
      </c>
      <c r="I1071" s="60">
        <f t="shared" si="33"/>
        <v>13.217866666666666</v>
      </c>
      <c r="J1071" s="60">
        <f t="shared" si="33"/>
        <v>7.5769250000000001</v>
      </c>
      <c r="K1071" s="60">
        <f t="shared" si="33"/>
        <v>7.5777000000000001</v>
      </c>
    </row>
    <row r="1072" spans="1:11" ht="15">
      <c r="A1072" s="3">
        <v>2050</v>
      </c>
      <c r="B1072" s="60">
        <f t="shared" ref="B1072:K1072" si="34">AVERAGE(B425:B436)</f>
        <v>6.7214083333333337</v>
      </c>
      <c r="C1072" s="60">
        <f t="shared" si="34"/>
        <v>6.7214083333333337</v>
      </c>
      <c r="D1072" s="60">
        <f t="shared" si="34"/>
        <v>6.7391666666666659</v>
      </c>
      <c r="E1072" s="60">
        <f t="shared" si="34"/>
        <v>7.7890083333333324</v>
      </c>
      <c r="F1072" s="60">
        <f t="shared" si="34"/>
        <v>7.7890083333333324</v>
      </c>
      <c r="G1072" s="60">
        <f t="shared" si="34"/>
        <v>7.7897666666666661</v>
      </c>
      <c r="H1072" s="60">
        <f t="shared" si="34"/>
        <v>13.551349999999999</v>
      </c>
      <c r="I1072" s="60">
        <f t="shared" si="34"/>
        <v>13.552100000000001</v>
      </c>
      <c r="J1072" s="60">
        <f t="shared" si="34"/>
        <v>7.7890083333333324</v>
      </c>
      <c r="K1072" s="60">
        <f t="shared" si="34"/>
        <v>7.7897666666666661</v>
      </c>
    </row>
    <row r="1073" spans="1:11" ht="15">
      <c r="A1073" s="3">
        <v>2051</v>
      </c>
      <c r="B1073" s="60">
        <f t="shared" ref="B1073:K1073" si="35">AVERAGE(B437:B448)</f>
        <v>6.9048833333333333</v>
      </c>
      <c r="C1073" s="60">
        <f t="shared" si="35"/>
        <v>6.9048833333333333</v>
      </c>
      <c r="D1073" s="60">
        <f t="shared" si="35"/>
        <v>6.9226500000000009</v>
      </c>
      <c r="E1073" s="60">
        <f t="shared" si="35"/>
        <v>8.0070083333333333</v>
      </c>
      <c r="F1073" s="60">
        <f t="shared" si="35"/>
        <v>8.0070083333333333</v>
      </c>
      <c r="G1073" s="60">
        <f t="shared" si="35"/>
        <v>8.0077666666666669</v>
      </c>
      <c r="H1073" s="60">
        <f t="shared" si="35"/>
        <v>13.894016666666666</v>
      </c>
      <c r="I1073" s="60">
        <f t="shared" si="35"/>
        <v>13.894783333333331</v>
      </c>
      <c r="J1073" s="60">
        <f t="shared" si="35"/>
        <v>8.0070083333333333</v>
      </c>
      <c r="K1073" s="60">
        <f t="shared" si="35"/>
        <v>8.0077666666666669</v>
      </c>
    </row>
    <row r="1074" spans="1:11" ht="15">
      <c r="A1074" s="3">
        <v>2052</v>
      </c>
      <c r="B1074" s="60">
        <f t="shared" ref="B1074:K1074" si="36">AVERAGE(B449:B460)</f>
        <v>7.0933999999999999</v>
      </c>
      <c r="C1074" s="60">
        <f t="shared" si="36"/>
        <v>7.0933999999999999</v>
      </c>
      <c r="D1074" s="60">
        <f t="shared" si="36"/>
        <v>7.1111750000000002</v>
      </c>
      <c r="E1074" s="60">
        <f t="shared" si="36"/>
        <v>8.2311083333333332</v>
      </c>
      <c r="F1074" s="60">
        <f t="shared" si="36"/>
        <v>8.2311083333333332</v>
      </c>
      <c r="G1074" s="60">
        <f t="shared" si="36"/>
        <v>8.2318750000000005</v>
      </c>
      <c r="H1074" s="60">
        <f t="shared" si="36"/>
        <v>14.245383333333331</v>
      </c>
      <c r="I1074" s="60">
        <f t="shared" si="36"/>
        <v>14.246158333333334</v>
      </c>
      <c r="J1074" s="60">
        <f t="shared" si="36"/>
        <v>8.2311083333333332</v>
      </c>
      <c r="K1074" s="60">
        <f t="shared" si="36"/>
        <v>8.2318750000000005</v>
      </c>
    </row>
    <row r="1075" spans="1:11" ht="15">
      <c r="A1075" s="3">
        <v>2053</v>
      </c>
      <c r="B1075" s="60">
        <f t="shared" ref="B1075:K1075" si="37">AVERAGE(B461:B472)</f>
        <v>7.2871333333333324</v>
      </c>
      <c r="C1075" s="60">
        <f t="shared" si="37"/>
        <v>7.2871333333333324</v>
      </c>
      <c r="D1075" s="60">
        <f t="shared" si="37"/>
        <v>7.3048916666666663</v>
      </c>
      <c r="E1075" s="60">
        <f t="shared" si="37"/>
        <v>8.4614916666666673</v>
      </c>
      <c r="F1075" s="60">
        <f t="shared" si="37"/>
        <v>8.4614916666666673</v>
      </c>
      <c r="G1075" s="60">
        <f t="shared" si="37"/>
        <v>8.4622749999999982</v>
      </c>
      <c r="H1075" s="60">
        <f t="shared" si="37"/>
        <v>14.605633333333332</v>
      </c>
      <c r="I1075" s="60">
        <f t="shared" si="37"/>
        <v>14.606399999999999</v>
      </c>
      <c r="J1075" s="60">
        <f t="shared" si="37"/>
        <v>8.4614916666666673</v>
      </c>
      <c r="K1075" s="60">
        <f t="shared" si="37"/>
        <v>8.4622749999999982</v>
      </c>
    </row>
    <row r="1076" spans="1:11" ht="15">
      <c r="A1076" s="3">
        <v>2054</v>
      </c>
      <c r="B1076" s="60">
        <f t="shared" ref="B1076:K1076" si="38">AVERAGE(B473:B484)</f>
        <v>7.4862000000000011</v>
      </c>
      <c r="C1076" s="60">
        <f t="shared" si="38"/>
        <v>7.4862000000000011</v>
      </c>
      <c r="D1076" s="60">
        <f t="shared" si="38"/>
        <v>7.5039499999999988</v>
      </c>
      <c r="E1076" s="60">
        <f t="shared" si="38"/>
        <v>8.6983249999999988</v>
      </c>
      <c r="F1076" s="60">
        <f t="shared" si="38"/>
        <v>8.6983249999999988</v>
      </c>
      <c r="G1076" s="60">
        <f t="shared" si="38"/>
        <v>8.6990833333333342</v>
      </c>
      <c r="H1076" s="60">
        <f t="shared" si="38"/>
        <v>14.974983333333332</v>
      </c>
      <c r="I1076" s="60">
        <f t="shared" si="38"/>
        <v>14.97575</v>
      </c>
      <c r="J1076" s="60">
        <f t="shared" si="38"/>
        <v>8.6983249999999988</v>
      </c>
      <c r="K1076" s="60">
        <f t="shared" si="38"/>
        <v>8.6990833333333342</v>
      </c>
    </row>
    <row r="1077" spans="1:11" ht="15">
      <c r="A1077" s="3">
        <v>2055</v>
      </c>
      <c r="B1077" s="60">
        <f t="shared" ref="B1077:K1077" si="39">AVERAGE(B17:B496)</f>
        <v>4.76862708333333</v>
      </c>
      <c r="C1077" s="60">
        <f t="shared" si="39"/>
        <v>4.76862708333333</v>
      </c>
      <c r="D1077" s="60">
        <f t="shared" si="39"/>
        <v>4.7863954166666662</v>
      </c>
      <c r="E1077" s="60">
        <f t="shared" si="39"/>
        <v>5.5242174999999962</v>
      </c>
      <c r="F1077" s="60">
        <f t="shared" si="39"/>
        <v>5.540703749999996</v>
      </c>
      <c r="G1077" s="60">
        <f t="shared" si="39"/>
        <v>5.5414743750000017</v>
      </c>
      <c r="H1077" s="60">
        <f t="shared" si="39"/>
        <v>9.8313470833333287</v>
      </c>
      <c r="I1077" s="60">
        <f t="shared" si="39"/>
        <v>9.8321139583333341</v>
      </c>
      <c r="J1077" s="60">
        <f t="shared" si="39"/>
        <v>5.5242174999999962</v>
      </c>
      <c r="K1077" s="60">
        <f t="shared" si="39"/>
        <v>5.5249881249999993</v>
      </c>
    </row>
    <row r="1078" spans="1:11" ht="15">
      <c r="A1078" s="3">
        <v>2056</v>
      </c>
      <c r="B1078" s="60">
        <f t="shared" ref="B1078:K1078" si="40">AVERAGE(B497:B508)</f>
        <v>7.9009416666666672</v>
      </c>
      <c r="C1078" s="60">
        <f t="shared" si="40"/>
        <v>7.9009416666666672</v>
      </c>
      <c r="D1078" s="60">
        <f t="shared" si="40"/>
        <v>7.9187083333333348</v>
      </c>
      <c r="E1078" s="60">
        <f t="shared" si="40"/>
        <v>9.192025000000001</v>
      </c>
      <c r="F1078" s="60">
        <f t="shared" si="40"/>
        <v>9.192025000000001</v>
      </c>
      <c r="G1078" s="60">
        <f t="shared" si="40"/>
        <v>9.1928000000000001</v>
      </c>
      <c r="H1078" s="60">
        <f t="shared" si="40"/>
        <v>15.741966666666665</v>
      </c>
      <c r="I1078" s="60">
        <f t="shared" si="40"/>
        <v>15.742725</v>
      </c>
      <c r="J1078" s="60">
        <f t="shared" si="40"/>
        <v>9.192025000000001</v>
      </c>
      <c r="K1078" s="60">
        <f t="shared" si="40"/>
        <v>9.1928000000000001</v>
      </c>
    </row>
    <row r="1079" spans="1:11" ht="15">
      <c r="A1079" s="3">
        <v>2057</v>
      </c>
      <c r="B1079" s="60">
        <f t="shared" ref="B1079:K1079" si="41">AVERAGE(B509:B520)</f>
        <v>8.1169250000000002</v>
      </c>
      <c r="C1079" s="60">
        <f t="shared" si="41"/>
        <v>8.1169250000000002</v>
      </c>
      <c r="D1079" s="60">
        <f t="shared" si="41"/>
        <v>8.1346916666666669</v>
      </c>
      <c r="E1079" s="60">
        <f t="shared" si="41"/>
        <v>9.4493000000000009</v>
      </c>
      <c r="F1079" s="60">
        <f t="shared" si="41"/>
        <v>9.4493000000000009</v>
      </c>
      <c r="G1079" s="60">
        <f t="shared" si="41"/>
        <v>9.4500666666666664</v>
      </c>
      <c r="H1079" s="60">
        <f t="shared" si="41"/>
        <v>16.140033333333335</v>
      </c>
      <c r="I1079" s="60">
        <f t="shared" si="41"/>
        <v>16.140808333333336</v>
      </c>
      <c r="J1079" s="60">
        <f t="shared" si="41"/>
        <v>9.4493000000000009</v>
      </c>
      <c r="K1079" s="60">
        <f t="shared" si="41"/>
        <v>9.4500666666666664</v>
      </c>
    </row>
    <row r="1080" spans="1:11" ht="15">
      <c r="A1080" s="3">
        <v>2058</v>
      </c>
      <c r="B1080" s="60">
        <f t="shared" ref="B1080:K1080" si="42">AVERAGE(B521:B532)</f>
        <v>8.3388916666666688</v>
      </c>
      <c r="C1080" s="60">
        <f t="shared" si="42"/>
        <v>8.3388916666666688</v>
      </c>
      <c r="D1080" s="60">
        <f t="shared" si="42"/>
        <v>8.3566666666666656</v>
      </c>
      <c r="E1080" s="60">
        <f t="shared" si="42"/>
        <v>9.7137666666666664</v>
      </c>
      <c r="F1080" s="60">
        <f t="shared" si="42"/>
        <v>9.7137666666666664</v>
      </c>
      <c r="G1080" s="60">
        <f t="shared" si="42"/>
        <v>9.7145333333333337</v>
      </c>
      <c r="H1080" s="60">
        <f t="shared" si="42"/>
        <v>16.548199999999998</v>
      </c>
      <c r="I1080" s="60">
        <f t="shared" si="42"/>
        <v>16.548958333333335</v>
      </c>
      <c r="J1080" s="60">
        <f t="shared" si="42"/>
        <v>9.7137666666666664</v>
      </c>
      <c r="K1080" s="60">
        <f t="shared" si="42"/>
        <v>9.7145333333333337</v>
      </c>
    </row>
    <row r="1081" spans="1:11" ht="15">
      <c r="A1081" s="3">
        <v>2059</v>
      </c>
      <c r="B1081" s="60">
        <f t="shared" ref="B1081:K1081" si="43">AVERAGE(B533:B544)</f>
        <v>8.5669999999999984</v>
      </c>
      <c r="C1081" s="60">
        <f t="shared" si="43"/>
        <v>8.5669999999999984</v>
      </c>
      <c r="D1081" s="60">
        <f t="shared" si="43"/>
        <v>8.5847499999999997</v>
      </c>
      <c r="E1081" s="60">
        <f t="shared" si="43"/>
        <v>9.9856583333333333</v>
      </c>
      <c r="F1081" s="60">
        <f t="shared" si="43"/>
        <v>9.9856583333333333</v>
      </c>
      <c r="G1081" s="60">
        <f t="shared" si="43"/>
        <v>9.9864083333333351</v>
      </c>
      <c r="H1081" s="60">
        <f t="shared" si="43"/>
        <v>16.966683333333329</v>
      </c>
      <c r="I1081" s="60">
        <f t="shared" si="43"/>
        <v>16.967449999999999</v>
      </c>
      <c r="J1081" s="60">
        <f t="shared" si="43"/>
        <v>9.9856583333333333</v>
      </c>
      <c r="K1081" s="60">
        <f t="shared" si="43"/>
        <v>9.9864083333333351</v>
      </c>
    </row>
    <row r="1082" spans="1:11" ht="15">
      <c r="A1082" s="3">
        <v>2060</v>
      </c>
      <c r="B1082" s="60">
        <f t="shared" ref="B1082:K1082" si="44">AVERAGE(B545:B556)</f>
        <v>8.8013749999999984</v>
      </c>
      <c r="C1082" s="60">
        <f t="shared" si="44"/>
        <v>8.8013749999999984</v>
      </c>
      <c r="D1082" s="60">
        <f t="shared" si="44"/>
        <v>8.8191333333333333</v>
      </c>
      <c r="E1082" s="60">
        <f t="shared" si="44"/>
        <v>10.265124999999999</v>
      </c>
      <c r="F1082" s="60">
        <f t="shared" si="44"/>
        <v>10.265124999999999</v>
      </c>
      <c r="G1082" s="60">
        <f t="shared" si="44"/>
        <v>10.265883333333333</v>
      </c>
      <c r="H1082" s="60">
        <f t="shared" si="44"/>
        <v>17.395733333333336</v>
      </c>
      <c r="I1082" s="60">
        <f t="shared" si="44"/>
        <v>17.3965</v>
      </c>
      <c r="J1082" s="60">
        <f t="shared" si="44"/>
        <v>10.265124999999999</v>
      </c>
      <c r="K1082" s="60">
        <f t="shared" si="44"/>
        <v>10.265883333333333</v>
      </c>
    </row>
    <row r="1083" spans="1:11" ht="15">
      <c r="A1083" s="3">
        <v>2061</v>
      </c>
      <c r="B1083" s="60">
        <f t="shared" ref="B1083:K1083" si="45">AVERAGE(B557:B568)</f>
        <v>9.0422333333333338</v>
      </c>
      <c r="C1083" s="60">
        <f t="shared" si="45"/>
        <v>9.0422333333333338</v>
      </c>
      <c r="D1083" s="60">
        <f t="shared" si="45"/>
        <v>9.0600166666666677</v>
      </c>
      <c r="E1083" s="60">
        <f t="shared" si="45"/>
        <v>10.552424999999999</v>
      </c>
      <c r="F1083" s="60">
        <f t="shared" si="45"/>
        <v>10.552424999999999</v>
      </c>
      <c r="G1083" s="60">
        <f t="shared" si="45"/>
        <v>10.553183333333333</v>
      </c>
      <c r="H1083" s="60">
        <f t="shared" si="45"/>
        <v>17.835633333333334</v>
      </c>
      <c r="I1083" s="60">
        <f t="shared" si="45"/>
        <v>17.836416666666665</v>
      </c>
      <c r="J1083" s="60">
        <f t="shared" si="45"/>
        <v>10.552424999999999</v>
      </c>
      <c r="K1083" s="60">
        <f t="shared" si="45"/>
        <v>10.553183333333333</v>
      </c>
    </row>
    <row r="1084" spans="1:11" ht="15">
      <c r="A1084" s="3">
        <v>2062</v>
      </c>
      <c r="B1084" s="60">
        <f t="shared" ref="B1084:K1093" ca="1" si="46">AVERAGE(OFFSET(B$569,($A1084-$A$1084)*12,0,12,1))</f>
        <v>9.2897499999999997</v>
      </c>
      <c r="C1084" s="60">
        <f t="shared" ca="1" si="46"/>
        <v>9.2897499999999997</v>
      </c>
      <c r="D1084" s="60">
        <f t="shared" ca="1" si="46"/>
        <v>9.3075333333333354</v>
      </c>
      <c r="E1084" s="60">
        <f t="shared" ca="1" si="46"/>
        <v>10.847766666666667</v>
      </c>
      <c r="F1084" s="60">
        <f t="shared" ca="1" si="46"/>
        <v>10.847766666666667</v>
      </c>
      <c r="G1084" s="60">
        <f t="shared" ca="1" si="46"/>
        <v>10.848550000000001</v>
      </c>
      <c r="H1084" s="60">
        <f t="shared" ca="1" si="46"/>
        <v>18.286683333333333</v>
      </c>
      <c r="I1084" s="60">
        <f t="shared" ca="1" si="46"/>
        <v>18.28745</v>
      </c>
      <c r="J1084" s="60">
        <f t="shared" ca="1" si="46"/>
        <v>10.847766666666667</v>
      </c>
      <c r="K1084" s="60">
        <f t="shared" ca="1" si="46"/>
        <v>10.848550000000001</v>
      </c>
    </row>
    <row r="1085" spans="1:11" ht="15">
      <c r="A1085" s="3">
        <v>2063</v>
      </c>
      <c r="B1085" s="60">
        <f t="shared" ca="1" si="46"/>
        <v>9.5372666666666657</v>
      </c>
      <c r="C1085" s="60">
        <f t="shared" ca="1" si="46"/>
        <v>9.5372666666666657</v>
      </c>
      <c r="D1085" s="60">
        <f t="shared" ca="1" si="46"/>
        <v>9.5550416666666695</v>
      </c>
      <c r="E1085" s="60">
        <f t="shared" ca="1" si="46"/>
        <v>11.143116666666666</v>
      </c>
      <c r="F1085" s="60">
        <f t="shared" ca="1" si="46"/>
        <v>11.143116666666666</v>
      </c>
      <c r="G1085" s="60">
        <f t="shared" ca="1" si="46"/>
        <v>11.143883333333333</v>
      </c>
      <c r="H1085" s="60">
        <f t="shared" ca="1" si="46"/>
        <v>18.7377</v>
      </c>
      <c r="I1085" s="60">
        <f t="shared" ca="1" si="46"/>
        <v>18.738483333333335</v>
      </c>
      <c r="J1085" s="60">
        <f t="shared" ca="1" si="46"/>
        <v>11.143116666666666</v>
      </c>
      <c r="K1085" s="60">
        <f t="shared" ca="1" si="46"/>
        <v>11.143883333333333</v>
      </c>
    </row>
    <row r="1086" spans="1:11" ht="15">
      <c r="A1086" s="3">
        <v>2064</v>
      </c>
      <c r="B1086" s="60">
        <f t="shared" ca="1" si="46"/>
        <v>9.7848083333333342</v>
      </c>
      <c r="C1086" s="60">
        <f t="shared" ca="1" si="46"/>
        <v>9.7848083333333342</v>
      </c>
      <c r="D1086" s="60">
        <f t="shared" ca="1" si="46"/>
        <v>9.8025583333333337</v>
      </c>
      <c r="E1086" s="60">
        <f t="shared" ca="1" si="46"/>
        <v>11.438450000000001</v>
      </c>
      <c r="F1086" s="60">
        <f t="shared" ca="1" si="46"/>
        <v>11.438450000000001</v>
      </c>
      <c r="G1086" s="60">
        <f t="shared" ca="1" si="46"/>
        <v>11.439225</v>
      </c>
      <c r="H1086" s="60">
        <f t="shared" ca="1" si="46"/>
        <v>19.188758333333329</v>
      </c>
      <c r="I1086" s="60">
        <f t="shared" ca="1" si="46"/>
        <v>19.189533333333333</v>
      </c>
      <c r="J1086" s="60">
        <f t="shared" ca="1" si="46"/>
        <v>11.438450000000001</v>
      </c>
      <c r="K1086" s="60">
        <f t="shared" ca="1" si="46"/>
        <v>11.439225</v>
      </c>
    </row>
    <row r="1087" spans="1:11" ht="15">
      <c r="A1087" s="3">
        <v>2065</v>
      </c>
      <c r="B1087" s="60">
        <f t="shared" ca="1" si="46"/>
        <v>10.032308333333335</v>
      </c>
      <c r="C1087" s="60">
        <f t="shared" ca="1" si="46"/>
        <v>10.032308333333335</v>
      </c>
      <c r="D1087" s="60">
        <f t="shared" ca="1" si="46"/>
        <v>10.050083333333331</v>
      </c>
      <c r="E1087" s="60">
        <f t="shared" ca="1" si="46"/>
        <v>11.733808333333334</v>
      </c>
      <c r="F1087" s="60">
        <f t="shared" ca="1" si="46"/>
        <v>11.733808333333334</v>
      </c>
      <c r="G1087" s="60">
        <f t="shared" ca="1" si="46"/>
        <v>11.734558333333332</v>
      </c>
      <c r="H1087" s="60">
        <f t="shared" ca="1" si="46"/>
        <v>19.639800000000005</v>
      </c>
      <c r="I1087" s="60">
        <f t="shared" ca="1" si="46"/>
        <v>19.640541666666667</v>
      </c>
      <c r="J1087" s="60">
        <f t="shared" ca="1" si="46"/>
        <v>11.733808333333334</v>
      </c>
      <c r="K1087" s="60">
        <f t="shared" ca="1" si="46"/>
        <v>11.734558333333332</v>
      </c>
    </row>
    <row r="1088" spans="1:11" ht="15">
      <c r="A1088" s="3">
        <v>2066</v>
      </c>
      <c r="B1088" s="60">
        <f t="shared" ca="1" si="46"/>
        <v>10.279825000000001</v>
      </c>
      <c r="C1088" s="60">
        <f t="shared" ca="1" si="46"/>
        <v>10.279825000000001</v>
      </c>
      <c r="D1088" s="60">
        <f t="shared" ca="1" si="46"/>
        <v>10.297599999999999</v>
      </c>
      <c r="E1088" s="60">
        <f t="shared" ca="1" si="46"/>
        <v>12.029158333333333</v>
      </c>
      <c r="F1088" s="60">
        <f t="shared" ca="1" si="46"/>
        <v>12.029158333333333</v>
      </c>
      <c r="G1088" s="60">
        <f t="shared" ca="1" si="46"/>
        <v>12.029925</v>
      </c>
      <c r="H1088" s="60">
        <f t="shared" ca="1" si="46"/>
        <v>20.090816666666665</v>
      </c>
      <c r="I1088" s="60">
        <f t="shared" ca="1" si="46"/>
        <v>20.091591666666663</v>
      </c>
      <c r="J1088" s="60">
        <f t="shared" ca="1" si="46"/>
        <v>12.029158333333333</v>
      </c>
      <c r="K1088" s="60">
        <f t="shared" ca="1" si="46"/>
        <v>12.029925</v>
      </c>
    </row>
    <row r="1089" spans="1:11" ht="15">
      <c r="A1089" s="3">
        <v>2067</v>
      </c>
      <c r="B1089" s="60">
        <f t="shared" ca="1" si="46"/>
        <v>10.527333333333333</v>
      </c>
      <c r="C1089" s="60">
        <f t="shared" ca="1" si="46"/>
        <v>10.527333333333333</v>
      </c>
      <c r="D1089" s="60">
        <f t="shared" ca="1" si="46"/>
        <v>10.545124999999997</v>
      </c>
      <c r="E1089" s="60">
        <f t="shared" ca="1" si="46"/>
        <v>12.324491666666667</v>
      </c>
      <c r="F1089" s="60">
        <f t="shared" ca="1" si="46"/>
        <v>12.324491666666667</v>
      </c>
      <c r="G1089" s="60">
        <f t="shared" ca="1" si="46"/>
        <v>12.325258333333331</v>
      </c>
      <c r="H1089" s="60">
        <f t="shared" ca="1" si="46"/>
        <v>20.541858333333334</v>
      </c>
      <c r="I1089" s="60">
        <f t="shared" ca="1" si="46"/>
        <v>20.542633333333335</v>
      </c>
      <c r="J1089" s="60">
        <f t="shared" ca="1" si="46"/>
        <v>12.324491666666667</v>
      </c>
      <c r="K1089" s="60">
        <f t="shared" ca="1" si="46"/>
        <v>12.325258333333331</v>
      </c>
    </row>
    <row r="1090" spans="1:11" ht="15">
      <c r="A1090" s="3">
        <v>2068</v>
      </c>
      <c r="B1090" s="60">
        <f t="shared" ca="1" si="46"/>
        <v>10.774883333333333</v>
      </c>
      <c r="C1090" s="60">
        <f t="shared" ca="1" si="46"/>
        <v>10.774883333333333</v>
      </c>
      <c r="D1090" s="60">
        <f t="shared" ca="1" si="46"/>
        <v>10.792641666666666</v>
      </c>
      <c r="E1090" s="60">
        <f t="shared" ca="1" si="46"/>
        <v>12.619816666666667</v>
      </c>
      <c r="F1090" s="60">
        <f t="shared" ca="1" si="46"/>
        <v>12.619816666666667</v>
      </c>
      <c r="G1090" s="60">
        <f t="shared" ca="1" si="46"/>
        <v>12.620600000000001</v>
      </c>
      <c r="H1090" s="60">
        <f t="shared" ca="1" si="46"/>
        <v>20.992891666666669</v>
      </c>
      <c r="I1090" s="60">
        <f t="shared" ca="1" si="46"/>
        <v>20.993675</v>
      </c>
      <c r="J1090" s="60">
        <f t="shared" ca="1" si="46"/>
        <v>12.619816666666667</v>
      </c>
      <c r="K1090" s="60">
        <f t="shared" ca="1" si="46"/>
        <v>12.620600000000001</v>
      </c>
    </row>
    <row r="1091" spans="1:11" ht="15">
      <c r="A1091" s="3">
        <v>2069</v>
      </c>
      <c r="B1091" s="60">
        <f t="shared" ca="1" si="46"/>
        <v>11.022399999999999</v>
      </c>
      <c r="C1091" s="60">
        <f t="shared" ca="1" si="46"/>
        <v>11.022399999999999</v>
      </c>
      <c r="D1091" s="60">
        <f t="shared" ca="1" si="46"/>
        <v>11.040158333333332</v>
      </c>
      <c r="E1091" s="60">
        <f t="shared" ca="1" si="46"/>
        <v>12.915183333333333</v>
      </c>
      <c r="F1091" s="60">
        <f t="shared" ca="1" si="46"/>
        <v>12.915183333333333</v>
      </c>
      <c r="G1091" s="60">
        <f t="shared" ca="1" si="46"/>
        <v>12.915933333333333</v>
      </c>
      <c r="H1091" s="60">
        <f t="shared" ca="1" si="46"/>
        <v>21.443916666666667</v>
      </c>
      <c r="I1091" s="60">
        <f t="shared" ca="1" si="46"/>
        <v>21.444691666666667</v>
      </c>
      <c r="J1091" s="60">
        <f t="shared" ca="1" si="46"/>
        <v>12.915183333333333</v>
      </c>
      <c r="K1091" s="60">
        <f t="shared" ca="1" si="46"/>
        <v>12.915933333333333</v>
      </c>
    </row>
    <row r="1092" spans="1:11" ht="15">
      <c r="A1092" s="3">
        <v>2070</v>
      </c>
      <c r="B1092" s="60">
        <f t="shared" ca="1" si="46"/>
        <v>11.269908333333333</v>
      </c>
      <c r="C1092" s="60">
        <f t="shared" ca="1" si="46"/>
        <v>11.269908333333333</v>
      </c>
      <c r="D1092" s="60">
        <f t="shared" ca="1" si="46"/>
        <v>11.287666666666667</v>
      </c>
      <c r="E1092" s="60">
        <f t="shared" ca="1" si="46"/>
        <v>13.210500000000001</v>
      </c>
      <c r="F1092" s="60">
        <f t="shared" ca="1" si="46"/>
        <v>13.210500000000001</v>
      </c>
      <c r="G1092" s="60">
        <f t="shared" ca="1" si="46"/>
        <v>13.211283333333334</v>
      </c>
      <c r="H1092" s="60">
        <f t="shared" ca="1" si="46"/>
        <v>21.894974999999999</v>
      </c>
      <c r="I1092" s="60">
        <f t="shared" ca="1" si="46"/>
        <v>21.895741666666662</v>
      </c>
      <c r="J1092" s="60">
        <f t="shared" ca="1" si="46"/>
        <v>13.210500000000001</v>
      </c>
      <c r="K1092" s="60">
        <f t="shared" ca="1" si="46"/>
        <v>13.211283333333334</v>
      </c>
    </row>
    <row r="1093" spans="1:11" ht="15">
      <c r="A1093" s="3">
        <v>2071</v>
      </c>
      <c r="B1093" s="60">
        <f t="shared" ca="1" si="46"/>
        <v>11.517416666666669</v>
      </c>
      <c r="C1093" s="60">
        <f t="shared" ca="1" si="46"/>
        <v>11.517416666666669</v>
      </c>
      <c r="D1093" s="60">
        <f t="shared" ca="1" si="46"/>
        <v>11.535199999999998</v>
      </c>
      <c r="E1093" s="60">
        <f t="shared" ca="1" si="46"/>
        <v>13.505833333333333</v>
      </c>
      <c r="F1093" s="60">
        <f t="shared" ca="1" si="46"/>
        <v>13.505833333333333</v>
      </c>
      <c r="G1093" s="60">
        <f t="shared" ca="1" si="46"/>
        <v>13.506616666666666</v>
      </c>
      <c r="H1093" s="60">
        <f t="shared" ca="1" si="46"/>
        <v>22.346016666666667</v>
      </c>
      <c r="I1093" s="60">
        <f t="shared" ca="1" si="46"/>
        <v>22.346775000000004</v>
      </c>
      <c r="J1093" s="60">
        <f t="shared" ca="1" si="46"/>
        <v>13.505833333333333</v>
      </c>
      <c r="K1093" s="60">
        <f t="shared" ca="1" si="46"/>
        <v>13.506616666666666</v>
      </c>
    </row>
    <row r="1094" spans="1:11" ht="15">
      <c r="A1094" s="3">
        <v>2072</v>
      </c>
      <c r="B1094" s="60">
        <f t="shared" ref="B1094:K1103" ca="1" si="47">AVERAGE(OFFSET(B$569,($A1094-$A$1084)*12,0,12,1))</f>
        <v>11.764941666666667</v>
      </c>
      <c r="C1094" s="60">
        <f t="shared" ca="1" si="47"/>
        <v>11.764941666666667</v>
      </c>
      <c r="D1094" s="60">
        <f t="shared" ca="1" si="47"/>
        <v>11.782716666666666</v>
      </c>
      <c r="E1094" s="60">
        <f t="shared" ca="1" si="47"/>
        <v>13.801191666666668</v>
      </c>
      <c r="F1094" s="60">
        <f t="shared" ca="1" si="47"/>
        <v>13.801191666666668</v>
      </c>
      <c r="G1094" s="60">
        <f t="shared" ca="1" si="47"/>
        <v>13.801966666666667</v>
      </c>
      <c r="H1094" s="60">
        <f t="shared" ca="1" si="47"/>
        <v>22.797041666666669</v>
      </c>
      <c r="I1094" s="60">
        <f t="shared" ca="1" si="47"/>
        <v>22.797808333333336</v>
      </c>
      <c r="J1094" s="60">
        <f t="shared" ca="1" si="47"/>
        <v>13.801191666666668</v>
      </c>
      <c r="K1094" s="60">
        <f t="shared" ca="1" si="47"/>
        <v>13.801966666666667</v>
      </c>
    </row>
    <row r="1095" spans="1:11" ht="15">
      <c r="A1095" s="3">
        <v>2073</v>
      </c>
      <c r="B1095" s="60">
        <f t="shared" ca="1" si="47"/>
        <v>12.012483333333334</v>
      </c>
      <c r="C1095" s="60">
        <f t="shared" ca="1" si="47"/>
        <v>12.012483333333334</v>
      </c>
      <c r="D1095" s="60">
        <f t="shared" ca="1" si="47"/>
        <v>12.030233333333333</v>
      </c>
      <c r="E1095" s="60">
        <f t="shared" ca="1" si="47"/>
        <v>14.096541666666665</v>
      </c>
      <c r="F1095" s="60">
        <f t="shared" ca="1" si="47"/>
        <v>14.096541666666665</v>
      </c>
      <c r="G1095" s="60">
        <f t="shared" ca="1" si="47"/>
        <v>14.097316666666666</v>
      </c>
      <c r="H1095" s="60">
        <f t="shared" ca="1" si="47"/>
        <v>23.248075000000004</v>
      </c>
      <c r="I1095" s="60">
        <f t="shared" ca="1" si="47"/>
        <v>23.248850000000001</v>
      </c>
      <c r="J1095" s="60">
        <f t="shared" ca="1" si="47"/>
        <v>14.096541666666665</v>
      </c>
      <c r="K1095" s="60">
        <f t="shared" ca="1" si="47"/>
        <v>14.097316666666666</v>
      </c>
    </row>
    <row r="1096" spans="1:11" ht="15">
      <c r="A1096" s="3">
        <v>2074</v>
      </c>
      <c r="B1096" s="60">
        <f t="shared" ca="1" si="47"/>
        <v>12.259991666666666</v>
      </c>
      <c r="C1096" s="60">
        <f t="shared" ca="1" si="47"/>
        <v>12.259991666666666</v>
      </c>
      <c r="D1096" s="60">
        <f t="shared" ca="1" si="47"/>
        <v>12.277766666666666</v>
      </c>
      <c r="E1096" s="60">
        <f t="shared" ca="1" si="47"/>
        <v>14.391883333333332</v>
      </c>
      <c r="F1096" s="60">
        <f t="shared" ca="1" si="47"/>
        <v>14.391883333333332</v>
      </c>
      <c r="G1096" s="60">
        <f t="shared" ca="1" si="47"/>
        <v>14.392658333333332</v>
      </c>
      <c r="H1096" s="60">
        <f t="shared" ca="1" si="47"/>
        <v>23.699116666666665</v>
      </c>
      <c r="I1096" s="60">
        <f t="shared" ca="1" si="47"/>
        <v>23.699891666666669</v>
      </c>
      <c r="J1096" s="60">
        <f t="shared" ca="1" si="47"/>
        <v>14.391883333333332</v>
      </c>
      <c r="K1096" s="60">
        <f t="shared" ca="1" si="47"/>
        <v>14.392658333333332</v>
      </c>
    </row>
    <row r="1097" spans="1:11" ht="15">
      <c r="A1097" s="3">
        <v>2075</v>
      </c>
      <c r="B1097" s="60">
        <f t="shared" ca="1" si="47"/>
        <v>12.5075</v>
      </c>
      <c r="C1097" s="60">
        <f t="shared" ca="1" si="47"/>
        <v>12.5075</v>
      </c>
      <c r="D1097" s="60">
        <f t="shared" ca="1" si="47"/>
        <v>12.525266666666667</v>
      </c>
      <c r="E1097" s="60">
        <f t="shared" ca="1" si="47"/>
        <v>14.687225000000003</v>
      </c>
      <c r="F1097" s="60">
        <f t="shared" ca="1" si="47"/>
        <v>14.687225000000003</v>
      </c>
      <c r="G1097" s="60">
        <f t="shared" ca="1" si="47"/>
        <v>14.688000000000001</v>
      </c>
      <c r="H1097" s="60">
        <f t="shared" ca="1" si="47"/>
        <v>24.150158333333334</v>
      </c>
      <c r="I1097" s="60">
        <f t="shared" ca="1" si="47"/>
        <v>24.150925000000001</v>
      </c>
      <c r="J1097" s="60">
        <f t="shared" ca="1" si="47"/>
        <v>14.687225000000003</v>
      </c>
      <c r="K1097" s="60">
        <f t="shared" ca="1" si="47"/>
        <v>14.688000000000001</v>
      </c>
    </row>
    <row r="1098" spans="1:11" ht="15">
      <c r="A1098" s="3">
        <v>2076</v>
      </c>
      <c r="B1098" s="60">
        <f t="shared" ca="1" si="47"/>
        <v>12.755041666666669</v>
      </c>
      <c r="C1098" s="60">
        <f t="shared" ca="1" si="47"/>
        <v>12.755041666666669</v>
      </c>
      <c r="D1098" s="60">
        <f t="shared" ca="1" si="47"/>
        <v>12.772800000000002</v>
      </c>
      <c r="E1098" s="60">
        <f t="shared" ca="1" si="47"/>
        <v>14.982583333333332</v>
      </c>
      <c r="F1098" s="60">
        <f t="shared" ca="1" si="47"/>
        <v>14.982583333333332</v>
      </c>
      <c r="G1098" s="60">
        <f t="shared" ca="1" si="47"/>
        <v>14.983341666666666</v>
      </c>
      <c r="H1098" s="60">
        <f t="shared" ca="1" si="47"/>
        <v>24.601200000000002</v>
      </c>
      <c r="I1098" s="60">
        <f t="shared" ca="1" si="47"/>
        <v>24.601966666666666</v>
      </c>
      <c r="J1098" s="60">
        <f t="shared" ca="1" si="47"/>
        <v>14.982583333333332</v>
      </c>
      <c r="K1098" s="60">
        <f t="shared" ca="1" si="47"/>
        <v>14.983341666666666</v>
      </c>
    </row>
    <row r="1099" spans="1:11" ht="15">
      <c r="A1099" s="3">
        <v>2077</v>
      </c>
      <c r="B1099" s="60">
        <f t="shared" ca="1" si="47"/>
        <v>13.002541666666668</v>
      </c>
      <c r="C1099" s="60">
        <f t="shared" ca="1" si="47"/>
        <v>13.002541666666668</v>
      </c>
      <c r="D1099" s="60">
        <f t="shared" ca="1" si="47"/>
        <v>13.020325</v>
      </c>
      <c r="E1099" s="60">
        <f t="shared" ca="1" si="47"/>
        <v>15.277916666666664</v>
      </c>
      <c r="F1099" s="60">
        <f t="shared" ca="1" si="47"/>
        <v>15.277916666666664</v>
      </c>
      <c r="G1099" s="60">
        <f t="shared" ca="1" si="47"/>
        <v>15.278691666666667</v>
      </c>
      <c r="H1099" s="60">
        <f t="shared" ca="1" si="47"/>
        <v>25.052241666666664</v>
      </c>
      <c r="I1099" s="60">
        <f t="shared" ca="1" si="47"/>
        <v>25.052983333333334</v>
      </c>
      <c r="J1099" s="60">
        <f t="shared" ca="1" si="47"/>
        <v>15.277916666666664</v>
      </c>
      <c r="K1099" s="60">
        <f t="shared" ca="1" si="47"/>
        <v>15.278691666666667</v>
      </c>
    </row>
    <row r="1100" spans="1:11" ht="15">
      <c r="A1100" s="3">
        <v>2078</v>
      </c>
      <c r="B1100" s="60">
        <f t="shared" ca="1" si="47"/>
        <v>13.250050000000002</v>
      </c>
      <c r="C1100" s="60">
        <f t="shared" ca="1" si="47"/>
        <v>13.250050000000002</v>
      </c>
      <c r="D1100" s="60">
        <f t="shared" ca="1" si="47"/>
        <v>13.267833333333334</v>
      </c>
      <c r="E1100" s="60">
        <f t="shared" ca="1" si="47"/>
        <v>15.573258333333335</v>
      </c>
      <c r="F1100" s="60">
        <f t="shared" ca="1" si="47"/>
        <v>15.573258333333335</v>
      </c>
      <c r="G1100" s="60">
        <f t="shared" ca="1" si="47"/>
        <v>15.574025000000004</v>
      </c>
      <c r="H1100" s="60">
        <f t="shared" ca="1" si="47"/>
        <v>25.503249999999998</v>
      </c>
      <c r="I1100" s="60">
        <f t="shared" ca="1" si="47"/>
        <v>25.504025000000002</v>
      </c>
      <c r="J1100" s="60">
        <f t="shared" ca="1" si="47"/>
        <v>15.573258333333335</v>
      </c>
      <c r="K1100" s="60">
        <f t="shared" ca="1" si="47"/>
        <v>15.574025000000004</v>
      </c>
    </row>
    <row r="1101" spans="1:11" ht="15">
      <c r="A1101" s="3">
        <v>2079</v>
      </c>
      <c r="B1101" s="60">
        <f t="shared" ca="1" si="47"/>
        <v>13.497583333333333</v>
      </c>
      <c r="C1101" s="60">
        <f t="shared" ca="1" si="47"/>
        <v>13.497583333333333</v>
      </c>
      <c r="D1101" s="60">
        <f t="shared" ca="1" si="47"/>
        <v>13.51535</v>
      </c>
      <c r="E1101" s="60">
        <f t="shared" ca="1" si="47"/>
        <v>15.868608333333333</v>
      </c>
      <c r="F1101" s="60">
        <f t="shared" ca="1" si="47"/>
        <v>15.868608333333333</v>
      </c>
      <c r="G1101" s="60">
        <f t="shared" ca="1" si="47"/>
        <v>15.869375</v>
      </c>
      <c r="H1101" s="60">
        <f t="shared" ca="1" si="47"/>
        <v>25.954283333333333</v>
      </c>
      <c r="I1101" s="60">
        <f t="shared" ca="1" si="47"/>
        <v>25.95505</v>
      </c>
      <c r="J1101" s="60">
        <f t="shared" ca="1" si="47"/>
        <v>15.868608333333333</v>
      </c>
      <c r="K1101" s="60">
        <f t="shared" ca="1" si="47"/>
        <v>15.869375</v>
      </c>
    </row>
    <row r="1102" spans="1:11" ht="15">
      <c r="A1102" s="3">
        <v>2080</v>
      </c>
      <c r="B1102" s="60">
        <f t="shared" ca="1" si="47"/>
        <v>13.745116666666668</v>
      </c>
      <c r="C1102" s="60">
        <f t="shared" ca="1" si="47"/>
        <v>13.745116666666668</v>
      </c>
      <c r="D1102" s="60">
        <f t="shared" ca="1" si="47"/>
        <v>13.762866666666667</v>
      </c>
      <c r="E1102" s="60">
        <f t="shared" ca="1" si="47"/>
        <v>16.163950000000003</v>
      </c>
      <c r="F1102" s="60">
        <f t="shared" ca="1" si="47"/>
        <v>16.163950000000003</v>
      </c>
      <c r="G1102" s="60">
        <f t="shared" ca="1" si="47"/>
        <v>16.16470833333333</v>
      </c>
      <c r="H1102" s="60">
        <f t="shared" ca="1" si="47"/>
        <v>26.405316666666661</v>
      </c>
      <c r="I1102" s="60">
        <f t="shared" ca="1" si="47"/>
        <v>26.406099999999999</v>
      </c>
      <c r="J1102" s="60">
        <f t="shared" ca="1" si="47"/>
        <v>16.163950000000003</v>
      </c>
      <c r="K1102" s="60">
        <f t="shared" ca="1" si="47"/>
        <v>16.16470833333333</v>
      </c>
    </row>
    <row r="1103" spans="1:11" ht="15">
      <c r="A1103" s="3">
        <v>2081</v>
      </c>
      <c r="B1103" s="60">
        <f t="shared" ca="1" si="47"/>
        <v>13.992633333333336</v>
      </c>
      <c r="C1103" s="60">
        <f t="shared" ca="1" si="47"/>
        <v>13.992633333333336</v>
      </c>
      <c r="D1103" s="60">
        <f t="shared" ca="1" si="47"/>
        <v>14.010391666666665</v>
      </c>
      <c r="E1103" s="60">
        <f t="shared" ca="1" si="47"/>
        <v>16.459275000000002</v>
      </c>
      <c r="F1103" s="60">
        <f t="shared" ca="1" si="47"/>
        <v>16.459275000000002</v>
      </c>
      <c r="G1103" s="60">
        <f t="shared" ca="1" si="47"/>
        <v>16.460049999999999</v>
      </c>
      <c r="H1103" s="60">
        <f t="shared" ca="1" si="47"/>
        <v>26.856358333333333</v>
      </c>
      <c r="I1103" s="60">
        <f t="shared" ca="1" si="47"/>
        <v>26.857124999999996</v>
      </c>
      <c r="J1103" s="60">
        <f t="shared" ca="1" si="47"/>
        <v>16.459275000000002</v>
      </c>
      <c r="K1103" s="60">
        <f t="shared" ca="1" si="47"/>
        <v>16.460049999999999</v>
      </c>
    </row>
    <row r="1104" spans="1:11" ht="15">
      <c r="A1104" s="3">
        <v>2082</v>
      </c>
      <c r="B1104" s="60">
        <f t="shared" ref="B1104:K1113" ca="1" si="48">AVERAGE(OFFSET(B$569,($A1104-$A$1084)*12,0,12,1))</f>
        <v>14.240133333333334</v>
      </c>
      <c r="C1104" s="60">
        <f t="shared" ca="1" si="48"/>
        <v>14.240133333333334</v>
      </c>
      <c r="D1104" s="60">
        <f t="shared" ca="1" si="48"/>
        <v>14.257925</v>
      </c>
      <c r="E1104" s="60">
        <f t="shared" ca="1" si="48"/>
        <v>16.754633333333334</v>
      </c>
      <c r="F1104" s="60">
        <f t="shared" ca="1" si="48"/>
        <v>16.754633333333334</v>
      </c>
      <c r="G1104" s="60">
        <f t="shared" ca="1" si="48"/>
        <v>16.755391666666668</v>
      </c>
      <c r="H1104" s="60">
        <f t="shared" ca="1" si="48"/>
        <v>27.307400000000001</v>
      </c>
      <c r="I1104" s="60">
        <f t="shared" ca="1" si="48"/>
        <v>27.308166666666668</v>
      </c>
      <c r="J1104" s="60">
        <f t="shared" ca="1" si="48"/>
        <v>16.754633333333334</v>
      </c>
      <c r="K1104" s="60">
        <f t="shared" ca="1" si="48"/>
        <v>16.755391666666668</v>
      </c>
    </row>
    <row r="1105" spans="1:11" ht="15">
      <c r="A1105" s="3">
        <v>2083</v>
      </c>
      <c r="B1105" s="60">
        <f t="shared" ca="1" si="48"/>
        <v>14.487650000000002</v>
      </c>
      <c r="C1105" s="60">
        <f t="shared" ca="1" si="48"/>
        <v>14.487650000000002</v>
      </c>
      <c r="D1105" s="60">
        <f t="shared" ca="1" si="48"/>
        <v>14.505425000000002</v>
      </c>
      <c r="E1105" s="60">
        <f t="shared" ca="1" si="48"/>
        <v>17.049966666666666</v>
      </c>
      <c r="F1105" s="60">
        <f t="shared" ca="1" si="48"/>
        <v>17.049966666666666</v>
      </c>
      <c r="G1105" s="60">
        <f t="shared" ca="1" si="48"/>
        <v>17.050741666666664</v>
      </c>
      <c r="H1105" s="60">
        <f t="shared" ca="1" si="48"/>
        <v>27.758433333333329</v>
      </c>
      <c r="I1105" s="60">
        <f t="shared" ca="1" si="48"/>
        <v>27.759199999999996</v>
      </c>
      <c r="J1105" s="60">
        <f t="shared" ca="1" si="48"/>
        <v>17.049966666666666</v>
      </c>
      <c r="K1105" s="60">
        <f t="shared" ca="1" si="48"/>
        <v>17.050741666666664</v>
      </c>
    </row>
    <row r="1106" spans="1:11" ht="15">
      <c r="A1106" s="3">
        <v>2084</v>
      </c>
      <c r="B1106" s="60">
        <f t="shared" ca="1" si="48"/>
        <v>14.735199999999997</v>
      </c>
      <c r="C1106" s="60">
        <f t="shared" ca="1" si="48"/>
        <v>14.735199999999997</v>
      </c>
      <c r="D1106" s="60">
        <f t="shared" ca="1" si="48"/>
        <v>14.752958333333334</v>
      </c>
      <c r="E1106" s="60">
        <f t="shared" ca="1" si="48"/>
        <v>17.345324999999999</v>
      </c>
      <c r="F1106" s="60">
        <f t="shared" ca="1" si="48"/>
        <v>17.345324999999999</v>
      </c>
      <c r="G1106" s="60">
        <f t="shared" ca="1" si="48"/>
        <v>17.346075000000003</v>
      </c>
      <c r="H1106" s="60">
        <f t="shared" ca="1" si="48"/>
        <v>28.209475000000001</v>
      </c>
      <c r="I1106" s="60">
        <f t="shared" ca="1" si="48"/>
        <v>28.210233333333335</v>
      </c>
      <c r="J1106" s="60">
        <f t="shared" ca="1" si="48"/>
        <v>17.345324999999999</v>
      </c>
      <c r="K1106" s="60">
        <f t="shared" ca="1" si="48"/>
        <v>17.346075000000003</v>
      </c>
    </row>
    <row r="1107" spans="1:11" ht="15">
      <c r="A1107" s="3">
        <v>2085</v>
      </c>
      <c r="B1107" s="60">
        <f t="shared" ca="1" si="48"/>
        <v>14.982699999999999</v>
      </c>
      <c r="C1107" s="60">
        <f t="shared" ca="1" si="48"/>
        <v>14.982699999999999</v>
      </c>
      <c r="D1107" s="60">
        <f t="shared" ca="1" si="48"/>
        <v>15.000466666666666</v>
      </c>
      <c r="E1107" s="60">
        <f t="shared" ca="1" si="48"/>
        <v>17.640658333333334</v>
      </c>
      <c r="F1107" s="60">
        <f t="shared" ca="1" si="48"/>
        <v>17.640658333333334</v>
      </c>
      <c r="G1107" s="60">
        <f t="shared" ca="1" si="48"/>
        <v>17.641441666666669</v>
      </c>
      <c r="H1107" s="60">
        <f t="shared" ca="1" si="48"/>
        <v>28.660508333333336</v>
      </c>
      <c r="I1107" s="60">
        <f t="shared" ca="1" si="48"/>
        <v>28.66128333333333</v>
      </c>
      <c r="J1107" s="60">
        <f t="shared" ca="1" si="48"/>
        <v>17.640658333333334</v>
      </c>
      <c r="K1107" s="60">
        <f t="shared" ca="1" si="48"/>
        <v>17.641441666666669</v>
      </c>
    </row>
    <row r="1108" spans="1:11" ht="15">
      <c r="A1108" s="3">
        <v>2086</v>
      </c>
      <c r="B1108" s="60">
        <f t="shared" ca="1" si="48"/>
        <v>15.230216666666664</v>
      </c>
      <c r="C1108" s="60">
        <f t="shared" ca="1" si="48"/>
        <v>15.230216666666664</v>
      </c>
      <c r="D1108" s="60">
        <f t="shared" ca="1" si="48"/>
        <v>15.247983333333332</v>
      </c>
      <c r="E1108" s="60">
        <f t="shared" ca="1" si="48"/>
        <v>17.936008333333334</v>
      </c>
      <c r="F1108" s="60">
        <f t="shared" ca="1" si="48"/>
        <v>17.936008333333334</v>
      </c>
      <c r="G1108" s="60">
        <f t="shared" ca="1" si="48"/>
        <v>17.936775000000001</v>
      </c>
      <c r="H1108" s="60">
        <f t="shared" ca="1" si="48"/>
        <v>29.11153333333333</v>
      </c>
      <c r="I1108" s="60">
        <f t="shared" ca="1" si="48"/>
        <v>29.112316666666668</v>
      </c>
      <c r="J1108" s="60">
        <f t="shared" ca="1" si="48"/>
        <v>17.936008333333334</v>
      </c>
      <c r="K1108" s="60">
        <f t="shared" ca="1" si="48"/>
        <v>17.936775000000001</v>
      </c>
    </row>
    <row r="1109" spans="1:11" ht="15">
      <c r="A1109" s="3">
        <v>2087</v>
      </c>
      <c r="B1109" s="60">
        <f t="shared" ca="1" si="48"/>
        <v>15.477733333333333</v>
      </c>
      <c r="C1109" s="60">
        <f t="shared" ca="1" si="48"/>
        <v>15.477733333333333</v>
      </c>
      <c r="D1109" s="60">
        <f t="shared" ca="1" si="48"/>
        <v>15.4955</v>
      </c>
      <c r="E1109" s="60">
        <f t="shared" ca="1" si="48"/>
        <v>18.231333333333335</v>
      </c>
      <c r="F1109" s="60">
        <f t="shared" ca="1" si="48"/>
        <v>18.231333333333335</v>
      </c>
      <c r="G1109" s="60">
        <f t="shared" ca="1" si="48"/>
        <v>18.232108333333333</v>
      </c>
      <c r="H1109" s="60">
        <f t="shared" ca="1" si="48"/>
        <v>29.562583333333333</v>
      </c>
      <c r="I1109" s="60">
        <f t="shared" ca="1" si="48"/>
        <v>29.563333333333333</v>
      </c>
      <c r="J1109" s="60">
        <f t="shared" ca="1" si="48"/>
        <v>18.231333333333335</v>
      </c>
      <c r="K1109" s="60">
        <f t="shared" ca="1" si="48"/>
        <v>18.232108333333333</v>
      </c>
    </row>
    <row r="1110" spans="1:11" ht="15">
      <c r="A1110" s="3">
        <v>2088</v>
      </c>
      <c r="B1110" s="60">
        <f t="shared" ca="1" si="48"/>
        <v>15.725258333333331</v>
      </c>
      <c r="C1110" s="60">
        <f t="shared" ca="1" si="48"/>
        <v>15.725258333333331</v>
      </c>
      <c r="D1110" s="60">
        <f t="shared" ca="1" si="48"/>
        <v>15.743033333333335</v>
      </c>
      <c r="E1110" s="60">
        <f t="shared" ca="1" si="48"/>
        <v>18.526683333333335</v>
      </c>
      <c r="F1110" s="60">
        <f t="shared" ca="1" si="48"/>
        <v>18.526683333333335</v>
      </c>
      <c r="G1110" s="60">
        <f t="shared" ca="1" si="48"/>
        <v>18.527450000000005</v>
      </c>
      <c r="H1110" s="60">
        <f t="shared" ca="1" si="48"/>
        <v>30.013625000000005</v>
      </c>
      <c r="I1110" s="60">
        <f t="shared" ca="1" si="48"/>
        <v>30.014383333333328</v>
      </c>
      <c r="J1110" s="60">
        <f t="shared" ca="1" si="48"/>
        <v>18.526683333333335</v>
      </c>
      <c r="K1110" s="60">
        <f t="shared" ca="1" si="48"/>
        <v>18.527450000000005</v>
      </c>
    </row>
    <row r="1111" spans="1:11" ht="15">
      <c r="A1111" s="3">
        <v>2089</v>
      </c>
      <c r="B1111" s="60">
        <f t="shared" ca="1" si="48"/>
        <v>15.972775000000004</v>
      </c>
      <c r="C1111" s="60">
        <f t="shared" ca="1" si="48"/>
        <v>15.972775000000004</v>
      </c>
      <c r="D1111" s="60">
        <f t="shared" ca="1" si="48"/>
        <v>15.990550000000001</v>
      </c>
      <c r="E1111" s="60">
        <f t="shared" ca="1" si="48"/>
        <v>18.822033333333334</v>
      </c>
      <c r="F1111" s="60">
        <f t="shared" ca="1" si="48"/>
        <v>18.822033333333334</v>
      </c>
      <c r="G1111" s="60">
        <f t="shared" ca="1" si="48"/>
        <v>18.822808333333331</v>
      </c>
      <c r="H1111" s="60">
        <f t="shared" ca="1" si="48"/>
        <v>30.464666666666663</v>
      </c>
      <c r="I1111" s="60">
        <f t="shared" ca="1" si="48"/>
        <v>30.465425</v>
      </c>
      <c r="J1111" s="60">
        <f t="shared" ca="1" si="48"/>
        <v>18.822033333333334</v>
      </c>
      <c r="K1111" s="60">
        <f t="shared" ca="1" si="48"/>
        <v>18.822808333333331</v>
      </c>
    </row>
    <row r="1112" spans="1:11" ht="15">
      <c r="A1112" s="3">
        <v>2090</v>
      </c>
      <c r="B1112" s="60">
        <f t="shared" ca="1" si="48"/>
        <v>16.220299999999998</v>
      </c>
      <c r="C1112" s="60">
        <f t="shared" ca="1" si="48"/>
        <v>16.220299999999998</v>
      </c>
      <c r="D1112" s="60">
        <f t="shared" ca="1" si="48"/>
        <v>16.238075000000002</v>
      </c>
      <c r="E1112" s="60">
        <f t="shared" ca="1" si="48"/>
        <v>19.117366666666669</v>
      </c>
      <c r="F1112" s="60">
        <f t="shared" ca="1" si="48"/>
        <v>19.117366666666669</v>
      </c>
      <c r="G1112" s="60">
        <f t="shared" ca="1" si="48"/>
        <v>19.118141666666663</v>
      </c>
      <c r="H1112" s="60">
        <f t="shared" ca="1" si="48"/>
        <v>30.915683333333337</v>
      </c>
      <c r="I1112" s="60">
        <f t="shared" ca="1" si="48"/>
        <v>30.916466666666668</v>
      </c>
      <c r="J1112" s="60">
        <f t="shared" ca="1" si="48"/>
        <v>19.117366666666669</v>
      </c>
      <c r="K1112" s="60">
        <f t="shared" ca="1" si="48"/>
        <v>19.118141666666663</v>
      </c>
    </row>
    <row r="1113" spans="1:11" ht="15">
      <c r="A1113" s="3">
        <v>2091</v>
      </c>
      <c r="B1113" s="60">
        <f t="shared" ca="1" si="48"/>
        <v>16.467799999999997</v>
      </c>
      <c r="C1113" s="60">
        <f t="shared" ca="1" si="48"/>
        <v>16.467799999999997</v>
      </c>
      <c r="D1113" s="60">
        <f t="shared" ca="1" si="48"/>
        <v>16.485583333333334</v>
      </c>
      <c r="E1113" s="60">
        <f t="shared" ca="1" si="48"/>
        <v>19.412708333333331</v>
      </c>
      <c r="F1113" s="60">
        <f t="shared" ca="1" si="48"/>
        <v>19.412708333333331</v>
      </c>
      <c r="G1113" s="60">
        <f t="shared" ca="1" si="48"/>
        <v>19.413483333333335</v>
      </c>
      <c r="H1113" s="60">
        <f t="shared" ca="1" si="48"/>
        <v>31.366708333333332</v>
      </c>
      <c r="I1113" s="60">
        <f t="shared" ca="1" si="48"/>
        <v>31.367491666666666</v>
      </c>
      <c r="J1113" s="60">
        <f t="shared" ca="1" si="48"/>
        <v>19.412708333333331</v>
      </c>
      <c r="K1113" s="60">
        <f t="shared" ca="1" si="48"/>
        <v>19.413483333333335</v>
      </c>
    </row>
    <row r="1114" spans="1:11" ht="15">
      <c r="A1114" s="3">
        <v>2092</v>
      </c>
      <c r="B1114" s="60">
        <f t="shared" ref="B1114:K1122" ca="1" si="49">AVERAGE(OFFSET(B$569,($A1114-$A$1084)*12,0,12,1))</f>
        <v>16.715349999999997</v>
      </c>
      <c r="C1114" s="60">
        <f t="shared" ca="1" si="49"/>
        <v>16.715349999999997</v>
      </c>
      <c r="D1114" s="60">
        <f t="shared" ca="1" si="49"/>
        <v>16.733099999999997</v>
      </c>
      <c r="E1114" s="60">
        <f t="shared" ca="1" si="49"/>
        <v>19.708050000000004</v>
      </c>
      <c r="F1114" s="60">
        <f t="shared" ca="1" si="49"/>
        <v>19.708050000000004</v>
      </c>
      <c r="G1114" s="60">
        <f t="shared" ca="1" si="49"/>
        <v>19.708825000000001</v>
      </c>
      <c r="H1114" s="60">
        <f t="shared" ca="1" si="49"/>
        <v>31.817750000000007</v>
      </c>
      <c r="I1114" s="60">
        <f t="shared" ca="1" si="49"/>
        <v>31.818525000000005</v>
      </c>
      <c r="J1114" s="60">
        <f t="shared" ca="1" si="49"/>
        <v>19.708050000000004</v>
      </c>
      <c r="K1114" s="60">
        <f t="shared" ca="1" si="49"/>
        <v>19.708825000000001</v>
      </c>
    </row>
    <row r="1115" spans="1:11" ht="15">
      <c r="A1115" s="3">
        <v>2093</v>
      </c>
      <c r="B1115" s="60">
        <f t="shared" ca="1" si="49"/>
        <v>16.962858333333333</v>
      </c>
      <c r="C1115" s="60">
        <f t="shared" ca="1" si="49"/>
        <v>16.962858333333333</v>
      </c>
      <c r="D1115" s="60">
        <f t="shared" ca="1" si="49"/>
        <v>16.980633333333333</v>
      </c>
      <c r="E1115" s="60">
        <f t="shared" ca="1" si="49"/>
        <v>20.003391666666669</v>
      </c>
      <c r="F1115" s="60">
        <f t="shared" ca="1" si="49"/>
        <v>20.003391666666669</v>
      </c>
      <c r="G1115" s="60">
        <f t="shared" ca="1" si="49"/>
        <v>20.004166666666663</v>
      </c>
      <c r="H1115" s="60">
        <f t="shared" ca="1" si="49"/>
        <v>32.268808333333332</v>
      </c>
      <c r="I1115" s="60">
        <f t="shared" ca="1" si="49"/>
        <v>32.269583333333337</v>
      </c>
      <c r="J1115" s="60">
        <f t="shared" ca="1" si="49"/>
        <v>20.003391666666669</v>
      </c>
      <c r="K1115" s="60">
        <f t="shared" ca="1" si="49"/>
        <v>20.004166666666663</v>
      </c>
    </row>
    <row r="1116" spans="1:11" ht="15">
      <c r="A1116" s="3">
        <v>2094</v>
      </c>
      <c r="B1116" s="60">
        <f t="shared" ca="1" si="49"/>
        <v>17.210366666666665</v>
      </c>
      <c r="C1116" s="60">
        <f t="shared" ca="1" si="49"/>
        <v>17.210366666666665</v>
      </c>
      <c r="D1116" s="60">
        <f t="shared" ca="1" si="49"/>
        <v>17.228150000000003</v>
      </c>
      <c r="E1116" s="60">
        <f t="shared" ca="1" si="49"/>
        <v>20.298733333333335</v>
      </c>
      <c r="F1116" s="60">
        <f t="shared" ca="1" si="49"/>
        <v>20.298733333333335</v>
      </c>
      <c r="G1116" s="60">
        <f t="shared" ca="1" si="49"/>
        <v>20.299516666666666</v>
      </c>
      <c r="H1116" s="60">
        <f t="shared" ca="1" si="49"/>
        <v>32.719841666666667</v>
      </c>
      <c r="I1116" s="60">
        <f t="shared" ca="1" si="49"/>
        <v>32.720616666666665</v>
      </c>
      <c r="J1116" s="60">
        <f t="shared" ca="1" si="49"/>
        <v>20.298733333333335</v>
      </c>
      <c r="K1116" s="60">
        <f t="shared" ca="1" si="49"/>
        <v>20.299516666666666</v>
      </c>
    </row>
    <row r="1117" spans="1:11" ht="15">
      <c r="A1117" s="3">
        <v>2095</v>
      </c>
      <c r="B1117" s="60">
        <f t="shared" ca="1" si="49"/>
        <v>17.457874999999998</v>
      </c>
      <c r="C1117" s="60">
        <f t="shared" ca="1" si="49"/>
        <v>17.457874999999998</v>
      </c>
      <c r="D1117" s="60">
        <f t="shared" ca="1" si="49"/>
        <v>17.475666666666669</v>
      </c>
      <c r="E1117" s="60">
        <f t="shared" ca="1" si="49"/>
        <v>20.594083333333334</v>
      </c>
      <c r="F1117" s="60">
        <f t="shared" ca="1" si="49"/>
        <v>20.594083333333334</v>
      </c>
      <c r="G1117" s="60">
        <f t="shared" ca="1" si="49"/>
        <v>20.594850000000001</v>
      </c>
      <c r="H1117" s="60">
        <f t="shared" ca="1" si="49"/>
        <v>33.170858333333335</v>
      </c>
      <c r="I1117" s="60">
        <f t="shared" ca="1" si="49"/>
        <v>33.17163333333334</v>
      </c>
      <c r="J1117" s="60">
        <f t="shared" ca="1" si="49"/>
        <v>20.594083333333334</v>
      </c>
      <c r="K1117" s="60">
        <f t="shared" ca="1" si="49"/>
        <v>20.594850000000001</v>
      </c>
    </row>
    <row r="1118" spans="1:11" ht="15">
      <c r="A1118" s="3">
        <v>2096</v>
      </c>
      <c r="B1118" s="60">
        <f t="shared" ca="1" si="49"/>
        <v>17.705416666666668</v>
      </c>
      <c r="C1118" s="60">
        <f t="shared" ca="1" si="49"/>
        <v>17.705416666666668</v>
      </c>
      <c r="D1118" s="60">
        <f t="shared" ca="1" si="49"/>
        <v>17.723175000000001</v>
      </c>
      <c r="E1118" s="60">
        <f t="shared" ca="1" si="49"/>
        <v>20.889433333333333</v>
      </c>
      <c r="F1118" s="60">
        <f t="shared" ca="1" si="49"/>
        <v>20.889433333333333</v>
      </c>
      <c r="G1118" s="60">
        <f t="shared" ca="1" si="49"/>
        <v>20.890199999999997</v>
      </c>
      <c r="H1118" s="60">
        <f t="shared" ca="1" si="49"/>
        <v>33.621900000000004</v>
      </c>
      <c r="I1118" s="60">
        <f t="shared" ca="1" si="49"/>
        <v>33.622675000000001</v>
      </c>
      <c r="J1118" s="60">
        <f t="shared" ca="1" si="49"/>
        <v>20.889433333333333</v>
      </c>
      <c r="K1118" s="60">
        <f t="shared" ca="1" si="49"/>
        <v>20.890199999999997</v>
      </c>
    </row>
    <row r="1119" spans="1:11" ht="15">
      <c r="A1119" s="3">
        <v>2097</v>
      </c>
      <c r="B1119" s="60">
        <f t="shared" ca="1" si="49"/>
        <v>17.952933333333334</v>
      </c>
      <c r="C1119" s="60">
        <f t="shared" ca="1" si="49"/>
        <v>17.952933333333334</v>
      </c>
      <c r="D1119" s="60">
        <f t="shared" ca="1" si="49"/>
        <v>17.970700000000001</v>
      </c>
      <c r="E1119" s="60">
        <f t="shared" ca="1" si="49"/>
        <v>21.184783333333336</v>
      </c>
      <c r="F1119" s="60">
        <f t="shared" ca="1" si="49"/>
        <v>21.184783333333336</v>
      </c>
      <c r="G1119" s="60">
        <f t="shared" ca="1" si="49"/>
        <v>21.185550000000003</v>
      </c>
      <c r="H1119" s="60">
        <f t="shared" ca="1" si="49"/>
        <v>34.072941666666665</v>
      </c>
      <c r="I1119" s="60">
        <f t="shared" ca="1" si="49"/>
        <v>34.073708333333336</v>
      </c>
      <c r="J1119" s="60">
        <f t="shared" ca="1" si="49"/>
        <v>21.184783333333336</v>
      </c>
      <c r="K1119" s="60">
        <f t="shared" ca="1" si="49"/>
        <v>21.185550000000003</v>
      </c>
    </row>
    <row r="1120" spans="1:11" ht="15">
      <c r="A1120" s="3">
        <v>2098</v>
      </c>
      <c r="B1120" s="60">
        <f t="shared" ca="1" si="49"/>
        <v>18.200441666666666</v>
      </c>
      <c r="C1120" s="60">
        <f t="shared" ca="1" si="49"/>
        <v>18.200441666666666</v>
      </c>
      <c r="D1120" s="60">
        <f t="shared" ca="1" si="49"/>
        <v>18.218216666666667</v>
      </c>
      <c r="E1120" s="60">
        <f t="shared" ca="1" si="49"/>
        <v>21.480099999999997</v>
      </c>
      <c r="F1120" s="60">
        <f t="shared" ca="1" si="49"/>
        <v>21.480099999999997</v>
      </c>
      <c r="G1120" s="60">
        <f t="shared" ca="1" si="49"/>
        <v>21.480875000000001</v>
      </c>
      <c r="H1120" s="60">
        <f t="shared" ca="1" si="49"/>
        <v>34.523975</v>
      </c>
      <c r="I1120" s="60">
        <f t="shared" ca="1" si="49"/>
        <v>34.524741666666664</v>
      </c>
      <c r="J1120" s="60">
        <f t="shared" ca="1" si="49"/>
        <v>21.480099999999997</v>
      </c>
      <c r="K1120" s="60">
        <f t="shared" ca="1" si="49"/>
        <v>21.480875000000001</v>
      </c>
    </row>
    <row r="1121" spans="1:11" ht="15">
      <c r="A1121" s="3">
        <v>2099</v>
      </c>
      <c r="B1121" s="60">
        <f t="shared" ca="1" si="49"/>
        <v>18.447958333333332</v>
      </c>
      <c r="C1121" s="60">
        <f t="shared" ca="1" si="49"/>
        <v>18.447958333333332</v>
      </c>
      <c r="D1121" s="60">
        <f t="shared" ca="1" si="49"/>
        <v>18.465733333333333</v>
      </c>
      <c r="E1121" s="60">
        <f t="shared" ca="1" si="49"/>
        <v>21.77546666666667</v>
      </c>
      <c r="F1121" s="60">
        <f t="shared" ca="1" si="49"/>
        <v>21.77546666666667</v>
      </c>
      <c r="G1121" s="60">
        <f t="shared" ca="1" si="49"/>
        <v>21.776225</v>
      </c>
      <c r="H1121" s="60">
        <f t="shared" ca="1" si="49"/>
        <v>34.975008333333335</v>
      </c>
      <c r="I1121" s="60">
        <f t="shared" ca="1" si="49"/>
        <v>34.975791666666673</v>
      </c>
      <c r="J1121" s="60">
        <f t="shared" ca="1" si="49"/>
        <v>21.77546666666667</v>
      </c>
      <c r="K1121" s="60">
        <f t="shared" ca="1" si="49"/>
        <v>21.776225</v>
      </c>
    </row>
    <row r="1122" spans="1:11" ht="15">
      <c r="A1122" s="3">
        <v>2100</v>
      </c>
      <c r="B1122" s="60">
        <f t="shared" ca="1" si="49"/>
        <v>18.695491666666666</v>
      </c>
      <c r="C1122" s="60">
        <f t="shared" ca="1" si="49"/>
        <v>18.695491666666666</v>
      </c>
      <c r="D1122" s="60">
        <f t="shared" ca="1" si="49"/>
        <v>18.713258333333332</v>
      </c>
      <c r="E1122" s="60">
        <f t="shared" ca="1" si="49"/>
        <v>22.070808333333336</v>
      </c>
      <c r="F1122" s="60">
        <f t="shared" ca="1" si="49"/>
        <v>22.070808333333336</v>
      </c>
      <c r="G1122" s="60">
        <f t="shared" ca="1" si="49"/>
        <v>22.071583333333333</v>
      </c>
      <c r="H1122" s="60">
        <f t="shared" ca="1" si="49"/>
        <v>35.426049999999996</v>
      </c>
      <c r="I1122" s="60">
        <f t="shared" ca="1" si="49"/>
        <v>35.426808333333334</v>
      </c>
      <c r="J1122" s="60">
        <f t="shared" ca="1" si="49"/>
        <v>22.070808333333336</v>
      </c>
      <c r="K1122" s="60">
        <f t="shared" ca="1" si="49"/>
        <v>22.071583333333333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7" sqref="A7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1" spans="1:3">
      <c r="A1" s="81" t="s">
        <v>64</v>
      </c>
    </row>
    <row r="2" spans="1:3">
      <c r="A2" s="81" t="s">
        <v>65</v>
      </c>
    </row>
    <row r="3" spans="1:3">
      <c r="A3" s="81" t="s">
        <v>66</v>
      </c>
    </row>
    <row r="4" spans="1:3">
      <c r="A4" s="81" t="s">
        <v>67</v>
      </c>
    </row>
    <row r="5" spans="1:3">
      <c r="A5" s="81" t="s">
        <v>69</v>
      </c>
    </row>
    <row r="6" spans="1:3">
      <c r="A6" s="81" t="s">
        <v>73</v>
      </c>
    </row>
    <row r="8" spans="1:3">
      <c r="B8" s="78" t="s">
        <v>63</v>
      </c>
      <c r="C8" s="78" t="s">
        <v>54</v>
      </c>
    </row>
    <row r="9" spans="1:3">
      <c r="B9" s="80" t="s">
        <v>61</v>
      </c>
      <c r="C9" s="90">
        <v>2</v>
      </c>
    </row>
    <row r="10" spans="1:3">
      <c r="B10" s="80" t="s">
        <v>60</v>
      </c>
      <c r="C10" s="92"/>
    </row>
    <row r="11" spans="1:3">
      <c r="B11" s="79" t="s">
        <v>59</v>
      </c>
      <c r="C11" s="91"/>
    </row>
    <row r="14" spans="1:3">
      <c r="B14" s="78" t="s">
        <v>55</v>
      </c>
      <c r="C14" s="78" t="s">
        <v>54</v>
      </c>
    </row>
    <row r="15" spans="1:3">
      <c r="B15" s="80" t="s">
        <v>61</v>
      </c>
      <c r="C15" s="90">
        <v>2</v>
      </c>
    </row>
    <row r="16" spans="1:3">
      <c r="B16" s="80" t="s">
        <v>60</v>
      </c>
      <c r="C16" s="92"/>
    </row>
    <row r="17" spans="2:3">
      <c r="B17" s="79" t="s">
        <v>59</v>
      </c>
      <c r="C17" s="91"/>
    </row>
    <row r="21" spans="2:3">
      <c r="B21" s="78" t="s">
        <v>62</v>
      </c>
      <c r="C21" s="78" t="s">
        <v>54</v>
      </c>
    </row>
    <row r="22" spans="2:3">
      <c r="B22" s="80" t="s">
        <v>61</v>
      </c>
      <c r="C22" s="90">
        <v>2</v>
      </c>
    </row>
    <row r="23" spans="2:3">
      <c r="B23" s="80" t="s">
        <v>60</v>
      </c>
      <c r="C23" s="92"/>
    </row>
    <row r="24" spans="2:3">
      <c r="B24" s="79" t="s">
        <v>59</v>
      </c>
      <c r="C24" s="91"/>
    </row>
    <row r="27" spans="2:3">
      <c r="B27" s="78" t="s">
        <v>58</v>
      </c>
      <c r="C27" s="78" t="s">
        <v>54</v>
      </c>
    </row>
    <row r="28" spans="2:3">
      <c r="B28" s="77" t="s">
        <v>57</v>
      </c>
      <c r="C28" s="90">
        <v>1</v>
      </c>
    </row>
    <row r="29" spans="2:3">
      <c r="B29" s="76" t="s">
        <v>56</v>
      </c>
      <c r="C29" s="91"/>
    </row>
    <row r="31" spans="2:3">
      <c r="B31" s="78" t="s">
        <v>55</v>
      </c>
      <c r="C31" s="78" t="s">
        <v>54</v>
      </c>
    </row>
    <row r="32" spans="2:3">
      <c r="B32" s="77" t="s">
        <v>53</v>
      </c>
      <c r="C32" s="90">
        <v>1</v>
      </c>
    </row>
    <row r="33" spans="2:5">
      <c r="B33" s="76" t="s">
        <v>52</v>
      </c>
      <c r="C33" s="91"/>
    </row>
    <row r="37" spans="2:5">
      <c r="C37" s="75"/>
      <c r="E37" s="74"/>
    </row>
  </sheetData>
  <mergeCells count="5">
    <mergeCell ref="C32:C33"/>
    <mergeCell ref="C22:C24"/>
    <mergeCell ref="C28:C29"/>
    <mergeCell ref="C9:C11"/>
    <mergeCell ref="C15:C17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2016-07-29T16:28:27Z</dcterms:created>
  <dcterms:modified xsi:type="dcterms:W3CDTF">2016-07-29T16:28:30Z</dcterms:modified>
</cp:coreProperties>
</file>