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5" windowHeight="10545" tabRatio="771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_xlnm.Print_Area" localSheetId="1">'RAP TEMPLATE-GAS AVAILABILITY'!$A$17:$J$1123</definedName>
    <definedName name="_xlnm.Print_Area" localSheetId="2">'RAP-HEAVY &amp; LIGHT OIL &amp; WTI'!$A$17:$I$1123</definedName>
    <definedName name="_xlnm.Print_Area" localSheetId="0">'RAP-NATURAL GAS PRICES'!$A$17:$S$1123</definedName>
    <definedName name="_xlnm.Print_Area" localSheetId="3">'RAP-SOLID FUEL PRICES'!$A$17:$K$1123</definedName>
    <definedName name="_xlnm.Print_Titles" localSheetId="1">'RAP TEMPLATE-GAS AVAILABILITY'!$1:$16</definedName>
    <definedName name="_xlnm.Print_Titles" localSheetId="2">'RAP-HEAVY &amp; LIGHT OIL &amp; WTI'!$1:$16</definedName>
    <definedName name="_xlnm.Print_Titles" localSheetId="0">'RAP-NATURAL GAS PRICES'!$1:$16</definedName>
    <definedName name="_xlnm.Print_Titles" localSheetId="3">'RAP-SOLID FUEL PRICES'!$1:$16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R1039" i="1" l="1"/>
  <c r="R1038" i="1"/>
  <c r="C13" i="4" l="1"/>
  <c r="E13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G857" i="4"/>
  <c r="H857" i="4"/>
  <c r="I857" i="4"/>
  <c r="J857" i="4"/>
  <c r="K857" i="4"/>
  <c r="B858" i="4"/>
  <c r="C858" i="4"/>
  <c r="D858" i="4"/>
  <c r="E858" i="4"/>
  <c r="F858" i="4"/>
  <c r="G858" i="4"/>
  <c r="H858" i="4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C893" i="4"/>
  <c r="D893" i="4"/>
  <c r="E893" i="4"/>
  <c r="F893" i="4"/>
  <c r="G893" i="4"/>
  <c r="H893" i="4"/>
  <c r="I893" i="4"/>
  <c r="J893" i="4"/>
  <c r="K893" i="4"/>
  <c r="B894" i="4"/>
  <c r="C894" i="4"/>
  <c r="D894" i="4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G905" i="4"/>
  <c r="H905" i="4"/>
  <c r="I905" i="4"/>
  <c r="J905" i="4"/>
  <c r="K905" i="4"/>
  <c r="B906" i="4"/>
  <c r="C906" i="4"/>
  <c r="D906" i="4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E918" i="4"/>
  <c r="F918" i="4"/>
  <c r="G918" i="4"/>
  <c r="H918" i="4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G929" i="4"/>
  <c r="H929" i="4"/>
  <c r="I929" i="4"/>
  <c r="J929" i="4"/>
  <c r="K929" i="4"/>
  <c r="B930" i="4"/>
  <c r="C930" i="4"/>
  <c r="D930" i="4"/>
  <c r="E930" i="4"/>
  <c r="F930" i="4"/>
  <c r="G930" i="4"/>
  <c r="H930" i="4"/>
  <c r="I930" i="4"/>
  <c r="J930" i="4"/>
  <c r="K930" i="4"/>
  <c r="B931" i="4"/>
  <c r="C931" i="4"/>
  <c r="D931" i="4"/>
  <c r="E931" i="4"/>
  <c r="F931" i="4"/>
  <c r="G931" i="4"/>
  <c r="H931" i="4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G941" i="4"/>
  <c r="H941" i="4"/>
  <c r="I941" i="4"/>
  <c r="J941" i="4"/>
  <c r="K941" i="4"/>
  <c r="B942" i="4"/>
  <c r="C942" i="4"/>
  <c r="D942" i="4"/>
  <c r="E942" i="4"/>
  <c r="F942" i="4"/>
  <c r="G942" i="4"/>
  <c r="H942" i="4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C953" i="4"/>
  <c r="D953" i="4"/>
  <c r="E953" i="4"/>
  <c r="F953" i="4"/>
  <c r="G953" i="4"/>
  <c r="H953" i="4"/>
  <c r="I953" i="4"/>
  <c r="J953" i="4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C965" i="4"/>
  <c r="D965" i="4"/>
  <c r="E965" i="4"/>
  <c r="F965" i="4"/>
  <c r="G965" i="4"/>
  <c r="H965" i="4"/>
  <c r="I965" i="4"/>
  <c r="J965" i="4"/>
  <c r="K965" i="4"/>
  <c r="B966" i="4"/>
  <c r="C966" i="4"/>
  <c r="D966" i="4"/>
  <c r="E966" i="4"/>
  <c r="F966" i="4"/>
  <c r="G966" i="4"/>
  <c r="H966" i="4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C977" i="4"/>
  <c r="D977" i="4"/>
  <c r="E977" i="4"/>
  <c r="F977" i="4"/>
  <c r="G977" i="4"/>
  <c r="H977" i="4"/>
  <c r="I977" i="4"/>
  <c r="J977" i="4"/>
  <c r="K977" i="4"/>
  <c r="B978" i="4"/>
  <c r="C978" i="4"/>
  <c r="D978" i="4"/>
  <c r="E978" i="4"/>
  <c r="F978" i="4"/>
  <c r="G978" i="4"/>
  <c r="H978" i="4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E990" i="4"/>
  <c r="F990" i="4"/>
  <c r="G990" i="4"/>
  <c r="H990" i="4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C1001" i="4"/>
  <c r="D1001" i="4"/>
  <c r="E1001" i="4"/>
  <c r="F1001" i="4"/>
  <c r="G1001" i="4"/>
  <c r="H1001" i="4"/>
  <c r="I1001" i="4"/>
  <c r="J1001" i="4"/>
  <c r="K1001" i="4"/>
  <c r="B1002" i="4"/>
  <c r="C1002" i="4"/>
  <c r="D1002" i="4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C1013" i="4"/>
  <c r="D1013" i="4"/>
  <c r="E1013" i="4"/>
  <c r="F1013" i="4"/>
  <c r="G1013" i="4"/>
  <c r="H1013" i="4"/>
  <c r="I1013" i="4"/>
  <c r="J1013" i="4"/>
  <c r="K1013" i="4"/>
  <c r="B1014" i="4"/>
  <c r="C1014" i="4"/>
  <c r="D1014" i="4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C1025" i="4"/>
  <c r="D1025" i="4"/>
  <c r="E1025" i="4"/>
  <c r="F1025" i="4"/>
  <c r="G1025" i="4"/>
  <c r="H1025" i="4"/>
  <c r="I1025" i="4"/>
  <c r="J1025" i="4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B1030" i="4"/>
  <c r="C1030" i="4"/>
  <c r="D1030" i="4"/>
  <c r="E1030" i="4"/>
  <c r="F1030" i="4"/>
  <c r="G1030" i="4"/>
  <c r="H1030" i="4"/>
  <c r="I1030" i="4"/>
  <c r="J1030" i="4"/>
  <c r="K1030" i="4"/>
  <c r="B1031" i="4"/>
  <c r="C1031" i="4"/>
  <c r="D1031" i="4"/>
  <c r="E1031" i="4"/>
  <c r="F1031" i="4"/>
  <c r="G1031" i="4"/>
  <c r="H1031" i="4"/>
  <c r="I1031" i="4"/>
  <c r="J1031" i="4"/>
  <c r="K1031" i="4"/>
  <c r="B1032" i="4"/>
  <c r="C1032" i="4"/>
  <c r="D1032" i="4"/>
  <c r="E1032" i="4"/>
  <c r="F1032" i="4"/>
  <c r="G1032" i="4"/>
  <c r="H1032" i="4"/>
  <c r="I1032" i="4"/>
  <c r="J1032" i="4"/>
  <c r="K1032" i="4"/>
  <c r="B1033" i="4"/>
  <c r="C1033" i="4"/>
  <c r="D1033" i="4"/>
  <c r="E1033" i="4"/>
  <c r="F1033" i="4"/>
  <c r="G1033" i="4"/>
  <c r="H1033" i="4"/>
  <c r="I1033" i="4"/>
  <c r="J1033" i="4"/>
  <c r="K1033" i="4"/>
  <c r="B1034" i="4"/>
  <c r="C1034" i="4"/>
  <c r="D1034" i="4"/>
  <c r="E1034" i="4"/>
  <c r="F1034" i="4"/>
  <c r="G1034" i="4"/>
  <c r="H1034" i="4"/>
  <c r="I1034" i="4"/>
  <c r="J1034" i="4"/>
  <c r="K1034" i="4"/>
  <c r="B1035" i="4"/>
  <c r="C1035" i="4"/>
  <c r="D1035" i="4"/>
  <c r="E1035" i="4"/>
  <c r="F1035" i="4"/>
  <c r="G1035" i="4"/>
  <c r="H1035" i="4"/>
  <c r="I1035" i="4"/>
  <c r="J1035" i="4"/>
  <c r="K1035" i="4"/>
  <c r="B1036" i="4"/>
  <c r="C1036" i="4"/>
  <c r="D1036" i="4"/>
  <c r="E1036" i="4"/>
  <c r="F1036" i="4"/>
  <c r="G1036" i="4"/>
  <c r="H1036" i="4"/>
  <c r="I1036" i="4"/>
  <c r="J1036" i="4"/>
  <c r="K1036" i="4"/>
  <c r="I1058" i="4"/>
  <c r="F1069" i="4"/>
  <c r="I1076" i="4"/>
  <c r="C1105" i="4"/>
  <c r="B1118" i="4"/>
  <c r="C13" i="3"/>
  <c r="E13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B1038" i="3"/>
  <c r="C1038" i="3"/>
  <c r="D1038" i="3"/>
  <c r="B1041" i="3"/>
  <c r="B1042" i="3"/>
  <c r="C1044" i="3"/>
  <c r="B1046" i="3"/>
  <c r="E1047" i="3"/>
  <c r="B1048" i="3"/>
  <c r="C1048" i="3"/>
  <c r="B1049" i="3"/>
  <c r="C1050" i="3"/>
  <c r="B1051" i="3"/>
  <c r="C1052" i="3"/>
  <c r="E1053" i="3"/>
  <c r="C1054" i="3"/>
  <c r="D1056" i="3"/>
  <c r="B1057" i="3"/>
  <c r="B1058" i="3"/>
  <c r="A1060" i="3"/>
  <c r="A1061" i="3" s="1"/>
  <c r="A1062" i="3" s="1"/>
  <c r="C1060" i="3"/>
  <c r="E1060" i="3"/>
  <c r="D1061" i="3"/>
  <c r="C1062" i="3"/>
  <c r="A1063" i="3"/>
  <c r="A1064" i="3" s="1"/>
  <c r="A1065" i="3" s="1"/>
  <c r="A1066" i="3" s="1"/>
  <c r="A1067" i="3" s="1"/>
  <c r="C1063" i="3"/>
  <c r="B1065" i="3"/>
  <c r="A1068" i="3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C1068" i="3"/>
  <c r="C1069" i="3"/>
  <c r="C1070" i="3"/>
  <c r="B1073" i="3"/>
  <c r="D1073" i="3"/>
  <c r="C1074" i="3"/>
  <c r="B1075" i="3"/>
  <c r="E1077" i="3"/>
  <c r="C1078" i="3"/>
  <c r="C1079" i="3"/>
  <c r="B1080" i="3"/>
  <c r="C1082" i="3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8" i="2"/>
  <c r="C1038" i="2"/>
  <c r="D1038" i="2"/>
  <c r="E1038" i="2"/>
  <c r="F1038" i="2"/>
  <c r="G1038" i="2"/>
  <c r="I1038" i="2"/>
  <c r="J1038" i="2"/>
  <c r="B1039" i="2"/>
  <c r="C1039" i="2"/>
  <c r="D1039" i="2"/>
  <c r="E1039" i="2"/>
  <c r="F1039" i="2"/>
  <c r="G1039" i="2"/>
  <c r="H1039" i="2"/>
  <c r="I1039" i="2"/>
  <c r="J1039" i="2"/>
  <c r="B1040" i="2"/>
  <c r="C1040" i="2"/>
  <c r="D1040" i="2"/>
  <c r="E1040" i="2"/>
  <c r="F1040" i="2"/>
  <c r="G1040" i="2"/>
  <c r="H1040" i="2"/>
  <c r="I1040" i="2"/>
  <c r="J1040" i="2"/>
  <c r="B1041" i="2"/>
  <c r="C1041" i="2"/>
  <c r="D1041" i="2"/>
  <c r="E1041" i="2"/>
  <c r="F1041" i="2"/>
  <c r="G1041" i="2"/>
  <c r="H1041" i="2"/>
  <c r="I1041" i="2"/>
  <c r="J1041" i="2"/>
  <c r="B1042" i="2"/>
  <c r="C1042" i="2"/>
  <c r="D1042" i="2"/>
  <c r="E1042" i="2"/>
  <c r="F1042" i="2"/>
  <c r="G1042" i="2"/>
  <c r="H1042" i="2"/>
  <c r="I1042" i="2"/>
  <c r="J1042" i="2"/>
  <c r="B1043" i="2"/>
  <c r="C1043" i="2"/>
  <c r="D1043" i="2"/>
  <c r="E1043" i="2"/>
  <c r="F1043" i="2"/>
  <c r="G1043" i="2"/>
  <c r="H1043" i="2"/>
  <c r="I1043" i="2"/>
  <c r="J1043" i="2"/>
  <c r="B1044" i="2"/>
  <c r="C1044" i="2"/>
  <c r="D1044" i="2"/>
  <c r="E1044" i="2"/>
  <c r="F1044" i="2"/>
  <c r="G1044" i="2"/>
  <c r="H1044" i="2"/>
  <c r="I1044" i="2"/>
  <c r="J1044" i="2"/>
  <c r="B1045" i="2"/>
  <c r="C1045" i="2"/>
  <c r="D1045" i="2"/>
  <c r="E1045" i="2"/>
  <c r="F1045" i="2"/>
  <c r="G1045" i="2"/>
  <c r="H1045" i="2"/>
  <c r="I1045" i="2"/>
  <c r="J1045" i="2"/>
  <c r="B1046" i="2"/>
  <c r="C1046" i="2"/>
  <c r="D1046" i="2"/>
  <c r="E1046" i="2"/>
  <c r="F1046" i="2"/>
  <c r="G1046" i="2"/>
  <c r="H1046" i="2"/>
  <c r="I1046" i="2"/>
  <c r="J1046" i="2"/>
  <c r="B1047" i="2"/>
  <c r="C1047" i="2"/>
  <c r="D1047" i="2"/>
  <c r="E1047" i="2"/>
  <c r="F1047" i="2"/>
  <c r="G1047" i="2"/>
  <c r="H1047" i="2"/>
  <c r="I1047" i="2"/>
  <c r="J1047" i="2"/>
  <c r="B1048" i="2"/>
  <c r="C1048" i="2"/>
  <c r="D1048" i="2"/>
  <c r="E1048" i="2"/>
  <c r="F1048" i="2"/>
  <c r="G1048" i="2"/>
  <c r="H1048" i="2"/>
  <c r="I1048" i="2"/>
  <c r="J1048" i="2"/>
  <c r="B1049" i="2"/>
  <c r="C1049" i="2"/>
  <c r="D1049" i="2"/>
  <c r="E1049" i="2"/>
  <c r="F1049" i="2"/>
  <c r="G1049" i="2"/>
  <c r="H1049" i="2"/>
  <c r="I1049" i="2"/>
  <c r="J1049" i="2"/>
  <c r="B1050" i="2"/>
  <c r="C1050" i="2"/>
  <c r="D1050" i="2"/>
  <c r="E1050" i="2"/>
  <c r="F1050" i="2"/>
  <c r="G1050" i="2"/>
  <c r="H1050" i="2"/>
  <c r="I1050" i="2"/>
  <c r="J1050" i="2"/>
  <c r="B1051" i="2"/>
  <c r="C1051" i="2"/>
  <c r="D1051" i="2"/>
  <c r="E1051" i="2"/>
  <c r="F1051" i="2"/>
  <c r="G1051" i="2"/>
  <c r="H1051" i="2"/>
  <c r="I1051" i="2"/>
  <c r="J1051" i="2"/>
  <c r="B1052" i="2"/>
  <c r="C1052" i="2"/>
  <c r="D1052" i="2"/>
  <c r="E1052" i="2"/>
  <c r="F1052" i="2"/>
  <c r="G1052" i="2"/>
  <c r="H1052" i="2"/>
  <c r="I1052" i="2"/>
  <c r="J1052" i="2"/>
  <c r="B1053" i="2"/>
  <c r="C1053" i="2"/>
  <c r="D1053" i="2"/>
  <c r="E1053" i="2"/>
  <c r="F1053" i="2"/>
  <c r="G1053" i="2"/>
  <c r="H1053" i="2"/>
  <c r="I1053" i="2"/>
  <c r="J1053" i="2"/>
  <c r="B1054" i="2"/>
  <c r="C1054" i="2"/>
  <c r="D1054" i="2"/>
  <c r="E1054" i="2"/>
  <c r="F1054" i="2"/>
  <c r="G1054" i="2"/>
  <c r="H1054" i="2"/>
  <c r="I1054" i="2"/>
  <c r="J1054" i="2"/>
  <c r="B1055" i="2"/>
  <c r="C1055" i="2"/>
  <c r="D1055" i="2"/>
  <c r="E1055" i="2"/>
  <c r="F1055" i="2"/>
  <c r="G1055" i="2"/>
  <c r="H1055" i="2"/>
  <c r="I1055" i="2"/>
  <c r="J1055" i="2"/>
  <c r="B1056" i="2"/>
  <c r="C1056" i="2"/>
  <c r="D1056" i="2"/>
  <c r="E1056" i="2"/>
  <c r="F1056" i="2"/>
  <c r="G1056" i="2"/>
  <c r="H1056" i="2"/>
  <c r="I1056" i="2"/>
  <c r="J1056" i="2"/>
  <c r="B1057" i="2"/>
  <c r="C1057" i="2"/>
  <c r="D1057" i="2"/>
  <c r="E1057" i="2"/>
  <c r="F1057" i="2"/>
  <c r="G1057" i="2"/>
  <c r="H1057" i="2"/>
  <c r="I1057" i="2"/>
  <c r="J1057" i="2"/>
  <c r="B1058" i="2"/>
  <c r="C1058" i="2"/>
  <c r="D1058" i="2"/>
  <c r="E1058" i="2"/>
  <c r="F1058" i="2"/>
  <c r="G1058" i="2"/>
  <c r="H1058" i="2"/>
  <c r="I1058" i="2"/>
  <c r="J1058" i="2"/>
  <c r="B1059" i="2"/>
  <c r="C1059" i="2"/>
  <c r="D1059" i="2"/>
  <c r="E1059" i="2"/>
  <c r="F1059" i="2"/>
  <c r="G1059" i="2"/>
  <c r="H1059" i="2"/>
  <c r="I1059" i="2"/>
  <c r="J1059" i="2"/>
  <c r="A1060" i="2"/>
  <c r="C1060" i="2"/>
  <c r="D1060" i="2"/>
  <c r="E1060" i="2"/>
  <c r="F1060" i="2"/>
  <c r="G1060" i="2"/>
  <c r="H1060" i="2"/>
  <c r="I1060" i="2"/>
  <c r="J1060" i="2"/>
  <c r="C1061" i="2"/>
  <c r="D1061" i="2"/>
  <c r="E1061" i="2"/>
  <c r="F1061" i="2"/>
  <c r="G1061" i="2"/>
  <c r="H1061" i="2"/>
  <c r="I1061" i="2"/>
  <c r="J1061" i="2"/>
  <c r="C1062" i="2"/>
  <c r="D1062" i="2"/>
  <c r="E1062" i="2"/>
  <c r="F1062" i="2"/>
  <c r="G1062" i="2"/>
  <c r="H1062" i="2"/>
  <c r="I1062" i="2"/>
  <c r="J1062" i="2"/>
  <c r="C1063" i="2"/>
  <c r="D1063" i="2"/>
  <c r="E1063" i="2"/>
  <c r="F1063" i="2"/>
  <c r="G1063" i="2"/>
  <c r="H1063" i="2"/>
  <c r="I1063" i="2"/>
  <c r="J1063" i="2"/>
  <c r="C1064" i="2"/>
  <c r="D1064" i="2"/>
  <c r="E1064" i="2"/>
  <c r="F1064" i="2"/>
  <c r="G1064" i="2"/>
  <c r="H1064" i="2"/>
  <c r="I1064" i="2"/>
  <c r="J1064" i="2"/>
  <c r="C1065" i="2"/>
  <c r="D1065" i="2"/>
  <c r="E1065" i="2"/>
  <c r="F1065" i="2"/>
  <c r="G1065" i="2"/>
  <c r="H1065" i="2"/>
  <c r="I1065" i="2"/>
  <c r="J1065" i="2"/>
  <c r="C1066" i="2"/>
  <c r="D1066" i="2"/>
  <c r="E1066" i="2"/>
  <c r="F1066" i="2"/>
  <c r="G1066" i="2"/>
  <c r="H1066" i="2"/>
  <c r="I1066" i="2"/>
  <c r="J1066" i="2"/>
  <c r="C1067" i="2"/>
  <c r="D1067" i="2"/>
  <c r="E1067" i="2"/>
  <c r="F1067" i="2"/>
  <c r="G1067" i="2"/>
  <c r="H1067" i="2"/>
  <c r="I1067" i="2"/>
  <c r="J1067" i="2"/>
  <c r="C1068" i="2"/>
  <c r="D1068" i="2"/>
  <c r="E1068" i="2"/>
  <c r="F1068" i="2"/>
  <c r="G1068" i="2"/>
  <c r="H1068" i="2"/>
  <c r="I1068" i="2"/>
  <c r="J1068" i="2"/>
  <c r="C1069" i="2"/>
  <c r="D1069" i="2"/>
  <c r="E1069" i="2"/>
  <c r="F1069" i="2"/>
  <c r="G1069" i="2"/>
  <c r="H1069" i="2"/>
  <c r="I1069" i="2"/>
  <c r="J1069" i="2"/>
  <c r="C1070" i="2"/>
  <c r="D1070" i="2"/>
  <c r="E1070" i="2"/>
  <c r="F1070" i="2"/>
  <c r="G1070" i="2"/>
  <c r="H1070" i="2"/>
  <c r="I1070" i="2"/>
  <c r="J1070" i="2"/>
  <c r="C1071" i="2"/>
  <c r="D1071" i="2"/>
  <c r="E1071" i="2"/>
  <c r="F1071" i="2"/>
  <c r="G1071" i="2"/>
  <c r="H1071" i="2"/>
  <c r="I1071" i="2"/>
  <c r="J1071" i="2"/>
  <c r="C1072" i="2"/>
  <c r="D1072" i="2"/>
  <c r="E1072" i="2"/>
  <c r="F1072" i="2"/>
  <c r="G1072" i="2"/>
  <c r="H1072" i="2"/>
  <c r="I1072" i="2"/>
  <c r="J1072" i="2"/>
  <c r="C1073" i="2"/>
  <c r="D1073" i="2"/>
  <c r="E1073" i="2"/>
  <c r="F1073" i="2"/>
  <c r="G1073" i="2"/>
  <c r="H1073" i="2"/>
  <c r="I1073" i="2"/>
  <c r="J1073" i="2"/>
  <c r="C1074" i="2"/>
  <c r="D1074" i="2"/>
  <c r="E1074" i="2"/>
  <c r="F1074" i="2"/>
  <c r="G1074" i="2"/>
  <c r="H1074" i="2"/>
  <c r="I1074" i="2"/>
  <c r="J1074" i="2"/>
  <c r="C1075" i="2"/>
  <c r="D1075" i="2"/>
  <c r="E1075" i="2"/>
  <c r="F1075" i="2"/>
  <c r="G1075" i="2"/>
  <c r="H1075" i="2"/>
  <c r="I1075" i="2"/>
  <c r="J1075" i="2"/>
  <c r="C1076" i="2"/>
  <c r="D1076" i="2"/>
  <c r="E1076" i="2"/>
  <c r="F1076" i="2"/>
  <c r="G1076" i="2"/>
  <c r="H1076" i="2"/>
  <c r="I1076" i="2"/>
  <c r="J1076" i="2"/>
  <c r="C1077" i="2"/>
  <c r="D1077" i="2"/>
  <c r="E1077" i="2"/>
  <c r="F1077" i="2"/>
  <c r="G1077" i="2"/>
  <c r="H1077" i="2"/>
  <c r="I1077" i="2"/>
  <c r="J1077" i="2"/>
  <c r="C1078" i="2"/>
  <c r="D1078" i="2"/>
  <c r="E1078" i="2"/>
  <c r="F1078" i="2"/>
  <c r="G1078" i="2"/>
  <c r="H1078" i="2"/>
  <c r="I1078" i="2"/>
  <c r="J1078" i="2"/>
  <c r="C1079" i="2"/>
  <c r="D1079" i="2"/>
  <c r="E1079" i="2"/>
  <c r="F1079" i="2"/>
  <c r="G1079" i="2"/>
  <c r="H1079" i="2"/>
  <c r="I1079" i="2"/>
  <c r="J1079" i="2"/>
  <c r="C1080" i="2"/>
  <c r="D1080" i="2"/>
  <c r="E1080" i="2"/>
  <c r="F1080" i="2"/>
  <c r="G1080" i="2"/>
  <c r="H1080" i="2"/>
  <c r="I1080" i="2"/>
  <c r="J1080" i="2"/>
  <c r="C1081" i="2"/>
  <c r="D1081" i="2"/>
  <c r="E1081" i="2"/>
  <c r="F1081" i="2"/>
  <c r="G1081" i="2"/>
  <c r="H1081" i="2"/>
  <c r="I1081" i="2"/>
  <c r="J1081" i="2"/>
  <c r="C1082" i="2"/>
  <c r="D1082" i="2"/>
  <c r="E1082" i="2"/>
  <c r="F1082" i="2"/>
  <c r="G1082" i="2"/>
  <c r="H1082" i="2"/>
  <c r="I1082" i="2"/>
  <c r="J1082" i="2"/>
  <c r="C1083" i="2"/>
  <c r="D1083" i="2"/>
  <c r="E1083" i="2"/>
  <c r="F1083" i="2"/>
  <c r="G1083" i="2"/>
  <c r="H1083" i="2"/>
  <c r="I1083" i="2"/>
  <c r="J1083" i="2"/>
  <c r="D11" i="1"/>
  <c r="F11" i="1"/>
  <c r="B17" i="1"/>
  <c r="C17" i="1"/>
  <c r="D17" i="1"/>
  <c r="E17" i="1"/>
  <c r="F17" i="1"/>
  <c r="G17" i="1"/>
  <c r="H17" i="1"/>
  <c r="I17" i="1"/>
  <c r="J17" i="1"/>
  <c r="R17" i="1"/>
  <c r="B18" i="1"/>
  <c r="C18" i="1"/>
  <c r="D18" i="1"/>
  <c r="E18" i="1"/>
  <c r="F18" i="1"/>
  <c r="G18" i="1"/>
  <c r="H18" i="1"/>
  <c r="I18" i="1"/>
  <c r="J18" i="1"/>
  <c r="R18" i="1"/>
  <c r="B19" i="1"/>
  <c r="C19" i="1"/>
  <c r="D19" i="1"/>
  <c r="E19" i="1"/>
  <c r="F19" i="1"/>
  <c r="G19" i="1"/>
  <c r="H19" i="1"/>
  <c r="I19" i="1"/>
  <c r="J19" i="1"/>
  <c r="R19" i="1"/>
  <c r="B20" i="1"/>
  <c r="C20" i="1"/>
  <c r="D20" i="1"/>
  <c r="E20" i="1"/>
  <c r="F20" i="1"/>
  <c r="G20" i="1"/>
  <c r="H20" i="1"/>
  <c r="I20" i="1"/>
  <c r="J20" i="1"/>
  <c r="R20" i="1"/>
  <c r="B21" i="1"/>
  <c r="C21" i="1"/>
  <c r="D21" i="1"/>
  <c r="E21" i="1"/>
  <c r="F21" i="1"/>
  <c r="G21" i="1"/>
  <c r="H21" i="1"/>
  <c r="I21" i="1"/>
  <c r="J21" i="1"/>
  <c r="R21" i="1"/>
  <c r="B22" i="1"/>
  <c r="C22" i="1"/>
  <c r="D22" i="1"/>
  <c r="E22" i="1"/>
  <c r="F22" i="1"/>
  <c r="G22" i="1"/>
  <c r="H22" i="1"/>
  <c r="I22" i="1"/>
  <c r="J22" i="1"/>
  <c r="R22" i="1"/>
  <c r="B23" i="1"/>
  <c r="C23" i="1"/>
  <c r="D23" i="1"/>
  <c r="E23" i="1"/>
  <c r="F23" i="1"/>
  <c r="G23" i="1"/>
  <c r="H23" i="1"/>
  <c r="I23" i="1"/>
  <c r="J23" i="1"/>
  <c r="R23" i="1"/>
  <c r="B24" i="1"/>
  <c r="C24" i="1"/>
  <c r="D24" i="1"/>
  <c r="E24" i="1"/>
  <c r="F24" i="1"/>
  <c r="G24" i="1"/>
  <c r="H24" i="1"/>
  <c r="I24" i="1"/>
  <c r="J24" i="1"/>
  <c r="R24" i="1"/>
  <c r="B25" i="1"/>
  <c r="C25" i="1"/>
  <c r="D25" i="1"/>
  <c r="E25" i="1"/>
  <c r="F25" i="1"/>
  <c r="G25" i="1"/>
  <c r="H25" i="1"/>
  <c r="I25" i="1"/>
  <c r="J25" i="1"/>
  <c r="R25" i="1"/>
  <c r="B26" i="1"/>
  <c r="C26" i="1"/>
  <c r="D26" i="1"/>
  <c r="E26" i="1"/>
  <c r="F26" i="1"/>
  <c r="G26" i="1"/>
  <c r="H26" i="1"/>
  <c r="I26" i="1"/>
  <c r="J26" i="1"/>
  <c r="R26" i="1"/>
  <c r="B27" i="1"/>
  <c r="C27" i="1"/>
  <c r="D27" i="1"/>
  <c r="E27" i="1"/>
  <c r="F27" i="1"/>
  <c r="G27" i="1"/>
  <c r="H27" i="1"/>
  <c r="I27" i="1"/>
  <c r="J27" i="1"/>
  <c r="R27" i="1"/>
  <c r="B28" i="1"/>
  <c r="C28" i="1"/>
  <c r="D28" i="1"/>
  <c r="E28" i="1"/>
  <c r="F28" i="1"/>
  <c r="G28" i="1"/>
  <c r="H28" i="1"/>
  <c r="I28" i="1"/>
  <c r="J28" i="1"/>
  <c r="R28" i="1"/>
  <c r="B29" i="1"/>
  <c r="C29" i="1"/>
  <c r="D29" i="1"/>
  <c r="E29" i="1"/>
  <c r="F29" i="1"/>
  <c r="G29" i="1"/>
  <c r="H29" i="1"/>
  <c r="I29" i="1"/>
  <c r="J29" i="1"/>
  <c r="R29" i="1"/>
  <c r="B30" i="1"/>
  <c r="C30" i="1"/>
  <c r="D30" i="1"/>
  <c r="E30" i="1"/>
  <c r="F30" i="1"/>
  <c r="G30" i="1"/>
  <c r="H30" i="1"/>
  <c r="I30" i="1"/>
  <c r="J30" i="1"/>
  <c r="R30" i="1"/>
  <c r="B31" i="1"/>
  <c r="C31" i="1"/>
  <c r="D31" i="1"/>
  <c r="E31" i="1"/>
  <c r="F31" i="1"/>
  <c r="G31" i="1"/>
  <c r="H31" i="1"/>
  <c r="I31" i="1"/>
  <c r="J31" i="1"/>
  <c r="R31" i="1"/>
  <c r="B32" i="1"/>
  <c r="C32" i="1"/>
  <c r="D32" i="1"/>
  <c r="E32" i="1"/>
  <c r="F32" i="1"/>
  <c r="G32" i="1"/>
  <c r="H32" i="1"/>
  <c r="I32" i="1"/>
  <c r="J32" i="1"/>
  <c r="B33" i="1"/>
  <c r="C33" i="1"/>
  <c r="D33" i="1"/>
  <c r="E33" i="1"/>
  <c r="F33" i="1"/>
  <c r="G33" i="1"/>
  <c r="H33" i="1"/>
  <c r="I33" i="1"/>
  <c r="J33" i="1"/>
  <c r="B34" i="1"/>
  <c r="C34" i="1"/>
  <c r="D34" i="1"/>
  <c r="E34" i="1"/>
  <c r="F34" i="1"/>
  <c r="G34" i="1"/>
  <c r="H34" i="1"/>
  <c r="I34" i="1"/>
  <c r="J34" i="1"/>
  <c r="B35" i="1"/>
  <c r="C35" i="1"/>
  <c r="D35" i="1"/>
  <c r="E35" i="1"/>
  <c r="F35" i="1"/>
  <c r="G35" i="1"/>
  <c r="H35" i="1"/>
  <c r="I35" i="1"/>
  <c r="J35" i="1"/>
  <c r="B36" i="1"/>
  <c r="C36" i="1"/>
  <c r="D36" i="1"/>
  <c r="E36" i="1"/>
  <c r="F36" i="1"/>
  <c r="G36" i="1"/>
  <c r="H36" i="1"/>
  <c r="I36" i="1"/>
  <c r="J36" i="1"/>
  <c r="B37" i="1"/>
  <c r="C37" i="1"/>
  <c r="D37" i="1"/>
  <c r="E37" i="1"/>
  <c r="F37" i="1"/>
  <c r="G37" i="1"/>
  <c r="H37" i="1"/>
  <c r="I37" i="1"/>
  <c r="J37" i="1"/>
  <c r="B38" i="1"/>
  <c r="C38" i="1"/>
  <c r="D38" i="1"/>
  <c r="E38" i="1"/>
  <c r="F38" i="1"/>
  <c r="G38" i="1"/>
  <c r="H38" i="1"/>
  <c r="I38" i="1"/>
  <c r="J38" i="1"/>
  <c r="B39" i="1"/>
  <c r="C39" i="1"/>
  <c r="D39" i="1"/>
  <c r="E39" i="1"/>
  <c r="F39" i="1"/>
  <c r="G39" i="1"/>
  <c r="H39" i="1"/>
  <c r="I39" i="1"/>
  <c r="J39" i="1"/>
  <c r="B40" i="1"/>
  <c r="C40" i="1"/>
  <c r="D40" i="1"/>
  <c r="E40" i="1"/>
  <c r="F40" i="1"/>
  <c r="G40" i="1"/>
  <c r="H40" i="1"/>
  <c r="I40" i="1"/>
  <c r="J40" i="1"/>
  <c r="B41" i="1"/>
  <c r="C41" i="1"/>
  <c r="D41" i="1"/>
  <c r="E41" i="1"/>
  <c r="F41" i="1"/>
  <c r="G41" i="1"/>
  <c r="H41" i="1"/>
  <c r="I41" i="1"/>
  <c r="J41" i="1"/>
  <c r="B42" i="1"/>
  <c r="C42" i="1"/>
  <c r="D42" i="1"/>
  <c r="E42" i="1"/>
  <c r="F42" i="1"/>
  <c r="G42" i="1"/>
  <c r="H42" i="1"/>
  <c r="I42" i="1"/>
  <c r="J42" i="1"/>
  <c r="B43" i="1"/>
  <c r="C43" i="1"/>
  <c r="D43" i="1"/>
  <c r="E43" i="1"/>
  <c r="F43" i="1"/>
  <c r="G43" i="1"/>
  <c r="H43" i="1"/>
  <c r="I43" i="1"/>
  <c r="J43" i="1"/>
  <c r="B44" i="1"/>
  <c r="C44" i="1"/>
  <c r="D44" i="1"/>
  <c r="E44" i="1"/>
  <c r="F44" i="1"/>
  <c r="G44" i="1"/>
  <c r="H44" i="1"/>
  <c r="I44" i="1"/>
  <c r="J44" i="1"/>
  <c r="B45" i="1"/>
  <c r="C45" i="1"/>
  <c r="D45" i="1"/>
  <c r="E45" i="1"/>
  <c r="F45" i="1"/>
  <c r="G45" i="1"/>
  <c r="H45" i="1"/>
  <c r="I45" i="1"/>
  <c r="J45" i="1"/>
  <c r="B46" i="1"/>
  <c r="C46" i="1"/>
  <c r="D46" i="1"/>
  <c r="E46" i="1"/>
  <c r="F46" i="1"/>
  <c r="G46" i="1"/>
  <c r="H46" i="1"/>
  <c r="I46" i="1"/>
  <c r="J46" i="1"/>
  <c r="B47" i="1"/>
  <c r="C47" i="1"/>
  <c r="D47" i="1"/>
  <c r="E47" i="1"/>
  <c r="F47" i="1"/>
  <c r="G47" i="1"/>
  <c r="H47" i="1"/>
  <c r="I47" i="1"/>
  <c r="J47" i="1"/>
  <c r="B48" i="1"/>
  <c r="C48" i="1"/>
  <c r="D48" i="1"/>
  <c r="E48" i="1"/>
  <c r="F48" i="1"/>
  <c r="G48" i="1"/>
  <c r="H48" i="1"/>
  <c r="I48" i="1"/>
  <c r="J48" i="1"/>
  <c r="B49" i="1"/>
  <c r="C49" i="1"/>
  <c r="D49" i="1"/>
  <c r="E49" i="1"/>
  <c r="F49" i="1"/>
  <c r="G49" i="1"/>
  <c r="H49" i="1"/>
  <c r="I49" i="1"/>
  <c r="J49" i="1"/>
  <c r="B50" i="1"/>
  <c r="C50" i="1"/>
  <c r="D50" i="1"/>
  <c r="E50" i="1"/>
  <c r="F50" i="1"/>
  <c r="G50" i="1"/>
  <c r="H50" i="1"/>
  <c r="I50" i="1"/>
  <c r="J50" i="1"/>
  <c r="B51" i="1"/>
  <c r="C51" i="1"/>
  <c r="D51" i="1"/>
  <c r="E51" i="1"/>
  <c r="F51" i="1"/>
  <c r="G51" i="1"/>
  <c r="H51" i="1"/>
  <c r="I51" i="1"/>
  <c r="J51" i="1"/>
  <c r="B52" i="1"/>
  <c r="C52" i="1"/>
  <c r="D52" i="1"/>
  <c r="E52" i="1"/>
  <c r="F52" i="1"/>
  <c r="G52" i="1"/>
  <c r="H52" i="1"/>
  <c r="I52" i="1"/>
  <c r="J52" i="1"/>
  <c r="B53" i="1"/>
  <c r="C53" i="1"/>
  <c r="D53" i="1"/>
  <c r="E53" i="1"/>
  <c r="F53" i="1"/>
  <c r="G53" i="1"/>
  <c r="H53" i="1"/>
  <c r="I53" i="1"/>
  <c r="J53" i="1"/>
  <c r="B54" i="1"/>
  <c r="C54" i="1"/>
  <c r="D54" i="1"/>
  <c r="E54" i="1"/>
  <c r="F54" i="1"/>
  <c r="G54" i="1"/>
  <c r="H54" i="1"/>
  <c r="I54" i="1"/>
  <c r="J54" i="1"/>
  <c r="B55" i="1"/>
  <c r="C55" i="1"/>
  <c r="D55" i="1"/>
  <c r="E55" i="1"/>
  <c r="F55" i="1"/>
  <c r="G55" i="1"/>
  <c r="H55" i="1"/>
  <c r="I55" i="1"/>
  <c r="J55" i="1"/>
  <c r="B56" i="1"/>
  <c r="C56" i="1"/>
  <c r="D56" i="1"/>
  <c r="E56" i="1"/>
  <c r="F56" i="1"/>
  <c r="G56" i="1"/>
  <c r="H56" i="1"/>
  <c r="I56" i="1"/>
  <c r="J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B1038" i="1"/>
  <c r="F1038" i="1"/>
  <c r="J1038" i="1"/>
  <c r="L1038" i="1"/>
  <c r="M1038" i="1"/>
  <c r="N1038" i="1"/>
  <c r="O1038" i="1"/>
  <c r="P1038" i="1"/>
  <c r="L1039" i="1"/>
  <c r="M1039" i="1"/>
  <c r="N1039" i="1"/>
  <c r="O1039" i="1"/>
  <c r="P1039" i="1"/>
  <c r="Q1039" i="1"/>
  <c r="L1040" i="1"/>
  <c r="M1040" i="1"/>
  <c r="N1040" i="1"/>
  <c r="O1040" i="1"/>
  <c r="P1040" i="1"/>
  <c r="Q1040" i="1"/>
  <c r="L1041" i="1"/>
  <c r="M1041" i="1"/>
  <c r="N1041" i="1"/>
  <c r="O1041" i="1"/>
  <c r="P1041" i="1"/>
  <c r="Q1041" i="1"/>
  <c r="L1042" i="1"/>
  <c r="M1042" i="1"/>
  <c r="N1042" i="1"/>
  <c r="O1042" i="1"/>
  <c r="P1042" i="1"/>
  <c r="Q1042" i="1"/>
  <c r="L1043" i="1"/>
  <c r="M1043" i="1"/>
  <c r="N1043" i="1"/>
  <c r="O1043" i="1"/>
  <c r="P1043" i="1"/>
  <c r="Q1043" i="1"/>
  <c r="L1044" i="1"/>
  <c r="M1044" i="1"/>
  <c r="N1044" i="1"/>
  <c r="O1044" i="1"/>
  <c r="P1044" i="1"/>
  <c r="Q1044" i="1"/>
  <c r="J1045" i="1"/>
  <c r="L1045" i="1"/>
  <c r="M1045" i="1"/>
  <c r="N1045" i="1"/>
  <c r="O1045" i="1"/>
  <c r="P1045" i="1"/>
  <c r="Q1045" i="1"/>
  <c r="C1046" i="1"/>
  <c r="E1046" i="1"/>
  <c r="L1046" i="1"/>
  <c r="M1046" i="1"/>
  <c r="N1046" i="1"/>
  <c r="O1046" i="1"/>
  <c r="P1046" i="1"/>
  <c r="Q1046" i="1"/>
  <c r="C1047" i="1"/>
  <c r="L1047" i="1"/>
  <c r="M1047" i="1"/>
  <c r="N1047" i="1"/>
  <c r="O1047" i="1"/>
  <c r="P1047" i="1"/>
  <c r="Q1047" i="1"/>
  <c r="H1048" i="1"/>
  <c r="I1048" i="1"/>
  <c r="L1048" i="1"/>
  <c r="M1048" i="1"/>
  <c r="N1048" i="1"/>
  <c r="O1048" i="1"/>
  <c r="P1048" i="1"/>
  <c r="Q1048" i="1"/>
  <c r="B1049" i="1"/>
  <c r="E1049" i="1"/>
  <c r="H1049" i="1"/>
  <c r="L1049" i="1"/>
  <c r="M1049" i="1"/>
  <c r="N1049" i="1"/>
  <c r="O1049" i="1"/>
  <c r="P1049" i="1"/>
  <c r="Q1049" i="1"/>
  <c r="F1050" i="1"/>
  <c r="L1050" i="1"/>
  <c r="M1050" i="1"/>
  <c r="N1050" i="1"/>
  <c r="O1050" i="1"/>
  <c r="P1050" i="1"/>
  <c r="Q1050" i="1"/>
  <c r="I1051" i="1"/>
  <c r="J1051" i="1"/>
  <c r="L1051" i="1"/>
  <c r="M1051" i="1"/>
  <c r="N1051" i="1"/>
  <c r="O1051" i="1"/>
  <c r="P1051" i="1"/>
  <c r="Q1051" i="1"/>
  <c r="B1052" i="1"/>
  <c r="C1052" i="1"/>
  <c r="D1052" i="1"/>
  <c r="H1052" i="1"/>
  <c r="L1052" i="1"/>
  <c r="M1052" i="1"/>
  <c r="N1052" i="1"/>
  <c r="O1052" i="1"/>
  <c r="P1052" i="1"/>
  <c r="Q1052" i="1"/>
  <c r="B1053" i="1"/>
  <c r="J1053" i="1"/>
  <c r="L1053" i="1"/>
  <c r="M1053" i="1"/>
  <c r="N1053" i="1"/>
  <c r="O1053" i="1"/>
  <c r="P1053" i="1"/>
  <c r="Q1053" i="1"/>
  <c r="D1054" i="1"/>
  <c r="E1054" i="1"/>
  <c r="F1054" i="1"/>
  <c r="L1054" i="1"/>
  <c r="M1054" i="1"/>
  <c r="N1054" i="1"/>
  <c r="O1054" i="1"/>
  <c r="P1054" i="1"/>
  <c r="Q1054" i="1"/>
  <c r="F1055" i="1"/>
  <c r="L1055" i="1"/>
  <c r="M1055" i="1"/>
  <c r="N1055" i="1"/>
  <c r="O1055" i="1"/>
  <c r="P1055" i="1"/>
  <c r="Q1055" i="1"/>
  <c r="F1056" i="1"/>
  <c r="I1056" i="1"/>
  <c r="L1056" i="1"/>
  <c r="M1056" i="1"/>
  <c r="N1056" i="1"/>
  <c r="O1056" i="1"/>
  <c r="P1056" i="1"/>
  <c r="Q1056" i="1"/>
  <c r="B1057" i="1"/>
  <c r="L1057" i="1"/>
  <c r="M1057" i="1"/>
  <c r="N1057" i="1"/>
  <c r="O1057" i="1"/>
  <c r="P1057" i="1"/>
  <c r="Q1057" i="1"/>
  <c r="L1058" i="1"/>
  <c r="M1058" i="1"/>
  <c r="N1058" i="1"/>
  <c r="O1058" i="1"/>
  <c r="P1058" i="1"/>
  <c r="Q1058" i="1"/>
  <c r="H1059" i="1"/>
  <c r="L1059" i="1"/>
  <c r="M1059" i="1"/>
  <c r="N1059" i="1"/>
  <c r="O1059" i="1"/>
  <c r="P1059" i="1"/>
  <c r="Q1059" i="1"/>
  <c r="A1060" i="1"/>
  <c r="E1060" i="1"/>
  <c r="H1060" i="1"/>
  <c r="J1060" i="1"/>
  <c r="L1060" i="1"/>
  <c r="M1060" i="1"/>
  <c r="N1060" i="1"/>
  <c r="O1060" i="1"/>
  <c r="P1060" i="1"/>
  <c r="Q1060" i="1"/>
  <c r="A1061" i="1"/>
  <c r="B1061" i="1"/>
  <c r="E1061" i="1"/>
  <c r="L1061" i="1"/>
  <c r="M1061" i="1"/>
  <c r="N1061" i="1"/>
  <c r="O1061" i="1"/>
  <c r="P1061" i="1"/>
  <c r="Q1061" i="1"/>
  <c r="A1062" i="1"/>
  <c r="A1063" i="1" s="1"/>
  <c r="C1062" i="1"/>
  <c r="G1062" i="1"/>
  <c r="L1062" i="1"/>
  <c r="M1062" i="1"/>
  <c r="N1062" i="1"/>
  <c r="O1062" i="1"/>
  <c r="P1062" i="1"/>
  <c r="Q1062" i="1"/>
  <c r="B1063" i="1"/>
  <c r="L1063" i="1"/>
  <c r="M1063" i="1"/>
  <c r="N1063" i="1"/>
  <c r="O1063" i="1"/>
  <c r="P1063" i="1"/>
  <c r="Q1063" i="1"/>
  <c r="A1064" i="1"/>
  <c r="L1064" i="1"/>
  <c r="M1064" i="1"/>
  <c r="N1064" i="1"/>
  <c r="O1064" i="1"/>
  <c r="P1064" i="1"/>
  <c r="Q1064" i="1"/>
  <c r="A1065" i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L1065" i="1"/>
  <c r="M1065" i="1"/>
  <c r="N1065" i="1"/>
  <c r="O1065" i="1"/>
  <c r="P1065" i="1"/>
  <c r="Q1065" i="1"/>
  <c r="I1066" i="1"/>
  <c r="L1066" i="1"/>
  <c r="M1066" i="1"/>
  <c r="N1066" i="1"/>
  <c r="O1066" i="1"/>
  <c r="P1066" i="1"/>
  <c r="Q1066" i="1"/>
  <c r="C1067" i="1"/>
  <c r="L1067" i="1"/>
  <c r="M1067" i="1"/>
  <c r="N1067" i="1"/>
  <c r="O1067" i="1"/>
  <c r="P1067" i="1"/>
  <c r="Q1067" i="1"/>
  <c r="E1068" i="1"/>
  <c r="H1068" i="1"/>
  <c r="L1068" i="1"/>
  <c r="M1068" i="1"/>
  <c r="N1068" i="1"/>
  <c r="O1068" i="1"/>
  <c r="P1068" i="1"/>
  <c r="Q1068" i="1"/>
  <c r="E1069" i="1"/>
  <c r="L1069" i="1"/>
  <c r="M1069" i="1"/>
  <c r="N1069" i="1"/>
  <c r="O1069" i="1"/>
  <c r="P1069" i="1"/>
  <c r="Q1069" i="1"/>
  <c r="C1070" i="1"/>
  <c r="D1070" i="1"/>
  <c r="H1070" i="1"/>
  <c r="L1070" i="1"/>
  <c r="M1070" i="1"/>
  <c r="N1070" i="1"/>
  <c r="O1070" i="1"/>
  <c r="P1070" i="1"/>
  <c r="Q1070" i="1"/>
  <c r="B1071" i="1"/>
  <c r="D1071" i="1"/>
  <c r="I1071" i="1"/>
  <c r="L1071" i="1"/>
  <c r="M1071" i="1"/>
  <c r="N1071" i="1"/>
  <c r="O1071" i="1"/>
  <c r="P1071" i="1"/>
  <c r="Q1071" i="1"/>
  <c r="C1072" i="1"/>
  <c r="G1072" i="1"/>
  <c r="H1072" i="1"/>
  <c r="L1072" i="1"/>
  <c r="M1072" i="1"/>
  <c r="N1072" i="1"/>
  <c r="O1072" i="1"/>
  <c r="P1072" i="1"/>
  <c r="Q1072" i="1"/>
  <c r="B1073" i="1"/>
  <c r="L1073" i="1"/>
  <c r="M1073" i="1"/>
  <c r="N1073" i="1"/>
  <c r="O1073" i="1"/>
  <c r="P1073" i="1"/>
  <c r="Q1073" i="1"/>
  <c r="C1074" i="1"/>
  <c r="L1074" i="1"/>
  <c r="M1074" i="1"/>
  <c r="N1074" i="1"/>
  <c r="O1074" i="1"/>
  <c r="P1074" i="1"/>
  <c r="Q1074" i="1"/>
  <c r="L1075" i="1"/>
  <c r="M1075" i="1"/>
  <c r="N1075" i="1"/>
  <c r="O1075" i="1"/>
  <c r="P1075" i="1"/>
  <c r="Q1075" i="1"/>
  <c r="E1076" i="1"/>
  <c r="I1076" i="1"/>
  <c r="L1076" i="1"/>
  <c r="M1076" i="1"/>
  <c r="N1076" i="1"/>
  <c r="O1076" i="1"/>
  <c r="P1076" i="1"/>
  <c r="Q1076" i="1"/>
  <c r="C1077" i="1"/>
  <c r="J1077" i="1"/>
  <c r="L1077" i="1"/>
  <c r="M1077" i="1"/>
  <c r="N1077" i="1"/>
  <c r="O1077" i="1"/>
  <c r="P1077" i="1"/>
  <c r="Q1077" i="1"/>
  <c r="B1078" i="1"/>
  <c r="C1078" i="1"/>
  <c r="D1078" i="1"/>
  <c r="J1078" i="1"/>
  <c r="L1078" i="1"/>
  <c r="M1078" i="1"/>
  <c r="N1078" i="1"/>
  <c r="O1078" i="1"/>
  <c r="P1078" i="1"/>
  <c r="Q1078" i="1"/>
  <c r="D1079" i="1"/>
  <c r="I1079" i="1"/>
  <c r="L1079" i="1"/>
  <c r="M1079" i="1"/>
  <c r="N1079" i="1"/>
  <c r="O1079" i="1"/>
  <c r="P1079" i="1"/>
  <c r="Q1079" i="1"/>
  <c r="C1080" i="1"/>
  <c r="D1080" i="1"/>
  <c r="H1080" i="1"/>
  <c r="L1080" i="1"/>
  <c r="M1080" i="1"/>
  <c r="N1080" i="1"/>
  <c r="O1080" i="1"/>
  <c r="P1080" i="1"/>
  <c r="Q1080" i="1"/>
  <c r="B1081" i="1"/>
  <c r="L1081" i="1"/>
  <c r="M1081" i="1"/>
  <c r="N1081" i="1"/>
  <c r="O1081" i="1"/>
  <c r="P1081" i="1"/>
  <c r="Q1081" i="1"/>
  <c r="C1082" i="1"/>
  <c r="L1082" i="1"/>
  <c r="M1082" i="1"/>
  <c r="N1082" i="1"/>
  <c r="O1082" i="1"/>
  <c r="P1082" i="1"/>
  <c r="Q1082" i="1"/>
  <c r="L1083" i="1"/>
  <c r="M1083" i="1"/>
  <c r="N1083" i="1"/>
  <c r="O1083" i="1"/>
  <c r="P1083" i="1"/>
  <c r="Q1083" i="1"/>
  <c r="A1085" i="1"/>
  <c r="B1085" i="1"/>
  <c r="C1085" i="1"/>
  <c r="I1083" i="1" l="1"/>
  <c r="J1083" i="1"/>
  <c r="C1083" i="1"/>
  <c r="E1082" i="1"/>
  <c r="G1082" i="1"/>
  <c r="I1082" i="1"/>
  <c r="G1081" i="1"/>
  <c r="I1081" i="1"/>
  <c r="J1080" i="1"/>
  <c r="H1079" i="1"/>
  <c r="I1077" i="1"/>
  <c r="B1076" i="1"/>
  <c r="D1076" i="1"/>
  <c r="I1075" i="1"/>
  <c r="J1075" i="1"/>
  <c r="C1075" i="1"/>
  <c r="J1074" i="1"/>
  <c r="B1074" i="1"/>
  <c r="E1074" i="1"/>
  <c r="G1074" i="1"/>
  <c r="H1073" i="1"/>
  <c r="J1073" i="1"/>
  <c r="J1072" i="1"/>
  <c r="H1071" i="1"/>
  <c r="B1070" i="1"/>
  <c r="G1069" i="1"/>
  <c r="C1068" i="1"/>
  <c r="D1068" i="1"/>
  <c r="G1067" i="1"/>
  <c r="I1067" i="1"/>
  <c r="B1066" i="1"/>
  <c r="C1066" i="1"/>
  <c r="E1066" i="1"/>
  <c r="G1066" i="1"/>
  <c r="G1065" i="1"/>
  <c r="H1065" i="1"/>
  <c r="D1065" i="1"/>
  <c r="D1064" i="1"/>
  <c r="G1064" i="1"/>
  <c r="H1064" i="1"/>
  <c r="I1064" i="1"/>
  <c r="G1063" i="1"/>
  <c r="H1063" i="1"/>
  <c r="D1063" i="1"/>
  <c r="J1062" i="1"/>
  <c r="B1062" i="1"/>
  <c r="D1062" i="1"/>
  <c r="H1062" i="1"/>
  <c r="G1061" i="1"/>
  <c r="I1061" i="1"/>
  <c r="B1060" i="1"/>
  <c r="C1060" i="1"/>
  <c r="D1060" i="1"/>
  <c r="G1059" i="1"/>
  <c r="B1059" i="1"/>
  <c r="C1059" i="1"/>
  <c r="J1058" i="1"/>
  <c r="B1058" i="1"/>
  <c r="D1058" i="1"/>
  <c r="H1058" i="1"/>
  <c r="I1058" i="1"/>
  <c r="F1057" i="1"/>
  <c r="G1057" i="1"/>
  <c r="H1057" i="1"/>
  <c r="I1057" i="1"/>
  <c r="C1057" i="1"/>
  <c r="J1056" i="1"/>
  <c r="B1056" i="1"/>
  <c r="D1056" i="1"/>
  <c r="E1056" i="1"/>
  <c r="G1055" i="1"/>
  <c r="H1055" i="1"/>
  <c r="I1055" i="1"/>
  <c r="J1054" i="1"/>
  <c r="C1054" i="1"/>
  <c r="F1053" i="1"/>
  <c r="G1053" i="1"/>
  <c r="J1052" i="1"/>
  <c r="E1052" i="1"/>
  <c r="G1051" i="1"/>
  <c r="J1050" i="1"/>
  <c r="C1050" i="1"/>
  <c r="F1049" i="1"/>
  <c r="G1049" i="1"/>
  <c r="J1048" i="1"/>
  <c r="B1048" i="1"/>
  <c r="D1048" i="1"/>
  <c r="E1048" i="1"/>
  <c r="F1047" i="1"/>
  <c r="G1047" i="1"/>
  <c r="H1047" i="1"/>
  <c r="I1047" i="1"/>
  <c r="B1046" i="1"/>
  <c r="D1046" i="1"/>
  <c r="F1045" i="1"/>
  <c r="I1045" i="1"/>
  <c r="E1045" i="1"/>
  <c r="B1044" i="1"/>
  <c r="C1044" i="1"/>
  <c r="D1044" i="1"/>
  <c r="H1044" i="1"/>
  <c r="H1043" i="1"/>
  <c r="I1043" i="1"/>
  <c r="B1043" i="1"/>
  <c r="C1042" i="1"/>
  <c r="D1042" i="1"/>
  <c r="F1042" i="1"/>
  <c r="G1042" i="1"/>
  <c r="F1041" i="1"/>
  <c r="G1041" i="1"/>
  <c r="J1041" i="1"/>
  <c r="J1040" i="1"/>
  <c r="B1040" i="1"/>
  <c r="D1040" i="1"/>
  <c r="G1040" i="1"/>
  <c r="D1039" i="1"/>
  <c r="F1039" i="1"/>
  <c r="H1039" i="1"/>
  <c r="D1066" i="3"/>
  <c r="C1095" i="4"/>
  <c r="I1083" i="4"/>
  <c r="D1038" i="1"/>
  <c r="B1083" i="3"/>
  <c r="B1066" i="3"/>
  <c r="B1047" i="3"/>
  <c r="I1117" i="4"/>
  <c r="G1098" i="4"/>
  <c r="E1096" i="4"/>
  <c r="K1076" i="4"/>
  <c r="E1046" i="4"/>
  <c r="E1043" i="4"/>
  <c r="K1038" i="4"/>
  <c r="H1122" i="4"/>
  <c r="D1104" i="4"/>
  <c r="D1084" i="3"/>
  <c r="B1084" i="3"/>
  <c r="C1084" i="3"/>
  <c r="E1084" i="3"/>
  <c r="E1119" i="4"/>
  <c r="E1118" i="4"/>
  <c r="E1117" i="4"/>
  <c r="E1113" i="4"/>
  <c r="G1122" i="4"/>
  <c r="G1121" i="4"/>
  <c r="G1120" i="4"/>
  <c r="G1119" i="4"/>
  <c r="G1118" i="4"/>
  <c r="G1117" i="4"/>
  <c r="G1116" i="4"/>
  <c r="G1115" i="4"/>
  <c r="G1114" i="4"/>
  <c r="G1113" i="4"/>
  <c r="G1112" i="4"/>
  <c r="G1111" i="4"/>
  <c r="G1110" i="4"/>
  <c r="G1109" i="4"/>
  <c r="F1084" i="1"/>
  <c r="O1084" i="1"/>
  <c r="G1084" i="1"/>
  <c r="Q1084" i="1"/>
  <c r="D1084" i="1"/>
  <c r="P1084" i="1"/>
  <c r="L1084" i="1"/>
  <c r="J1084" i="1"/>
  <c r="M1084" i="1"/>
  <c r="N1084" i="1"/>
  <c r="H1084" i="1"/>
  <c r="B1084" i="1"/>
  <c r="I1084" i="1"/>
  <c r="C1084" i="1"/>
  <c r="E1084" i="1"/>
  <c r="E1122" i="4"/>
  <c r="E1121" i="4"/>
  <c r="E1116" i="4"/>
  <c r="E1120" i="4"/>
  <c r="E1115" i="4"/>
  <c r="E1114" i="4"/>
  <c r="E1112" i="4"/>
  <c r="I1118" i="4"/>
  <c r="A1085" i="3"/>
  <c r="F1085" i="1"/>
  <c r="O1085" i="1"/>
  <c r="I1085" i="1"/>
  <c r="J1085" i="1"/>
  <c r="G1085" i="1"/>
  <c r="H1085" i="1"/>
  <c r="L1085" i="1"/>
  <c r="M1085" i="1"/>
  <c r="D1085" i="1"/>
  <c r="A1086" i="1"/>
  <c r="E1085" i="1"/>
  <c r="N1085" i="1"/>
  <c r="Q1085" i="1"/>
  <c r="P1085" i="1"/>
  <c r="E1111" i="4"/>
  <c r="E1110" i="4"/>
  <c r="E1106" i="4"/>
  <c r="E1102" i="4"/>
  <c r="E1099" i="4"/>
  <c r="E1097" i="4"/>
  <c r="E1094" i="4"/>
  <c r="E1093" i="4"/>
  <c r="E1085" i="4"/>
  <c r="E1079" i="4"/>
  <c r="E1078" i="4"/>
  <c r="E1075" i="4"/>
  <c r="E1074" i="4"/>
  <c r="E1072" i="4"/>
  <c r="E1069" i="4"/>
  <c r="E1067" i="4"/>
  <c r="E1064" i="4"/>
  <c r="E1063" i="4"/>
  <c r="E1062" i="4"/>
  <c r="E1060" i="4"/>
  <c r="E1059" i="4"/>
  <c r="E1056" i="4"/>
  <c r="E1055" i="4"/>
  <c r="E1054" i="4"/>
  <c r="K1051" i="4"/>
  <c r="E1044" i="4"/>
  <c r="E1040" i="4"/>
  <c r="F1122" i="4"/>
  <c r="J1122" i="4"/>
  <c r="H1121" i="4"/>
  <c r="D1121" i="4"/>
  <c r="J1120" i="4"/>
  <c r="H1119" i="4"/>
  <c r="D1119" i="4"/>
  <c r="H1118" i="4"/>
  <c r="F1117" i="4"/>
  <c r="B1103" i="4"/>
  <c r="J1102" i="4"/>
  <c r="F1101" i="4"/>
  <c r="B1101" i="4"/>
  <c r="F1100" i="4"/>
  <c r="B1100" i="4"/>
  <c r="H1099" i="4"/>
  <c r="D1099" i="4"/>
  <c r="J1098" i="4"/>
  <c r="J1097" i="4"/>
  <c r="F1096" i="4"/>
  <c r="B1096" i="4"/>
  <c r="F1095" i="4"/>
  <c r="B1095" i="4"/>
  <c r="F1094" i="4"/>
  <c r="D1094" i="4"/>
  <c r="B1093" i="4"/>
  <c r="J1092" i="4"/>
  <c r="H1091" i="4"/>
  <c r="D1091" i="4"/>
  <c r="H1090" i="4"/>
  <c r="D1090" i="4"/>
  <c r="F1089" i="4"/>
  <c r="B1089" i="4"/>
  <c r="J1088" i="4"/>
  <c r="F1087" i="4"/>
  <c r="B1087" i="4"/>
  <c r="J1086" i="4"/>
  <c r="J1085" i="4"/>
  <c r="H1084" i="4"/>
  <c r="D1084" i="4"/>
  <c r="J1083" i="4"/>
  <c r="J1082" i="4"/>
  <c r="H1081" i="4"/>
  <c r="D1081" i="4"/>
  <c r="F1080" i="4"/>
  <c r="B1080" i="4"/>
  <c r="H1079" i="4"/>
  <c r="D1079" i="4"/>
  <c r="F1078" i="4"/>
  <c r="B1078" i="4"/>
  <c r="F1076" i="4"/>
  <c r="B1076" i="4"/>
  <c r="J1075" i="4"/>
  <c r="H1074" i="4"/>
  <c r="D1074" i="4"/>
  <c r="H1073" i="4"/>
  <c r="D1073" i="4"/>
  <c r="J1072" i="4"/>
  <c r="F1071" i="4"/>
  <c r="B1071" i="4"/>
  <c r="H1070" i="4"/>
  <c r="D1070" i="4"/>
  <c r="H1069" i="4"/>
  <c r="D1069" i="4"/>
  <c r="F1068" i="4"/>
  <c r="B1068" i="4"/>
  <c r="J1067" i="4"/>
  <c r="H1066" i="4"/>
  <c r="D1066" i="4"/>
  <c r="F1065" i="4"/>
  <c r="B1065" i="4"/>
  <c r="J1064" i="4"/>
  <c r="F1063" i="4"/>
  <c r="B1063" i="4"/>
  <c r="F1062" i="4"/>
  <c r="B1062" i="4"/>
  <c r="H1061" i="4"/>
  <c r="D1061" i="4"/>
  <c r="J1060" i="4"/>
  <c r="B1059" i="4"/>
  <c r="H1058" i="4"/>
  <c r="D1058" i="4"/>
  <c r="F1057" i="4"/>
  <c r="B1057" i="4"/>
  <c r="F1056" i="4"/>
  <c r="B1056" i="4"/>
  <c r="H1055" i="4"/>
  <c r="D1055" i="4"/>
  <c r="H1054" i="4"/>
  <c r="D1054" i="4"/>
  <c r="H1053" i="4"/>
  <c r="D1053" i="4"/>
  <c r="F1052" i="4"/>
  <c r="B1052" i="4"/>
  <c r="B1051" i="4"/>
  <c r="J1050" i="4"/>
  <c r="J1049" i="4"/>
  <c r="H1048" i="4"/>
  <c r="D1048" i="4"/>
  <c r="J1047" i="4"/>
  <c r="H1046" i="4"/>
  <c r="D1046" i="4"/>
  <c r="F1045" i="4"/>
  <c r="B1045" i="4"/>
  <c r="J1044" i="4"/>
  <c r="F1043" i="4"/>
  <c r="B1043" i="4"/>
  <c r="H1042" i="4"/>
  <c r="D1042" i="4"/>
  <c r="H1041" i="4"/>
  <c r="D1041" i="4"/>
  <c r="B1040" i="4"/>
  <c r="H1039" i="4"/>
  <c r="D1039" i="4"/>
  <c r="H1038" i="4"/>
  <c r="H1077" i="4"/>
  <c r="J1038" i="4"/>
  <c r="J1077" i="4"/>
  <c r="E1083" i="1"/>
  <c r="H1082" i="1"/>
  <c r="E1081" i="1"/>
  <c r="C1079" i="1"/>
  <c r="I1078" i="1"/>
  <c r="H1076" i="1"/>
  <c r="E1071" i="1"/>
  <c r="C1069" i="1"/>
  <c r="H1066" i="1"/>
  <c r="C1063" i="1"/>
  <c r="D1061" i="1"/>
  <c r="D1059" i="1"/>
  <c r="G1058" i="1"/>
  <c r="D1055" i="1"/>
  <c r="I1054" i="1"/>
  <c r="E1053" i="1"/>
  <c r="B1051" i="1"/>
  <c r="E1051" i="1"/>
  <c r="I1050" i="1"/>
  <c r="I1046" i="1"/>
  <c r="D1045" i="1"/>
  <c r="I1044" i="1"/>
  <c r="D1043" i="1"/>
  <c r="H1042" i="1"/>
  <c r="E1041" i="1"/>
  <c r="I1040" i="1"/>
  <c r="G1039" i="1"/>
  <c r="K1122" i="4"/>
  <c r="K1121" i="4"/>
  <c r="K1120" i="4"/>
  <c r="K1119" i="4"/>
  <c r="K1118" i="4"/>
  <c r="K1116" i="4"/>
  <c r="C1115" i="4"/>
  <c r="C1114" i="4"/>
  <c r="K1113" i="4"/>
  <c r="K1112" i="4"/>
  <c r="I1111" i="4"/>
  <c r="I1110" i="4"/>
  <c r="I1109" i="4"/>
  <c r="K1108" i="4"/>
  <c r="C1107" i="4"/>
  <c r="K1106" i="4"/>
  <c r="K1105" i="4"/>
  <c r="I1104" i="4"/>
  <c r="K1104" i="4"/>
  <c r="C1104" i="4"/>
  <c r="I1103" i="4"/>
  <c r="K1103" i="4"/>
  <c r="C1103" i="4"/>
  <c r="I1102" i="4"/>
  <c r="K1102" i="4"/>
  <c r="C1102" i="4"/>
  <c r="I1101" i="4"/>
  <c r="K1101" i="4"/>
  <c r="C1101" i="4"/>
  <c r="I1100" i="4"/>
  <c r="K1100" i="4"/>
  <c r="C1100" i="4"/>
  <c r="I1099" i="4"/>
  <c r="K1099" i="4"/>
  <c r="C1099" i="4"/>
  <c r="I1098" i="4"/>
  <c r="K1098" i="4"/>
  <c r="C1098" i="4"/>
  <c r="I1097" i="4"/>
  <c r="K1097" i="4"/>
  <c r="C1097" i="4"/>
  <c r="I1096" i="4"/>
  <c r="K1096" i="4"/>
  <c r="C1096" i="4"/>
  <c r="I1095" i="4"/>
  <c r="K1095" i="4"/>
  <c r="I1094" i="4"/>
  <c r="K1094" i="4"/>
  <c r="C1094" i="4"/>
  <c r="I1093" i="4"/>
  <c r="K1093" i="4"/>
  <c r="C1093" i="4"/>
  <c r="I1092" i="4"/>
  <c r="K1092" i="4"/>
  <c r="C1092" i="4"/>
  <c r="I1091" i="4"/>
  <c r="K1091" i="4"/>
  <c r="C1091" i="4"/>
  <c r="I1090" i="4"/>
  <c r="K1090" i="4"/>
  <c r="C1090" i="4"/>
  <c r="I1089" i="4"/>
  <c r="K1089" i="4"/>
  <c r="C1089" i="4"/>
  <c r="C1088" i="4"/>
  <c r="I1087" i="4"/>
  <c r="K1087" i="4"/>
  <c r="C1087" i="4"/>
  <c r="I1086" i="4"/>
  <c r="K1086" i="4"/>
  <c r="C1086" i="4"/>
  <c r="I1085" i="4"/>
  <c r="K1085" i="4"/>
  <c r="C1085" i="4"/>
  <c r="I1084" i="4"/>
  <c r="K1084" i="4"/>
  <c r="C1084" i="4"/>
  <c r="K1083" i="4"/>
  <c r="C1083" i="4"/>
  <c r="I1082" i="4"/>
  <c r="K1082" i="4"/>
  <c r="C1082" i="4"/>
  <c r="I1081" i="4"/>
  <c r="K1081" i="4"/>
  <c r="C1081" i="4"/>
  <c r="I1080" i="4"/>
  <c r="K1080" i="4"/>
  <c r="C1080" i="4"/>
  <c r="I1079" i="4"/>
  <c r="K1079" i="4"/>
  <c r="C1079" i="4"/>
  <c r="I1069" i="4"/>
  <c r="C1057" i="4"/>
  <c r="E1109" i="4"/>
  <c r="E1108" i="4"/>
  <c r="E1107" i="4"/>
  <c r="E1105" i="4"/>
  <c r="E1104" i="4"/>
  <c r="E1103" i="4"/>
  <c r="E1100" i="4"/>
  <c r="E1091" i="4"/>
  <c r="E1090" i="4"/>
  <c r="E1084" i="4"/>
  <c r="E1083" i="4"/>
  <c r="E1080" i="4"/>
  <c r="E1073" i="4"/>
  <c r="E1071" i="4"/>
  <c r="E1068" i="4"/>
  <c r="E1058" i="4"/>
  <c r="E1053" i="4"/>
  <c r="E1052" i="4"/>
  <c r="E1050" i="4"/>
  <c r="E1045" i="4"/>
  <c r="E1042" i="4"/>
  <c r="E1041" i="4"/>
  <c r="G1038" i="4"/>
  <c r="E1077" i="4"/>
  <c r="E1038" i="4"/>
  <c r="B1122" i="4"/>
  <c r="B1121" i="4"/>
  <c r="F1120" i="4"/>
  <c r="B1120" i="4"/>
  <c r="J1119" i="4"/>
  <c r="F1118" i="4"/>
  <c r="D1118" i="4"/>
  <c r="H1117" i="4"/>
  <c r="B1117" i="4"/>
  <c r="H1116" i="4"/>
  <c r="B1116" i="4"/>
  <c r="F1115" i="4"/>
  <c r="J1115" i="4"/>
  <c r="D1115" i="4"/>
  <c r="H1114" i="4"/>
  <c r="B1114" i="4"/>
  <c r="F1113" i="4"/>
  <c r="J1113" i="4"/>
  <c r="D1113" i="4"/>
  <c r="F1112" i="4"/>
  <c r="J1112" i="4"/>
  <c r="D1112" i="4"/>
  <c r="H1111" i="4"/>
  <c r="B1111" i="4"/>
  <c r="F1110" i="4"/>
  <c r="J1110" i="4"/>
  <c r="D1110" i="4"/>
  <c r="H1109" i="4"/>
  <c r="B1109" i="4"/>
  <c r="H1108" i="4"/>
  <c r="B1108" i="4"/>
  <c r="H1107" i="4"/>
  <c r="D1107" i="4"/>
  <c r="H1106" i="4"/>
  <c r="B1106" i="4"/>
  <c r="H1105" i="4"/>
  <c r="B1105" i="4"/>
  <c r="H1104" i="4"/>
  <c r="B1104" i="4"/>
  <c r="H1103" i="4"/>
  <c r="D1103" i="4"/>
  <c r="H1102" i="4"/>
  <c r="D1102" i="4"/>
  <c r="H1101" i="4"/>
  <c r="D1101" i="4"/>
  <c r="H1100" i="4"/>
  <c r="D1100" i="4"/>
  <c r="J1099" i="4"/>
  <c r="F1098" i="4"/>
  <c r="B1098" i="4"/>
  <c r="F1097" i="4"/>
  <c r="B1097" i="4"/>
  <c r="J1096" i="4"/>
  <c r="J1095" i="4"/>
  <c r="J1094" i="4"/>
  <c r="H1093" i="4"/>
  <c r="D1093" i="4"/>
  <c r="F1092" i="4"/>
  <c r="B1092" i="4"/>
  <c r="F1091" i="4"/>
  <c r="J1091" i="4"/>
  <c r="J1090" i="4"/>
  <c r="J1089" i="4"/>
  <c r="F1088" i="4"/>
  <c r="B1088" i="4"/>
  <c r="H1087" i="4"/>
  <c r="D1087" i="4"/>
  <c r="H1086" i="4"/>
  <c r="D1086" i="4"/>
  <c r="F1085" i="4"/>
  <c r="B1085" i="4"/>
  <c r="F1084" i="4"/>
  <c r="B1084" i="4"/>
  <c r="H1083" i="4"/>
  <c r="D1083" i="4"/>
  <c r="F1082" i="4"/>
  <c r="B1082" i="4"/>
  <c r="J1081" i="4"/>
  <c r="H1080" i="4"/>
  <c r="D1080" i="4"/>
  <c r="F1079" i="4"/>
  <c r="B1079" i="4"/>
  <c r="J1078" i="4"/>
  <c r="H1076" i="4"/>
  <c r="D1076" i="4"/>
  <c r="F1075" i="4"/>
  <c r="B1075" i="4"/>
  <c r="B1074" i="4"/>
  <c r="F1073" i="4"/>
  <c r="B1073" i="4"/>
  <c r="H1072" i="4"/>
  <c r="D1072" i="4"/>
  <c r="J1071" i="4"/>
  <c r="B1070" i="4"/>
  <c r="B1069" i="4"/>
  <c r="H1068" i="4"/>
  <c r="D1068" i="4"/>
  <c r="H1067" i="4"/>
  <c r="D1067" i="4"/>
  <c r="F1066" i="4"/>
  <c r="B1066" i="4"/>
  <c r="J1065" i="4"/>
  <c r="H1064" i="4"/>
  <c r="D1064" i="4"/>
  <c r="J1063" i="4"/>
  <c r="J1062" i="4"/>
  <c r="F1061" i="4"/>
  <c r="B1061" i="4"/>
  <c r="F1060" i="4"/>
  <c r="B1060" i="4"/>
  <c r="H1059" i="4"/>
  <c r="D1059" i="4"/>
  <c r="J1058" i="4"/>
  <c r="H1057" i="4"/>
  <c r="D1057" i="4"/>
  <c r="J1056" i="4"/>
  <c r="B1055" i="4"/>
  <c r="B1054" i="4"/>
  <c r="J1053" i="4"/>
  <c r="J1052" i="4"/>
  <c r="F1051" i="4"/>
  <c r="J1051" i="4"/>
  <c r="H1050" i="4"/>
  <c r="D1050" i="4"/>
  <c r="F1049" i="4"/>
  <c r="B1049" i="4"/>
  <c r="B1048" i="4"/>
  <c r="H1047" i="4"/>
  <c r="D1047" i="4"/>
  <c r="F1046" i="4"/>
  <c r="B1046" i="4"/>
  <c r="J1045" i="4"/>
  <c r="F1044" i="4"/>
  <c r="D1044" i="4"/>
  <c r="H1043" i="4"/>
  <c r="D1043" i="4"/>
  <c r="F1042" i="4"/>
  <c r="B1042" i="4"/>
  <c r="J1041" i="4"/>
  <c r="H1040" i="4"/>
  <c r="D1040" i="4"/>
  <c r="F1039" i="4"/>
  <c r="B1039" i="4"/>
  <c r="F1038" i="4"/>
  <c r="F1077" i="4"/>
  <c r="B1038" i="4"/>
  <c r="B1077" i="4"/>
  <c r="D1083" i="1"/>
  <c r="I1080" i="1"/>
  <c r="E1079" i="1"/>
  <c r="H1078" i="1"/>
  <c r="D1077" i="1"/>
  <c r="E1075" i="1"/>
  <c r="I1074" i="1"/>
  <c r="D1073" i="1"/>
  <c r="I1070" i="1"/>
  <c r="J1069" i="1"/>
  <c r="I1068" i="1"/>
  <c r="D1067" i="1"/>
  <c r="E1065" i="1"/>
  <c r="J1061" i="1"/>
  <c r="I1060" i="1"/>
  <c r="J1059" i="1"/>
  <c r="E1057" i="1"/>
  <c r="E1055" i="1"/>
  <c r="G1054" i="1"/>
  <c r="D1053" i="1"/>
  <c r="C1051" i="1"/>
  <c r="G1050" i="1"/>
  <c r="E1047" i="1"/>
  <c r="G1046" i="1"/>
  <c r="B1045" i="1"/>
  <c r="E1043" i="1"/>
  <c r="C1041" i="1"/>
  <c r="I1039" i="1"/>
  <c r="C1038" i="1"/>
  <c r="C1122" i="4"/>
  <c r="C1121" i="4"/>
  <c r="I1120" i="4"/>
  <c r="C1119" i="4"/>
  <c r="C1118" i="4"/>
  <c r="K1117" i="4"/>
  <c r="C1116" i="4"/>
  <c r="K1115" i="4"/>
  <c r="K1114" i="4"/>
  <c r="C1113" i="4"/>
  <c r="I1112" i="4"/>
  <c r="C1111" i="4"/>
  <c r="C1110" i="4"/>
  <c r="K1109" i="4"/>
  <c r="C1108" i="4"/>
  <c r="K1107" i="4"/>
  <c r="C1106" i="4"/>
  <c r="K1088" i="4"/>
  <c r="E1101" i="4"/>
  <c r="E1098" i="4"/>
  <c r="E1095" i="4"/>
  <c r="E1092" i="4"/>
  <c r="E1089" i="4"/>
  <c r="E1088" i="4"/>
  <c r="E1087" i="4"/>
  <c r="E1086" i="4"/>
  <c r="E1082" i="4"/>
  <c r="E1081" i="4"/>
  <c r="E1076" i="4"/>
  <c r="E1070" i="4"/>
  <c r="E1066" i="4"/>
  <c r="E1065" i="4"/>
  <c r="E1061" i="4"/>
  <c r="E1057" i="4"/>
  <c r="E1051" i="4"/>
  <c r="E1049" i="4"/>
  <c r="E1048" i="4"/>
  <c r="E1047" i="4"/>
  <c r="E1039" i="4"/>
  <c r="D1122" i="4"/>
  <c r="F1121" i="4"/>
  <c r="J1121" i="4"/>
  <c r="H1120" i="4"/>
  <c r="D1120" i="4"/>
  <c r="F1119" i="4"/>
  <c r="B1119" i="4"/>
  <c r="J1118" i="4"/>
  <c r="J1117" i="4"/>
  <c r="D1117" i="4"/>
  <c r="F1116" i="4"/>
  <c r="J1116" i="4"/>
  <c r="D1116" i="4"/>
  <c r="H1115" i="4"/>
  <c r="B1115" i="4"/>
  <c r="F1114" i="4"/>
  <c r="J1114" i="4"/>
  <c r="D1114" i="4"/>
  <c r="H1113" i="4"/>
  <c r="B1113" i="4"/>
  <c r="H1112" i="4"/>
  <c r="B1112" i="4"/>
  <c r="F1111" i="4"/>
  <c r="J1111" i="4"/>
  <c r="D1111" i="4"/>
  <c r="H1110" i="4"/>
  <c r="B1110" i="4"/>
  <c r="F1109" i="4"/>
  <c r="J1109" i="4"/>
  <c r="D1109" i="4"/>
  <c r="F1108" i="4"/>
  <c r="J1108" i="4"/>
  <c r="D1108" i="4"/>
  <c r="F1107" i="4"/>
  <c r="J1107" i="4"/>
  <c r="B1107" i="4"/>
  <c r="F1106" i="4"/>
  <c r="J1106" i="4"/>
  <c r="D1106" i="4"/>
  <c r="F1105" i="4"/>
  <c r="J1105" i="4"/>
  <c r="D1105" i="4"/>
  <c r="F1104" i="4"/>
  <c r="J1104" i="4"/>
  <c r="F1103" i="4"/>
  <c r="J1103" i="4"/>
  <c r="F1102" i="4"/>
  <c r="B1102" i="4"/>
  <c r="J1101" i="4"/>
  <c r="J1100" i="4"/>
  <c r="F1099" i="4"/>
  <c r="B1099" i="4"/>
  <c r="H1098" i="4"/>
  <c r="D1098" i="4"/>
  <c r="H1097" i="4"/>
  <c r="D1097" i="4"/>
  <c r="H1096" i="4"/>
  <c r="D1096" i="4"/>
  <c r="H1095" i="4"/>
  <c r="D1095" i="4"/>
  <c r="H1094" i="4"/>
  <c r="B1094" i="4"/>
  <c r="F1093" i="4"/>
  <c r="J1093" i="4"/>
  <c r="H1092" i="4"/>
  <c r="D1092" i="4"/>
  <c r="B1091" i="4"/>
  <c r="F1090" i="4"/>
  <c r="B1090" i="4"/>
  <c r="H1089" i="4"/>
  <c r="D1089" i="4"/>
  <c r="H1088" i="4"/>
  <c r="D1088" i="4"/>
  <c r="J1087" i="4"/>
  <c r="F1086" i="4"/>
  <c r="B1086" i="4"/>
  <c r="H1085" i="4"/>
  <c r="D1085" i="4"/>
  <c r="J1084" i="4"/>
  <c r="F1083" i="4"/>
  <c r="B1083" i="4"/>
  <c r="H1082" i="4"/>
  <c r="D1082" i="4"/>
  <c r="F1081" i="4"/>
  <c r="B1081" i="4"/>
  <c r="J1080" i="4"/>
  <c r="J1079" i="4"/>
  <c r="H1078" i="4"/>
  <c r="D1078" i="4"/>
  <c r="J1076" i="4"/>
  <c r="H1075" i="4"/>
  <c r="D1075" i="4"/>
  <c r="F1074" i="4"/>
  <c r="J1074" i="4"/>
  <c r="J1073" i="4"/>
  <c r="F1072" i="4"/>
  <c r="B1072" i="4"/>
  <c r="H1071" i="4"/>
  <c r="D1071" i="4"/>
  <c r="F1070" i="4"/>
  <c r="J1070" i="4"/>
  <c r="J1069" i="4"/>
  <c r="J1068" i="4"/>
  <c r="F1067" i="4"/>
  <c r="B1067" i="4"/>
  <c r="J1066" i="4"/>
  <c r="H1065" i="4"/>
  <c r="D1065" i="4"/>
  <c r="F1064" i="4"/>
  <c r="B1064" i="4"/>
  <c r="H1063" i="4"/>
  <c r="D1063" i="4"/>
  <c r="H1062" i="4"/>
  <c r="D1062" i="4"/>
  <c r="J1061" i="4"/>
  <c r="H1060" i="4"/>
  <c r="D1060" i="4"/>
  <c r="F1059" i="4"/>
  <c r="J1059" i="4"/>
  <c r="F1058" i="4"/>
  <c r="B1058" i="4"/>
  <c r="J1057" i="4"/>
  <c r="H1056" i="4"/>
  <c r="D1056" i="4"/>
  <c r="F1055" i="4"/>
  <c r="J1055" i="4"/>
  <c r="F1054" i="4"/>
  <c r="J1054" i="4"/>
  <c r="F1053" i="4"/>
  <c r="B1053" i="4"/>
  <c r="H1052" i="4"/>
  <c r="D1052" i="4"/>
  <c r="H1051" i="4"/>
  <c r="D1051" i="4"/>
  <c r="F1050" i="4"/>
  <c r="B1050" i="4"/>
  <c r="H1049" i="4"/>
  <c r="D1049" i="4"/>
  <c r="F1048" i="4"/>
  <c r="J1048" i="4"/>
  <c r="F1047" i="4"/>
  <c r="B1047" i="4"/>
  <c r="J1046" i="4"/>
  <c r="H1045" i="4"/>
  <c r="D1045" i="4"/>
  <c r="H1044" i="4"/>
  <c r="B1044" i="4"/>
  <c r="J1043" i="4"/>
  <c r="J1042" i="4"/>
  <c r="F1041" i="4"/>
  <c r="B1041" i="4"/>
  <c r="F1040" i="4"/>
  <c r="J1040" i="4"/>
  <c r="J1039" i="4"/>
  <c r="D1077" i="4"/>
  <c r="D1038" i="4"/>
  <c r="D1081" i="1"/>
  <c r="G1080" i="1"/>
  <c r="G1078" i="1"/>
  <c r="E1077" i="1"/>
  <c r="D1075" i="1"/>
  <c r="H1074" i="1"/>
  <c r="E1073" i="1"/>
  <c r="I1072" i="1"/>
  <c r="C1071" i="1"/>
  <c r="D1069" i="1"/>
  <c r="E1067" i="1"/>
  <c r="J1065" i="1"/>
  <c r="E1063" i="1"/>
  <c r="I1062" i="1"/>
  <c r="E1059" i="1"/>
  <c r="H1056" i="1"/>
  <c r="C1055" i="1"/>
  <c r="H1054" i="1"/>
  <c r="C1053" i="1"/>
  <c r="I1052" i="1"/>
  <c r="D1051" i="1"/>
  <c r="H1050" i="1"/>
  <c r="C1049" i="1"/>
  <c r="D1047" i="1"/>
  <c r="H1046" i="1"/>
  <c r="C1045" i="1"/>
  <c r="F1044" i="1"/>
  <c r="J1043" i="1"/>
  <c r="I1042" i="1"/>
  <c r="B1041" i="1"/>
  <c r="H1040" i="1"/>
  <c r="E1039" i="1"/>
  <c r="E1038" i="1"/>
  <c r="I1122" i="4"/>
  <c r="I1121" i="4"/>
  <c r="C1120" i="4"/>
  <c r="I1119" i="4"/>
  <c r="C1117" i="4"/>
  <c r="I1116" i="4"/>
  <c r="I1115" i="4"/>
  <c r="I1114" i="4"/>
  <c r="I1113" i="4"/>
  <c r="C1112" i="4"/>
  <c r="K1111" i="4"/>
  <c r="K1110" i="4"/>
  <c r="C1109" i="4"/>
  <c r="I1108" i="4"/>
  <c r="I1107" i="4"/>
  <c r="I1106" i="4"/>
  <c r="I1105" i="4"/>
  <c r="I1088" i="4"/>
  <c r="A1061" i="2"/>
  <c r="B1060" i="2"/>
  <c r="G1083" i="1"/>
  <c r="G1079" i="1"/>
  <c r="G1077" i="1"/>
  <c r="H1075" i="1"/>
  <c r="B1075" i="1"/>
  <c r="G1071" i="1"/>
  <c r="J1070" i="1"/>
  <c r="I1069" i="1"/>
  <c r="H1067" i="1"/>
  <c r="B1067" i="1"/>
  <c r="J1066" i="1"/>
  <c r="B1065" i="1"/>
  <c r="J1064" i="1"/>
  <c r="G1108" i="4"/>
  <c r="G1107" i="4"/>
  <c r="G1106" i="4"/>
  <c r="G1105" i="4"/>
  <c r="G1104" i="4"/>
  <c r="G1103" i="4"/>
  <c r="G1102" i="4"/>
  <c r="G1101" i="4"/>
  <c r="G1100" i="4"/>
  <c r="G1099" i="4"/>
  <c r="G1097" i="4"/>
  <c r="G1096" i="4"/>
  <c r="G1095" i="4"/>
  <c r="G1094" i="4"/>
  <c r="G1093" i="4"/>
  <c r="G1092" i="4"/>
  <c r="G1091" i="4"/>
  <c r="G1090" i="4"/>
  <c r="G1089" i="4"/>
  <c r="G1088" i="4"/>
  <c r="G1087" i="4"/>
  <c r="G1086" i="4"/>
  <c r="G1085" i="4"/>
  <c r="G1084" i="4"/>
  <c r="G1083" i="4"/>
  <c r="G1082" i="4"/>
  <c r="G1081" i="4"/>
  <c r="G1080" i="4"/>
  <c r="G1079" i="4"/>
  <c r="G1078" i="4"/>
  <c r="G1076" i="4"/>
  <c r="G1075" i="4"/>
  <c r="G1074" i="4"/>
  <c r="G1073" i="4"/>
  <c r="G1072" i="4"/>
  <c r="G1071" i="4"/>
  <c r="G1070" i="4"/>
  <c r="G1069" i="4"/>
  <c r="G1068" i="4"/>
  <c r="G1067" i="4"/>
  <c r="G1066" i="4"/>
  <c r="G1065" i="4"/>
  <c r="G1064" i="4"/>
  <c r="G1063" i="4"/>
  <c r="G1062" i="4"/>
  <c r="G1061" i="4"/>
  <c r="G1060" i="4"/>
  <c r="G1059" i="4"/>
  <c r="G1058" i="4"/>
  <c r="G1057" i="4"/>
  <c r="G1056" i="4"/>
  <c r="G1055" i="4"/>
  <c r="G1054" i="4"/>
  <c r="G1053" i="4"/>
  <c r="G1052" i="4"/>
  <c r="G1051" i="4"/>
  <c r="G1050" i="4"/>
  <c r="G1049" i="4"/>
  <c r="G1048" i="4"/>
  <c r="G1047" i="4"/>
  <c r="G1046" i="4"/>
  <c r="G1045" i="4"/>
  <c r="G1044" i="4"/>
  <c r="G1043" i="4"/>
  <c r="G1042" i="4"/>
  <c r="G1041" i="4"/>
  <c r="G1040" i="4"/>
  <c r="G1039" i="4"/>
  <c r="G1077" i="4"/>
  <c r="G1070" i="1"/>
  <c r="C1061" i="1"/>
  <c r="G1056" i="1"/>
  <c r="H1083" i="1"/>
  <c r="B1083" i="1"/>
  <c r="J1082" i="1"/>
  <c r="B1082" i="1"/>
  <c r="D1082" i="1"/>
  <c r="F1082" i="1"/>
  <c r="H1081" i="1"/>
  <c r="J1081" i="1"/>
  <c r="B1080" i="1"/>
  <c r="E1080" i="1"/>
  <c r="F1080" i="1"/>
  <c r="J1079" i="1"/>
  <c r="B1079" i="1"/>
  <c r="E1078" i="1"/>
  <c r="F1078" i="1"/>
  <c r="H1077" i="1"/>
  <c r="B1077" i="1"/>
  <c r="J1076" i="1"/>
  <c r="C1076" i="1"/>
  <c r="F1076" i="1"/>
  <c r="G1075" i="1"/>
  <c r="D1074" i="1"/>
  <c r="F1074" i="1"/>
  <c r="G1073" i="1"/>
  <c r="I1073" i="1"/>
  <c r="B1072" i="1"/>
  <c r="D1072" i="1"/>
  <c r="E1072" i="1"/>
  <c r="F1072" i="1"/>
  <c r="J1071" i="1"/>
  <c r="E1070" i="1"/>
  <c r="F1070" i="1"/>
  <c r="H1069" i="1"/>
  <c r="B1069" i="1"/>
  <c r="J1068" i="1"/>
  <c r="B1068" i="1"/>
  <c r="F1068" i="1"/>
  <c r="J1067" i="1"/>
  <c r="D1066" i="1"/>
  <c r="F1066" i="1"/>
  <c r="I1065" i="1"/>
  <c r="B1064" i="1"/>
  <c r="C1064" i="1"/>
  <c r="E1064" i="1"/>
  <c r="F1064" i="1"/>
  <c r="I1063" i="1"/>
  <c r="J1063" i="1"/>
  <c r="E1062" i="1"/>
  <c r="I1059" i="1"/>
  <c r="F1058" i="1"/>
  <c r="H1051" i="1"/>
  <c r="D1050" i="1"/>
  <c r="J1049" i="1"/>
  <c r="F1048" i="1"/>
  <c r="F1046" i="1"/>
  <c r="J1044" i="1"/>
  <c r="G1043" i="1"/>
  <c r="B1042" i="1"/>
  <c r="I1041" i="1"/>
  <c r="E1040" i="1"/>
  <c r="I1078" i="4"/>
  <c r="K1078" i="4"/>
  <c r="C1078" i="4"/>
  <c r="C1076" i="4"/>
  <c r="I1075" i="4"/>
  <c r="K1075" i="4"/>
  <c r="C1075" i="4"/>
  <c r="I1074" i="4"/>
  <c r="K1074" i="4"/>
  <c r="C1074" i="4"/>
  <c r="I1073" i="4"/>
  <c r="K1073" i="4"/>
  <c r="C1073" i="4"/>
  <c r="I1072" i="4"/>
  <c r="K1072" i="4"/>
  <c r="C1072" i="4"/>
  <c r="I1071" i="4"/>
  <c r="K1071" i="4"/>
  <c r="C1071" i="4"/>
  <c r="I1070" i="4"/>
  <c r="K1070" i="4"/>
  <c r="C1070" i="4"/>
  <c r="K1069" i="4"/>
  <c r="C1069" i="4"/>
  <c r="I1068" i="4"/>
  <c r="K1068" i="4"/>
  <c r="C1068" i="4"/>
  <c r="I1067" i="4"/>
  <c r="K1067" i="4"/>
  <c r="C1067" i="4"/>
  <c r="I1066" i="4"/>
  <c r="K1066" i="4"/>
  <c r="C1066" i="4"/>
  <c r="I1065" i="4"/>
  <c r="K1065" i="4"/>
  <c r="C1065" i="4"/>
  <c r="I1064" i="4"/>
  <c r="K1064" i="4"/>
  <c r="C1064" i="4"/>
  <c r="I1063" i="4"/>
  <c r="K1063" i="4"/>
  <c r="C1063" i="4"/>
  <c r="I1062" i="4"/>
  <c r="K1062" i="4"/>
  <c r="C1062" i="4"/>
  <c r="I1061" i="4"/>
  <c r="K1061" i="4"/>
  <c r="C1061" i="4"/>
  <c r="I1060" i="4"/>
  <c r="K1060" i="4"/>
  <c r="C1060" i="4"/>
  <c r="I1059" i="4"/>
  <c r="K1059" i="4"/>
  <c r="C1059" i="4"/>
  <c r="K1058" i="4"/>
  <c r="C1058" i="4"/>
  <c r="I1057" i="4"/>
  <c r="K1057" i="4"/>
  <c r="I1056" i="4"/>
  <c r="K1056" i="4"/>
  <c r="C1056" i="4"/>
  <c r="I1055" i="4"/>
  <c r="K1055" i="4"/>
  <c r="C1055" i="4"/>
  <c r="I1054" i="4"/>
  <c r="K1054" i="4"/>
  <c r="C1054" i="4"/>
  <c r="I1053" i="4"/>
  <c r="K1053" i="4"/>
  <c r="C1053" i="4"/>
  <c r="I1052" i="4"/>
  <c r="K1052" i="4"/>
  <c r="C1052" i="4"/>
  <c r="I1051" i="4"/>
  <c r="C1051" i="4"/>
  <c r="I1050" i="4"/>
  <c r="K1050" i="4"/>
  <c r="C1050" i="4"/>
  <c r="I1049" i="4"/>
  <c r="K1049" i="4"/>
  <c r="C1049" i="4"/>
  <c r="I1048" i="4"/>
  <c r="K1048" i="4"/>
  <c r="C1048" i="4"/>
  <c r="I1047" i="4"/>
  <c r="E1083" i="3"/>
  <c r="E1082" i="3"/>
  <c r="E1081" i="3"/>
  <c r="E1080" i="3"/>
  <c r="E1079" i="3"/>
  <c r="E1078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59" i="3"/>
  <c r="E1058" i="3"/>
  <c r="E1057" i="3"/>
  <c r="E1056" i="3"/>
  <c r="E1055" i="3"/>
  <c r="E1054" i="3"/>
  <c r="E1052" i="3"/>
  <c r="E1051" i="3"/>
  <c r="E1050" i="3"/>
  <c r="E1049" i="3"/>
  <c r="E1048" i="3"/>
  <c r="E1046" i="3"/>
  <c r="E1045" i="3"/>
  <c r="E1044" i="3"/>
  <c r="E1043" i="3"/>
  <c r="E1042" i="3"/>
  <c r="E1041" i="3"/>
  <c r="E1040" i="3"/>
  <c r="E1039" i="3"/>
  <c r="E1038" i="3"/>
  <c r="K1047" i="4"/>
  <c r="C1047" i="4"/>
  <c r="I1046" i="4"/>
  <c r="K1046" i="4"/>
  <c r="C1046" i="4"/>
  <c r="I1045" i="4"/>
  <c r="K1045" i="4"/>
  <c r="C1045" i="4"/>
  <c r="I1044" i="4"/>
  <c r="K1044" i="4"/>
  <c r="C1044" i="4"/>
  <c r="I1043" i="4"/>
  <c r="K1043" i="4"/>
  <c r="C1043" i="4"/>
  <c r="I1042" i="4"/>
  <c r="K1042" i="4"/>
  <c r="C1042" i="4"/>
  <c r="I1041" i="4"/>
  <c r="K1041" i="4"/>
  <c r="C1041" i="4"/>
  <c r="I1040" i="4"/>
  <c r="K1040" i="4"/>
  <c r="C1040" i="4"/>
  <c r="I1039" i="4"/>
  <c r="K1039" i="4"/>
  <c r="C1039" i="4"/>
  <c r="I1038" i="4"/>
  <c r="I1077" i="4"/>
  <c r="K1077" i="4"/>
  <c r="C1077" i="4"/>
  <c r="C1038" i="4"/>
  <c r="C1081" i="1"/>
  <c r="G1076" i="1"/>
  <c r="C1073" i="1"/>
  <c r="G1068" i="1"/>
  <c r="C1065" i="1"/>
  <c r="G1060" i="1"/>
  <c r="G1052" i="1"/>
  <c r="G1048" i="1"/>
  <c r="G1044" i="1"/>
  <c r="C1043" i="1"/>
  <c r="C1039" i="1"/>
  <c r="G1038" i="1"/>
  <c r="F1062" i="1"/>
  <c r="H1061" i="1"/>
  <c r="F1060" i="1"/>
  <c r="C1058" i="1"/>
  <c r="E1058" i="1"/>
  <c r="J1057" i="1"/>
  <c r="J1055" i="1"/>
  <c r="B1055" i="1"/>
  <c r="B1054" i="1"/>
  <c r="H1053" i="1"/>
  <c r="I1053" i="1"/>
  <c r="F1052" i="1"/>
  <c r="B1050" i="1"/>
  <c r="E1050" i="1"/>
  <c r="I1049" i="1"/>
  <c r="J1047" i="1"/>
  <c r="B1047" i="1"/>
  <c r="J1046" i="1"/>
  <c r="G1045" i="1"/>
  <c r="H1045" i="1"/>
  <c r="E1044" i="1"/>
  <c r="J1042" i="1"/>
  <c r="E1042" i="1"/>
  <c r="H1041" i="1"/>
  <c r="F1040" i="1"/>
  <c r="J1039" i="1"/>
  <c r="B1039" i="1"/>
  <c r="D1083" i="3"/>
  <c r="D1082" i="3"/>
  <c r="D1081" i="3"/>
  <c r="D1080" i="3"/>
  <c r="D1079" i="3"/>
  <c r="D1078" i="3"/>
  <c r="D1077" i="3"/>
  <c r="D1076" i="3"/>
  <c r="D1075" i="3"/>
  <c r="D1074" i="3"/>
  <c r="D1072" i="3"/>
  <c r="D1071" i="3"/>
  <c r="D1070" i="3"/>
  <c r="D1069" i="3"/>
  <c r="D1068" i="3"/>
  <c r="D1067" i="3"/>
  <c r="D1065" i="3"/>
  <c r="D1064" i="3"/>
  <c r="D1063" i="3"/>
  <c r="D1062" i="3"/>
  <c r="D1060" i="3"/>
  <c r="D1059" i="3"/>
  <c r="D1058" i="3"/>
  <c r="D1057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57" i="1"/>
  <c r="D1049" i="1"/>
  <c r="D1041" i="1"/>
  <c r="H1038" i="1"/>
  <c r="F1083" i="1"/>
  <c r="F1081" i="1"/>
  <c r="F1079" i="1"/>
  <c r="F1077" i="1"/>
  <c r="F1075" i="1"/>
  <c r="F1073" i="1"/>
  <c r="F1071" i="1"/>
  <c r="F1069" i="1"/>
  <c r="F1067" i="1"/>
  <c r="F1065" i="1"/>
  <c r="F1063" i="1"/>
  <c r="F1061" i="1"/>
  <c r="F1059" i="1"/>
  <c r="C1056" i="1"/>
  <c r="F1051" i="1"/>
  <c r="C1048" i="1"/>
  <c r="F1043" i="1"/>
  <c r="C1040" i="1"/>
  <c r="B1082" i="3"/>
  <c r="B1081" i="3"/>
  <c r="B1079" i="3"/>
  <c r="B1078" i="3"/>
  <c r="B1077" i="3"/>
  <c r="B1076" i="3"/>
  <c r="B1074" i="3"/>
  <c r="B1072" i="3"/>
  <c r="B1071" i="3"/>
  <c r="B1070" i="3"/>
  <c r="B1069" i="3"/>
  <c r="B1068" i="3"/>
  <c r="B1067" i="3"/>
  <c r="B1064" i="3"/>
  <c r="B1063" i="3"/>
  <c r="B1062" i="3"/>
  <c r="B1061" i="3"/>
  <c r="B1060" i="3"/>
  <c r="B1059" i="3"/>
  <c r="B1056" i="3"/>
  <c r="B1055" i="3"/>
  <c r="B1054" i="3"/>
  <c r="B1053" i="3"/>
  <c r="B1052" i="3"/>
  <c r="B1050" i="3"/>
  <c r="B1045" i="3"/>
  <c r="B1044" i="3"/>
  <c r="B1043" i="3"/>
  <c r="B1040" i="3"/>
  <c r="B1039" i="3"/>
  <c r="C1083" i="3"/>
  <c r="C1081" i="3"/>
  <c r="C1080" i="3"/>
  <c r="C1077" i="3"/>
  <c r="C1076" i="3"/>
  <c r="C1075" i="3"/>
  <c r="C1073" i="3"/>
  <c r="C1072" i="3"/>
  <c r="C1071" i="3"/>
  <c r="C1067" i="3"/>
  <c r="C1066" i="3"/>
  <c r="C1065" i="3"/>
  <c r="C1064" i="3"/>
  <c r="C1061" i="3"/>
  <c r="C1059" i="3"/>
  <c r="C1058" i="3"/>
  <c r="C1057" i="3"/>
  <c r="C1056" i="3"/>
  <c r="C1055" i="3"/>
  <c r="C1053" i="3"/>
  <c r="C1051" i="3"/>
  <c r="C1049" i="3"/>
  <c r="C1047" i="3"/>
  <c r="C1046" i="3"/>
  <c r="C1045" i="3"/>
  <c r="C1043" i="3"/>
  <c r="C1042" i="3"/>
  <c r="C1041" i="3"/>
  <c r="C1040" i="3"/>
  <c r="C1039" i="3"/>
  <c r="F1086" i="1" l="1"/>
  <c r="O1086" i="1"/>
  <c r="B1086" i="1"/>
  <c r="L1086" i="1"/>
  <c r="D1086" i="1"/>
  <c r="P1086" i="1"/>
  <c r="C1086" i="1"/>
  <c r="Q1086" i="1"/>
  <c r="G1086" i="1"/>
  <c r="H1086" i="1"/>
  <c r="I1086" i="1"/>
  <c r="A1087" i="1"/>
  <c r="E1086" i="1"/>
  <c r="J1086" i="1"/>
  <c r="N1086" i="1"/>
  <c r="M1086" i="1"/>
  <c r="B1061" i="2"/>
  <c r="A1062" i="2"/>
  <c r="B1085" i="3"/>
  <c r="A1086" i="3"/>
  <c r="D1085" i="3"/>
  <c r="C1085" i="3"/>
  <c r="E1085" i="3"/>
  <c r="B1086" i="3" l="1"/>
  <c r="C1086" i="3"/>
  <c r="A1087" i="3"/>
  <c r="D1086" i="3"/>
  <c r="E1086" i="3"/>
  <c r="F1087" i="1"/>
  <c r="O1087" i="1"/>
  <c r="D1087" i="1"/>
  <c r="N1087" i="1"/>
  <c r="I1087" i="1"/>
  <c r="L1087" i="1"/>
  <c r="C1087" i="1"/>
  <c r="A1088" i="1"/>
  <c r="E1087" i="1"/>
  <c r="G1087" i="1"/>
  <c r="P1087" i="1"/>
  <c r="B1087" i="1"/>
  <c r="H1087" i="1"/>
  <c r="M1087" i="1"/>
  <c r="J1087" i="1"/>
  <c r="Q1087" i="1"/>
  <c r="B1062" i="2"/>
  <c r="A1063" i="2"/>
  <c r="F1088" i="1" l="1"/>
  <c r="O1088" i="1"/>
  <c r="G1088" i="1"/>
  <c r="Q1088" i="1"/>
  <c r="C1088" i="1"/>
  <c r="N1088" i="1"/>
  <c r="H1088" i="1"/>
  <c r="P1088" i="1"/>
  <c r="B1088" i="1"/>
  <c r="A1089" i="1"/>
  <c r="D1088" i="1"/>
  <c r="L1088" i="1"/>
  <c r="M1088" i="1"/>
  <c r="J1088" i="1"/>
  <c r="E1088" i="1"/>
  <c r="I1088" i="1"/>
  <c r="E1087" i="3"/>
  <c r="A1088" i="3"/>
  <c r="C1087" i="3"/>
  <c r="B1087" i="3"/>
  <c r="D1087" i="3"/>
  <c r="A1064" i="2"/>
  <c r="B1063" i="2"/>
  <c r="B1088" i="3" l="1"/>
  <c r="A1089" i="3"/>
  <c r="C1088" i="3"/>
  <c r="D1088" i="3"/>
  <c r="E1088" i="3"/>
  <c r="F1089" i="1"/>
  <c r="O1089" i="1"/>
  <c r="I1089" i="1"/>
  <c r="H1089" i="1"/>
  <c r="C1089" i="1"/>
  <c r="P1089" i="1"/>
  <c r="M1089" i="1"/>
  <c r="N1089" i="1"/>
  <c r="B1089" i="1"/>
  <c r="Q1089" i="1"/>
  <c r="J1089" i="1"/>
  <c r="D1089" i="1"/>
  <c r="E1089" i="1"/>
  <c r="G1089" i="1"/>
  <c r="L1089" i="1"/>
  <c r="A1090" i="1"/>
  <c r="B1064" i="2"/>
  <c r="A1065" i="2"/>
  <c r="B1065" i="2" l="1"/>
  <c r="A1066" i="2"/>
  <c r="F1090" i="1"/>
  <c r="O1090" i="1"/>
  <c r="B1090" i="1"/>
  <c r="L1090" i="1"/>
  <c r="C1090" i="1"/>
  <c r="N1090" i="1"/>
  <c r="J1090" i="1"/>
  <c r="I1090" i="1"/>
  <c r="M1090" i="1"/>
  <c r="P1090" i="1"/>
  <c r="G1090" i="1"/>
  <c r="H1090" i="1"/>
  <c r="Q1090" i="1"/>
  <c r="A1091" i="1"/>
  <c r="E1090" i="1"/>
  <c r="D1090" i="1"/>
  <c r="C1089" i="3"/>
  <c r="E1089" i="3"/>
  <c r="A1090" i="3"/>
  <c r="B1089" i="3"/>
  <c r="D1089" i="3"/>
  <c r="A1091" i="3" l="1"/>
  <c r="B1090" i="3"/>
  <c r="C1090" i="3"/>
  <c r="D1090" i="3"/>
  <c r="E1090" i="3"/>
  <c r="F1091" i="1"/>
  <c r="O1091" i="1"/>
  <c r="D1091" i="1"/>
  <c r="N1091" i="1"/>
  <c r="H1091" i="1"/>
  <c r="G1091" i="1"/>
  <c r="I1091" i="1"/>
  <c r="J1091" i="1"/>
  <c r="L1091" i="1"/>
  <c r="C1091" i="1"/>
  <c r="A1092" i="1"/>
  <c r="B1091" i="1"/>
  <c r="E1091" i="1"/>
  <c r="M1091" i="1"/>
  <c r="Q1091" i="1"/>
  <c r="P1091" i="1"/>
  <c r="B1066" i="2"/>
  <c r="A1067" i="2"/>
  <c r="F1092" i="1" l="1"/>
  <c r="O1092" i="1"/>
  <c r="G1092" i="1"/>
  <c r="Q1092" i="1"/>
  <c r="B1092" i="1"/>
  <c r="M1092" i="1"/>
  <c r="C1092" i="1"/>
  <c r="P1092" i="1"/>
  <c r="E1092" i="1"/>
  <c r="H1092" i="1"/>
  <c r="I1092" i="1"/>
  <c r="A1093" i="1"/>
  <c r="D1092" i="1"/>
  <c r="J1092" i="1"/>
  <c r="N1092" i="1"/>
  <c r="L1092" i="1"/>
  <c r="A1068" i="2"/>
  <c r="B1067" i="2"/>
  <c r="D1091" i="3"/>
  <c r="E1091" i="3"/>
  <c r="B1091" i="3"/>
  <c r="C1091" i="3"/>
  <c r="A1092" i="3"/>
  <c r="D1092" i="3" l="1"/>
  <c r="A1093" i="3"/>
  <c r="E1092" i="3"/>
  <c r="B1092" i="3"/>
  <c r="C1092" i="3"/>
  <c r="F1093" i="1"/>
  <c r="O1093" i="1"/>
  <c r="I1093" i="1"/>
  <c r="G1093" i="1"/>
  <c r="A1094" i="1"/>
  <c r="L1093" i="1"/>
  <c r="C1093" i="1"/>
  <c r="Q1093" i="1"/>
  <c r="D1093" i="1"/>
  <c r="E1093" i="1"/>
  <c r="N1093" i="1"/>
  <c r="P1093" i="1"/>
  <c r="B1093" i="1"/>
  <c r="J1093" i="1"/>
  <c r="M1093" i="1"/>
  <c r="H1093" i="1"/>
  <c r="B1068" i="2"/>
  <c r="A1069" i="2"/>
  <c r="F1094" i="1" l="1"/>
  <c r="O1094" i="1"/>
  <c r="B1094" i="1"/>
  <c r="L1094" i="1"/>
  <c r="M1094" i="1"/>
  <c r="G1094" i="1"/>
  <c r="P1094" i="1"/>
  <c r="C1094" i="1"/>
  <c r="Q1094" i="1"/>
  <c r="D1094" i="1"/>
  <c r="A1095" i="1"/>
  <c r="J1094" i="1"/>
  <c r="E1094" i="1"/>
  <c r="N1094" i="1"/>
  <c r="H1094" i="1"/>
  <c r="I1094" i="1"/>
  <c r="C1093" i="3"/>
  <c r="D1093" i="3"/>
  <c r="B1093" i="3"/>
  <c r="E1093" i="3"/>
  <c r="A1094" i="3"/>
  <c r="B1069" i="2"/>
  <c r="A1070" i="2"/>
  <c r="B1094" i="3" l="1"/>
  <c r="E1094" i="3"/>
  <c r="A1095" i="3"/>
  <c r="C1094" i="3"/>
  <c r="D1094" i="3"/>
  <c r="F1095" i="1"/>
  <c r="O1095" i="1"/>
  <c r="D1095" i="1"/>
  <c r="N1095" i="1"/>
  <c r="G1095" i="1"/>
  <c r="A1096" i="1"/>
  <c r="B1095" i="1"/>
  <c r="P1095" i="1"/>
  <c r="L1095" i="1"/>
  <c r="M1095" i="1"/>
  <c r="Q1095" i="1"/>
  <c r="I1095" i="1"/>
  <c r="J1095" i="1"/>
  <c r="H1095" i="1"/>
  <c r="C1095" i="1"/>
  <c r="E1095" i="1"/>
  <c r="B1070" i="2"/>
  <c r="A1071" i="2"/>
  <c r="B1071" i="2" l="1"/>
  <c r="A1072" i="2"/>
  <c r="F1096" i="1"/>
  <c r="O1096" i="1"/>
  <c r="G1096" i="1"/>
  <c r="Q1096" i="1"/>
  <c r="L1096" i="1"/>
  <c r="J1096" i="1"/>
  <c r="I1096" i="1"/>
  <c r="M1096" i="1"/>
  <c r="N1096" i="1"/>
  <c r="E1096" i="1"/>
  <c r="D1096" i="1"/>
  <c r="H1096" i="1"/>
  <c r="B1096" i="1"/>
  <c r="C1096" i="1"/>
  <c r="P1096" i="1"/>
  <c r="A1097" i="1"/>
  <c r="E1095" i="3"/>
  <c r="B1095" i="3"/>
  <c r="C1095" i="3"/>
  <c r="A1096" i="3"/>
  <c r="D1095" i="3"/>
  <c r="F1097" i="1" l="1"/>
  <c r="O1097" i="1"/>
  <c r="I1097" i="1"/>
  <c r="E1097" i="1"/>
  <c r="Q1097" i="1"/>
  <c r="G1097" i="1"/>
  <c r="H1097" i="1"/>
  <c r="J1097" i="1"/>
  <c r="L1097" i="1"/>
  <c r="C1097" i="1"/>
  <c r="A1098" i="1"/>
  <c r="D1097" i="1"/>
  <c r="M1097" i="1"/>
  <c r="N1097" i="1"/>
  <c r="P1097" i="1"/>
  <c r="B1097" i="1"/>
  <c r="B1072" i="2"/>
  <c r="A1073" i="2"/>
  <c r="A1097" i="3"/>
  <c r="D1096" i="3"/>
  <c r="B1096" i="3"/>
  <c r="C1096" i="3"/>
  <c r="E1096" i="3"/>
  <c r="B1073" i="2" l="1"/>
  <c r="A1074" i="2"/>
  <c r="C1097" i="3"/>
  <c r="B1097" i="3"/>
  <c r="A1098" i="3"/>
  <c r="D1097" i="3"/>
  <c r="E1097" i="3"/>
  <c r="F1098" i="1"/>
  <c r="O1098" i="1"/>
  <c r="B1098" i="1"/>
  <c r="L1098" i="1"/>
  <c r="J1098" i="1"/>
  <c r="C1098" i="1"/>
  <c r="P1098" i="1"/>
  <c r="E1098" i="1"/>
  <c r="G1098" i="1"/>
  <c r="H1098" i="1"/>
  <c r="Q1098" i="1"/>
  <c r="A1099" i="1"/>
  <c r="D1098" i="1"/>
  <c r="I1098" i="1"/>
  <c r="M1098" i="1"/>
  <c r="N1098" i="1"/>
  <c r="A1099" i="3" l="1"/>
  <c r="E1098" i="3"/>
  <c r="C1098" i="3"/>
  <c r="D1098" i="3"/>
  <c r="B1098" i="3"/>
  <c r="B1074" i="2"/>
  <c r="A1075" i="2"/>
  <c r="D1099" i="1"/>
  <c r="M1099" i="1"/>
  <c r="E1099" i="1"/>
  <c r="O1099" i="1"/>
  <c r="I1099" i="1"/>
  <c r="B1099" i="1"/>
  <c r="P1099" i="1"/>
  <c r="C1099" i="1"/>
  <c r="Q1099" i="1"/>
  <c r="F1099" i="1"/>
  <c r="A1100" i="1"/>
  <c r="L1099" i="1"/>
  <c r="G1099" i="1"/>
  <c r="J1099" i="1"/>
  <c r="N1099" i="1"/>
  <c r="H1099" i="1"/>
  <c r="B1075" i="2" l="1"/>
  <c r="A1076" i="2"/>
  <c r="D1100" i="1"/>
  <c r="M1100" i="1"/>
  <c r="G1100" i="1"/>
  <c r="Q1100" i="1"/>
  <c r="C1100" i="1"/>
  <c r="O1100" i="1"/>
  <c r="J1100" i="1"/>
  <c r="L1100" i="1"/>
  <c r="N1100" i="1"/>
  <c r="H1100" i="1"/>
  <c r="I1100" i="1"/>
  <c r="P1100" i="1"/>
  <c r="A1101" i="1"/>
  <c r="B1100" i="1"/>
  <c r="E1100" i="1"/>
  <c r="F1100" i="1"/>
  <c r="B1099" i="3"/>
  <c r="C1099" i="3"/>
  <c r="D1099" i="3"/>
  <c r="E1099" i="3"/>
  <c r="A1100" i="3"/>
  <c r="D1100" i="3" l="1"/>
  <c r="E1100" i="3"/>
  <c r="A1101" i="3"/>
  <c r="B1100" i="3"/>
  <c r="C1100" i="3"/>
  <c r="D1101" i="1"/>
  <c r="M1101" i="1"/>
  <c r="I1101" i="1"/>
  <c r="H1101" i="1"/>
  <c r="F1101" i="1"/>
  <c r="A1102" i="1"/>
  <c r="G1101" i="1"/>
  <c r="J1101" i="1"/>
  <c r="C1101" i="1"/>
  <c r="P1101" i="1"/>
  <c r="Q1101" i="1"/>
  <c r="B1101" i="1"/>
  <c r="E1101" i="1"/>
  <c r="O1101" i="1"/>
  <c r="L1101" i="1"/>
  <c r="N1101" i="1"/>
  <c r="B1076" i="2"/>
  <c r="A1077" i="2"/>
  <c r="B1077" i="2" l="1"/>
  <c r="A1078" i="2"/>
  <c r="A1102" i="3"/>
  <c r="D1101" i="3"/>
  <c r="E1101" i="3"/>
  <c r="B1101" i="3"/>
  <c r="C1101" i="3"/>
  <c r="D1102" i="1"/>
  <c r="M1102" i="1"/>
  <c r="B1102" i="1"/>
  <c r="L1102" i="1"/>
  <c r="C1102" i="1"/>
  <c r="O1102" i="1"/>
  <c r="P1102" i="1"/>
  <c r="E1102" i="1"/>
  <c r="Q1102" i="1"/>
  <c r="F1102" i="1"/>
  <c r="A1103" i="1"/>
  <c r="J1102" i="1"/>
  <c r="I1102" i="1"/>
  <c r="G1102" i="1"/>
  <c r="N1102" i="1"/>
  <c r="H1102" i="1"/>
  <c r="B1102" i="3" l="1"/>
  <c r="D1102" i="3"/>
  <c r="E1102" i="3"/>
  <c r="C1102" i="3"/>
  <c r="A1103" i="3"/>
  <c r="D1103" i="1"/>
  <c r="M1103" i="1"/>
  <c r="E1103" i="1"/>
  <c r="O1103" i="1"/>
  <c r="H1103" i="1"/>
  <c r="J1103" i="1"/>
  <c r="L1103" i="1"/>
  <c r="N1103" i="1"/>
  <c r="G1103" i="1"/>
  <c r="I1103" i="1"/>
  <c r="P1103" i="1"/>
  <c r="A1104" i="1"/>
  <c r="Q1103" i="1"/>
  <c r="B1103" i="1"/>
  <c r="C1103" i="1"/>
  <c r="F1103" i="1"/>
  <c r="B1078" i="2"/>
  <c r="A1079" i="2"/>
  <c r="E1103" i="3" l="1"/>
  <c r="A1104" i="3"/>
  <c r="D1103" i="3"/>
  <c r="B1103" i="3"/>
  <c r="C1103" i="3"/>
  <c r="A1080" i="2"/>
  <c r="B1079" i="2"/>
  <c r="D1104" i="1"/>
  <c r="M1104" i="1"/>
  <c r="G1104" i="1"/>
  <c r="Q1104" i="1"/>
  <c r="B1104" i="1"/>
  <c r="N1104" i="1"/>
  <c r="F1104" i="1"/>
  <c r="H1104" i="1"/>
  <c r="I1104" i="1"/>
  <c r="C1104" i="1"/>
  <c r="P1104" i="1"/>
  <c r="A1105" i="1"/>
  <c r="E1104" i="1"/>
  <c r="L1104" i="1"/>
  <c r="O1104" i="1"/>
  <c r="J1104" i="1"/>
  <c r="C1104" i="3" l="1"/>
  <c r="D1104" i="3"/>
  <c r="E1104" i="3"/>
  <c r="A1105" i="3"/>
  <c r="B1104" i="3"/>
  <c r="A1081" i="2"/>
  <c r="B1080" i="2"/>
  <c r="D1105" i="1"/>
  <c r="M1105" i="1"/>
  <c r="I1105" i="1"/>
  <c r="G1105" i="1"/>
  <c r="A1106" i="1"/>
  <c r="B1105" i="1"/>
  <c r="O1105" i="1"/>
  <c r="C1105" i="1"/>
  <c r="P1105" i="1"/>
  <c r="E1105" i="1"/>
  <c r="Q1105" i="1"/>
  <c r="L1105" i="1"/>
  <c r="F1105" i="1"/>
  <c r="H1105" i="1"/>
  <c r="J1105" i="1"/>
  <c r="N1105" i="1"/>
  <c r="B1081" i="2" l="1"/>
  <c r="A1082" i="2"/>
  <c r="D1106" i="1"/>
  <c r="M1106" i="1"/>
  <c r="B1106" i="1"/>
  <c r="L1106" i="1"/>
  <c r="N1106" i="1"/>
  <c r="I1106" i="1"/>
  <c r="J1106" i="1"/>
  <c r="O1106" i="1"/>
  <c r="G1106" i="1"/>
  <c r="H1106" i="1"/>
  <c r="P1106" i="1"/>
  <c r="A1107" i="1"/>
  <c r="Q1106" i="1"/>
  <c r="E1106" i="1"/>
  <c r="F1106" i="1"/>
  <c r="C1106" i="1"/>
  <c r="C1105" i="3"/>
  <c r="E1105" i="3"/>
  <c r="D1105" i="3"/>
  <c r="B1105" i="3"/>
  <c r="A1106" i="3"/>
  <c r="A1107" i="3" l="1"/>
  <c r="B1106" i="3"/>
  <c r="C1106" i="3"/>
  <c r="E1106" i="3"/>
  <c r="D1106" i="3"/>
  <c r="D1107" i="1"/>
  <c r="M1107" i="1"/>
  <c r="E1107" i="1"/>
  <c r="O1107" i="1"/>
  <c r="G1107" i="1"/>
  <c r="A1108" i="1"/>
  <c r="F1107" i="1"/>
  <c r="H1107" i="1"/>
  <c r="I1107" i="1"/>
  <c r="B1107" i="1"/>
  <c r="P1107" i="1"/>
  <c r="Q1107" i="1"/>
  <c r="C1107" i="1"/>
  <c r="J1107" i="1"/>
  <c r="N1107" i="1"/>
  <c r="L1107" i="1"/>
  <c r="B1082" i="2"/>
  <c r="A1083" i="2"/>
  <c r="B1083" i="2" l="1"/>
  <c r="A1084" i="2"/>
  <c r="D1108" i="1"/>
  <c r="M1108" i="1"/>
  <c r="G1108" i="1"/>
  <c r="Q1108" i="1"/>
  <c r="L1108" i="1"/>
  <c r="B1108" i="1"/>
  <c r="O1108" i="1"/>
  <c r="C1108" i="1"/>
  <c r="P1108" i="1"/>
  <c r="E1108" i="1"/>
  <c r="A1109" i="1"/>
  <c r="J1108" i="1"/>
  <c r="N1108" i="1"/>
  <c r="F1108" i="1"/>
  <c r="I1108" i="1"/>
  <c r="H1108" i="1"/>
  <c r="A1108" i="3"/>
  <c r="D1107" i="3"/>
  <c r="C1107" i="3"/>
  <c r="E1107" i="3"/>
  <c r="B1107" i="3"/>
  <c r="D1109" i="1" l="1"/>
  <c r="M1109" i="1"/>
  <c r="I1109" i="1"/>
  <c r="F1109" i="1"/>
  <c r="Q1109" i="1"/>
  <c r="J1109" i="1"/>
  <c r="L1109" i="1"/>
  <c r="N1109" i="1"/>
  <c r="G1109" i="1"/>
  <c r="H1109" i="1"/>
  <c r="O1109" i="1"/>
  <c r="P1109" i="1"/>
  <c r="A1110" i="1"/>
  <c r="C1109" i="1"/>
  <c r="E1109" i="1"/>
  <c r="B1109" i="1"/>
  <c r="D1108" i="3"/>
  <c r="B1108" i="3"/>
  <c r="C1108" i="3"/>
  <c r="A1109" i="3"/>
  <c r="E1108" i="3"/>
  <c r="F1084" i="2"/>
  <c r="G1084" i="2"/>
  <c r="D1084" i="2"/>
  <c r="A1085" i="2"/>
  <c r="I1084" i="2"/>
  <c r="C1084" i="2"/>
  <c r="E1084" i="2"/>
  <c r="B1084" i="2"/>
  <c r="H1084" i="2"/>
  <c r="J1084" i="2"/>
  <c r="D1110" i="1" l="1"/>
  <c r="B1110" i="1"/>
  <c r="L1110" i="1"/>
  <c r="J1110" i="1"/>
  <c r="F1110" i="1"/>
  <c r="Q1110" i="1"/>
  <c r="G1110" i="1"/>
  <c r="A1111" i="1"/>
  <c r="H1110" i="1"/>
  <c r="C1110" i="1"/>
  <c r="O1110" i="1"/>
  <c r="P1110" i="1"/>
  <c r="E1110" i="1"/>
  <c r="I1110" i="1"/>
  <c r="M1110" i="1"/>
  <c r="N1110" i="1"/>
  <c r="E1109" i="3"/>
  <c r="A1110" i="3"/>
  <c r="C1109" i="3"/>
  <c r="D1109" i="3"/>
  <c r="B1109" i="3"/>
  <c r="D1085" i="2"/>
  <c r="E1085" i="2"/>
  <c r="B1085" i="2"/>
  <c r="J1085" i="2"/>
  <c r="C1085" i="2"/>
  <c r="A1086" i="2"/>
  <c r="H1085" i="2"/>
  <c r="I1085" i="2"/>
  <c r="F1085" i="2"/>
  <c r="G1085" i="2"/>
  <c r="B1086" i="2" l="1"/>
  <c r="J1086" i="2"/>
  <c r="C1086" i="2"/>
  <c r="A1087" i="2"/>
  <c r="H1086" i="2"/>
  <c r="E1086" i="2"/>
  <c r="F1086" i="2"/>
  <c r="D1086" i="2"/>
  <c r="G1086" i="2"/>
  <c r="I1086" i="2"/>
  <c r="C1111" i="1"/>
  <c r="L1111" i="1"/>
  <c r="D1111" i="1"/>
  <c r="N1111" i="1"/>
  <c r="J1111" i="1"/>
  <c r="M1111" i="1"/>
  <c r="B1111" i="1"/>
  <c r="O1111" i="1"/>
  <c r="H1111" i="1"/>
  <c r="G1111" i="1"/>
  <c r="E1111" i="1"/>
  <c r="F1111" i="1"/>
  <c r="I1111" i="1"/>
  <c r="Q1111" i="1"/>
  <c r="P1111" i="1"/>
  <c r="A1112" i="1"/>
  <c r="B1110" i="3"/>
  <c r="D1110" i="3"/>
  <c r="E1110" i="3"/>
  <c r="C1110" i="3"/>
  <c r="A1111" i="3"/>
  <c r="I1087" i="2" l="1"/>
  <c r="F1087" i="2"/>
  <c r="G1087" i="2"/>
  <c r="H1087" i="2"/>
  <c r="D1087" i="2"/>
  <c r="J1087" i="2"/>
  <c r="C1087" i="2"/>
  <c r="E1087" i="2"/>
  <c r="A1088" i="2"/>
  <c r="B1087" i="2"/>
  <c r="C1112" i="1"/>
  <c r="L1112" i="1"/>
  <c r="F1112" i="1"/>
  <c r="P1112" i="1"/>
  <c r="E1112" i="1"/>
  <c r="Q1112" i="1"/>
  <c r="G1112" i="1"/>
  <c r="A1113" i="1"/>
  <c r="H1112" i="1"/>
  <c r="B1112" i="1"/>
  <c r="N1112" i="1"/>
  <c r="D1112" i="1"/>
  <c r="I1112" i="1"/>
  <c r="O1112" i="1"/>
  <c r="M1112" i="1"/>
  <c r="J1112" i="1"/>
  <c r="E1111" i="3"/>
  <c r="D1111" i="3"/>
  <c r="A1112" i="3"/>
  <c r="B1111" i="3"/>
  <c r="C1111" i="3"/>
  <c r="C1113" i="1" l="1"/>
  <c r="L1113" i="1"/>
  <c r="H1113" i="1"/>
  <c r="A1114" i="1"/>
  <c r="J1113" i="1"/>
  <c r="M1113" i="1"/>
  <c r="B1113" i="1"/>
  <c r="N1113" i="1"/>
  <c r="G1113" i="1"/>
  <c r="I1113" i="1"/>
  <c r="O1113" i="1"/>
  <c r="P1113" i="1"/>
  <c r="Q1113" i="1"/>
  <c r="F1113" i="1"/>
  <c r="D1113" i="1"/>
  <c r="E1113" i="1"/>
  <c r="A1113" i="3"/>
  <c r="D1112" i="3"/>
  <c r="B1112" i="3"/>
  <c r="C1112" i="3"/>
  <c r="E1112" i="3"/>
  <c r="G1088" i="2"/>
  <c r="D1088" i="2"/>
  <c r="H1088" i="2"/>
  <c r="I1088" i="2"/>
  <c r="E1088" i="2"/>
  <c r="B1088" i="2"/>
  <c r="C1088" i="2"/>
  <c r="F1088" i="2"/>
  <c r="J1088" i="2"/>
  <c r="A1089" i="2"/>
  <c r="C1113" i="3" l="1"/>
  <c r="D1113" i="3"/>
  <c r="E1113" i="3"/>
  <c r="B1113" i="3"/>
  <c r="A1114" i="3"/>
  <c r="B1089" i="2"/>
  <c r="J1089" i="2"/>
  <c r="G1089" i="2"/>
  <c r="H1089" i="2"/>
  <c r="E1089" i="2"/>
  <c r="I1089" i="2"/>
  <c r="A1090" i="2"/>
  <c r="D1089" i="2"/>
  <c r="F1089" i="2"/>
  <c r="C1089" i="2"/>
  <c r="C1114" i="1"/>
  <c r="L1114" i="1"/>
  <c r="J1114" i="1"/>
  <c r="E1114" i="1"/>
  <c r="P1114" i="1"/>
  <c r="F1114" i="1"/>
  <c r="Q1114" i="1"/>
  <c r="G1114" i="1"/>
  <c r="A1115" i="1"/>
  <c r="B1114" i="1"/>
  <c r="N1114" i="1"/>
  <c r="O1114" i="1"/>
  <c r="D1114" i="1"/>
  <c r="H1114" i="1"/>
  <c r="I1114" i="1"/>
  <c r="M1114" i="1"/>
  <c r="C1115" i="1" l="1"/>
  <c r="L1115" i="1"/>
  <c r="D1115" i="1"/>
  <c r="N1115" i="1"/>
  <c r="I1115" i="1"/>
  <c r="J1115" i="1"/>
  <c r="M1115" i="1"/>
  <c r="G1115" i="1"/>
  <c r="A1116" i="1"/>
  <c r="B1115" i="1"/>
  <c r="F1115" i="1"/>
  <c r="E1115" i="1"/>
  <c r="H1115" i="1"/>
  <c r="Q1115" i="1"/>
  <c r="O1115" i="1"/>
  <c r="P1115" i="1"/>
  <c r="H1090" i="2"/>
  <c r="F1090" i="2"/>
  <c r="G1090" i="2"/>
  <c r="D1090" i="2"/>
  <c r="J1090" i="2"/>
  <c r="B1090" i="2"/>
  <c r="C1090" i="2"/>
  <c r="E1090" i="2"/>
  <c r="I1090" i="2"/>
  <c r="A1091" i="2"/>
  <c r="A1115" i="3"/>
  <c r="E1114" i="3"/>
  <c r="D1114" i="3"/>
  <c r="B1114" i="3"/>
  <c r="C1114" i="3"/>
  <c r="C1115" i="3" l="1"/>
  <c r="D1115" i="3"/>
  <c r="E1115" i="3"/>
  <c r="A1116" i="3"/>
  <c r="B1115" i="3"/>
  <c r="F1091" i="2"/>
  <c r="E1091" i="2"/>
  <c r="G1091" i="2"/>
  <c r="C1091" i="2"/>
  <c r="B1091" i="2"/>
  <c r="D1091" i="2"/>
  <c r="A1092" i="2"/>
  <c r="H1091" i="2"/>
  <c r="J1091" i="2"/>
  <c r="I1091" i="2"/>
  <c r="C1116" i="1"/>
  <c r="L1116" i="1"/>
  <c r="F1116" i="1"/>
  <c r="P1116" i="1"/>
  <c r="D1116" i="1"/>
  <c r="O1116" i="1"/>
  <c r="E1116" i="1"/>
  <c r="Q1116" i="1"/>
  <c r="G1116" i="1"/>
  <c r="A1117" i="1"/>
  <c r="M1116" i="1"/>
  <c r="B1116" i="1"/>
  <c r="N1116" i="1"/>
  <c r="H1116" i="1"/>
  <c r="I1116" i="1"/>
  <c r="J1116" i="1"/>
  <c r="D1116" i="3" l="1"/>
  <c r="E1116" i="3"/>
  <c r="B1116" i="3"/>
  <c r="C1116" i="3"/>
  <c r="A1117" i="3"/>
  <c r="D1092" i="2"/>
  <c r="E1092" i="2"/>
  <c r="F1092" i="2"/>
  <c r="B1092" i="2"/>
  <c r="A1093" i="2"/>
  <c r="H1092" i="2"/>
  <c r="I1092" i="2"/>
  <c r="C1092" i="2"/>
  <c r="G1092" i="2"/>
  <c r="J1092" i="2"/>
  <c r="C1117" i="1"/>
  <c r="L1117" i="1"/>
  <c r="H1117" i="1"/>
  <c r="A1118" i="1"/>
  <c r="I1117" i="1"/>
  <c r="J1117" i="1"/>
  <c r="M1117" i="1"/>
  <c r="F1117" i="1"/>
  <c r="Q1117" i="1"/>
  <c r="G1117" i="1"/>
  <c r="N1117" i="1"/>
  <c r="P1117" i="1"/>
  <c r="O1117" i="1"/>
  <c r="D1117" i="1"/>
  <c r="E1117" i="1"/>
  <c r="B1117" i="1"/>
  <c r="B1117" i="3" l="1"/>
  <c r="C1117" i="3"/>
  <c r="E1117" i="3"/>
  <c r="D1117" i="3"/>
  <c r="A1118" i="3"/>
  <c r="B1093" i="2"/>
  <c r="J1093" i="2"/>
  <c r="D1093" i="2"/>
  <c r="E1093" i="2"/>
  <c r="A1094" i="2"/>
  <c r="H1093" i="2"/>
  <c r="I1093" i="2"/>
  <c r="C1093" i="2"/>
  <c r="F1093" i="2"/>
  <c r="G1093" i="2"/>
  <c r="C1118" i="1"/>
  <c r="L1118" i="1"/>
  <c r="J1118" i="1"/>
  <c r="D1118" i="1"/>
  <c r="O1118" i="1"/>
  <c r="E1118" i="1"/>
  <c r="P1118" i="1"/>
  <c r="F1118" i="1"/>
  <c r="Q1118" i="1"/>
  <c r="M1118" i="1"/>
  <c r="N1118" i="1"/>
  <c r="A1119" i="1"/>
  <c r="B1118" i="1"/>
  <c r="G1118" i="1"/>
  <c r="H1118" i="1"/>
  <c r="I1118" i="1"/>
  <c r="B1118" i="3" l="1"/>
  <c r="A1119" i="3"/>
  <c r="D1118" i="3"/>
  <c r="C1118" i="3"/>
  <c r="E1118" i="3"/>
  <c r="C1119" i="1"/>
  <c r="L1119" i="1"/>
  <c r="D1119" i="1"/>
  <c r="N1119" i="1"/>
  <c r="H1119" i="1"/>
  <c r="I1119" i="1"/>
  <c r="J1119" i="1"/>
  <c r="F1119" i="1"/>
  <c r="Q1119" i="1"/>
  <c r="A1120" i="1"/>
  <c r="E1119" i="1"/>
  <c r="B1119" i="1"/>
  <c r="G1119" i="1"/>
  <c r="M1119" i="1"/>
  <c r="O1119" i="1"/>
  <c r="P1119" i="1"/>
  <c r="H1094" i="2"/>
  <c r="C1094" i="2"/>
  <c r="D1094" i="2"/>
  <c r="J1094" i="2"/>
  <c r="B1094" i="2"/>
  <c r="E1094" i="2"/>
  <c r="G1094" i="2"/>
  <c r="I1094" i="2"/>
  <c r="A1095" i="2"/>
  <c r="F1094" i="2"/>
  <c r="C1120" i="1" l="1"/>
  <c r="L1120" i="1"/>
  <c r="F1120" i="1"/>
  <c r="P1120" i="1"/>
  <c r="B1120" i="1"/>
  <c r="N1120" i="1"/>
  <c r="D1120" i="1"/>
  <c r="O1120" i="1"/>
  <c r="E1120" i="1"/>
  <c r="Q1120" i="1"/>
  <c r="J1120" i="1"/>
  <c r="G1120" i="1"/>
  <c r="M1120" i="1"/>
  <c r="H1120" i="1"/>
  <c r="I1120" i="1"/>
  <c r="A1121" i="1"/>
  <c r="F1095" i="2"/>
  <c r="B1095" i="2"/>
  <c r="A1096" i="2"/>
  <c r="C1095" i="2"/>
  <c r="I1095" i="2"/>
  <c r="G1095" i="2"/>
  <c r="H1095" i="2"/>
  <c r="D1095" i="2"/>
  <c r="E1095" i="2"/>
  <c r="J1095" i="2"/>
  <c r="E1119" i="3"/>
  <c r="B1119" i="3"/>
  <c r="C1119" i="3"/>
  <c r="D1119" i="3"/>
  <c r="A1120" i="3"/>
  <c r="D1096" i="2" l="1"/>
  <c r="J1096" i="2"/>
  <c r="B1096" i="2"/>
  <c r="A1097" i="2"/>
  <c r="H1096" i="2"/>
  <c r="G1096" i="2"/>
  <c r="I1096" i="2"/>
  <c r="F1096" i="2"/>
  <c r="C1096" i="2"/>
  <c r="E1096" i="2"/>
  <c r="C1121" i="1"/>
  <c r="L1121" i="1"/>
  <c r="H1121" i="1"/>
  <c r="A1122" i="1"/>
  <c r="G1121" i="1"/>
  <c r="I1121" i="1"/>
  <c r="J1121" i="1"/>
  <c r="E1121" i="1"/>
  <c r="P1121" i="1"/>
  <c r="F1121" i="1"/>
  <c r="M1121" i="1"/>
  <c r="O1121" i="1"/>
  <c r="N1121" i="1"/>
  <c r="Q1121" i="1"/>
  <c r="B1121" i="1"/>
  <c r="D1121" i="1"/>
  <c r="E1120" i="3"/>
  <c r="A1121" i="3"/>
  <c r="C1120" i="3"/>
  <c r="D1120" i="3"/>
  <c r="B1120" i="3"/>
  <c r="C1122" i="1" l="1"/>
  <c r="L1122" i="1"/>
  <c r="J1122" i="1"/>
  <c r="B1122" i="1"/>
  <c r="N1122" i="1"/>
  <c r="D1122" i="1"/>
  <c r="O1122" i="1"/>
  <c r="E1122" i="1"/>
  <c r="P1122" i="1"/>
  <c r="I1122" i="1"/>
  <c r="M1122" i="1"/>
  <c r="Q1122" i="1"/>
  <c r="F1122" i="1"/>
  <c r="G1122" i="1"/>
  <c r="H1122" i="1"/>
  <c r="C1121" i="3"/>
  <c r="A1122" i="3"/>
  <c r="D1121" i="3"/>
  <c r="B1121" i="3"/>
  <c r="E1121" i="3"/>
  <c r="B1097" i="2"/>
  <c r="J1097" i="2"/>
  <c r="I1097" i="2"/>
  <c r="A1098" i="2"/>
  <c r="G1097" i="2"/>
  <c r="C1097" i="2"/>
  <c r="D1097" i="2"/>
  <c r="E1097" i="2"/>
  <c r="F1097" i="2"/>
  <c r="H1097" i="2"/>
  <c r="H1098" i="2" l="1"/>
  <c r="I1098" i="2"/>
  <c r="J1098" i="2"/>
  <c r="F1098" i="2"/>
  <c r="E1098" i="2"/>
  <c r="G1098" i="2"/>
  <c r="C1098" i="2"/>
  <c r="B1098" i="2"/>
  <c r="A1099" i="2"/>
  <c r="D1098" i="2"/>
  <c r="D1122" i="3"/>
  <c r="E1122" i="3"/>
  <c r="B1122" i="3"/>
  <c r="C1122" i="3"/>
  <c r="F1099" i="2" l="1"/>
  <c r="H1099" i="2"/>
  <c r="I1099" i="2"/>
  <c r="E1099" i="2"/>
  <c r="A1100" i="2"/>
  <c r="G1099" i="2"/>
  <c r="C1099" i="2"/>
  <c r="D1099" i="2"/>
  <c r="J1099" i="2"/>
  <c r="B1099" i="2"/>
  <c r="D1100" i="2" l="1"/>
  <c r="G1100" i="2"/>
  <c r="H1100" i="2"/>
  <c r="E1100" i="2"/>
  <c r="B1100" i="2"/>
  <c r="A1101" i="2"/>
  <c r="I1100" i="2"/>
  <c r="F1100" i="2"/>
  <c r="J1100" i="2"/>
  <c r="C1100" i="2"/>
  <c r="B1101" i="2" l="1"/>
  <c r="J1101" i="2"/>
  <c r="F1101" i="2"/>
  <c r="G1101" i="2"/>
  <c r="D1101" i="2"/>
  <c r="E1101" i="2"/>
  <c r="H1101" i="2"/>
  <c r="I1101" i="2"/>
  <c r="A1102" i="2"/>
  <c r="C1101" i="2"/>
  <c r="H1102" i="2" l="1"/>
  <c r="E1102" i="2"/>
  <c r="F1102" i="2"/>
  <c r="C1102" i="2"/>
  <c r="J1102" i="2"/>
  <c r="A1103" i="2"/>
  <c r="G1102" i="2"/>
  <c r="B1102" i="2"/>
  <c r="I1102" i="2"/>
  <c r="D1102" i="2"/>
  <c r="F1103" i="2" l="1"/>
  <c r="D1103" i="2"/>
  <c r="E1103" i="2"/>
  <c r="B1103" i="2"/>
  <c r="A1104" i="2"/>
  <c r="J1103" i="2"/>
  <c r="I1103" i="2"/>
  <c r="C1103" i="2"/>
  <c r="G1103" i="2"/>
  <c r="H1103" i="2"/>
  <c r="D1104" i="2" l="1"/>
  <c r="C1104" i="2"/>
  <c r="E1104" i="2"/>
  <c r="J1104" i="2"/>
  <c r="F1104" i="2"/>
  <c r="G1104" i="2"/>
  <c r="B1104" i="2"/>
  <c r="H1104" i="2"/>
  <c r="A1105" i="2"/>
  <c r="I1104" i="2"/>
  <c r="B1105" i="2" l="1"/>
  <c r="J1105" i="2"/>
  <c r="C1105" i="2"/>
  <c r="D1105" i="2"/>
  <c r="I1105" i="2"/>
  <c r="H1105" i="2"/>
  <c r="A1106" i="2"/>
  <c r="F1105" i="2"/>
  <c r="E1105" i="2"/>
  <c r="G1105" i="2"/>
  <c r="H1106" i="2" l="1"/>
  <c r="B1106" i="2"/>
  <c r="A1107" i="2"/>
  <c r="C1106" i="2"/>
  <c r="I1106" i="2"/>
  <c r="J1106" i="2"/>
  <c r="E1106" i="2"/>
  <c r="F1106" i="2"/>
  <c r="G1106" i="2"/>
  <c r="D1106" i="2"/>
  <c r="F1107" i="2" l="1"/>
  <c r="J1107" i="2"/>
  <c r="B1107" i="2"/>
  <c r="A1108" i="2"/>
  <c r="H1107" i="2"/>
  <c r="D1107" i="2"/>
  <c r="E1107" i="2"/>
  <c r="G1107" i="2"/>
  <c r="I1107" i="2"/>
  <c r="C1107" i="2"/>
  <c r="D1108" i="2" l="1"/>
  <c r="I1108" i="2"/>
  <c r="J1108" i="2"/>
  <c r="G1108" i="2"/>
  <c r="H1108" i="2"/>
  <c r="A1109" i="2"/>
  <c r="E1108" i="2"/>
  <c r="F1108" i="2"/>
  <c r="B1108" i="2"/>
  <c r="C1108" i="2"/>
  <c r="B1109" i="2" l="1"/>
  <c r="J1109" i="2"/>
  <c r="H1109" i="2"/>
  <c r="I1109" i="2"/>
  <c r="F1109" i="2"/>
  <c r="A1110" i="2"/>
  <c r="C1109" i="2"/>
  <c r="D1109" i="2"/>
  <c r="E1109" i="2"/>
  <c r="G1109" i="2"/>
  <c r="H1110" i="2" l="1"/>
  <c r="G1110" i="2"/>
  <c r="I1110" i="2"/>
  <c r="E1110" i="2"/>
  <c r="C1110" i="2"/>
  <c r="D1110" i="2"/>
  <c r="A1111" i="2"/>
  <c r="B1110" i="2"/>
  <c r="J1110" i="2"/>
  <c r="F1110" i="2"/>
  <c r="F1111" i="2" l="1"/>
  <c r="G1111" i="2"/>
  <c r="H1111" i="2"/>
  <c r="D1111" i="2"/>
  <c r="I1111" i="2"/>
  <c r="J1111" i="2"/>
  <c r="C1111" i="2"/>
  <c r="B1111" i="2"/>
  <c r="E1111" i="2"/>
  <c r="A1112" i="2"/>
  <c r="D1112" i="2" l="1"/>
  <c r="F1112" i="2"/>
  <c r="G1112" i="2"/>
  <c r="C1112" i="2"/>
  <c r="A1113" i="2"/>
  <c r="I1112" i="2"/>
  <c r="H1112" i="2"/>
  <c r="B1112" i="2"/>
  <c r="E1112" i="2"/>
  <c r="J1112" i="2"/>
  <c r="B1113" i="2" l="1"/>
  <c r="J1113" i="2"/>
  <c r="E1113" i="2"/>
  <c r="F1113" i="2"/>
  <c r="C1113" i="2"/>
  <c r="D1113" i="2"/>
  <c r="G1113" i="2"/>
  <c r="H1113" i="2"/>
  <c r="I1113" i="2"/>
  <c r="A1114" i="2"/>
  <c r="H1114" i="2" l="1"/>
  <c r="D1114" i="2"/>
  <c r="E1114" i="2"/>
  <c r="B1114" i="2"/>
  <c r="A1115" i="2"/>
  <c r="G1114" i="2"/>
  <c r="I1114" i="2"/>
  <c r="C1114" i="2"/>
  <c r="J1114" i="2"/>
  <c r="F1114" i="2"/>
  <c r="F1115" i="2" l="1"/>
  <c r="C1115" i="2"/>
  <c r="D1115" i="2"/>
  <c r="J1115" i="2"/>
  <c r="A1116" i="2"/>
  <c r="H1115" i="2"/>
  <c r="G1115" i="2"/>
  <c r="I1115" i="2"/>
  <c r="E1115" i="2"/>
  <c r="B1115" i="2"/>
  <c r="D1116" i="2" l="1"/>
  <c r="B1116" i="2"/>
  <c r="A1117" i="2"/>
  <c r="C1116" i="2"/>
  <c r="I1116" i="2"/>
  <c r="E1116" i="2"/>
  <c r="F1116" i="2"/>
  <c r="H1116" i="2"/>
  <c r="J1116" i="2"/>
  <c r="G1116" i="2"/>
  <c r="B1117" i="2" l="1"/>
  <c r="J1117" i="2"/>
  <c r="A1118" i="2"/>
  <c r="C1117" i="2"/>
  <c r="H1117" i="2"/>
  <c r="F1117" i="2"/>
  <c r="G1117" i="2"/>
  <c r="D1117" i="2"/>
  <c r="E1117" i="2"/>
  <c r="I1117" i="2"/>
  <c r="H1118" i="2" l="1"/>
  <c r="J1118" i="2"/>
  <c r="B1118" i="2"/>
  <c r="A1119" i="2"/>
  <c r="G1118" i="2"/>
  <c r="F1118" i="2"/>
  <c r="C1118" i="2"/>
  <c r="D1118" i="2"/>
  <c r="E1118" i="2"/>
  <c r="I1118" i="2"/>
  <c r="F1119" i="2" l="1"/>
  <c r="I1119" i="2"/>
  <c r="J1119" i="2"/>
  <c r="G1119" i="2"/>
  <c r="B1119" i="2"/>
  <c r="C1119" i="2"/>
  <c r="A1120" i="2"/>
  <c r="H1119" i="2"/>
  <c r="D1119" i="2"/>
  <c r="E1119" i="2"/>
  <c r="D1120" i="2" l="1"/>
  <c r="H1120" i="2"/>
  <c r="I1120" i="2"/>
  <c r="F1120" i="2"/>
  <c r="E1120" i="2"/>
  <c r="G1120" i="2"/>
  <c r="B1120" i="2"/>
  <c r="C1120" i="2"/>
  <c r="J1120" i="2"/>
  <c r="A1121" i="2"/>
  <c r="B1121" i="2" l="1"/>
  <c r="J1121" i="2"/>
  <c r="G1121" i="2"/>
  <c r="H1121" i="2"/>
  <c r="E1121" i="2"/>
  <c r="A1122" i="2"/>
  <c r="F1121" i="2"/>
  <c r="D1121" i="2"/>
  <c r="C1121" i="2"/>
  <c r="I1121" i="2"/>
  <c r="H1122" i="2" l="1"/>
  <c r="F1122" i="2"/>
  <c r="G1122" i="2"/>
  <c r="D1122" i="2"/>
  <c r="B1122" i="2"/>
  <c r="I1122" i="2"/>
  <c r="J1122" i="2"/>
  <c r="C1122" i="2"/>
  <c r="E1122" i="2"/>
</calcChain>
</file>

<file path=xl/sharedStrings.xml><?xml version="1.0" encoding="utf-8"?>
<sst xmlns="http://schemas.openxmlformats.org/spreadsheetml/2006/main" count="161" uniqueCount="74">
  <si>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</si>
  <si>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</si>
  <si>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</si>
  <si>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</si>
  <si>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</si>
  <si>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</si>
  <si>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</si>
  <si>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</si>
  <si>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</si>
  <si>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</si>
  <si>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</si>
  <si>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</si>
  <si>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</si>
  <si>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</si>
  <si>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</si>
  <si>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</si>
  <si>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</si>
  <si>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</si>
  <si>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</si>
  <si>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</si>
  <si>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</si>
  <si>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</si>
  <si>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</si>
  <si>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</si>
  <si>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</si>
  <si>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March 07, 2016 - MANNY ACOSTA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</si>
  <si>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</si>
  <si>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</si>
  <si>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</si>
  <si>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</si>
  <si>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</si>
  <si>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</si>
  <si>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</si>
  <si>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</si>
  <si>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</si>
  <si>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</si>
  <si>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</si>
  <si>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</si>
  <si>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</si>
  <si>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</si>
  <si>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</si>
  <si>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</si>
  <si>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</si>
  <si>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</si>
  <si>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</si>
  <si>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</si>
  <si>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</si>
  <si>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</si>
  <si>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</si>
  <si>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</si>
  <si>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</si>
  <si>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</si>
  <si>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</si>
  <si>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</si>
  <si>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</si>
  <si>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</si>
  <si>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</si>
  <si>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</si>
  <si>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</si>
  <si>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</si>
  <si>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</si>
  <si>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</si>
  <si>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</si>
  <si>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</si>
  <si>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</si>
  <si>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</si>
  <si>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</si>
  <si>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</si>
  <si>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Tab 1 of 5</t>
  </si>
  <si>
    <t>Attachment No. 50</t>
  </si>
  <si>
    <t>Tab 2 of 5</t>
  </si>
  <si>
    <t>Tab 3 of 5</t>
  </si>
  <si>
    <t>Tab 4 of 5</t>
  </si>
  <si>
    <t>Tab 5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</si>
</sst>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164" fontId="0" fillId="0" borderId="0">
      <alignment horizontal="left" wrapText="1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>
      <alignment wrapText="1"/>
    </xf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</cellStyleXfs>
  <cellXfs count="93">
    <xf numFmtId="164" fontId="0" fillId="0" borderId="0" xfId="0">
      <alignment horizontal="left" wrapText="1"/>
    </xf>
    <xf numFmtId="0" fontId="3" fillId="0" borderId="0" xfId="4" applyFont="1"/>
    <xf numFmtId="0" fontId="3" fillId="0" borderId="0" xfId="4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4" applyNumberFormat="1" applyFont="1" applyAlignment="1">
      <alignment horizontal="center"/>
    </xf>
    <xf numFmtId="167" fontId="3" fillId="0" borderId="0" xfId="4" applyNumberFormat="1" applyFont="1"/>
    <xf numFmtId="166" fontId="3" fillId="0" borderId="0" xfId="4" applyNumberFormat="1" applyFont="1"/>
    <xf numFmtId="166" fontId="3" fillId="2" borderId="0" xfId="4" applyNumberFormat="1" applyFont="1" applyFill="1" applyAlignment="1">
      <alignment horizontal="center"/>
    </xf>
    <xf numFmtId="168" fontId="3" fillId="0" borderId="0" xfId="4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4" applyNumberFormat="1" applyFont="1" applyAlignment="1">
      <alignment horizontal="center"/>
    </xf>
    <xf numFmtId="166" fontId="6" fillId="2" borderId="0" xfId="4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3" fillId="0" borderId="0" xfId="4" applyFont="1" applyAlignment="1">
      <alignment horizontal="center" wrapText="1"/>
    </xf>
    <xf numFmtId="0" fontId="6" fillId="3" borderId="0" xfId="4" applyFont="1" applyFill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2" borderId="0" xfId="4" applyFont="1" applyFill="1" applyAlignment="1">
      <alignment horizontal="center" wrapText="1"/>
    </xf>
    <xf numFmtId="0" fontId="6" fillId="3" borderId="0" xfId="4" quotePrefix="1" applyFont="1" applyFill="1" applyAlignment="1">
      <alignment horizontal="center" wrapText="1"/>
    </xf>
    <xf numFmtId="0" fontId="6" fillId="0" borderId="0" xfId="4" quotePrefix="1" applyFont="1" applyAlignment="1">
      <alignment horizont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/>
    <xf numFmtId="10" fontId="8" fillId="4" borderId="0" xfId="4" applyNumberFormat="1" applyFont="1" applyFill="1" applyAlignment="1">
      <alignment horizontal="center"/>
    </xf>
    <xf numFmtId="0" fontId="6" fillId="4" borderId="0" xfId="4" applyFont="1" applyFill="1" applyAlignment="1">
      <alignment horizontal="center"/>
    </xf>
    <xf numFmtId="170" fontId="3" fillId="0" borderId="0" xfId="4" applyNumberFormat="1" applyFont="1"/>
    <xf numFmtId="1" fontId="3" fillId="0" borderId="0" xfId="4" applyNumberFormat="1" applyFont="1"/>
    <xf numFmtId="15" fontId="6" fillId="0" borderId="0" xfId="4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/>
    <xf numFmtId="1" fontId="3" fillId="0" borderId="0" xfId="4" applyNumberFormat="1" applyFont="1" applyAlignment="1">
      <alignment horizontal="center"/>
    </xf>
    <xf numFmtId="1" fontId="2" fillId="0" borderId="0" xfId="4" applyNumberFormat="1" applyFont="1" applyAlignment="1">
      <alignment horizontal="center"/>
    </xf>
    <xf numFmtId="1" fontId="3" fillId="5" borderId="0" xfId="4" applyNumberFormat="1" applyFont="1" applyFill="1" applyAlignment="1">
      <alignment horizontal="center"/>
    </xf>
    <xf numFmtId="3" fontId="3" fillId="0" borderId="0" xfId="4" applyNumberFormat="1" applyFont="1" applyAlignment="1">
      <alignment horizontal="center"/>
    </xf>
    <xf numFmtId="3" fontId="3" fillId="5" borderId="0" xfId="4" applyNumberFormat="1" applyFont="1" applyFill="1" applyAlignment="1">
      <alignment horizontal="center"/>
    </xf>
    <xf numFmtId="171" fontId="6" fillId="6" borderId="0" xfId="4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4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4" applyFont="1" applyFill="1" applyAlignment="1">
      <alignment horizontal="center" wrapText="1"/>
    </xf>
    <xf numFmtId="0" fontId="6" fillId="6" borderId="0" xfId="4" applyFont="1" applyFill="1" applyAlignment="1">
      <alignment horizontal="center" wrapText="1"/>
    </xf>
    <xf numFmtId="0" fontId="6" fillId="2" borderId="0" xfId="4" quotePrefix="1" applyFont="1" applyFill="1" applyAlignment="1">
      <alignment horizontal="center" wrapText="1"/>
    </xf>
    <xf numFmtId="0" fontId="6" fillId="0" borderId="0" xfId="4" quotePrefix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Fill="1" applyAlignment="1"/>
    <xf numFmtId="0" fontId="6" fillId="7" borderId="0" xfId="4" applyFont="1" applyFill="1" applyAlignment="1">
      <alignment horizontal="center"/>
    </xf>
    <xf numFmtId="0" fontId="6" fillId="0" borderId="0" xfId="4" applyFont="1"/>
    <xf numFmtId="0" fontId="2" fillId="0" borderId="0" xfId="4" applyFont="1" applyAlignment="1">
      <alignment horizontal="center" wrapText="1"/>
    </xf>
    <xf numFmtId="0" fontId="6" fillId="0" borderId="0" xfId="4" quotePrefix="1" applyFont="1" applyFill="1" applyAlignment="1">
      <alignment horizontal="center" wrapText="1"/>
    </xf>
    <xf numFmtId="0" fontId="6" fillId="5" borderId="0" xfId="4" applyFont="1" applyFill="1" applyAlignment="1"/>
    <xf numFmtId="15" fontId="6" fillId="0" borderId="0" xfId="4" applyNumberFormat="1" applyFont="1" applyFill="1" applyAlignment="1">
      <alignment horizontal="left"/>
    </xf>
    <xf numFmtId="9" fontId="11" fillId="10" borderId="0" xfId="3" applyFont="1" applyFill="1" applyAlignment="1">
      <alignment horizontal="center"/>
    </xf>
    <xf numFmtId="0" fontId="12" fillId="10" borderId="0" xfId="4" applyFont="1" applyFill="1" applyAlignment="1">
      <alignment horizontal="center"/>
    </xf>
    <xf numFmtId="0" fontId="2" fillId="0" borderId="0" xfId="4" applyFont="1" applyFill="1"/>
    <xf numFmtId="0" fontId="13" fillId="0" borderId="0" xfId="4" applyFont="1" applyFill="1"/>
    <xf numFmtId="0" fontId="14" fillId="0" borderId="0" xfId="4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44" fontId="15" fillId="0" borderId="0" xfId="2" applyFont="1" applyAlignment="1">
      <alignment horizontal="center"/>
    </xf>
    <xf numFmtId="44" fontId="6" fillId="0" borderId="0" xfId="2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1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7" borderId="0" xfId="0" quotePrefix="1" applyNumberFormat="1" applyFont="1" applyFill="1" applyAlignment="1">
      <alignment horizontal="center" vertical="center" wrapText="1"/>
    </xf>
    <xf numFmtId="0" fontId="16" fillId="0" borderId="0" xfId="4" applyFont="1"/>
    <xf numFmtId="10" fontId="8" fillId="4" borderId="0" xfId="4" quotePrefix="1" applyNumberFormat="1" applyFont="1" applyFill="1" applyAlignment="1">
      <alignment horizontal="center"/>
    </xf>
    <xf numFmtId="15" fontId="6" fillId="4" borderId="0" xfId="4" applyNumberFormat="1" applyFont="1" applyFill="1" applyAlignment="1">
      <alignment horizontal="left"/>
    </xf>
    <xf numFmtId="15" fontId="6" fillId="0" borderId="0" xfId="4" quotePrefix="1" applyNumberFormat="1" applyFont="1" applyAlignment="1">
      <alignment horizontal="left"/>
    </xf>
    <xf numFmtId="0" fontId="17" fillId="0" borderId="0" xfId="4" applyFont="1"/>
    <xf numFmtId="165" fontId="0" fillId="0" borderId="0" xfId="0" applyNumberFormat="1" applyAlignment="1"/>
    <xf numFmtId="43" fontId="0" fillId="0" borderId="0" xfId="1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19" fillId="0" borderId="0" xfId="0" applyNumberFormat="1" applyFont="1" applyAlignment="1">
      <alignment horizontal="left"/>
    </xf>
    <xf numFmtId="0" fontId="6" fillId="3" borderId="0" xfId="4" quotePrefix="1" applyFont="1" applyFill="1" applyAlignment="1">
      <alignment horizontal="center"/>
    </xf>
    <xf numFmtId="0" fontId="6" fillId="8" borderId="0" xfId="4" quotePrefix="1" applyFont="1" applyFill="1" applyAlignment="1">
      <alignment horizontal="center"/>
    </xf>
    <xf numFmtId="0" fontId="6" fillId="9" borderId="0" xfId="4" applyFont="1" applyFill="1" applyAlignment="1">
      <alignment horizontal="center"/>
    </xf>
    <xf numFmtId="165" fontId="6" fillId="8" borderId="0" xfId="0" quotePrefix="1" applyNumberFormat="1" applyFont="1" applyFill="1" applyAlignment="1">
      <alignment horizontal="center"/>
    </xf>
    <xf numFmtId="0" fontId="6" fillId="0" borderId="0" xfId="4" applyFont="1" applyAlignment="1">
      <alignment horizontal="center"/>
    </xf>
    <xf numFmtId="0" fontId="6" fillId="6" borderId="0" xfId="4" quotePrefix="1" applyFont="1" applyFill="1" applyAlignment="1">
      <alignment horizontal="center"/>
    </xf>
    <xf numFmtId="0" fontId="6" fillId="6" borderId="0" xfId="4" applyFont="1" applyFill="1" applyAlignment="1">
      <alignment horizontal="center"/>
    </xf>
    <xf numFmtId="0" fontId="6" fillId="8" borderId="0" xfId="4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52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Comma" xfId="1" builtinId="3"/>
    <cellStyle name="Comma 2" xfId="25"/>
    <cellStyle name="Comma 3" xfId="26"/>
    <cellStyle name="Comma 3 2" xfId="27"/>
    <cellStyle name="Comma 4" xfId="28"/>
    <cellStyle name="Comma 5" xfId="29"/>
    <cellStyle name="Currency" xfId="2" builtinId="4"/>
    <cellStyle name="Normal" xfId="0" builtinId="0"/>
    <cellStyle name="Normal 10" xfId="30"/>
    <cellStyle name="Normal 10 2" xfId="31"/>
    <cellStyle name="Normal 2" xfId="32"/>
    <cellStyle name="Normal 2 2" xfId="33"/>
    <cellStyle name="Normal 2 2 2" xfId="34"/>
    <cellStyle name="Normal 2 3" xfId="35"/>
    <cellStyle name="Normal 2 3 2" xfId="36"/>
    <cellStyle name="Normal 2 4" xfId="37"/>
    <cellStyle name="Normal 2 4 2" xfId="38"/>
    <cellStyle name="Normal 2 5" xfId="39"/>
    <cellStyle name="Normal 2 6" xfId="40"/>
    <cellStyle name="Normal 2 7" xfId="41"/>
    <cellStyle name="Normal 3" xfId="42"/>
    <cellStyle name="Normal 4" xfId="43"/>
    <cellStyle name="Normal 5" xfId="44"/>
    <cellStyle name="Normal 5 2" xfId="45"/>
    <cellStyle name="Normal 6" xfId="46"/>
    <cellStyle name="Normal 6 2" xfId="47"/>
    <cellStyle name="Normal 7" xfId="48"/>
    <cellStyle name="Normal 7 2" xfId="49"/>
    <cellStyle name="Normal 8" xfId="50"/>
    <cellStyle name="Normal 9" xfId="51"/>
    <cellStyle name="Normal_060415 RAP Fuel Price Forecast Template - Case 1 (Historical Spread)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5" fmlaRange="CONTROL!$B$15:$B$17" sel="2" val="0"/>
</file>

<file path=xl/ctrlProps/ctrlProp2.xml><?xml version="1.0" encoding="utf-8"?>
<formControlPr xmlns="http://schemas.microsoft.com/office/spreadsheetml/2009/9/main" objectType="Drop" dropLines="2" dropStyle="combo" dx="18" fmlaLink="CONTROL!$C$32" fmlaRange="CONTROL!$B$32:$B$33" val="0"/>
</file>

<file path=xl/ctrlProps/ctrlProp3.xml><?xml version="1.0" encoding="utf-8"?>
<formControlPr xmlns="http://schemas.microsoft.com/office/spreadsheetml/2009/9/main" objectType="Drop" dropLines="3" dropStyle="combo" dx="18" fmlaLink="CONTROL!$C$9" fmlaRange="CONTROL!$B$9:$B$11" sel="2" val="0"/>
</file>

<file path=xl/ctrlProps/ctrlProp4.xml><?xml version="1.0" encoding="utf-8"?>
<formControlPr xmlns="http://schemas.microsoft.com/office/spreadsheetml/2009/9/main" objectType="Drop" dropLines="2" dropStyle="combo" dx="18" fmlaLink="CONTROL!$C$28" fmlaRange="CONTROL!$B$28:$B$29" val="0"/>
</file>

<file path=xl/ctrlProps/ctrlProp5.xml><?xml version="1.0" encoding="utf-8"?>
<formControlPr xmlns="http://schemas.microsoft.com/office/spreadsheetml/2009/9/main" objectType="Drop" dropLines="3" dropStyle="combo" dx="18" fmlaLink="CONTROL!$C$22" fmlaRange="CONTROL!$B$22:$B$24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171450</xdr:rowOff>
        </xdr:from>
        <xdr:to>
          <xdr:col>4</xdr:col>
          <xdr:colOff>533400</xdr:colOff>
          <xdr:row>13</xdr:row>
          <xdr:rowOff>104775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171450</xdr:rowOff>
        </xdr:from>
        <xdr:to>
          <xdr:col>6</xdr:col>
          <xdr:colOff>257175</xdr:colOff>
          <xdr:row>13</xdr:row>
          <xdr:rowOff>95250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171450</xdr:rowOff>
        </xdr:from>
        <xdr:to>
          <xdr:col>2</xdr:col>
          <xdr:colOff>666750</xdr:colOff>
          <xdr:row>11</xdr:row>
          <xdr:rowOff>104775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171450</xdr:rowOff>
        </xdr:from>
        <xdr:to>
          <xdr:col>4</xdr:col>
          <xdr:colOff>371475</xdr:colOff>
          <xdr:row>11</xdr:row>
          <xdr:rowOff>95250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381000</xdr:colOff>
          <xdr:row>12</xdr:row>
          <xdr:rowOff>142875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6.zip\2016\3.%20March\160307%202016%20-%202100%20LONG-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GAS BASIS"/>
      <sheetName val="FPL LONG TERM GAS &amp; OIL INDEX"/>
      <sheetName val="OIL &amp; GAS SEASONALITY"/>
      <sheetName val="TRANSPORT"/>
      <sheetName val="DEMAND CHARGE"/>
      <sheetName val="CAPACITY"/>
      <sheetName val="GAS AVAILABILITY WORKSHEET"/>
      <sheetName val="NATURAL GAS PRICES WORKSHEET"/>
      <sheetName val="FGT PRIMARY FIRM ZONE 1"/>
      <sheetName val="FGT PRIMARY FIRM ZONE 2"/>
      <sheetName val="FGT PRIMARY FIRM ZONE 3"/>
      <sheetName val="FGT NON-FIRM"/>
      <sheetName val="SESH TO FTS 3"/>
      <sheetName val="TRANSCO 4A  FTS 3"/>
      <sheetName val="GULF SOUTH TO FTS 1&amp;2"/>
      <sheetName val="INCREMENTAL Z3"/>
      <sheetName val="SESH TO GULFSTREAM"/>
      <sheetName val="TRANSCO 4A TO GULFSTREAM"/>
      <sheetName val="GULF SOUTH TO GULFSTREAM"/>
      <sheetName val="GULFSTREAM FIRM "/>
      <sheetName val="GULFSTREAM NON-FIRM"/>
      <sheetName val="FSC DLVD"/>
      <sheetName val="UPS REPLACEMENT"/>
      <sheetName val="Upload"/>
      <sheetName val="DISTILLATE &amp; RESIDUAL FUEL OIL"/>
      <sheetName val="COAL &amp; PET COKE FORECAST"/>
      <sheetName val="COAL - Monthly"/>
      <sheetName val="COAL SO2 &amp; NOX Calculations"/>
      <sheetName val="COAL - Monthly OLD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37"/>
  <sheetViews>
    <sheetView tabSelected="1"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21875" style="1" bestFit="1" customWidth="1"/>
    <col min="13" max="13" width="13.6640625" style="1" bestFit="1" customWidth="1"/>
    <col min="14" max="14" width="6.109375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81" t="s">
        <v>64</v>
      </c>
    </row>
    <row r="2" spans="1:19" ht="15.75">
      <c r="A2" s="81" t="s">
        <v>65</v>
      </c>
    </row>
    <row r="3" spans="1:19" ht="15.75">
      <c r="A3" s="81" t="s">
        <v>66</v>
      </c>
    </row>
    <row r="4" spans="1:19" ht="15.75">
      <c r="A4" s="81" t="s">
        <v>67</v>
      </c>
    </row>
    <row r="5" spans="1:19" ht="15.75">
      <c r="A5" s="81" t="s">
        <v>69</v>
      </c>
    </row>
    <row r="6" spans="1:19" ht="15.75">
      <c r="A6" s="81" t="s">
        <v>68</v>
      </c>
    </row>
    <row r="8" spans="1:19" ht="24.75" customHeight="1">
      <c r="A8" s="28" t="s">
        <v>26</v>
      </c>
    </row>
    <row r="9" spans="1:19" ht="15" customHeight="1">
      <c r="A9" s="27" t="s">
        <v>25</v>
      </c>
    </row>
    <row r="10" spans="1:19" ht="15" customHeight="1">
      <c r="A10" s="1"/>
      <c r="G10" s="26"/>
      <c r="N10" s="25"/>
    </row>
    <row r="11" spans="1:19" ht="15" customHeight="1">
      <c r="C11" s="24" t="s">
        <v>24</v>
      </c>
      <c r="D11" s="23">
        <f>1-0.196</f>
        <v>0.80400000000000005</v>
      </c>
      <c r="E11" s="24" t="s">
        <v>23</v>
      </c>
      <c r="F11" s="23">
        <f>1+0.196</f>
        <v>1.196</v>
      </c>
    </row>
    <row r="12" spans="1:19" ht="15" customHeight="1">
      <c r="A12" s="1"/>
    </row>
    <row r="13" spans="1:19" ht="15" customHeight="1">
      <c r="D13" s="10"/>
      <c r="E13" s="10"/>
      <c r="F13" s="10"/>
      <c r="G13" s="10"/>
      <c r="I13" s="10"/>
      <c r="K13" s="22"/>
      <c r="L13" s="82" t="s">
        <v>22</v>
      </c>
      <c r="M13" s="82"/>
      <c r="N13" s="82"/>
      <c r="O13" s="82"/>
      <c r="P13" s="82"/>
      <c r="Q13" s="82"/>
      <c r="R13" s="82"/>
      <c r="S13" s="82"/>
    </row>
    <row r="14" spans="1:19" ht="15" customHeight="1">
      <c r="B14" s="10"/>
      <c r="C14" s="10"/>
      <c r="D14" s="10"/>
      <c r="E14" s="10"/>
      <c r="F14" s="10"/>
      <c r="G14" s="10"/>
      <c r="I14" s="10"/>
      <c r="K14" s="21"/>
      <c r="L14" s="82" t="s">
        <v>21</v>
      </c>
      <c r="M14" s="82"/>
      <c r="N14" s="82"/>
      <c r="O14" s="82"/>
      <c r="P14" s="82"/>
      <c r="Q14" s="82"/>
      <c r="R14" s="82"/>
      <c r="S14" s="82"/>
    </row>
    <row r="15" spans="1:19" s="15" customFormat="1" ht="112.5" customHeight="1">
      <c r="B15" s="18" t="s">
        <v>20</v>
      </c>
      <c r="C15" s="18" t="s">
        <v>19</v>
      </c>
      <c r="D15" s="18" t="s">
        <v>18</v>
      </c>
      <c r="E15" s="18" t="s">
        <v>17</v>
      </c>
      <c r="F15" s="17" t="s">
        <v>16</v>
      </c>
      <c r="G15" s="18" t="s">
        <v>15</v>
      </c>
      <c r="H15" s="17" t="s">
        <v>14</v>
      </c>
      <c r="I15" s="18" t="s">
        <v>13</v>
      </c>
      <c r="J15" s="17" t="s">
        <v>12</v>
      </c>
      <c r="K15" s="20" t="s">
        <v>11</v>
      </c>
      <c r="L15" s="16" t="s">
        <v>10</v>
      </c>
      <c r="M15" s="16" t="s">
        <v>9</v>
      </c>
      <c r="N15" s="16" t="s">
        <v>8</v>
      </c>
      <c r="O15" s="16" t="s">
        <v>7</v>
      </c>
      <c r="P15" s="16" t="s">
        <v>6</v>
      </c>
      <c r="Q15" s="16" t="s">
        <v>5</v>
      </c>
      <c r="R15" s="16" t="s">
        <v>4</v>
      </c>
      <c r="S15" s="19" t="s">
        <v>3</v>
      </c>
    </row>
    <row r="16" spans="1:19" s="15" customFormat="1" ht="15" customHeight="1">
      <c r="A16" s="17" t="s">
        <v>2</v>
      </c>
      <c r="B16" s="18" t="s">
        <v>1</v>
      </c>
      <c r="C16" s="18" t="s">
        <v>1</v>
      </c>
      <c r="D16" s="18" t="s">
        <v>1</v>
      </c>
      <c r="E16" s="18" t="s">
        <v>1</v>
      </c>
      <c r="F16" s="17" t="s">
        <v>1</v>
      </c>
      <c r="G16" s="18" t="s">
        <v>1</v>
      </c>
      <c r="H16" s="17" t="s">
        <v>1</v>
      </c>
      <c r="I16" s="18" t="s">
        <v>1</v>
      </c>
      <c r="J16" s="17" t="s">
        <v>1</v>
      </c>
      <c r="K16" s="17" t="s">
        <v>1</v>
      </c>
      <c r="L16" s="16" t="s">
        <v>0</v>
      </c>
      <c r="M16" s="16" t="s">
        <v>0</v>
      </c>
      <c r="N16" s="16" t="s">
        <v>0</v>
      </c>
      <c r="O16" s="16" t="s">
        <v>0</v>
      </c>
      <c r="P16" s="16" t="s">
        <v>0</v>
      </c>
      <c r="Q16" s="16" t="s">
        <v>0</v>
      </c>
      <c r="R16" s="16" t="s">
        <v>0</v>
      </c>
      <c r="S16" s="16" t="s">
        <v>0</v>
      </c>
    </row>
    <row r="17" spans="1:19" ht="15" customHeight="1">
      <c r="A17" s="13">
        <v>42370</v>
      </c>
      <c r="B17" s="8">
        <f>2.4787 * CHOOSE(CONTROL!$C$15, $D$11, 100%, $F$11)</f>
        <v>2.4786999999999999</v>
      </c>
      <c r="C17" s="8">
        <f>2.489 * CHOOSE(CONTROL!$C$15, $D$11, 100%, $F$11)</f>
        <v>2.4889999999999999</v>
      </c>
      <c r="D17" s="8">
        <f>2.4837 * CHOOSE( CONTROL!$C$15, $D$11, 100%, $F$11)</f>
        <v>2.4836999999999998</v>
      </c>
      <c r="E17" s="12">
        <f>2.4845 * CHOOSE( CONTROL!$C$15, $D$11, 100%, $F$11)</f>
        <v>2.4845000000000002</v>
      </c>
      <c r="F17" s="4">
        <f>3.1613 * CHOOSE(CONTROL!$C$15, $D$11, 100%, $F$11)</f>
        <v>3.1613000000000002</v>
      </c>
      <c r="G17" s="8">
        <f>2.4416 * CHOOSE( CONTROL!$C$15, $D$11, 100%, $F$11)</f>
        <v>2.4416000000000002</v>
      </c>
      <c r="H17" s="4">
        <f>3.3387 * CHOOSE(CONTROL!$C$15, $D$11, 100%, $F$11)</f>
        <v>3.3386999999999998</v>
      </c>
      <c r="I17" s="8">
        <f>2.4818 * CHOOSE(CONTROL!$C$15, $D$11, 100%, $F$11)</f>
        <v>2.4817999999999998</v>
      </c>
      <c r="J17" s="4">
        <f>2.372 * CHOOSE(CONTROL!$C$15, $D$11, 100%, $F$11)</f>
        <v>2.3719999999999999</v>
      </c>
      <c r="K17" s="4"/>
      <c r="L17" s="9">
        <v>29.306000000000001</v>
      </c>
      <c r="M17" s="9">
        <v>12.063700000000001</v>
      </c>
      <c r="N17" s="9">
        <v>4.9444999999999997</v>
      </c>
      <c r="O17" s="9">
        <v>0.61660000000000004</v>
      </c>
      <c r="P17" s="9">
        <v>1.2939000000000001</v>
      </c>
      <c r="Q17" s="9"/>
      <c r="R17" s="9">
        <f t="shared" ref="R17:R31" si="0">(0.1*4000000)/1000000</f>
        <v>0.4</v>
      </c>
      <c r="S17" s="11"/>
    </row>
    <row r="18" spans="1:19" ht="15" customHeight="1">
      <c r="A18" s="13">
        <v>42401</v>
      </c>
      <c r="B18" s="8">
        <f>2.2894 * CHOOSE(CONTROL!$C$15, $D$11, 100%, $F$11)</f>
        <v>2.2894000000000001</v>
      </c>
      <c r="C18" s="8">
        <f>2.2998 * CHOOSE(CONTROL!$C$15, $D$11, 100%, $F$11)</f>
        <v>2.2997999999999998</v>
      </c>
      <c r="D18" s="8">
        <f>2.2968 * CHOOSE( CONTROL!$C$15, $D$11, 100%, $F$11)</f>
        <v>2.2968000000000002</v>
      </c>
      <c r="E18" s="12">
        <f>2.2968 * CHOOSE( CONTROL!$C$15, $D$11, 100%, $F$11)</f>
        <v>2.2968000000000002</v>
      </c>
      <c r="F18" s="4">
        <f>2.9644 * CHOOSE(CONTROL!$C$15, $D$11, 100%, $F$11)</f>
        <v>2.9643999999999999</v>
      </c>
      <c r="G18" s="8">
        <f>2.2552 * CHOOSE( CONTROL!$C$15, $D$11, 100%, $F$11)</f>
        <v>2.2551999999999999</v>
      </c>
      <c r="H18" s="4">
        <f>3.1449 * CHOOSE(CONTROL!$C$15, $D$11, 100%, $F$11)</f>
        <v>3.1448999999999998</v>
      </c>
      <c r="I18" s="8">
        <f>2.2877 * CHOOSE(CONTROL!$C$15, $D$11, 100%, $F$11)</f>
        <v>2.2877000000000001</v>
      </c>
      <c r="J18" s="4">
        <f>2.189 * CHOOSE(CONTROL!$C$15, $D$11, 100%, $F$11)</f>
        <v>2.1890000000000001</v>
      </c>
      <c r="K18" s="4"/>
      <c r="L18" s="9">
        <v>27.0672</v>
      </c>
      <c r="M18" s="9">
        <v>11.285299999999999</v>
      </c>
      <c r="N18" s="9">
        <v>4.6254999999999997</v>
      </c>
      <c r="O18" s="9">
        <v>0.57679999999999998</v>
      </c>
      <c r="P18" s="9">
        <v>1.2104999999999999</v>
      </c>
      <c r="Q18" s="9"/>
      <c r="R18" s="9">
        <f t="shared" si="0"/>
        <v>0.4</v>
      </c>
      <c r="S18" s="11"/>
    </row>
    <row r="19" spans="1:19" ht="15" customHeight="1">
      <c r="A19" s="13">
        <v>42430</v>
      </c>
      <c r="B19" s="8">
        <f>1.7952 * CHOOSE(CONTROL!$C$15, $D$11, 100%, $F$11)</f>
        <v>1.7951999999999999</v>
      </c>
      <c r="C19" s="8">
        <f>1.8055 * CHOOSE(CONTROL!$C$15, $D$11, 100%, $F$11)</f>
        <v>1.8055000000000001</v>
      </c>
      <c r="D19" s="8">
        <f>1.7805 * CHOOSE( CONTROL!$C$15, $D$11, 100%, $F$11)</f>
        <v>1.7805</v>
      </c>
      <c r="E19" s="12">
        <f>1.7885 * CHOOSE( CONTROL!$C$15, $D$11, 100%, $F$11)</f>
        <v>1.7885</v>
      </c>
      <c r="F19" s="4">
        <f>2.4541 * CHOOSE(CONTROL!$C$15, $D$11, 100%, $F$11)</f>
        <v>2.4540999999999999</v>
      </c>
      <c r="G19" s="8">
        <f>1.7485 * CHOOSE( CONTROL!$C$15, $D$11, 100%, $F$11)</f>
        <v>1.7484999999999999</v>
      </c>
      <c r="H19" s="4">
        <f>2.6429 * CHOOSE(CONTROL!$C$15, $D$11, 100%, $F$11)</f>
        <v>2.6429</v>
      </c>
      <c r="I19" s="8">
        <f>1.77 * CHOOSE(CONTROL!$C$15, $D$11, 100%, $F$11)</f>
        <v>1.77</v>
      </c>
      <c r="J19" s="4">
        <f>1.711 * CHOOSE(CONTROL!$C$15, $D$11, 100%, $F$11)</f>
        <v>1.7110000000000001</v>
      </c>
      <c r="K19" s="4"/>
      <c r="L19" s="9">
        <v>28.933900000000001</v>
      </c>
      <c r="M19" s="9">
        <v>12.063700000000001</v>
      </c>
      <c r="N19" s="9">
        <v>4.9444999999999997</v>
      </c>
      <c r="O19" s="9">
        <v>0.61660000000000004</v>
      </c>
      <c r="P19" s="9">
        <v>1.2939000000000001</v>
      </c>
      <c r="Q19" s="9"/>
      <c r="R19" s="9">
        <f t="shared" si="0"/>
        <v>0.4</v>
      </c>
      <c r="S19" s="11"/>
    </row>
    <row r="20" spans="1:19" ht="15" customHeight="1">
      <c r="A20" s="13">
        <v>42461</v>
      </c>
      <c r="B20" s="8">
        <f>1.7735 * CHOOSE(CONTROL!$C$15, $D$11, 100%, $F$11)</f>
        <v>1.7735000000000001</v>
      </c>
      <c r="C20" s="8">
        <f>1.7838 * CHOOSE(CONTROL!$C$15, $D$11, 100%, $F$11)</f>
        <v>1.7838000000000001</v>
      </c>
      <c r="D20" s="8">
        <f>1.7606 * CHOOSE( CONTROL!$C$15, $D$11, 100%, $F$11)</f>
        <v>1.7605999999999999</v>
      </c>
      <c r="E20" s="12">
        <f>1.7671 * CHOOSE( CONTROL!$C$15, $D$11, 100%, $F$11)</f>
        <v>1.7670999999999999</v>
      </c>
      <c r="F20" s="4">
        <f>2.4225 * CHOOSE(CONTROL!$C$15, $D$11, 100%, $F$11)</f>
        <v>2.4224999999999999</v>
      </c>
      <c r="G20" s="8">
        <f>1.7117 * CHOOSE( CONTROL!$C$15, $D$11, 100%, $F$11)</f>
        <v>1.7117</v>
      </c>
      <c r="H20" s="4">
        <f>2.6119 * CHOOSE(CONTROL!$C$15, $D$11, 100%, $F$11)</f>
        <v>2.6118999999999999</v>
      </c>
      <c r="I20" s="8">
        <f>1.7458 * CHOOSE(CONTROL!$C$15, $D$11, 100%, $F$11)</f>
        <v>1.7458</v>
      </c>
      <c r="J20" s="4">
        <f>1.69 * CHOOSE(CONTROL!$C$15, $D$11, 100%, $F$11)</f>
        <v>1.69</v>
      </c>
      <c r="K20" s="4"/>
      <c r="L20" s="9">
        <v>29.665800000000001</v>
      </c>
      <c r="M20" s="9">
        <v>11.6745</v>
      </c>
      <c r="N20" s="9">
        <v>4.7850000000000001</v>
      </c>
      <c r="O20" s="9">
        <v>0.59670000000000001</v>
      </c>
      <c r="P20" s="9">
        <v>2.0352000000000001</v>
      </c>
      <c r="Q20" s="9"/>
      <c r="R20" s="9">
        <f t="shared" si="0"/>
        <v>0.4</v>
      </c>
      <c r="S20" s="11"/>
    </row>
    <row r="21" spans="1:19" ht="15" customHeight="1">
      <c r="A21" s="13">
        <v>42491</v>
      </c>
      <c r="B21" s="8">
        <f>CHOOSE( CONTROL!$C$32, 1.8803, 1.8758) * CHOOSE(CONTROL!$C$15, $D$11, 100%, $F$11)</f>
        <v>1.8803000000000001</v>
      </c>
      <c r="C21" s="8">
        <f>CHOOSE( CONTROL!$C$32, 1.8907, 1.8862) * CHOOSE(CONTROL!$C$15, $D$11, 100%, $F$11)</f>
        <v>1.8907</v>
      </c>
      <c r="D21" s="8">
        <f>CHOOSE( CONTROL!$C$32, 1.8879, 1.8833) * CHOOSE( CONTROL!$C$15, $D$11, 100%, $F$11)</f>
        <v>1.8878999999999999</v>
      </c>
      <c r="E21" s="12">
        <f>CHOOSE( CONTROL!$C$32, 1.8874, 1.8828) * CHOOSE( CONTROL!$C$15, $D$11, 100%, $F$11)</f>
        <v>1.8874</v>
      </c>
      <c r="F21" s="4">
        <f>CHOOSE( CONTROL!$C$32, 2.5686, 2.5641) * CHOOSE(CONTROL!$C$15, $D$11, 100%, $F$11)</f>
        <v>2.5686</v>
      </c>
      <c r="G21" s="8">
        <f>CHOOSE( CONTROL!$C$32, 1.8206, 1.8161) * CHOOSE( CONTROL!$C$15, $D$11, 100%, $F$11)</f>
        <v>1.8206</v>
      </c>
      <c r="H21" s="4">
        <f>CHOOSE( CONTROL!$C$32, 2.7556, 2.7511) * CHOOSE(CONTROL!$C$15, $D$11, 100%, $F$11)</f>
        <v>2.7555999999999998</v>
      </c>
      <c r="I21" s="8">
        <f>CHOOSE( CONTROL!$C$32, 1.8551, 1.8507) * CHOOSE(CONTROL!$C$15, $D$11, 100%, $F$11)</f>
        <v>1.8551</v>
      </c>
      <c r="J21" s="4">
        <f>CHOOSE( CONTROL!$C$32, 1.7934, 1.789) * CHOOSE(CONTROL!$C$15, $D$11, 100%, $F$11)</f>
        <v>1.7934000000000001</v>
      </c>
      <c r="K21" s="4"/>
      <c r="L21" s="9">
        <v>34.542499999999997</v>
      </c>
      <c r="M21" s="9">
        <v>12.063700000000001</v>
      </c>
      <c r="N21" s="9">
        <v>4.9444999999999997</v>
      </c>
      <c r="O21" s="9">
        <v>0.37459999999999999</v>
      </c>
      <c r="P21" s="9">
        <v>1.3714999999999999</v>
      </c>
      <c r="Q21" s="9"/>
      <c r="R21" s="9">
        <f t="shared" si="0"/>
        <v>0.4</v>
      </c>
      <c r="S21" s="11"/>
    </row>
    <row r="22" spans="1:19" ht="15" customHeight="1">
      <c r="A22" s="13">
        <v>42522</v>
      </c>
      <c r="B22" s="8">
        <f>CHOOSE( CONTROL!$C$32, 1.9868, 1.9823) * CHOOSE(CONTROL!$C$15, $D$11, 100%, $F$11)</f>
        <v>1.9867999999999999</v>
      </c>
      <c r="C22" s="8">
        <f>CHOOSE( CONTROL!$C$32, 1.9972, 1.9927) * CHOOSE(CONTROL!$C$15, $D$11, 100%, $F$11)</f>
        <v>1.9972000000000001</v>
      </c>
      <c r="D22" s="8">
        <f>CHOOSE( CONTROL!$C$32, 1.9951, 1.9906) * CHOOSE( CONTROL!$C$15, $D$11, 100%, $F$11)</f>
        <v>1.9951000000000001</v>
      </c>
      <c r="E22" s="12">
        <f>CHOOSE( CONTROL!$C$32, 1.9943, 1.9898) * CHOOSE( CONTROL!$C$15, $D$11, 100%, $F$11)</f>
        <v>1.9943</v>
      </c>
      <c r="F22" s="4">
        <f>CHOOSE( CONTROL!$C$32, 2.6751, 2.6706) * CHOOSE(CONTROL!$C$15, $D$11, 100%, $F$11)</f>
        <v>2.6751</v>
      </c>
      <c r="G22" s="8">
        <f>CHOOSE( CONTROL!$C$32, 1.9263, 1.9218) * CHOOSE( CONTROL!$C$15, $D$11, 100%, $F$11)</f>
        <v>1.9262999999999999</v>
      </c>
      <c r="H22" s="4">
        <f>CHOOSE( CONTROL!$C$32, 2.8604, 2.8559) * CHOOSE(CONTROL!$C$15, $D$11, 100%, $F$11)</f>
        <v>2.8603999999999998</v>
      </c>
      <c r="I22" s="8">
        <f>CHOOSE( CONTROL!$C$32, 1.9611, 1.9567) * CHOOSE(CONTROL!$C$15, $D$11, 100%, $F$11)</f>
        <v>1.9611000000000001</v>
      </c>
      <c r="J22" s="4">
        <f>CHOOSE( CONTROL!$C$32, 1.8964, 1.892) * CHOOSE(CONTROL!$C$15, $D$11, 100%, $F$11)</f>
        <v>1.8964000000000001</v>
      </c>
      <c r="K22" s="4"/>
      <c r="L22" s="9">
        <v>33.428199999999997</v>
      </c>
      <c r="M22" s="9">
        <v>11.6745</v>
      </c>
      <c r="N22" s="9">
        <v>4.7850000000000001</v>
      </c>
      <c r="O22" s="9">
        <v>0.36249999999999999</v>
      </c>
      <c r="P22" s="9">
        <v>1.3272999999999999</v>
      </c>
      <c r="Q22" s="9"/>
      <c r="R22" s="9">
        <f t="shared" si="0"/>
        <v>0.4</v>
      </c>
      <c r="S22" s="11"/>
    </row>
    <row r="23" spans="1:19" ht="15" customHeight="1">
      <c r="A23" s="13">
        <v>42552</v>
      </c>
      <c r="B23" s="8">
        <f>CHOOSE( CONTROL!$C$32, 2.084, 2.0795) * CHOOSE(CONTROL!$C$15, $D$11, 100%, $F$11)</f>
        <v>2.0840000000000001</v>
      </c>
      <c r="C23" s="8">
        <f>CHOOSE( CONTROL!$C$32, 2.0944, 2.0899) * CHOOSE(CONTROL!$C$15, $D$11, 100%, $F$11)</f>
        <v>2.0943999999999998</v>
      </c>
      <c r="D23" s="8">
        <f>CHOOSE( CONTROL!$C$32, 2.093, 2.0885) * CHOOSE( CONTROL!$C$15, $D$11, 100%, $F$11)</f>
        <v>2.093</v>
      </c>
      <c r="E23" s="12">
        <f>CHOOSE( CONTROL!$C$32, 2.092, 2.0875) * CHOOSE( CONTROL!$C$15, $D$11, 100%, $F$11)</f>
        <v>2.0920000000000001</v>
      </c>
      <c r="F23" s="4">
        <f>CHOOSE( CONTROL!$C$32, 2.7723, 2.7678) * CHOOSE(CONTROL!$C$15, $D$11, 100%, $F$11)</f>
        <v>2.7723</v>
      </c>
      <c r="G23" s="8">
        <f>CHOOSE( CONTROL!$C$32, 2.0227, 2.0183) * CHOOSE( CONTROL!$C$15, $D$11, 100%, $F$11)</f>
        <v>2.0226999999999999</v>
      </c>
      <c r="H23" s="4">
        <f>CHOOSE( CONTROL!$C$32, 2.956, 2.9516) * CHOOSE(CONTROL!$C$15, $D$11, 100%, $F$11)</f>
        <v>2.956</v>
      </c>
      <c r="I23" s="8">
        <f>CHOOSE( CONTROL!$C$32, 2.0579, 2.0535) * CHOOSE(CONTROL!$C$15, $D$11, 100%, $F$11)</f>
        <v>2.0579000000000001</v>
      </c>
      <c r="J23" s="4">
        <f>CHOOSE( CONTROL!$C$32, 1.9904, 1.986) * CHOOSE(CONTROL!$C$15, $D$11, 100%, $F$11)</f>
        <v>1.9903999999999999</v>
      </c>
      <c r="K23" s="4"/>
      <c r="L23" s="9">
        <v>34.542499999999997</v>
      </c>
      <c r="M23" s="9">
        <v>12.063700000000001</v>
      </c>
      <c r="N23" s="9">
        <v>4.9444999999999997</v>
      </c>
      <c r="O23" s="9">
        <v>0.37459999999999999</v>
      </c>
      <c r="P23" s="9">
        <v>1.3714999999999999</v>
      </c>
      <c r="Q23" s="9"/>
      <c r="R23" s="9">
        <f t="shared" si="0"/>
        <v>0.4</v>
      </c>
      <c r="S23" s="11"/>
    </row>
    <row r="24" spans="1:19" ht="15" customHeight="1">
      <c r="A24" s="13">
        <v>42583</v>
      </c>
      <c r="B24" s="8">
        <f>CHOOSE( CONTROL!$C$32, 2.1347, 2.1302) * CHOOSE(CONTROL!$C$15, $D$11, 100%, $F$11)</f>
        <v>2.1347</v>
      </c>
      <c r="C24" s="8">
        <f>CHOOSE( CONTROL!$C$32, 2.1451, 2.1405) * CHOOSE(CONTROL!$C$15, $D$11, 100%, $F$11)</f>
        <v>2.1450999999999998</v>
      </c>
      <c r="D24" s="8">
        <f>CHOOSE( CONTROL!$C$32, 2.1441, 2.1395) * CHOOSE( CONTROL!$C$15, $D$11, 100%, $F$11)</f>
        <v>2.1440999999999999</v>
      </c>
      <c r="E24" s="12">
        <f>CHOOSE( CONTROL!$C$32, 2.143, 2.1384) * CHOOSE( CONTROL!$C$15, $D$11, 100%, $F$11)</f>
        <v>2.1429999999999998</v>
      </c>
      <c r="F24" s="4">
        <f>CHOOSE( CONTROL!$C$32, 2.823, 2.8185) * CHOOSE(CONTROL!$C$15, $D$11, 100%, $F$11)</f>
        <v>2.823</v>
      </c>
      <c r="G24" s="8">
        <f>CHOOSE( CONTROL!$C$32, 2.073, 2.0686) * CHOOSE( CONTROL!$C$15, $D$11, 100%, $F$11)</f>
        <v>2.073</v>
      </c>
      <c r="H24" s="4">
        <f>CHOOSE( CONTROL!$C$32, 3.0059, 3.0014) * CHOOSE(CONTROL!$C$15, $D$11, 100%, $F$11)</f>
        <v>3.0059</v>
      </c>
      <c r="I24" s="8">
        <f>CHOOSE( CONTROL!$C$32, 2.1083, 2.1039) * CHOOSE(CONTROL!$C$15, $D$11, 100%, $F$11)</f>
        <v>2.1082999999999998</v>
      </c>
      <c r="J24" s="4">
        <f>CHOOSE( CONTROL!$C$32, 2.0394, 2.035) * CHOOSE(CONTROL!$C$15, $D$11, 100%, $F$11)</f>
        <v>2.0394000000000001</v>
      </c>
      <c r="K24" s="4"/>
      <c r="L24" s="9">
        <v>34.542499999999997</v>
      </c>
      <c r="M24" s="9">
        <v>12.063700000000001</v>
      </c>
      <c r="N24" s="9">
        <v>4.9444999999999997</v>
      </c>
      <c r="O24" s="9">
        <v>0.37459999999999999</v>
      </c>
      <c r="P24" s="9">
        <v>1.3714999999999999</v>
      </c>
      <c r="Q24" s="9"/>
      <c r="R24" s="9">
        <f t="shared" si="0"/>
        <v>0.4</v>
      </c>
      <c r="S24" s="11"/>
    </row>
    <row r="25" spans="1:19" ht="15" customHeight="1">
      <c r="A25" s="13">
        <v>42614</v>
      </c>
      <c r="B25" s="8">
        <f>CHOOSE( CONTROL!$C$32, 2.1502, 2.1457) * CHOOSE(CONTROL!$C$15, $D$11, 100%, $F$11)</f>
        <v>2.1501999999999999</v>
      </c>
      <c r="C25" s="8">
        <f>CHOOSE( CONTROL!$C$32, 2.1606, 2.156) * CHOOSE(CONTROL!$C$15, $D$11, 100%, $F$11)</f>
        <v>2.1606000000000001</v>
      </c>
      <c r="D25" s="8">
        <f>CHOOSE( CONTROL!$C$32, 2.1597, 2.1551) * CHOOSE( CONTROL!$C$15, $D$11, 100%, $F$11)</f>
        <v>2.1597</v>
      </c>
      <c r="E25" s="12">
        <f>CHOOSE( CONTROL!$C$32, 2.1585, 2.154) * CHOOSE( CONTROL!$C$15, $D$11, 100%, $F$11)</f>
        <v>2.1585000000000001</v>
      </c>
      <c r="F25" s="4">
        <f>CHOOSE( CONTROL!$C$32, 2.8385, 2.834) * CHOOSE(CONTROL!$C$15, $D$11, 100%, $F$11)</f>
        <v>2.8384999999999998</v>
      </c>
      <c r="G25" s="8">
        <f>CHOOSE( CONTROL!$C$32, 2.0884, 2.084) * CHOOSE( CONTROL!$C$15, $D$11, 100%, $F$11)</f>
        <v>2.0884</v>
      </c>
      <c r="H25" s="4">
        <f>CHOOSE( CONTROL!$C$32, 3.0211, 3.0167) * CHOOSE(CONTROL!$C$15, $D$11, 100%, $F$11)</f>
        <v>3.0211000000000001</v>
      </c>
      <c r="I25" s="8">
        <f>CHOOSE( CONTROL!$C$32, 2.1237, 2.1194) * CHOOSE(CONTROL!$C$15, $D$11, 100%, $F$11)</f>
        <v>2.1236999999999999</v>
      </c>
      <c r="J25" s="4">
        <f>CHOOSE( CONTROL!$C$32, 2.0544, 2.05) * CHOOSE(CONTROL!$C$15, $D$11, 100%, $F$11)</f>
        <v>2.0543999999999998</v>
      </c>
      <c r="K25" s="4"/>
      <c r="L25" s="9">
        <v>33.428199999999997</v>
      </c>
      <c r="M25" s="9">
        <v>11.6745</v>
      </c>
      <c r="N25" s="9">
        <v>4.7850000000000001</v>
      </c>
      <c r="O25" s="9">
        <v>0.36249999999999999</v>
      </c>
      <c r="P25" s="9">
        <v>1.3272999999999999</v>
      </c>
      <c r="Q25" s="9"/>
      <c r="R25" s="9">
        <f t="shared" si="0"/>
        <v>0.4</v>
      </c>
      <c r="S25" s="11"/>
    </row>
    <row r="26" spans="1:19" ht="15" customHeight="1">
      <c r="A26" s="13">
        <v>42644</v>
      </c>
      <c r="B26" s="8">
        <f>2.1912 * CHOOSE(CONTROL!$C$15, $D$11, 100%, $F$11)</f>
        <v>2.1911999999999998</v>
      </c>
      <c r="C26" s="8">
        <f>2.2015 * CHOOSE(CONTROL!$C$15, $D$11, 100%, $F$11)</f>
        <v>2.2014999999999998</v>
      </c>
      <c r="D26" s="8">
        <f>2.2019 * CHOOSE( CONTROL!$C$15, $D$11, 100%, $F$11)</f>
        <v>2.2019000000000002</v>
      </c>
      <c r="E26" s="12">
        <f>2.2008 * CHOOSE( CONTROL!$C$15, $D$11, 100%, $F$11)</f>
        <v>2.2008000000000001</v>
      </c>
      <c r="F26" s="4">
        <f>2.8795 * CHOOSE(CONTROL!$C$15, $D$11, 100%, $F$11)</f>
        <v>2.8795000000000002</v>
      </c>
      <c r="G26" s="8">
        <f>2.1282 * CHOOSE( CONTROL!$C$15, $D$11, 100%, $F$11)</f>
        <v>2.1282000000000001</v>
      </c>
      <c r="H26" s="4">
        <f>3.0614 * CHOOSE(CONTROL!$C$15, $D$11, 100%, $F$11)</f>
        <v>3.0613999999999999</v>
      </c>
      <c r="I26" s="8">
        <f>2.1647 * CHOOSE(CONTROL!$C$15, $D$11, 100%, $F$11)</f>
        <v>2.1646999999999998</v>
      </c>
      <c r="J26" s="4">
        <f>2.094 * CHOOSE(CONTROL!$C$15, $D$11, 100%, $F$11)</f>
        <v>2.0939999999999999</v>
      </c>
      <c r="K26" s="4"/>
      <c r="L26" s="9">
        <v>34.3003</v>
      </c>
      <c r="M26" s="9">
        <v>12.063700000000001</v>
      </c>
      <c r="N26" s="9">
        <v>4.9444999999999997</v>
      </c>
      <c r="O26" s="9">
        <v>0.37459999999999999</v>
      </c>
      <c r="P26" s="9">
        <v>1.3714999999999999</v>
      </c>
      <c r="Q26" s="9"/>
      <c r="R26" s="9">
        <f t="shared" si="0"/>
        <v>0.4</v>
      </c>
      <c r="S26" s="11"/>
    </row>
    <row r="27" spans="1:19" ht="15" customHeight="1">
      <c r="A27" s="13">
        <v>42675</v>
      </c>
      <c r="B27" s="8">
        <f>2.3763 * CHOOSE(CONTROL!$C$15, $D$11, 100%, $F$11)</f>
        <v>2.3763000000000001</v>
      </c>
      <c r="C27" s="8">
        <f>2.3866 * CHOOSE(CONTROL!$C$15, $D$11, 100%, $F$11)</f>
        <v>2.3866000000000001</v>
      </c>
      <c r="D27" s="8">
        <f>2.3727 * CHOOSE( CONTROL!$C$15, $D$11, 100%, $F$11)</f>
        <v>2.3727</v>
      </c>
      <c r="E27" s="12">
        <f>2.3767 * CHOOSE( CONTROL!$C$15, $D$11, 100%, $F$11)</f>
        <v>2.3767</v>
      </c>
      <c r="F27" s="4">
        <f>3.0305 * CHOOSE(CONTROL!$C$15, $D$11, 100%, $F$11)</f>
        <v>3.0305</v>
      </c>
      <c r="G27" s="8">
        <f>2.3275 * CHOOSE( CONTROL!$C$15, $D$11, 100%, $F$11)</f>
        <v>2.3275000000000001</v>
      </c>
      <c r="H27" s="4">
        <f>3.21 * CHOOSE(CONTROL!$C$15, $D$11, 100%, $F$11)</f>
        <v>3.21</v>
      </c>
      <c r="I27" s="8">
        <f>2.3768 * CHOOSE(CONTROL!$C$15, $D$11, 100%, $F$11)</f>
        <v>2.3767999999999998</v>
      </c>
      <c r="J27" s="4">
        <f>2.273 * CHOOSE(CONTROL!$C$15, $D$11, 100%, $F$11)</f>
        <v>2.2730000000000001</v>
      </c>
      <c r="K27" s="4"/>
      <c r="L27" s="9">
        <v>28.000499999999999</v>
      </c>
      <c r="M27" s="9">
        <v>11.6745</v>
      </c>
      <c r="N27" s="9">
        <v>4.7850000000000001</v>
      </c>
      <c r="O27" s="9">
        <v>0.36249999999999999</v>
      </c>
      <c r="P27" s="9">
        <v>1.2522</v>
      </c>
      <c r="Q27" s="9"/>
      <c r="R27" s="9">
        <f t="shared" si="0"/>
        <v>0.4</v>
      </c>
      <c r="S27" s="11"/>
    </row>
    <row r="28" spans="1:19" ht="15" customHeight="1">
      <c r="A28" s="13">
        <v>42705</v>
      </c>
      <c r="B28" s="8">
        <f>2.6617 * CHOOSE(CONTROL!$C$15, $D$11, 100%, $F$11)</f>
        <v>2.6617000000000002</v>
      </c>
      <c r="C28" s="8">
        <f>2.672 * CHOOSE(CONTROL!$C$15, $D$11, 100%, $F$11)</f>
        <v>2.6720000000000002</v>
      </c>
      <c r="D28" s="8">
        <f>2.6605 * CHOOSE( CONTROL!$C$15, $D$11, 100%, $F$11)</f>
        <v>2.6604999999999999</v>
      </c>
      <c r="E28" s="12">
        <f>2.6636 * CHOOSE( CONTROL!$C$15, $D$11, 100%, $F$11)</f>
        <v>2.6636000000000002</v>
      </c>
      <c r="F28" s="4">
        <f>3.3159 * CHOOSE(CONTROL!$C$15, $D$11, 100%, $F$11)</f>
        <v>3.3159000000000001</v>
      </c>
      <c r="G28" s="8">
        <f>2.6101 * CHOOSE( CONTROL!$C$15, $D$11, 100%, $F$11)</f>
        <v>2.6101000000000001</v>
      </c>
      <c r="H28" s="4">
        <f>3.4908 * CHOOSE(CONTROL!$C$15, $D$11, 100%, $F$11)</f>
        <v>3.4908000000000001</v>
      </c>
      <c r="I28" s="8">
        <f>2.6609 * CHOOSE(CONTROL!$C$15, $D$11, 100%, $F$11)</f>
        <v>2.6608999999999998</v>
      </c>
      <c r="J28" s="4">
        <f>2.549 * CHOOSE(CONTROL!$C$15, $D$11, 100%, $F$11)</f>
        <v>2.5489999999999999</v>
      </c>
      <c r="K28" s="4"/>
      <c r="L28" s="9">
        <v>28.933900000000001</v>
      </c>
      <c r="M28" s="9">
        <v>12.063700000000001</v>
      </c>
      <c r="N28" s="9">
        <v>4.9444999999999997</v>
      </c>
      <c r="O28" s="9">
        <v>0.37459999999999999</v>
      </c>
      <c r="P28" s="9">
        <v>1.2939000000000001</v>
      </c>
      <c r="Q28" s="9"/>
      <c r="R28" s="9">
        <f t="shared" si="0"/>
        <v>0.4</v>
      </c>
      <c r="S28" s="11"/>
    </row>
    <row r="29" spans="1:19" ht="15" customHeight="1">
      <c r="A29" s="13">
        <v>42736</v>
      </c>
      <c r="B29" s="8">
        <f>2.794 * CHOOSE(CONTROL!$C$15, $D$11, 100%, $F$11)</f>
        <v>2.794</v>
      </c>
      <c r="C29" s="8">
        <f>2.8044 * CHOOSE(CONTROL!$C$15, $D$11, 100%, $F$11)</f>
        <v>2.8043999999999998</v>
      </c>
      <c r="D29" s="8">
        <f>2.8028 * CHOOSE( CONTROL!$C$15, $D$11, 100%, $F$11)</f>
        <v>2.8028</v>
      </c>
      <c r="E29" s="12">
        <f>2.8023 * CHOOSE( CONTROL!$C$15, $D$11, 100%, $F$11)</f>
        <v>2.8022999999999998</v>
      </c>
      <c r="F29" s="4">
        <f>3.4767 * CHOOSE(CONTROL!$C$15, $D$11, 100%, $F$11)</f>
        <v>3.4767000000000001</v>
      </c>
      <c r="G29" s="8">
        <f>2.7506 * CHOOSE( CONTROL!$C$15, $D$11, 100%, $F$11)</f>
        <v>2.7505999999999999</v>
      </c>
      <c r="H29" s="4">
        <f>3.649 * CHOOSE(CONTROL!$C$15, $D$11, 100%, $F$11)</f>
        <v>3.649</v>
      </c>
      <c r="I29" s="8">
        <f>2.7869 * CHOOSE(CONTROL!$C$15, $D$11, 100%, $F$11)</f>
        <v>2.7869000000000002</v>
      </c>
      <c r="J29" s="4">
        <f>2.677 * CHOOSE(CONTROL!$C$15, $D$11, 100%, $F$11)</f>
        <v>2.677</v>
      </c>
      <c r="K29" s="4"/>
      <c r="L29" s="9">
        <v>28.933900000000001</v>
      </c>
      <c r="M29" s="9">
        <v>12.063700000000001</v>
      </c>
      <c r="N29" s="9">
        <v>4.9444999999999997</v>
      </c>
      <c r="O29" s="9">
        <v>0.37459999999999999</v>
      </c>
      <c r="P29" s="9">
        <v>1.2939000000000001</v>
      </c>
      <c r="Q29" s="9"/>
      <c r="R29" s="9">
        <f t="shared" si="0"/>
        <v>0.4</v>
      </c>
      <c r="S29" s="11"/>
    </row>
    <row r="30" spans="1:19" ht="15" customHeight="1">
      <c r="A30" s="13">
        <v>42767</v>
      </c>
      <c r="B30" s="8">
        <f>2.793 * CHOOSE(CONTROL!$C$15, $D$11, 100%, $F$11)</f>
        <v>2.7930000000000001</v>
      </c>
      <c r="C30" s="8">
        <f>2.8033 * CHOOSE(CONTROL!$C$15, $D$11, 100%, $F$11)</f>
        <v>2.8033000000000001</v>
      </c>
      <c r="D30" s="8">
        <f>2.8039 * CHOOSE( CONTROL!$C$15, $D$11, 100%, $F$11)</f>
        <v>2.8039000000000001</v>
      </c>
      <c r="E30" s="12">
        <f>2.8026 * CHOOSE( CONTROL!$C$15, $D$11, 100%, $F$11)</f>
        <v>2.8026</v>
      </c>
      <c r="F30" s="4">
        <f>3.4679 * CHOOSE(CONTROL!$C$15, $D$11, 100%, $F$11)</f>
        <v>3.4679000000000002</v>
      </c>
      <c r="G30" s="8">
        <f>2.7493 * CHOOSE( CONTROL!$C$15, $D$11, 100%, $F$11)</f>
        <v>2.7492999999999999</v>
      </c>
      <c r="H30" s="4">
        <f>3.6403 * CHOOSE(CONTROL!$C$15, $D$11, 100%, $F$11)</f>
        <v>3.6402999999999999</v>
      </c>
      <c r="I30" s="8">
        <f>2.775 * CHOOSE(CONTROL!$C$15, $D$11, 100%, $F$11)</f>
        <v>2.7749999999999999</v>
      </c>
      <c r="J30" s="4">
        <f>2.676 * CHOOSE(CONTROL!$C$15, $D$11, 100%, $F$11)</f>
        <v>2.6760000000000002</v>
      </c>
      <c r="K30" s="4"/>
      <c r="L30" s="9">
        <v>26.133800000000001</v>
      </c>
      <c r="M30" s="9">
        <v>10.8962</v>
      </c>
      <c r="N30" s="9">
        <v>4.4660000000000002</v>
      </c>
      <c r="O30" s="9">
        <v>0.33829999999999999</v>
      </c>
      <c r="P30" s="9">
        <v>1.1687000000000001</v>
      </c>
      <c r="Q30" s="9"/>
      <c r="R30" s="9">
        <f t="shared" si="0"/>
        <v>0.4</v>
      </c>
      <c r="S30" s="11"/>
    </row>
    <row r="31" spans="1:19" ht="15" customHeight="1">
      <c r="A31" s="13">
        <v>42795</v>
      </c>
      <c r="B31" s="8">
        <f>2.762 * CHOOSE(CONTROL!$C$15, $D$11, 100%, $F$11)</f>
        <v>2.762</v>
      </c>
      <c r="C31" s="8">
        <f>2.7723 * CHOOSE(CONTROL!$C$15, $D$11, 100%, $F$11)</f>
        <v>2.7723</v>
      </c>
      <c r="D31" s="8">
        <f>2.7524 * CHOOSE( CONTROL!$C$15, $D$11, 100%, $F$11)</f>
        <v>2.7524000000000002</v>
      </c>
      <c r="E31" s="12">
        <f>2.7586 * CHOOSE( CONTROL!$C$15, $D$11, 100%, $F$11)</f>
        <v>2.7585999999999999</v>
      </c>
      <c r="F31" s="4">
        <f>3.4209 * CHOOSE(CONTROL!$C$15, $D$11, 100%, $F$11)</f>
        <v>3.4209000000000001</v>
      </c>
      <c r="G31" s="8">
        <f>2.6981 * CHOOSE( CONTROL!$C$15, $D$11, 100%, $F$11)</f>
        <v>2.6981000000000002</v>
      </c>
      <c r="H31" s="4">
        <f>3.5941 * CHOOSE(CONTROL!$C$15, $D$11, 100%, $F$11)</f>
        <v>3.5941000000000001</v>
      </c>
      <c r="I31" s="8">
        <f>2.7055 * CHOOSE(CONTROL!$C$15, $D$11, 100%, $F$11)</f>
        <v>2.7054999999999998</v>
      </c>
      <c r="J31" s="4">
        <f>2.646 * CHOOSE(CONTROL!$C$15, $D$11, 100%, $F$11)</f>
        <v>2.6459999999999999</v>
      </c>
      <c r="K31" s="4"/>
      <c r="L31" s="9">
        <v>28.933900000000001</v>
      </c>
      <c r="M31" s="9">
        <v>12.063700000000001</v>
      </c>
      <c r="N31" s="9">
        <v>4.9444999999999997</v>
      </c>
      <c r="O31" s="9">
        <v>0.37459999999999999</v>
      </c>
      <c r="P31" s="9">
        <v>1.2939000000000001</v>
      </c>
      <c r="Q31" s="9"/>
      <c r="R31" s="9">
        <f t="shared" si="0"/>
        <v>0.4</v>
      </c>
      <c r="S31" s="11"/>
    </row>
    <row r="32" spans="1:19" ht="15" customHeight="1">
      <c r="A32" s="13">
        <v>42826</v>
      </c>
      <c r="B32" s="8">
        <f>2.6007 * CHOOSE(CONTROL!$C$15, $D$11, 100%, $F$11)</f>
        <v>2.6006999999999998</v>
      </c>
      <c r="C32" s="8">
        <f>2.611 * CHOOSE(CONTROL!$C$15, $D$11, 100%, $F$11)</f>
        <v>2.6110000000000002</v>
      </c>
      <c r="D32" s="8">
        <f>2.5914 * CHOOSE( CONTROL!$C$15, $D$11, 100%, $F$11)</f>
        <v>2.5914000000000001</v>
      </c>
      <c r="E32" s="12">
        <f>2.5967 * CHOOSE( CONTROL!$C$15, $D$11, 100%, $F$11)</f>
        <v>2.5966999999999998</v>
      </c>
      <c r="F32" s="4">
        <f>3.2498 * CHOOSE(CONTROL!$C$15, $D$11, 100%, $F$11)</f>
        <v>3.2498</v>
      </c>
      <c r="G32" s="8">
        <f>2.5242 * CHOOSE( CONTROL!$C$15, $D$11, 100%, $F$11)</f>
        <v>2.5242</v>
      </c>
      <c r="H32" s="4">
        <f>3.4257 * CHOOSE(CONTROL!$C$15, $D$11, 100%, $F$11)</f>
        <v>3.4257</v>
      </c>
      <c r="I32" s="8">
        <f>2.5462 * CHOOSE(CONTROL!$C$15, $D$11, 100%, $F$11)</f>
        <v>2.5461999999999998</v>
      </c>
      <c r="J32" s="4">
        <f>2.49 * CHOOSE(CONTROL!$C$15, $D$11, 100%, $F$11)</f>
        <v>2.4900000000000002</v>
      </c>
      <c r="K32" s="4"/>
      <c r="L32" s="9">
        <v>29.665800000000001</v>
      </c>
      <c r="M32" s="9">
        <v>11.6745</v>
      </c>
      <c r="N32" s="9">
        <v>4.7850000000000001</v>
      </c>
      <c r="O32" s="9">
        <v>0.36249999999999999</v>
      </c>
      <c r="P32" s="9">
        <v>2.0352000000000001</v>
      </c>
      <c r="Q32" s="9"/>
      <c r="R32" s="9"/>
      <c r="S32" s="11"/>
    </row>
    <row r="33" spans="1:19" ht="15" customHeight="1">
      <c r="A33" s="13">
        <v>42856</v>
      </c>
      <c r="B33" s="8">
        <f>CHOOSE( CONTROL!$C$32, 2.6269, 2.6224) * CHOOSE(CONTROL!$C$15, $D$11, 100%, $F$11)</f>
        <v>2.6269</v>
      </c>
      <c r="C33" s="8">
        <f>CHOOSE( CONTROL!$C$32, 2.6372, 2.6327) * CHOOSE(CONTROL!$C$15, $D$11, 100%, $F$11)</f>
        <v>2.6372</v>
      </c>
      <c r="D33" s="8">
        <f>CHOOSE( CONTROL!$C$32, 2.628, 2.6235) * CHOOSE( CONTROL!$C$15, $D$11, 100%, $F$11)</f>
        <v>2.6280000000000001</v>
      </c>
      <c r="E33" s="12">
        <f>CHOOSE( CONTROL!$C$32, 2.6298, 2.6253) * CHOOSE( CONTROL!$C$15, $D$11, 100%, $F$11)</f>
        <v>2.6297999999999999</v>
      </c>
      <c r="F33" s="4">
        <f>CHOOSE( CONTROL!$C$32, 3.3152, 3.3107) * CHOOSE(CONTROL!$C$15, $D$11, 100%, $F$11)</f>
        <v>3.3151999999999999</v>
      </c>
      <c r="G33" s="8">
        <f>CHOOSE( CONTROL!$C$32, 2.5551, 2.5506) * CHOOSE( CONTROL!$C$15, $D$11, 100%, $F$11)</f>
        <v>2.5550999999999999</v>
      </c>
      <c r="H33" s="4">
        <f>CHOOSE( CONTROL!$C$32, 3.4901, 3.4856) * CHOOSE(CONTROL!$C$15, $D$11, 100%, $F$11)</f>
        <v>3.4901</v>
      </c>
      <c r="I33" s="8">
        <f>CHOOSE( CONTROL!$C$32, 2.5774, 2.5731) * CHOOSE(CONTROL!$C$15, $D$11, 100%, $F$11)</f>
        <v>2.5773999999999999</v>
      </c>
      <c r="J33" s="4">
        <f>CHOOSE( CONTROL!$C$32, 2.5154, 2.511) * CHOOSE(CONTROL!$C$15, $D$11, 100%, $F$11)</f>
        <v>2.5154000000000001</v>
      </c>
      <c r="K33" s="4"/>
      <c r="L33" s="9">
        <v>30.896899999999999</v>
      </c>
      <c r="M33" s="9">
        <v>12.063700000000001</v>
      </c>
      <c r="N33" s="9">
        <v>4.9444999999999997</v>
      </c>
      <c r="O33" s="9">
        <v>0.37459999999999999</v>
      </c>
      <c r="P33" s="9">
        <v>2.1030000000000002</v>
      </c>
      <c r="Q33" s="9">
        <v>25.076499999999999</v>
      </c>
      <c r="R33" s="9"/>
      <c r="S33" s="11"/>
    </row>
    <row r="34" spans="1:19" ht="15" customHeight="1">
      <c r="A34" s="13">
        <v>42887</v>
      </c>
      <c r="B34" s="8">
        <f>CHOOSE( CONTROL!$C$32, 2.6724, 2.6679) * CHOOSE(CONTROL!$C$15, $D$11, 100%, $F$11)</f>
        <v>2.6724000000000001</v>
      </c>
      <c r="C34" s="8">
        <f>CHOOSE( CONTROL!$C$32, 2.6827, 2.6782) * CHOOSE(CONTROL!$C$15, $D$11, 100%, $F$11)</f>
        <v>2.6827000000000001</v>
      </c>
      <c r="D34" s="8">
        <f>CHOOSE( CONTROL!$C$32, 2.6744, 2.6699) * CHOOSE( CONTROL!$C$15, $D$11, 100%, $F$11)</f>
        <v>2.6743999999999999</v>
      </c>
      <c r="E34" s="12">
        <f>CHOOSE( CONTROL!$C$32, 2.6758, 2.6713) * CHOOSE( CONTROL!$C$15, $D$11, 100%, $F$11)</f>
        <v>2.6758000000000002</v>
      </c>
      <c r="F34" s="4">
        <f>CHOOSE( CONTROL!$C$32, 3.3607, 3.3562) * CHOOSE(CONTROL!$C$15, $D$11, 100%, $F$11)</f>
        <v>3.3607</v>
      </c>
      <c r="G34" s="8">
        <f>CHOOSE( CONTROL!$C$32, 2.6007, 2.5963) * CHOOSE( CONTROL!$C$15, $D$11, 100%, $F$11)</f>
        <v>2.6006999999999998</v>
      </c>
      <c r="H34" s="4">
        <f>CHOOSE( CONTROL!$C$32, 3.5348, 3.5304) * CHOOSE(CONTROL!$C$15, $D$11, 100%, $F$11)</f>
        <v>3.5348000000000002</v>
      </c>
      <c r="I34" s="8">
        <f>CHOOSE( CONTROL!$C$32, 2.6244, 2.6201) * CHOOSE(CONTROL!$C$15, $D$11, 100%, $F$11)</f>
        <v>2.6244000000000001</v>
      </c>
      <c r="J34" s="4">
        <f>CHOOSE( CONTROL!$C$32, 2.5594, 2.555) * CHOOSE(CONTROL!$C$15, $D$11, 100%, $F$11)</f>
        <v>2.5594000000000001</v>
      </c>
      <c r="K34" s="4"/>
      <c r="L34" s="9">
        <v>29.900200000000002</v>
      </c>
      <c r="M34" s="9">
        <v>11.6745</v>
      </c>
      <c r="N34" s="9">
        <v>4.7850000000000001</v>
      </c>
      <c r="O34" s="9">
        <v>0.36249999999999999</v>
      </c>
      <c r="P34" s="9">
        <v>2.0352000000000001</v>
      </c>
      <c r="Q34" s="9">
        <v>24.267600000000002</v>
      </c>
      <c r="R34" s="9"/>
      <c r="S34" s="11"/>
    </row>
    <row r="35" spans="1:19" ht="15" customHeight="1">
      <c r="A35" s="13">
        <v>42917</v>
      </c>
      <c r="B35" s="8">
        <f>CHOOSE( CONTROL!$C$32, 2.7179, 2.7134) * CHOOSE(CONTROL!$C$15, $D$11, 100%, $F$11)</f>
        <v>2.7179000000000002</v>
      </c>
      <c r="C35" s="8">
        <f>CHOOSE( CONTROL!$C$32, 2.7282, 2.7237) * CHOOSE(CONTROL!$C$15, $D$11, 100%, $F$11)</f>
        <v>2.7282000000000002</v>
      </c>
      <c r="D35" s="8">
        <f>CHOOSE( CONTROL!$C$32, 2.7207, 2.7162) * CHOOSE( CONTROL!$C$15, $D$11, 100%, $F$11)</f>
        <v>2.7206999999999999</v>
      </c>
      <c r="E35" s="12">
        <f>CHOOSE( CONTROL!$C$32, 2.7218, 2.7173) * CHOOSE( CONTROL!$C$15, $D$11, 100%, $F$11)</f>
        <v>2.7218</v>
      </c>
      <c r="F35" s="4">
        <f>CHOOSE( CONTROL!$C$32, 3.4062, 3.4017) * CHOOSE(CONTROL!$C$15, $D$11, 100%, $F$11)</f>
        <v>3.4062000000000001</v>
      </c>
      <c r="G35" s="8">
        <f>CHOOSE( CONTROL!$C$32, 2.6463, 2.6419) * CHOOSE( CONTROL!$C$15, $D$11, 100%, $F$11)</f>
        <v>2.6463000000000001</v>
      </c>
      <c r="H35" s="4">
        <f>CHOOSE( CONTROL!$C$32, 3.5796, 3.5752) * CHOOSE(CONTROL!$C$15, $D$11, 100%, $F$11)</f>
        <v>3.5796000000000001</v>
      </c>
      <c r="I35" s="8">
        <f>CHOOSE( CONTROL!$C$32, 2.6712, 2.6668) * CHOOSE(CONTROL!$C$15, $D$11, 100%, $F$11)</f>
        <v>2.6711999999999998</v>
      </c>
      <c r="J35" s="4">
        <f>CHOOSE( CONTROL!$C$32, 2.6034, 2.599) * CHOOSE(CONTROL!$C$15, $D$11, 100%, $F$11)</f>
        <v>2.6034000000000002</v>
      </c>
      <c r="K35" s="4"/>
      <c r="L35" s="9">
        <v>30.896899999999999</v>
      </c>
      <c r="M35" s="9">
        <v>12.063700000000001</v>
      </c>
      <c r="N35" s="9">
        <v>4.9444999999999997</v>
      </c>
      <c r="O35" s="9">
        <v>0.37459999999999999</v>
      </c>
      <c r="P35" s="9">
        <v>2.1030000000000002</v>
      </c>
      <c r="Q35" s="9">
        <v>25.076499999999999</v>
      </c>
      <c r="R35" s="9"/>
      <c r="S35" s="11"/>
    </row>
    <row r="36" spans="1:19" ht="15" customHeight="1">
      <c r="A36" s="13">
        <v>42948</v>
      </c>
      <c r="B36" s="8">
        <f>CHOOSE( CONTROL!$C$32, 2.7262, 2.7216) * CHOOSE(CONTROL!$C$15, $D$11, 100%, $F$11)</f>
        <v>2.7262</v>
      </c>
      <c r="C36" s="8">
        <f>CHOOSE( CONTROL!$C$32, 2.7365, 2.732) * CHOOSE(CONTROL!$C$15, $D$11, 100%, $F$11)</f>
        <v>2.7364999999999999</v>
      </c>
      <c r="D36" s="8">
        <f>CHOOSE( CONTROL!$C$32, 2.7294, 2.7249) * CHOOSE( CONTROL!$C$15, $D$11, 100%, $F$11)</f>
        <v>2.7294</v>
      </c>
      <c r="E36" s="12">
        <f>CHOOSE( CONTROL!$C$32, 2.7304, 2.7259) * CHOOSE( CONTROL!$C$15, $D$11, 100%, $F$11)</f>
        <v>2.7303999999999999</v>
      </c>
      <c r="F36" s="4">
        <f>CHOOSE( CONTROL!$C$32, 3.4145, 3.4099) * CHOOSE(CONTROL!$C$15, $D$11, 100%, $F$11)</f>
        <v>3.4144999999999999</v>
      </c>
      <c r="G36" s="8">
        <f>CHOOSE( CONTROL!$C$32, 2.6549, 2.6505) * CHOOSE( CONTROL!$C$15, $D$11, 100%, $F$11)</f>
        <v>2.6549</v>
      </c>
      <c r="H36" s="4">
        <f>CHOOSE( CONTROL!$C$32, 3.5877, 3.5833) * CHOOSE(CONTROL!$C$15, $D$11, 100%, $F$11)</f>
        <v>3.5876999999999999</v>
      </c>
      <c r="I36" s="8">
        <f>CHOOSE( CONTROL!$C$32, 2.6806, 2.6762) * CHOOSE(CONTROL!$C$15, $D$11, 100%, $F$11)</f>
        <v>2.6806000000000001</v>
      </c>
      <c r="J36" s="4">
        <f>CHOOSE( CONTROL!$C$32, 2.6114, 2.607) * CHOOSE(CONTROL!$C$15, $D$11, 100%, $F$11)</f>
        <v>2.6114000000000002</v>
      </c>
      <c r="K36" s="4"/>
      <c r="L36" s="9">
        <v>30.896899999999999</v>
      </c>
      <c r="M36" s="9">
        <v>12.063700000000001</v>
      </c>
      <c r="N36" s="9">
        <v>4.9444999999999997</v>
      </c>
      <c r="O36" s="9">
        <v>0.37459999999999999</v>
      </c>
      <c r="P36" s="9">
        <v>2.1030000000000002</v>
      </c>
      <c r="Q36" s="9">
        <v>25.076499999999999</v>
      </c>
      <c r="R36" s="9"/>
      <c r="S36" s="11"/>
    </row>
    <row r="37" spans="1:19" ht="15" customHeight="1">
      <c r="A37" s="13">
        <v>42979</v>
      </c>
      <c r="B37" s="8">
        <f>CHOOSE( CONTROL!$C$32, 2.7169, 2.7123) * CHOOSE(CONTROL!$C$15, $D$11, 100%, $F$11)</f>
        <v>2.7168999999999999</v>
      </c>
      <c r="C37" s="8">
        <f>CHOOSE( CONTROL!$C$32, 2.7272, 2.7227) * CHOOSE(CONTROL!$C$15, $D$11, 100%, $F$11)</f>
        <v>2.7271999999999998</v>
      </c>
      <c r="D37" s="8">
        <f>CHOOSE( CONTROL!$C$32, 2.7203, 2.7157) * CHOOSE( CONTROL!$C$15, $D$11, 100%, $F$11)</f>
        <v>2.7202999999999999</v>
      </c>
      <c r="E37" s="12">
        <f>CHOOSE( CONTROL!$C$32, 2.7212, 2.7167) * CHOOSE( CONTROL!$C$15, $D$11, 100%, $F$11)</f>
        <v>2.7212000000000001</v>
      </c>
      <c r="F37" s="4">
        <f>CHOOSE( CONTROL!$C$32, 3.4052, 3.4006) * CHOOSE(CONTROL!$C$15, $D$11, 100%, $F$11)</f>
        <v>3.4051999999999998</v>
      </c>
      <c r="G37" s="8">
        <f>CHOOSE( CONTROL!$C$32, 2.6459, 2.6415) * CHOOSE( CONTROL!$C$15, $D$11, 100%, $F$11)</f>
        <v>2.6459000000000001</v>
      </c>
      <c r="H37" s="4">
        <f>CHOOSE( CONTROL!$C$32, 3.5786, 3.5741) * CHOOSE(CONTROL!$C$15, $D$11, 100%, $F$11)</f>
        <v>3.5785999999999998</v>
      </c>
      <c r="I37" s="8">
        <f>CHOOSE( CONTROL!$C$32, 2.672, 2.6676) * CHOOSE(CONTROL!$C$15, $D$11, 100%, $F$11)</f>
        <v>2.6720000000000002</v>
      </c>
      <c r="J37" s="4">
        <f>CHOOSE( CONTROL!$C$32, 2.6024, 2.598) * CHOOSE(CONTROL!$C$15, $D$11, 100%, $F$11)</f>
        <v>2.6023999999999998</v>
      </c>
      <c r="K37" s="4"/>
      <c r="L37" s="9">
        <v>29.900200000000002</v>
      </c>
      <c r="M37" s="9">
        <v>11.6745</v>
      </c>
      <c r="N37" s="9">
        <v>4.7850000000000001</v>
      </c>
      <c r="O37" s="9">
        <v>0.36249999999999999</v>
      </c>
      <c r="P37" s="9">
        <v>2.0352000000000001</v>
      </c>
      <c r="Q37" s="9">
        <v>24.267600000000002</v>
      </c>
      <c r="R37" s="9"/>
      <c r="S37" s="11"/>
    </row>
    <row r="38" spans="1:19" ht="15" customHeight="1">
      <c r="A38" s="13">
        <v>43009</v>
      </c>
      <c r="B38" s="8">
        <f>2.7279 * CHOOSE(CONTROL!$C$15, $D$11, 100%, $F$11)</f>
        <v>2.7279</v>
      </c>
      <c r="C38" s="8">
        <f>2.7382 * CHOOSE(CONTROL!$C$15, $D$11, 100%, $F$11)</f>
        <v>2.7382</v>
      </c>
      <c r="D38" s="8">
        <f>2.7321 * CHOOSE( CONTROL!$C$15, $D$11, 100%, $F$11)</f>
        <v>2.7321</v>
      </c>
      <c r="E38" s="12">
        <f>2.733 * CHOOSE( CONTROL!$C$15, $D$11, 100%, $F$11)</f>
        <v>2.7330000000000001</v>
      </c>
      <c r="F38" s="4">
        <f>3.4161 * CHOOSE(CONTROL!$C$15, $D$11, 100%, $F$11)</f>
        <v>3.4161000000000001</v>
      </c>
      <c r="G38" s="8">
        <f>2.6562 * CHOOSE( CONTROL!$C$15, $D$11, 100%, $F$11)</f>
        <v>2.6562000000000001</v>
      </c>
      <c r="H38" s="4">
        <f>3.5894 * CHOOSE(CONTROL!$C$15, $D$11, 100%, $F$11)</f>
        <v>3.5893999999999999</v>
      </c>
      <c r="I38" s="8">
        <f>2.6839 * CHOOSE(CONTROL!$C$15, $D$11, 100%, $F$11)</f>
        <v>2.6839</v>
      </c>
      <c r="J38" s="4">
        <f>2.613 * CHOOSE(CONTROL!$C$15, $D$11, 100%, $F$11)</f>
        <v>2.613</v>
      </c>
      <c r="K38" s="4"/>
      <c r="L38" s="9">
        <v>30.654699999999998</v>
      </c>
      <c r="M38" s="9">
        <v>12.063700000000001</v>
      </c>
      <c r="N38" s="9">
        <v>4.9444999999999997</v>
      </c>
      <c r="O38" s="9">
        <v>0.37459999999999999</v>
      </c>
      <c r="P38" s="9">
        <v>2.1030000000000002</v>
      </c>
      <c r="Q38" s="9">
        <v>25.076499999999999</v>
      </c>
      <c r="R38" s="9"/>
      <c r="S38" s="11"/>
    </row>
    <row r="39" spans="1:19" ht="15" customHeight="1">
      <c r="A39" s="13">
        <v>43040</v>
      </c>
      <c r="B39" s="8">
        <f>2.8023 * CHOOSE(CONTROL!$C$15, $D$11, 100%, $F$11)</f>
        <v>2.8022999999999998</v>
      </c>
      <c r="C39" s="8">
        <f>2.8126 * CHOOSE(CONTROL!$C$15, $D$11, 100%, $F$11)</f>
        <v>2.8126000000000002</v>
      </c>
      <c r="D39" s="8">
        <f>2.7987 * CHOOSE( CONTROL!$C$15, $D$11, 100%, $F$11)</f>
        <v>2.7987000000000002</v>
      </c>
      <c r="E39" s="12">
        <f>2.8027 * CHOOSE( CONTROL!$C$15, $D$11, 100%, $F$11)</f>
        <v>2.8027000000000002</v>
      </c>
      <c r="F39" s="4">
        <f>3.4566 * CHOOSE(CONTROL!$C$15, $D$11, 100%, $F$11)</f>
        <v>3.4565999999999999</v>
      </c>
      <c r="G39" s="8">
        <f>2.7466 * CHOOSE( CONTROL!$C$15, $D$11, 100%, $F$11)</f>
        <v>2.7465999999999999</v>
      </c>
      <c r="H39" s="4">
        <f>3.6292 * CHOOSE(CONTROL!$C$15, $D$11, 100%, $F$11)</f>
        <v>3.6292</v>
      </c>
      <c r="I39" s="8">
        <f>2.789 * CHOOSE(CONTROL!$C$15, $D$11, 100%, $F$11)</f>
        <v>2.7890000000000001</v>
      </c>
      <c r="J39" s="4">
        <f>2.685 * CHOOSE(CONTROL!$C$15, $D$11, 100%, $F$11)</f>
        <v>2.6850000000000001</v>
      </c>
      <c r="K39" s="4"/>
      <c r="L39" s="9">
        <v>28.000499999999999</v>
      </c>
      <c r="M39" s="9">
        <v>11.6745</v>
      </c>
      <c r="N39" s="9">
        <v>4.7850000000000001</v>
      </c>
      <c r="O39" s="9">
        <v>0.36249999999999999</v>
      </c>
      <c r="P39" s="9">
        <v>1.2522</v>
      </c>
      <c r="Q39" s="9">
        <v>24.267600000000002</v>
      </c>
      <c r="R39" s="9"/>
      <c r="S39" s="11"/>
    </row>
    <row r="40" spans="1:19" ht="15" customHeight="1">
      <c r="A40" s="13">
        <v>43070</v>
      </c>
      <c r="B40" s="8">
        <f>2.9409 * CHOOSE(CONTROL!$C$15, $D$11, 100%, $F$11)</f>
        <v>2.9409000000000001</v>
      </c>
      <c r="C40" s="8">
        <f>2.9512 * CHOOSE(CONTROL!$C$15, $D$11, 100%, $F$11)</f>
        <v>2.9512</v>
      </c>
      <c r="D40" s="8">
        <f>2.9397 * CHOOSE( CONTROL!$C$15, $D$11, 100%, $F$11)</f>
        <v>2.9397000000000002</v>
      </c>
      <c r="E40" s="12">
        <f>2.9428 * CHOOSE( CONTROL!$C$15, $D$11, 100%, $F$11)</f>
        <v>2.9428000000000001</v>
      </c>
      <c r="F40" s="4">
        <f>3.5951 * CHOOSE(CONTROL!$C$15, $D$11, 100%, $F$11)</f>
        <v>3.5951</v>
      </c>
      <c r="G40" s="8">
        <f>2.8847 * CHOOSE( CONTROL!$C$15, $D$11, 100%, $F$11)</f>
        <v>2.8847</v>
      </c>
      <c r="H40" s="4">
        <f>3.7655 * CHOOSE(CONTROL!$C$15, $D$11, 100%, $F$11)</f>
        <v>3.7654999999999998</v>
      </c>
      <c r="I40" s="8">
        <f>2.931 * CHOOSE(CONTROL!$C$15, $D$11, 100%, $F$11)</f>
        <v>2.931</v>
      </c>
      <c r="J40" s="4">
        <f>2.819 * CHOOSE(CONTROL!$C$15, $D$11, 100%, $F$11)</f>
        <v>2.819</v>
      </c>
      <c r="K40" s="4"/>
      <c r="L40" s="9">
        <v>28.933900000000001</v>
      </c>
      <c r="M40" s="9">
        <v>12.063700000000001</v>
      </c>
      <c r="N40" s="9">
        <v>4.9444999999999997</v>
      </c>
      <c r="O40" s="9">
        <v>0.37459999999999999</v>
      </c>
      <c r="P40" s="9">
        <v>1.2939000000000001</v>
      </c>
      <c r="Q40" s="9">
        <v>25.076499999999999</v>
      </c>
      <c r="R40" s="9"/>
      <c r="S40" s="11"/>
    </row>
    <row r="41" spans="1:19" ht="15" customHeight="1">
      <c r="A41" s="13">
        <v>43101</v>
      </c>
      <c r="B41" s="8">
        <f>3.0391 * CHOOSE(CONTROL!$C$15, $D$11, 100%, $F$11)</f>
        <v>3.0390999999999999</v>
      </c>
      <c r="C41" s="8">
        <f>3.0494 * CHOOSE(CONTROL!$C$15, $D$11, 100%, $F$11)</f>
        <v>3.0493999999999999</v>
      </c>
      <c r="D41" s="8">
        <f>3.0479 * CHOOSE( CONTROL!$C$15, $D$11, 100%, $F$11)</f>
        <v>3.0478999999999998</v>
      </c>
      <c r="E41" s="12">
        <f>3.0474 * CHOOSE( CONTROL!$C$15, $D$11, 100%, $F$11)</f>
        <v>3.0474000000000001</v>
      </c>
      <c r="F41" s="4">
        <f>3.7218 * CHOOSE(CONTROL!$C$15, $D$11, 100%, $F$11)</f>
        <v>3.7218</v>
      </c>
      <c r="G41" s="8">
        <f>2.9917 * CHOOSE( CONTROL!$C$15, $D$11, 100%, $F$11)</f>
        <v>2.9916999999999998</v>
      </c>
      <c r="H41" s="4">
        <f>3.8901 * CHOOSE(CONTROL!$C$15, $D$11, 100%, $F$11)</f>
        <v>3.8900999999999999</v>
      </c>
      <c r="I41" s="8">
        <f>3.024 * CHOOSE(CONTROL!$C$15, $D$11, 100%, $F$11)</f>
        <v>3.024</v>
      </c>
      <c r="J41" s="4">
        <f>2.914 * CHOOSE(CONTROL!$C$15, $D$11, 100%, $F$11)</f>
        <v>2.9140000000000001</v>
      </c>
      <c r="K41" s="4"/>
      <c r="L41" s="9">
        <v>28.933900000000001</v>
      </c>
      <c r="M41" s="9">
        <v>12.063700000000001</v>
      </c>
      <c r="N41" s="9">
        <v>4.9444999999999997</v>
      </c>
      <c r="O41" s="9">
        <v>0.37459999999999999</v>
      </c>
      <c r="P41" s="9">
        <v>1.2939000000000001</v>
      </c>
      <c r="Q41" s="9">
        <v>24.901700000000002</v>
      </c>
      <c r="R41" s="9"/>
      <c r="S41" s="11"/>
    </row>
    <row r="42" spans="1:19" ht="15" customHeight="1">
      <c r="A42" s="13">
        <v>43132</v>
      </c>
      <c r="B42" s="8">
        <f>3.0215 * CHOOSE(CONTROL!$C$15, $D$11, 100%, $F$11)</f>
        <v>3.0215000000000001</v>
      </c>
      <c r="C42" s="8">
        <f>3.0319 * CHOOSE(CONTROL!$C$15, $D$11, 100%, $F$11)</f>
        <v>3.0318999999999998</v>
      </c>
      <c r="D42" s="8">
        <f>3.0324 * CHOOSE( CONTROL!$C$15, $D$11, 100%, $F$11)</f>
        <v>3.0324</v>
      </c>
      <c r="E42" s="12">
        <f>3.0311 * CHOOSE( CONTROL!$C$15, $D$11, 100%, $F$11)</f>
        <v>3.0310999999999999</v>
      </c>
      <c r="F42" s="4">
        <f>3.6965 * CHOOSE(CONTROL!$C$15, $D$11, 100%, $F$11)</f>
        <v>3.6964999999999999</v>
      </c>
      <c r="G42" s="8">
        <f>2.9741 * CHOOSE( CONTROL!$C$15, $D$11, 100%, $F$11)</f>
        <v>2.9741</v>
      </c>
      <c r="H42" s="4">
        <f>3.8652 * CHOOSE(CONTROL!$C$15, $D$11, 100%, $F$11)</f>
        <v>3.8652000000000002</v>
      </c>
      <c r="I42" s="8">
        <f>2.9961 * CHOOSE(CONTROL!$C$15, $D$11, 100%, $F$11)</f>
        <v>2.9961000000000002</v>
      </c>
      <c r="J42" s="4">
        <f>2.897 * CHOOSE(CONTROL!$C$15, $D$11, 100%, $F$11)</f>
        <v>2.8969999999999998</v>
      </c>
      <c r="K42" s="4"/>
      <c r="L42" s="9">
        <v>26.133800000000001</v>
      </c>
      <c r="M42" s="9">
        <v>10.8962</v>
      </c>
      <c r="N42" s="9">
        <v>4.4660000000000002</v>
      </c>
      <c r="O42" s="9">
        <v>0.33829999999999999</v>
      </c>
      <c r="P42" s="9">
        <v>1.1687000000000001</v>
      </c>
      <c r="Q42" s="9">
        <v>22.491800000000001</v>
      </c>
      <c r="R42" s="9"/>
      <c r="S42" s="11"/>
    </row>
    <row r="43" spans="1:19" ht="15" customHeight="1">
      <c r="A43" s="13">
        <v>43160</v>
      </c>
      <c r="B43" s="8">
        <f>2.9595 * CHOOSE(CONTROL!$C$15, $D$11, 100%, $F$11)</f>
        <v>2.9594999999999998</v>
      </c>
      <c r="C43" s="8">
        <f>2.9698 * CHOOSE(CONTROL!$C$15, $D$11, 100%, $F$11)</f>
        <v>2.9698000000000002</v>
      </c>
      <c r="D43" s="8">
        <f>2.9499 * CHOOSE( CONTROL!$C$15, $D$11, 100%, $F$11)</f>
        <v>2.9499</v>
      </c>
      <c r="E43" s="12">
        <f>2.9561 * CHOOSE( CONTROL!$C$15, $D$11, 100%, $F$11)</f>
        <v>2.9561000000000002</v>
      </c>
      <c r="F43" s="4">
        <f>3.6184 * CHOOSE(CONTROL!$C$15, $D$11, 100%, $F$11)</f>
        <v>3.6183999999999998</v>
      </c>
      <c r="G43" s="8">
        <f>2.8924 * CHOOSE( CONTROL!$C$15, $D$11, 100%, $F$11)</f>
        <v>2.8923999999999999</v>
      </c>
      <c r="H43" s="4">
        <f>3.7884 * CHOOSE(CONTROL!$C$15, $D$11, 100%, $F$11)</f>
        <v>3.7884000000000002</v>
      </c>
      <c r="I43" s="8">
        <f>2.8966 * CHOOSE(CONTROL!$C$15, $D$11, 100%, $F$11)</f>
        <v>2.8965999999999998</v>
      </c>
      <c r="J43" s="4">
        <f>2.837 * CHOOSE(CONTROL!$C$15, $D$11, 100%, $F$11)</f>
        <v>2.8370000000000002</v>
      </c>
      <c r="K43" s="4"/>
      <c r="L43" s="9">
        <v>28.933900000000001</v>
      </c>
      <c r="M43" s="9">
        <v>12.063700000000001</v>
      </c>
      <c r="N43" s="9">
        <v>4.9444999999999997</v>
      </c>
      <c r="O43" s="9">
        <v>0.37459999999999999</v>
      </c>
      <c r="P43" s="9">
        <v>1.2939000000000001</v>
      </c>
      <c r="Q43" s="9">
        <v>24.901700000000002</v>
      </c>
      <c r="R43" s="9"/>
      <c r="S43" s="11"/>
    </row>
    <row r="44" spans="1:19" ht="15" customHeight="1">
      <c r="A44" s="13">
        <v>43191</v>
      </c>
      <c r="B44" s="8">
        <f>2.6751 * CHOOSE(CONTROL!$C$15, $D$11, 100%, $F$11)</f>
        <v>2.6751</v>
      </c>
      <c r="C44" s="8">
        <f>2.6855 * CHOOSE(CONTROL!$C$15, $D$11, 100%, $F$11)</f>
        <v>2.6855000000000002</v>
      </c>
      <c r="D44" s="8">
        <f>2.677 * CHOOSE( CONTROL!$C$15, $D$11, 100%, $F$11)</f>
        <v>2.677</v>
      </c>
      <c r="E44" s="12">
        <f>2.6786 * CHOOSE( CONTROL!$C$15, $D$11, 100%, $F$11)</f>
        <v>2.6785999999999999</v>
      </c>
      <c r="F44" s="4">
        <f>3.3242 * CHOOSE(CONTROL!$C$15, $D$11, 100%, $F$11)</f>
        <v>3.3241999999999998</v>
      </c>
      <c r="G44" s="8">
        <f>2.5974 * CHOOSE( CONTROL!$C$15, $D$11, 100%, $F$11)</f>
        <v>2.5973999999999999</v>
      </c>
      <c r="H44" s="4">
        <f>3.4989 * CHOOSE(CONTROL!$C$15, $D$11, 100%, $F$11)</f>
        <v>3.4988999999999999</v>
      </c>
      <c r="I44" s="8">
        <f>2.6182 * CHOOSE(CONTROL!$C$15, $D$11, 100%, $F$11)</f>
        <v>2.6181999999999999</v>
      </c>
      <c r="J44" s="4">
        <f>2.562 * CHOOSE(CONTROL!$C$15, $D$11, 100%, $F$11)</f>
        <v>2.5619999999999998</v>
      </c>
      <c r="K44" s="4"/>
      <c r="L44" s="9">
        <v>29.665800000000001</v>
      </c>
      <c r="M44" s="9">
        <v>11.6745</v>
      </c>
      <c r="N44" s="9">
        <v>4.7850000000000001</v>
      </c>
      <c r="O44" s="9">
        <v>0.36249999999999999</v>
      </c>
      <c r="P44" s="9">
        <v>1.1798</v>
      </c>
      <c r="Q44" s="9">
        <v>24.098400000000002</v>
      </c>
      <c r="R44" s="9"/>
      <c r="S44" s="11"/>
    </row>
    <row r="45" spans="1:19" ht="15" customHeight="1">
      <c r="A45" s="13">
        <v>43221</v>
      </c>
      <c r="B45" s="8">
        <f>CHOOSE( CONTROL!$C$32, 2.6755, 2.671) * CHOOSE(CONTROL!$C$15, $D$11, 100%, $F$11)</f>
        <v>2.6755</v>
      </c>
      <c r="C45" s="8">
        <f>CHOOSE( CONTROL!$C$32, 2.6858, 2.6813) * CHOOSE(CONTROL!$C$15, $D$11, 100%, $F$11)</f>
        <v>2.6858</v>
      </c>
      <c r="D45" s="8">
        <f>CHOOSE( CONTROL!$C$32, 2.6955, 2.691) * CHOOSE( CONTROL!$C$15, $D$11, 100%, $F$11)</f>
        <v>2.6955</v>
      </c>
      <c r="E45" s="12">
        <f>CHOOSE( CONTROL!$C$32, 2.6904, 2.6859) * CHOOSE( CONTROL!$C$15, $D$11, 100%, $F$11)</f>
        <v>2.6903999999999999</v>
      </c>
      <c r="F45" s="4">
        <f>CHOOSE( CONTROL!$C$32, 3.3638, 3.3593) * CHOOSE(CONTROL!$C$15, $D$11, 100%, $F$11)</f>
        <v>3.3637999999999999</v>
      </c>
      <c r="G45" s="8">
        <f>CHOOSE( CONTROL!$C$32, 2.6029, 2.5984) * CHOOSE( CONTROL!$C$15, $D$11, 100%, $F$11)</f>
        <v>2.6029</v>
      </c>
      <c r="H45" s="4">
        <f>CHOOSE( CONTROL!$C$32, 3.5379, 3.5334) * CHOOSE(CONTROL!$C$15, $D$11, 100%, $F$11)</f>
        <v>3.5379</v>
      </c>
      <c r="I45" s="8">
        <f>CHOOSE( CONTROL!$C$32, 2.6245, 2.6201) * CHOOSE(CONTROL!$C$15, $D$11, 100%, $F$11)</f>
        <v>2.6244999999999998</v>
      </c>
      <c r="J45" s="4">
        <f>CHOOSE( CONTROL!$C$32, 2.5624, 2.558) * CHOOSE(CONTROL!$C$15, $D$11, 100%, $F$11)</f>
        <v>2.5623999999999998</v>
      </c>
      <c r="K45" s="4"/>
      <c r="L45" s="9">
        <v>30.896899999999999</v>
      </c>
      <c r="M45" s="9">
        <v>12.063700000000001</v>
      </c>
      <c r="N45" s="9">
        <v>4.9444999999999997</v>
      </c>
      <c r="O45" s="9">
        <v>0.37459999999999999</v>
      </c>
      <c r="P45" s="9">
        <v>1.2192000000000001</v>
      </c>
      <c r="Q45" s="9">
        <v>24.901700000000002</v>
      </c>
      <c r="R45" s="9"/>
      <c r="S45" s="11"/>
    </row>
    <row r="46" spans="1:19" ht="15" customHeight="1">
      <c r="A46" s="13">
        <v>43252</v>
      </c>
      <c r="B46" s="8">
        <f>CHOOSE( CONTROL!$C$32, 2.7076, 2.703) * CHOOSE(CONTROL!$C$15, $D$11, 100%, $F$11)</f>
        <v>2.7075999999999998</v>
      </c>
      <c r="C46" s="8">
        <f>CHOOSE( CONTROL!$C$32, 2.7179, 2.7134) * CHOOSE(CONTROL!$C$15, $D$11, 100%, $F$11)</f>
        <v>2.7179000000000002</v>
      </c>
      <c r="D46" s="8">
        <f>CHOOSE( CONTROL!$C$32, 2.7282, 2.7237) * CHOOSE( CONTROL!$C$15, $D$11, 100%, $F$11)</f>
        <v>2.7282000000000002</v>
      </c>
      <c r="E46" s="12">
        <f>CHOOSE( CONTROL!$C$32, 2.7229, 2.7184) * CHOOSE( CONTROL!$C$15, $D$11, 100%, $F$11)</f>
        <v>2.7229000000000001</v>
      </c>
      <c r="F46" s="4">
        <f>CHOOSE( CONTROL!$C$32, 3.3959, 3.3913) * CHOOSE(CONTROL!$C$15, $D$11, 100%, $F$11)</f>
        <v>3.3959000000000001</v>
      </c>
      <c r="G46" s="8">
        <f>CHOOSE( CONTROL!$C$32, 2.6353, 2.6309) * CHOOSE( CONTROL!$C$15, $D$11, 100%, $F$11)</f>
        <v>2.6353</v>
      </c>
      <c r="H46" s="4">
        <f>CHOOSE( CONTROL!$C$32, 3.5694, 3.565) * CHOOSE(CONTROL!$C$15, $D$11, 100%, $F$11)</f>
        <v>3.5693999999999999</v>
      </c>
      <c r="I46" s="8">
        <f>CHOOSE( CONTROL!$C$32, 2.6585, 2.6541) * CHOOSE(CONTROL!$C$15, $D$11, 100%, $F$11)</f>
        <v>2.6585000000000001</v>
      </c>
      <c r="J46" s="4">
        <f>CHOOSE( CONTROL!$C$32, 2.5934, 2.589) * CHOOSE(CONTROL!$C$15, $D$11, 100%, $F$11)</f>
        <v>2.5933999999999999</v>
      </c>
      <c r="K46" s="4"/>
      <c r="L46" s="9">
        <v>29.900200000000002</v>
      </c>
      <c r="M46" s="9">
        <v>11.6745</v>
      </c>
      <c r="N46" s="9">
        <v>4.7850000000000001</v>
      </c>
      <c r="O46" s="9">
        <v>0.36249999999999999</v>
      </c>
      <c r="P46" s="9">
        <v>1.1798</v>
      </c>
      <c r="Q46" s="9">
        <v>24.098400000000002</v>
      </c>
      <c r="R46" s="9"/>
      <c r="S46" s="11"/>
    </row>
    <row r="47" spans="1:19" ht="15" customHeight="1">
      <c r="A47" s="13">
        <v>43282</v>
      </c>
      <c r="B47" s="8">
        <f>CHOOSE( CONTROL!$C$32, 2.7427, 2.7382) * CHOOSE(CONTROL!$C$15, $D$11, 100%, $F$11)</f>
        <v>2.7427000000000001</v>
      </c>
      <c r="C47" s="8">
        <f>CHOOSE( CONTROL!$C$32, 2.7531, 2.7485) * CHOOSE(CONTROL!$C$15, $D$11, 100%, $F$11)</f>
        <v>2.7530999999999999</v>
      </c>
      <c r="D47" s="8">
        <f>CHOOSE( CONTROL!$C$32, 2.7639, 2.7594) * CHOOSE( CONTROL!$C$15, $D$11, 100%, $F$11)</f>
        <v>2.7639</v>
      </c>
      <c r="E47" s="12">
        <f>CHOOSE( CONTROL!$C$32, 2.7584, 2.7539) * CHOOSE( CONTROL!$C$15, $D$11, 100%, $F$11)</f>
        <v>2.7584</v>
      </c>
      <c r="F47" s="4">
        <f>CHOOSE( CONTROL!$C$32, 3.431, 3.4265) * CHOOSE(CONTROL!$C$15, $D$11, 100%, $F$11)</f>
        <v>3.431</v>
      </c>
      <c r="G47" s="8">
        <f>CHOOSE( CONTROL!$C$32, 2.6708, 2.6663) * CHOOSE( CONTROL!$C$15, $D$11, 100%, $F$11)</f>
        <v>2.6707999999999998</v>
      </c>
      <c r="H47" s="4">
        <f>CHOOSE( CONTROL!$C$32, 3.604, 3.5996) * CHOOSE(CONTROL!$C$15, $D$11, 100%, $F$11)</f>
        <v>3.6040000000000001</v>
      </c>
      <c r="I47" s="8">
        <f>CHOOSE( CONTROL!$C$32, 2.6952, 2.6908) * CHOOSE(CONTROL!$C$15, $D$11, 100%, $F$11)</f>
        <v>2.6951999999999998</v>
      </c>
      <c r="J47" s="4">
        <f>CHOOSE( CONTROL!$C$32, 2.6274, 2.623) * CHOOSE(CONTROL!$C$15, $D$11, 100%, $F$11)</f>
        <v>2.6274000000000002</v>
      </c>
      <c r="K47" s="4"/>
      <c r="L47" s="9">
        <v>30.896899999999999</v>
      </c>
      <c r="M47" s="9">
        <v>12.063700000000001</v>
      </c>
      <c r="N47" s="9">
        <v>4.9444999999999997</v>
      </c>
      <c r="O47" s="9">
        <v>0.37459999999999999</v>
      </c>
      <c r="P47" s="9">
        <v>1.2192000000000001</v>
      </c>
      <c r="Q47" s="9">
        <v>24.901700000000002</v>
      </c>
      <c r="R47" s="9"/>
      <c r="S47" s="11"/>
    </row>
    <row r="48" spans="1:19" ht="15" customHeight="1">
      <c r="A48" s="13">
        <v>43313</v>
      </c>
      <c r="B48" s="8">
        <f>CHOOSE( CONTROL!$C$32, 2.752, 2.7475) * CHOOSE(CONTROL!$C$15, $D$11, 100%, $F$11)</f>
        <v>2.7519999999999998</v>
      </c>
      <c r="C48" s="8">
        <f>CHOOSE( CONTROL!$C$32, 2.7624, 2.7578) * CHOOSE(CONTROL!$C$15, $D$11, 100%, $F$11)</f>
        <v>2.7624</v>
      </c>
      <c r="D48" s="8">
        <f>CHOOSE( CONTROL!$C$32, 2.7735, 2.769) * CHOOSE( CONTROL!$C$15, $D$11, 100%, $F$11)</f>
        <v>2.7734999999999999</v>
      </c>
      <c r="E48" s="12">
        <f>CHOOSE( CONTROL!$C$32, 2.7679, 2.7634) * CHOOSE( CONTROL!$C$15, $D$11, 100%, $F$11)</f>
        <v>2.7679</v>
      </c>
      <c r="F48" s="4">
        <f>CHOOSE( CONTROL!$C$32, 3.4403, 3.4358) * CHOOSE(CONTROL!$C$15, $D$11, 100%, $F$11)</f>
        <v>3.4403000000000001</v>
      </c>
      <c r="G48" s="8">
        <f>CHOOSE( CONTROL!$C$32, 2.6804, 2.6759) * CHOOSE( CONTROL!$C$15, $D$11, 100%, $F$11)</f>
        <v>2.6804000000000001</v>
      </c>
      <c r="H48" s="4">
        <f>CHOOSE( CONTROL!$C$32, 3.6132, 3.6087) * CHOOSE(CONTROL!$C$15, $D$11, 100%, $F$11)</f>
        <v>3.6132</v>
      </c>
      <c r="I48" s="8">
        <f>CHOOSE( CONTROL!$C$32, 2.7056, 2.7012) * CHOOSE(CONTROL!$C$15, $D$11, 100%, $F$11)</f>
        <v>2.7056</v>
      </c>
      <c r="J48" s="4">
        <f>CHOOSE( CONTROL!$C$32, 2.6364, 2.632) * CHOOSE(CONTROL!$C$15, $D$11, 100%, $F$11)</f>
        <v>2.6364000000000001</v>
      </c>
      <c r="K48" s="4"/>
      <c r="L48" s="9">
        <v>30.896899999999999</v>
      </c>
      <c r="M48" s="9">
        <v>12.063700000000001</v>
      </c>
      <c r="N48" s="9">
        <v>4.9444999999999997</v>
      </c>
      <c r="O48" s="9">
        <v>0.37459999999999999</v>
      </c>
      <c r="P48" s="9">
        <v>1.2192000000000001</v>
      </c>
      <c r="Q48" s="9">
        <v>24.901700000000002</v>
      </c>
      <c r="R48" s="9"/>
      <c r="S48" s="11"/>
    </row>
    <row r="49" spans="1:19" ht="15" customHeight="1">
      <c r="A49" s="13">
        <v>43344</v>
      </c>
      <c r="B49" s="8">
        <f>CHOOSE( CONTROL!$C$32, 2.7417, 2.7372) * CHOOSE(CONTROL!$C$15, $D$11, 100%, $F$11)</f>
        <v>2.7416999999999998</v>
      </c>
      <c r="C49" s="8">
        <f>CHOOSE( CONTROL!$C$32, 2.752, 2.7475) * CHOOSE(CONTROL!$C$15, $D$11, 100%, $F$11)</f>
        <v>2.7519999999999998</v>
      </c>
      <c r="D49" s="8">
        <f>CHOOSE( CONTROL!$C$32, 2.7633, 2.7588) * CHOOSE( CONTROL!$C$15, $D$11, 100%, $F$11)</f>
        <v>2.7633000000000001</v>
      </c>
      <c r="E49" s="12">
        <f>CHOOSE( CONTROL!$C$32, 2.7576, 2.7531) * CHOOSE( CONTROL!$C$15, $D$11, 100%, $F$11)</f>
        <v>2.7576000000000001</v>
      </c>
      <c r="F49" s="4">
        <f>CHOOSE( CONTROL!$C$32, 3.43, 3.4255) * CHOOSE(CONTROL!$C$15, $D$11, 100%, $F$11)</f>
        <v>3.43</v>
      </c>
      <c r="G49" s="8">
        <f>CHOOSE( CONTROL!$C$32, 2.6703, 2.6659) * CHOOSE( CONTROL!$C$15, $D$11, 100%, $F$11)</f>
        <v>2.6703000000000001</v>
      </c>
      <c r="H49" s="4">
        <f>CHOOSE( CONTROL!$C$32, 3.603, 3.5986) * CHOOSE(CONTROL!$C$15, $D$11, 100%, $F$11)</f>
        <v>3.6030000000000002</v>
      </c>
      <c r="I49" s="8">
        <f>CHOOSE( CONTROL!$C$32, 2.696, 2.6917) * CHOOSE(CONTROL!$C$15, $D$11, 100%, $F$11)</f>
        <v>2.6960000000000002</v>
      </c>
      <c r="J49" s="4">
        <f>CHOOSE( CONTROL!$C$32, 2.6264, 2.622) * CHOOSE(CONTROL!$C$15, $D$11, 100%, $F$11)</f>
        <v>2.6263999999999998</v>
      </c>
      <c r="K49" s="4"/>
      <c r="L49" s="9">
        <v>29.900200000000002</v>
      </c>
      <c r="M49" s="9">
        <v>11.6745</v>
      </c>
      <c r="N49" s="9">
        <v>4.7850000000000001</v>
      </c>
      <c r="O49" s="9">
        <v>0.36249999999999999</v>
      </c>
      <c r="P49" s="9">
        <v>1.1798</v>
      </c>
      <c r="Q49" s="9">
        <v>24.098400000000002</v>
      </c>
      <c r="R49" s="9"/>
      <c r="S49" s="11"/>
    </row>
    <row r="50" spans="1:19" ht="15" customHeight="1">
      <c r="A50" s="13">
        <v>43374</v>
      </c>
      <c r="B50" s="8">
        <f>2.7578 * CHOOSE(CONTROL!$C$15, $D$11, 100%, $F$11)</f>
        <v>2.7578</v>
      </c>
      <c r="C50" s="8">
        <f>2.7682 * CHOOSE(CONTROL!$C$15, $D$11, 100%, $F$11)</f>
        <v>2.7682000000000002</v>
      </c>
      <c r="D50" s="8">
        <f>2.7806 * CHOOSE( CONTROL!$C$15, $D$11, 100%, $F$11)</f>
        <v>2.7806000000000002</v>
      </c>
      <c r="E50" s="12">
        <f>2.7754 * CHOOSE( CONTROL!$C$15, $D$11, 100%, $F$11)</f>
        <v>2.7753999999999999</v>
      </c>
      <c r="F50" s="4">
        <f>3.4461 * CHOOSE(CONTROL!$C$15, $D$11, 100%, $F$11)</f>
        <v>3.4460999999999999</v>
      </c>
      <c r="G50" s="8">
        <f>2.6857 * CHOOSE( CONTROL!$C$15, $D$11, 100%, $F$11)</f>
        <v>2.6857000000000002</v>
      </c>
      <c r="H50" s="4">
        <f>3.6189 * CHOOSE(CONTROL!$C$15, $D$11, 100%, $F$11)</f>
        <v>3.6189</v>
      </c>
      <c r="I50" s="8">
        <f>2.7129 * CHOOSE(CONTROL!$C$15, $D$11, 100%, $F$11)</f>
        <v>2.7128999999999999</v>
      </c>
      <c r="J50" s="4">
        <f>2.642 * CHOOSE(CONTROL!$C$15, $D$11, 100%, $F$11)</f>
        <v>2.6419999999999999</v>
      </c>
      <c r="K50" s="4"/>
      <c r="L50" s="9">
        <v>30.654699999999998</v>
      </c>
      <c r="M50" s="9">
        <v>12.063700000000001</v>
      </c>
      <c r="N50" s="9">
        <v>4.9444999999999997</v>
      </c>
      <c r="O50" s="9">
        <v>0.37459999999999999</v>
      </c>
      <c r="P50" s="9">
        <v>1.2192000000000001</v>
      </c>
      <c r="Q50" s="9">
        <v>24.901700000000002</v>
      </c>
      <c r="R50" s="9"/>
      <c r="S50" s="11"/>
    </row>
    <row r="51" spans="1:19" ht="15" customHeight="1">
      <c r="A51" s="13">
        <v>43405</v>
      </c>
      <c r="B51" s="8">
        <f>2.8364 * CHOOSE(CONTROL!$C$15, $D$11, 100%, $F$11)</f>
        <v>2.8363999999999998</v>
      </c>
      <c r="C51" s="8">
        <f>2.8468 * CHOOSE(CONTROL!$C$15, $D$11, 100%, $F$11)</f>
        <v>2.8468</v>
      </c>
      <c r="D51" s="8">
        <f>2.8328 * CHOOSE( CONTROL!$C$15, $D$11, 100%, $F$11)</f>
        <v>2.8328000000000002</v>
      </c>
      <c r="E51" s="12">
        <f>2.8368 * CHOOSE( CONTROL!$C$15, $D$11, 100%, $F$11)</f>
        <v>2.8368000000000002</v>
      </c>
      <c r="F51" s="4">
        <f>3.4907 * CHOOSE(CONTROL!$C$15, $D$11, 100%, $F$11)</f>
        <v>3.4906999999999999</v>
      </c>
      <c r="G51" s="8">
        <f>2.7802 * CHOOSE( CONTROL!$C$15, $D$11, 100%, $F$11)</f>
        <v>2.7801999999999998</v>
      </c>
      <c r="H51" s="4">
        <f>3.6627 * CHOOSE(CONTROL!$C$15, $D$11, 100%, $F$11)</f>
        <v>3.6627000000000001</v>
      </c>
      <c r="I51" s="8">
        <f>2.822 * CHOOSE(CONTROL!$C$15, $D$11, 100%, $F$11)</f>
        <v>2.8220000000000001</v>
      </c>
      <c r="J51" s="4">
        <f>2.718 * CHOOSE(CONTROL!$C$15, $D$11, 100%, $F$11)</f>
        <v>2.718</v>
      </c>
      <c r="K51" s="4"/>
      <c r="L51" s="9">
        <v>28.000499999999999</v>
      </c>
      <c r="M51" s="9">
        <v>11.6745</v>
      </c>
      <c r="N51" s="9">
        <v>4.7850000000000001</v>
      </c>
      <c r="O51" s="9">
        <v>0.36249999999999999</v>
      </c>
      <c r="P51" s="9">
        <v>1.2522</v>
      </c>
      <c r="Q51" s="9">
        <v>24.098400000000002</v>
      </c>
      <c r="R51" s="9"/>
      <c r="S51" s="11"/>
    </row>
    <row r="52" spans="1:19" ht="15" customHeight="1">
      <c r="A52" s="13">
        <v>43435</v>
      </c>
      <c r="B52" s="8">
        <f>2.9708 * CHOOSE(CONTROL!$C$15, $D$11, 100%, $F$11)</f>
        <v>2.9708000000000001</v>
      </c>
      <c r="C52" s="8">
        <f>2.9812 * CHOOSE(CONTROL!$C$15, $D$11, 100%, $F$11)</f>
        <v>2.9811999999999999</v>
      </c>
      <c r="D52" s="8">
        <f>2.9697 * CHOOSE( CONTROL!$C$15, $D$11, 100%, $F$11)</f>
        <v>2.9697</v>
      </c>
      <c r="E52" s="12">
        <f>2.9728 * CHOOSE( CONTROL!$C$15, $D$11, 100%, $F$11)</f>
        <v>2.9727999999999999</v>
      </c>
      <c r="F52" s="4">
        <f>3.6251 * CHOOSE(CONTROL!$C$15, $D$11, 100%, $F$11)</f>
        <v>3.6251000000000002</v>
      </c>
      <c r="G52" s="8">
        <f>2.9143 * CHOOSE( CONTROL!$C$15, $D$11, 100%, $F$11)</f>
        <v>2.9142999999999999</v>
      </c>
      <c r="H52" s="4">
        <f>3.795 * CHOOSE(CONTROL!$C$15, $D$11, 100%, $F$11)</f>
        <v>3.7949999999999999</v>
      </c>
      <c r="I52" s="8">
        <f>2.96 * CHOOSE(CONTROL!$C$15, $D$11, 100%, $F$11)</f>
        <v>2.96</v>
      </c>
      <c r="J52" s="4">
        <f>2.848 * CHOOSE(CONTROL!$C$15, $D$11, 100%, $F$11)</f>
        <v>2.8479999999999999</v>
      </c>
      <c r="K52" s="4"/>
      <c r="L52" s="9">
        <v>28.933900000000001</v>
      </c>
      <c r="M52" s="9">
        <v>12.063700000000001</v>
      </c>
      <c r="N52" s="9">
        <v>4.9444999999999997</v>
      </c>
      <c r="O52" s="9">
        <v>0.37459999999999999</v>
      </c>
      <c r="P52" s="9">
        <v>1.2939000000000001</v>
      </c>
      <c r="Q52" s="9">
        <v>24.901700000000002</v>
      </c>
      <c r="R52" s="9"/>
      <c r="S52" s="11"/>
    </row>
    <row r="53" spans="1:19" ht="15" customHeight="1">
      <c r="A53" s="13">
        <v>43466</v>
      </c>
      <c r="B53" s="8">
        <f>3.8294 * CHOOSE(CONTROL!$C$15, $D$11, 100%, $F$11)</f>
        <v>3.8294000000000001</v>
      </c>
      <c r="C53" s="8">
        <f>3.8397 * CHOOSE(CONTROL!$C$15, $D$11, 100%, $F$11)</f>
        <v>3.8397000000000001</v>
      </c>
      <c r="D53" s="8">
        <f>3.8382 * CHOOSE( CONTROL!$C$15, $D$11, 100%, $F$11)</f>
        <v>3.8382000000000001</v>
      </c>
      <c r="E53" s="12">
        <f>3.8377 * CHOOSE( CONTROL!$C$15, $D$11, 100%, $F$11)</f>
        <v>3.8376999999999999</v>
      </c>
      <c r="F53" s="4">
        <f>4.5121 * CHOOSE(CONTROL!$C$15, $D$11, 100%, $F$11)</f>
        <v>4.5121000000000002</v>
      </c>
      <c r="G53" s="8">
        <f>3.7692 * CHOOSE( CONTROL!$C$15, $D$11, 100%, $F$11)</f>
        <v>3.7692000000000001</v>
      </c>
      <c r="H53" s="4">
        <f>4.6676 * CHOOSE(CONTROL!$C$15, $D$11, 100%, $F$11)</f>
        <v>4.6676000000000002</v>
      </c>
      <c r="I53" s="8">
        <f>3.7887 * CHOOSE(CONTROL!$C$15, $D$11, 100%, $F$11)</f>
        <v>3.7887</v>
      </c>
      <c r="J53" s="4">
        <f>3.6783 * CHOOSE(CONTROL!$C$15, $D$11, 100%, $F$11)</f>
        <v>3.6783000000000001</v>
      </c>
      <c r="K53" s="4"/>
      <c r="L53" s="9">
        <v>28.933900000000001</v>
      </c>
      <c r="M53" s="9">
        <v>12.063700000000001</v>
      </c>
      <c r="N53" s="9">
        <v>4.9444999999999997</v>
      </c>
      <c r="O53" s="9">
        <v>0.37459999999999999</v>
      </c>
      <c r="P53" s="9">
        <v>1.2939000000000001</v>
      </c>
      <c r="Q53" s="9">
        <v>24.651199999999999</v>
      </c>
      <c r="R53" s="9"/>
      <c r="S53" s="11"/>
    </row>
    <row r="54" spans="1:19" ht="15" customHeight="1">
      <c r="A54" s="13">
        <v>43497</v>
      </c>
      <c r="B54" s="8">
        <f>3.5835 * CHOOSE(CONTROL!$C$15, $D$11, 100%, $F$11)</f>
        <v>3.5834999999999999</v>
      </c>
      <c r="C54" s="8">
        <f>3.5938 * CHOOSE(CONTROL!$C$15, $D$11, 100%, $F$11)</f>
        <v>3.5937999999999999</v>
      </c>
      <c r="D54" s="8">
        <f>3.5944 * CHOOSE( CONTROL!$C$15, $D$11, 100%, $F$11)</f>
        <v>3.5943999999999998</v>
      </c>
      <c r="E54" s="12">
        <f>3.5931 * CHOOSE( CONTROL!$C$15, $D$11, 100%, $F$11)</f>
        <v>3.5931000000000002</v>
      </c>
      <c r="F54" s="4">
        <f>4.2584 * CHOOSE(CONTROL!$C$15, $D$11, 100%, $F$11)</f>
        <v>4.2584</v>
      </c>
      <c r="G54" s="8">
        <f>3.527 * CHOOSE( CONTROL!$C$15, $D$11, 100%, $F$11)</f>
        <v>3.5270000000000001</v>
      </c>
      <c r="H54" s="4">
        <f>4.4181 * CHOOSE(CONTROL!$C$15, $D$11, 100%, $F$11)</f>
        <v>4.4180999999999999</v>
      </c>
      <c r="I54" s="8">
        <f>3.5399 * CHOOSE(CONTROL!$C$15, $D$11, 100%, $F$11)</f>
        <v>3.5398999999999998</v>
      </c>
      <c r="J54" s="4">
        <f>3.4405 * CHOOSE(CONTROL!$C$15, $D$11, 100%, $F$11)</f>
        <v>3.4405000000000001</v>
      </c>
      <c r="K54" s="4"/>
      <c r="L54" s="9">
        <v>26.133800000000001</v>
      </c>
      <c r="M54" s="9">
        <v>10.8962</v>
      </c>
      <c r="N54" s="9">
        <v>4.4660000000000002</v>
      </c>
      <c r="O54" s="9">
        <v>0.33829999999999999</v>
      </c>
      <c r="P54" s="9">
        <v>1.1687000000000001</v>
      </c>
      <c r="Q54" s="9">
        <v>22.265599999999999</v>
      </c>
      <c r="R54" s="9"/>
      <c r="S54" s="11"/>
    </row>
    <row r="55" spans="1:19" ht="15" customHeight="1">
      <c r="A55" s="13">
        <v>43525</v>
      </c>
      <c r="B55" s="8">
        <f>3.5078 * CHOOSE(CONTROL!$C$15, $D$11, 100%, $F$11)</f>
        <v>3.5078</v>
      </c>
      <c r="C55" s="8">
        <f>3.5181 * CHOOSE(CONTROL!$C$15, $D$11, 100%, $F$11)</f>
        <v>3.5181</v>
      </c>
      <c r="D55" s="8">
        <f>3.4982 * CHOOSE( CONTROL!$C$15, $D$11, 100%, $F$11)</f>
        <v>3.4982000000000002</v>
      </c>
      <c r="E55" s="12">
        <f>3.5044 * CHOOSE( CONTROL!$C$15, $D$11, 100%, $F$11)</f>
        <v>3.5044</v>
      </c>
      <c r="F55" s="4">
        <f>4.1667 * CHOOSE(CONTROL!$C$15, $D$11, 100%, $F$11)</f>
        <v>4.1666999999999996</v>
      </c>
      <c r="G55" s="8">
        <f>3.4318 * CHOOSE( CONTROL!$C$15, $D$11, 100%, $F$11)</f>
        <v>3.4318</v>
      </c>
      <c r="H55" s="4">
        <f>4.3278 * CHOOSE(CONTROL!$C$15, $D$11, 100%, $F$11)</f>
        <v>4.3277999999999999</v>
      </c>
      <c r="I55" s="8">
        <f>3.4271 * CHOOSE(CONTROL!$C$15, $D$11, 100%, $F$11)</f>
        <v>3.4270999999999998</v>
      </c>
      <c r="J55" s="4">
        <f>3.3673 * CHOOSE(CONTROL!$C$15, $D$11, 100%, $F$11)</f>
        <v>3.3673000000000002</v>
      </c>
      <c r="K55" s="4"/>
      <c r="L55" s="9">
        <v>28.933900000000001</v>
      </c>
      <c r="M55" s="9">
        <v>12.063700000000001</v>
      </c>
      <c r="N55" s="9">
        <v>4.9444999999999997</v>
      </c>
      <c r="O55" s="9">
        <v>0.37459999999999999</v>
      </c>
      <c r="P55" s="9">
        <v>1.2939000000000001</v>
      </c>
      <c r="Q55" s="9">
        <v>24.651199999999999</v>
      </c>
      <c r="R55" s="9"/>
      <c r="S55" s="11"/>
    </row>
    <row r="56" spans="1:19" ht="15" customHeight="1">
      <c r="A56" s="13">
        <v>43556</v>
      </c>
      <c r="B56" s="8">
        <f>3.5607 * CHOOSE(CONTROL!$C$15, $D$11, 100%, $F$11)</f>
        <v>3.5607000000000002</v>
      </c>
      <c r="C56" s="8">
        <f>3.571 * CHOOSE(CONTROL!$C$15, $D$11, 100%, $F$11)</f>
        <v>3.5710000000000002</v>
      </c>
      <c r="D56" s="8">
        <f>3.5626 * CHOOSE( CONTROL!$C$15, $D$11, 100%, $F$11)</f>
        <v>3.5626000000000002</v>
      </c>
      <c r="E56" s="12">
        <f>3.5642 * CHOOSE( CONTROL!$C$15, $D$11, 100%, $F$11)</f>
        <v>3.5642</v>
      </c>
      <c r="F56" s="4">
        <f>4.2098 * CHOOSE(CONTROL!$C$15, $D$11, 100%, $F$11)</f>
        <v>4.2098000000000004</v>
      </c>
      <c r="G56" s="8">
        <f>3.4687 * CHOOSE( CONTROL!$C$15, $D$11, 100%, $F$11)</f>
        <v>3.4687000000000001</v>
      </c>
      <c r="H56" s="4">
        <f>4.3702 * CHOOSE(CONTROL!$C$15, $D$11, 100%, $F$11)</f>
        <v>4.3701999999999996</v>
      </c>
      <c r="I56" s="8">
        <f>3.4751 * CHOOSE(CONTROL!$C$15, $D$11, 100%, $F$11)</f>
        <v>3.4750999999999999</v>
      </c>
      <c r="J56" s="4">
        <f>3.4184 * CHOOSE(CONTROL!$C$15, $D$11, 100%, $F$11)</f>
        <v>3.4184000000000001</v>
      </c>
      <c r="K56" s="4"/>
      <c r="L56" s="9">
        <v>29.665800000000001</v>
      </c>
      <c r="M56" s="9">
        <v>11.6745</v>
      </c>
      <c r="N56" s="9">
        <v>4.7850000000000001</v>
      </c>
      <c r="O56" s="9">
        <v>0.36249999999999999</v>
      </c>
      <c r="P56" s="9">
        <v>1.1798</v>
      </c>
      <c r="Q56" s="9">
        <v>23.856000000000002</v>
      </c>
      <c r="R56" s="9"/>
      <c r="S56" s="11"/>
    </row>
    <row r="57" spans="1:19" ht="15" customHeight="1">
      <c r="A57" s="13">
        <v>43586</v>
      </c>
      <c r="B57" s="8">
        <f>CHOOSE( CONTROL!$C$32, 3.6594, 3.6549) * CHOOSE(CONTROL!$C$15, $D$11, 100%, $F$11)</f>
        <v>3.6594000000000002</v>
      </c>
      <c r="C57" s="8">
        <f>CHOOSE( CONTROL!$C$32, 3.6697, 3.6652) * CHOOSE(CONTROL!$C$15, $D$11, 100%, $F$11)</f>
        <v>3.6697000000000002</v>
      </c>
      <c r="D57" s="8">
        <f>CHOOSE( CONTROL!$C$32, 3.6794, 3.6749) * CHOOSE( CONTROL!$C$15, $D$11, 100%, $F$11)</f>
        <v>3.6793999999999998</v>
      </c>
      <c r="E57" s="12">
        <f>CHOOSE( CONTROL!$C$32, 3.6743, 3.6698) * CHOOSE( CONTROL!$C$15, $D$11, 100%, $F$11)</f>
        <v>3.6743000000000001</v>
      </c>
      <c r="F57" s="4">
        <f>CHOOSE( CONTROL!$C$32, 4.3477, 4.3432) * CHOOSE(CONTROL!$C$15, $D$11, 100%, $F$11)</f>
        <v>4.3476999999999997</v>
      </c>
      <c r="G57" s="8">
        <f>CHOOSE( CONTROL!$C$32, 3.5708, 3.5664) * CHOOSE( CONTROL!$C$15, $D$11, 100%, $F$11)</f>
        <v>3.5708000000000002</v>
      </c>
      <c r="H57" s="4">
        <f>CHOOSE( CONTROL!$C$32, 4.5059, 4.5014) * CHOOSE(CONTROL!$C$15, $D$11, 100%, $F$11)</f>
        <v>4.5058999999999996</v>
      </c>
      <c r="I57" s="8">
        <f>CHOOSE( CONTROL!$C$32, 3.5765, 3.5721) * CHOOSE(CONTROL!$C$15, $D$11, 100%, $F$11)</f>
        <v>3.5764999999999998</v>
      </c>
      <c r="J57" s="4">
        <f>CHOOSE( CONTROL!$C$32, 3.5139, 3.5095) * CHOOSE(CONTROL!$C$15, $D$11, 100%, $F$11)</f>
        <v>3.5139</v>
      </c>
      <c r="K57" s="4"/>
      <c r="L57" s="9">
        <v>30.896899999999999</v>
      </c>
      <c r="M57" s="9">
        <v>12.063700000000001</v>
      </c>
      <c r="N57" s="9">
        <v>4.9444999999999997</v>
      </c>
      <c r="O57" s="9">
        <v>0.37459999999999999</v>
      </c>
      <c r="P57" s="9">
        <v>1.2192000000000001</v>
      </c>
      <c r="Q57" s="9">
        <v>24.651199999999999</v>
      </c>
      <c r="R57" s="9"/>
      <c r="S57" s="11"/>
    </row>
    <row r="58" spans="1:19" ht="15" customHeight="1">
      <c r="A58" s="13">
        <v>43617</v>
      </c>
      <c r="B58" s="8">
        <f>CHOOSE( CONTROL!$C$32, 3.6011, 3.5965) * CHOOSE(CONTROL!$C$15, $D$11, 100%, $F$11)</f>
        <v>3.6011000000000002</v>
      </c>
      <c r="C58" s="8">
        <f>CHOOSE( CONTROL!$C$32, 3.6114, 3.6069) * CHOOSE(CONTROL!$C$15, $D$11, 100%, $F$11)</f>
        <v>3.6114000000000002</v>
      </c>
      <c r="D58" s="8">
        <f>CHOOSE( CONTROL!$C$32, 3.6217, 3.6172) * CHOOSE( CONTROL!$C$15, $D$11, 100%, $F$11)</f>
        <v>3.6217000000000001</v>
      </c>
      <c r="E58" s="12">
        <f>CHOOSE( CONTROL!$C$32, 3.6164, 3.6119) * CHOOSE( CONTROL!$C$15, $D$11, 100%, $F$11)</f>
        <v>3.6164000000000001</v>
      </c>
      <c r="F58" s="4">
        <f>CHOOSE( CONTROL!$C$32, 4.2893, 4.2848) * CHOOSE(CONTROL!$C$15, $D$11, 100%, $F$11)</f>
        <v>4.2892999999999999</v>
      </c>
      <c r="G58" s="8">
        <f>CHOOSE( CONTROL!$C$32, 3.5144, 3.5099) * CHOOSE( CONTROL!$C$15, $D$11, 100%, $F$11)</f>
        <v>3.5144000000000002</v>
      </c>
      <c r="H58" s="4">
        <f>CHOOSE( CONTROL!$C$32, 4.4485, 4.444) * CHOOSE(CONTROL!$C$15, $D$11, 100%, $F$11)</f>
        <v>4.4485000000000001</v>
      </c>
      <c r="I58" s="8">
        <f>CHOOSE( CONTROL!$C$32, 3.523, 3.5186) * CHOOSE(CONTROL!$C$15, $D$11, 100%, $F$11)</f>
        <v>3.5230000000000001</v>
      </c>
      <c r="J58" s="4">
        <f>CHOOSE( CONTROL!$C$32, 3.4575, 3.4531) * CHOOSE(CONTROL!$C$15, $D$11, 100%, $F$11)</f>
        <v>3.4575</v>
      </c>
      <c r="K58" s="4"/>
      <c r="L58" s="9">
        <v>29.900200000000002</v>
      </c>
      <c r="M58" s="9">
        <v>11.6745</v>
      </c>
      <c r="N58" s="9">
        <v>4.7850000000000001</v>
      </c>
      <c r="O58" s="9">
        <v>0.36249999999999999</v>
      </c>
      <c r="P58" s="9">
        <v>1.1798</v>
      </c>
      <c r="Q58" s="9">
        <v>23.856000000000002</v>
      </c>
      <c r="R58" s="9"/>
      <c r="S58" s="11"/>
    </row>
    <row r="59" spans="1:19" ht="15" customHeight="1">
      <c r="A59" s="13">
        <v>43647</v>
      </c>
      <c r="B59" s="8">
        <f>CHOOSE( CONTROL!$C$32, 3.7547, 3.7502) * CHOOSE(CONTROL!$C$15, $D$11, 100%, $F$11)</f>
        <v>3.7547000000000001</v>
      </c>
      <c r="C59" s="8">
        <f>CHOOSE( CONTROL!$C$32, 3.765, 3.7605) * CHOOSE(CONTROL!$C$15, $D$11, 100%, $F$11)</f>
        <v>3.7650000000000001</v>
      </c>
      <c r="D59" s="8">
        <f>CHOOSE( CONTROL!$C$32, 3.7759, 3.7714) * CHOOSE( CONTROL!$C$15, $D$11, 100%, $F$11)</f>
        <v>3.7759</v>
      </c>
      <c r="E59" s="12">
        <f>CHOOSE( CONTROL!$C$32, 3.7704, 3.7659) * CHOOSE( CONTROL!$C$15, $D$11, 100%, $F$11)</f>
        <v>3.7704</v>
      </c>
      <c r="F59" s="4">
        <f>CHOOSE( CONTROL!$C$32, 4.443, 4.4385) * CHOOSE(CONTROL!$C$15, $D$11, 100%, $F$11)</f>
        <v>4.4429999999999996</v>
      </c>
      <c r="G59" s="8">
        <f>CHOOSE( CONTROL!$C$32, 3.6664, 3.6619) * CHOOSE( CONTROL!$C$15, $D$11, 100%, $F$11)</f>
        <v>3.6663999999999999</v>
      </c>
      <c r="H59" s="4">
        <f>CHOOSE( CONTROL!$C$32, 4.5996, 4.5952) * CHOOSE(CONTROL!$C$15, $D$11, 100%, $F$11)</f>
        <v>4.5995999999999997</v>
      </c>
      <c r="I59" s="8">
        <f>CHOOSE( CONTROL!$C$32, 3.6744, 3.67) * CHOOSE(CONTROL!$C$15, $D$11, 100%, $F$11)</f>
        <v>3.6743999999999999</v>
      </c>
      <c r="J59" s="4">
        <f>CHOOSE( CONTROL!$C$32, 3.6061, 3.6017) * CHOOSE(CONTROL!$C$15, $D$11, 100%, $F$11)</f>
        <v>3.6061000000000001</v>
      </c>
      <c r="K59" s="4"/>
      <c r="L59" s="9">
        <v>30.896899999999999</v>
      </c>
      <c r="M59" s="9">
        <v>12.063700000000001</v>
      </c>
      <c r="N59" s="9">
        <v>4.9444999999999997</v>
      </c>
      <c r="O59" s="9">
        <v>0.37459999999999999</v>
      </c>
      <c r="P59" s="9">
        <v>1.2192000000000001</v>
      </c>
      <c r="Q59" s="9">
        <v>24.651199999999999</v>
      </c>
      <c r="R59" s="9"/>
      <c r="S59" s="11"/>
    </row>
    <row r="60" spans="1:19" ht="15" customHeight="1">
      <c r="A60" s="13">
        <v>43678</v>
      </c>
      <c r="B60" s="8">
        <f>CHOOSE( CONTROL!$C$32, 3.4672, 3.4627) * CHOOSE(CONTROL!$C$15, $D$11, 100%, $F$11)</f>
        <v>3.4672000000000001</v>
      </c>
      <c r="C60" s="8">
        <f>CHOOSE( CONTROL!$C$32, 3.4776, 3.473) * CHOOSE(CONTROL!$C$15, $D$11, 100%, $F$11)</f>
        <v>3.4775999999999998</v>
      </c>
      <c r="D60" s="8">
        <f>CHOOSE( CONTROL!$C$32, 3.4887, 3.4842) * CHOOSE( CONTROL!$C$15, $D$11, 100%, $F$11)</f>
        <v>3.4887000000000001</v>
      </c>
      <c r="E60" s="12">
        <f>CHOOSE( CONTROL!$C$32, 3.4831, 3.4786) * CHOOSE( CONTROL!$C$15, $D$11, 100%, $F$11)</f>
        <v>3.4830999999999999</v>
      </c>
      <c r="F60" s="4">
        <f>CHOOSE( CONTROL!$C$32, 4.1555, 4.151) * CHOOSE(CONTROL!$C$15, $D$11, 100%, $F$11)</f>
        <v>4.1555</v>
      </c>
      <c r="G60" s="8">
        <f>CHOOSE( CONTROL!$C$32, 3.384, 3.3795) * CHOOSE( CONTROL!$C$15, $D$11, 100%, $F$11)</f>
        <v>3.3839999999999999</v>
      </c>
      <c r="H60" s="4">
        <f>CHOOSE( CONTROL!$C$32, 4.3168, 4.3124) * CHOOSE(CONTROL!$C$15, $D$11, 100%, $F$11)</f>
        <v>4.3167999999999997</v>
      </c>
      <c r="I60" s="8">
        <f>CHOOSE( CONTROL!$C$32, 3.3976, 3.3932) * CHOOSE(CONTROL!$C$15, $D$11, 100%, $F$11)</f>
        <v>3.3976000000000002</v>
      </c>
      <c r="J60" s="4">
        <f>CHOOSE( CONTROL!$C$32, 3.328, 3.3237) * CHOOSE(CONTROL!$C$15, $D$11, 100%, $F$11)</f>
        <v>3.3279999999999998</v>
      </c>
      <c r="K60" s="4"/>
      <c r="L60" s="9">
        <v>30.896899999999999</v>
      </c>
      <c r="M60" s="9">
        <v>12.063700000000001</v>
      </c>
      <c r="N60" s="9">
        <v>4.9444999999999997</v>
      </c>
      <c r="O60" s="9">
        <v>0.37459999999999999</v>
      </c>
      <c r="P60" s="9">
        <v>1.2192000000000001</v>
      </c>
      <c r="Q60" s="9">
        <v>24.651199999999999</v>
      </c>
      <c r="R60" s="9"/>
      <c r="S60" s="11"/>
    </row>
    <row r="61" spans="1:19" ht="15" customHeight="1">
      <c r="A61" s="13">
        <v>43709</v>
      </c>
      <c r="B61" s="8">
        <f>CHOOSE( CONTROL!$C$32, 3.3952, 3.3907) * CHOOSE(CONTROL!$C$15, $D$11, 100%, $F$11)</f>
        <v>3.3952</v>
      </c>
      <c r="C61" s="8">
        <f>CHOOSE( CONTROL!$C$32, 3.4056, 3.401) * CHOOSE(CONTROL!$C$15, $D$11, 100%, $F$11)</f>
        <v>3.4056000000000002</v>
      </c>
      <c r="D61" s="8">
        <f>CHOOSE( CONTROL!$C$32, 3.4168, 3.4123) * CHOOSE( CONTROL!$C$15, $D$11, 100%, $F$11)</f>
        <v>3.4167999999999998</v>
      </c>
      <c r="E61" s="12">
        <f>CHOOSE( CONTROL!$C$32, 3.4112, 3.4066) * CHOOSE( CONTROL!$C$15, $D$11, 100%, $F$11)</f>
        <v>3.4112</v>
      </c>
      <c r="F61" s="4">
        <f>CHOOSE( CONTROL!$C$32, 4.0835, 4.079) * CHOOSE(CONTROL!$C$15, $D$11, 100%, $F$11)</f>
        <v>4.0834999999999999</v>
      </c>
      <c r="G61" s="8">
        <f>CHOOSE( CONTROL!$C$32, 3.3133, 3.3088) * CHOOSE( CONTROL!$C$15, $D$11, 100%, $F$11)</f>
        <v>3.3132999999999999</v>
      </c>
      <c r="H61" s="4">
        <f>CHOOSE( CONTROL!$C$32, 4.246, 4.2415) * CHOOSE(CONTROL!$C$15, $D$11, 100%, $F$11)</f>
        <v>4.2460000000000004</v>
      </c>
      <c r="I61" s="8">
        <f>CHOOSE( CONTROL!$C$32, 3.3284, 3.324) * CHOOSE(CONTROL!$C$15, $D$11, 100%, $F$11)</f>
        <v>3.3283999999999998</v>
      </c>
      <c r="J61" s="4">
        <f>CHOOSE( CONTROL!$C$32, 3.2584, 3.254) * CHOOSE(CONTROL!$C$15, $D$11, 100%, $F$11)</f>
        <v>3.2584</v>
      </c>
      <c r="K61" s="4"/>
      <c r="L61" s="9">
        <v>29.900200000000002</v>
      </c>
      <c r="M61" s="9">
        <v>11.6745</v>
      </c>
      <c r="N61" s="9">
        <v>4.7850000000000001</v>
      </c>
      <c r="O61" s="9">
        <v>0.36249999999999999</v>
      </c>
      <c r="P61" s="9">
        <v>1.1798</v>
      </c>
      <c r="Q61" s="9">
        <v>23.856000000000002</v>
      </c>
      <c r="R61" s="9"/>
      <c r="S61" s="11"/>
    </row>
    <row r="62" spans="1:19" ht="15" customHeight="1">
      <c r="A62" s="13">
        <v>43739</v>
      </c>
      <c r="B62" s="8">
        <f>3.5402 * CHOOSE(CONTROL!$C$15, $D$11, 100%, $F$11)</f>
        <v>3.5402</v>
      </c>
      <c r="C62" s="8">
        <f>3.5505 * CHOOSE(CONTROL!$C$15, $D$11, 100%, $F$11)</f>
        <v>3.5505</v>
      </c>
      <c r="D62" s="8">
        <f>3.5629 * CHOOSE( CONTROL!$C$15, $D$11, 100%, $F$11)</f>
        <v>3.5629</v>
      </c>
      <c r="E62" s="12">
        <f>3.5577 * CHOOSE( CONTROL!$C$15, $D$11, 100%, $F$11)</f>
        <v>3.5577000000000001</v>
      </c>
      <c r="F62" s="4">
        <f>4.2285 * CHOOSE(CONTROL!$C$15, $D$11, 100%, $F$11)</f>
        <v>4.2285000000000004</v>
      </c>
      <c r="G62" s="8">
        <f>3.4554 * CHOOSE( CONTROL!$C$15, $D$11, 100%, $F$11)</f>
        <v>3.4554</v>
      </c>
      <c r="H62" s="4">
        <f>4.3886 * CHOOSE(CONTROL!$C$15, $D$11, 100%, $F$11)</f>
        <v>4.3886000000000003</v>
      </c>
      <c r="I62" s="8">
        <f>3.4699 * CHOOSE(CONTROL!$C$15, $D$11, 100%, $F$11)</f>
        <v>3.4699</v>
      </c>
      <c r="J62" s="4">
        <f>3.3986 * CHOOSE(CONTROL!$C$15, $D$11, 100%, $F$11)</f>
        <v>3.3986000000000001</v>
      </c>
      <c r="K62" s="4"/>
      <c r="L62" s="9">
        <v>30.654699999999998</v>
      </c>
      <c r="M62" s="9">
        <v>12.063700000000001</v>
      </c>
      <c r="N62" s="9">
        <v>4.9444999999999997</v>
      </c>
      <c r="O62" s="9">
        <v>0.37459999999999999</v>
      </c>
      <c r="P62" s="9">
        <v>1.2192000000000001</v>
      </c>
      <c r="Q62" s="9">
        <v>24.651199999999999</v>
      </c>
      <c r="R62" s="9"/>
      <c r="S62" s="11"/>
    </row>
    <row r="63" spans="1:19" ht="15" customHeight="1">
      <c r="A63" s="13">
        <v>43770</v>
      </c>
      <c r="B63" s="8">
        <f>3.8161 * CHOOSE(CONTROL!$C$15, $D$11, 100%, $F$11)</f>
        <v>3.8161</v>
      </c>
      <c r="C63" s="8">
        <f>3.8264 * CHOOSE(CONTROL!$C$15, $D$11, 100%, $F$11)</f>
        <v>3.8264</v>
      </c>
      <c r="D63" s="8">
        <f>3.8125 * CHOOSE( CONTROL!$C$15, $D$11, 100%, $F$11)</f>
        <v>3.8125</v>
      </c>
      <c r="E63" s="12">
        <f>3.8165 * CHOOSE( CONTROL!$C$15, $D$11, 100%, $F$11)</f>
        <v>3.8165</v>
      </c>
      <c r="F63" s="4">
        <f>4.4703 * CHOOSE(CONTROL!$C$15, $D$11, 100%, $F$11)</f>
        <v>4.4702999999999999</v>
      </c>
      <c r="G63" s="8">
        <f>3.744 * CHOOSE( CONTROL!$C$15, $D$11, 100%, $F$11)</f>
        <v>3.7440000000000002</v>
      </c>
      <c r="H63" s="4">
        <f>4.6265 * CHOOSE(CONTROL!$C$15, $D$11, 100%, $F$11)</f>
        <v>4.6265000000000001</v>
      </c>
      <c r="I63" s="8">
        <f>3.7699 * CHOOSE(CONTROL!$C$15, $D$11, 100%, $F$11)</f>
        <v>3.7698999999999998</v>
      </c>
      <c r="J63" s="4">
        <f>3.6654 * CHOOSE(CONTROL!$C$15, $D$11, 100%, $F$11)</f>
        <v>3.6654</v>
      </c>
      <c r="K63" s="4"/>
      <c r="L63" s="9">
        <v>28.000499999999999</v>
      </c>
      <c r="M63" s="9">
        <v>11.6745</v>
      </c>
      <c r="N63" s="9">
        <v>4.7850000000000001</v>
      </c>
      <c r="O63" s="9">
        <v>0.36249999999999999</v>
      </c>
      <c r="P63" s="9">
        <v>1.2522</v>
      </c>
      <c r="Q63" s="9">
        <v>23.856000000000002</v>
      </c>
      <c r="R63" s="9"/>
      <c r="S63" s="11"/>
    </row>
    <row r="64" spans="1:19" ht="15.75">
      <c r="A64" s="13">
        <v>43800</v>
      </c>
      <c r="B64" s="8">
        <f>3.8092 * CHOOSE(CONTROL!$C$15, $D$11, 100%, $F$11)</f>
        <v>3.8092000000000001</v>
      </c>
      <c r="C64" s="8">
        <f>3.8195 * CHOOSE(CONTROL!$C$15, $D$11, 100%, $F$11)</f>
        <v>3.8195000000000001</v>
      </c>
      <c r="D64" s="8">
        <f>3.808 * CHOOSE( CONTROL!$C$15, $D$11, 100%, $F$11)</f>
        <v>3.8079999999999998</v>
      </c>
      <c r="E64" s="12">
        <f>3.8111 * CHOOSE( CONTROL!$C$15, $D$11, 100%, $F$11)</f>
        <v>3.8111000000000002</v>
      </c>
      <c r="F64" s="4">
        <f>4.4634 * CHOOSE(CONTROL!$C$15, $D$11, 100%, $F$11)</f>
        <v>4.4634</v>
      </c>
      <c r="G64" s="8">
        <f>3.739 * CHOOSE( CONTROL!$C$15, $D$11, 100%, $F$11)</f>
        <v>3.7389999999999999</v>
      </c>
      <c r="H64" s="4">
        <f>4.6198 * CHOOSE(CONTROL!$C$15, $D$11, 100%, $F$11)</f>
        <v>4.6197999999999997</v>
      </c>
      <c r="I64" s="8">
        <f>3.7712 * CHOOSE(CONTROL!$C$15, $D$11, 100%, $F$11)</f>
        <v>3.7711999999999999</v>
      </c>
      <c r="J64" s="4">
        <f>3.6588 * CHOOSE(CONTROL!$C$15, $D$11, 100%, $F$11)</f>
        <v>3.6587999999999998</v>
      </c>
      <c r="K64" s="4"/>
      <c r="L64" s="9">
        <v>28.933900000000001</v>
      </c>
      <c r="M64" s="9">
        <v>12.063700000000001</v>
      </c>
      <c r="N64" s="9">
        <v>4.9444999999999997</v>
      </c>
      <c r="O64" s="9">
        <v>0.37459999999999999</v>
      </c>
      <c r="P64" s="9">
        <v>1.2939000000000001</v>
      </c>
      <c r="Q64" s="9">
        <v>24.651199999999999</v>
      </c>
      <c r="R64" s="9"/>
      <c r="S64" s="11"/>
    </row>
    <row r="65" spans="1:19" ht="15.75">
      <c r="A65" s="13">
        <v>43831</v>
      </c>
      <c r="B65" s="8">
        <f>3.8267 * CHOOSE(CONTROL!$C$15, $D$11, 100%, $F$11)</f>
        <v>3.8267000000000002</v>
      </c>
      <c r="C65" s="8">
        <f>3.837 * CHOOSE(CONTROL!$C$15, $D$11, 100%, $F$11)</f>
        <v>3.8370000000000002</v>
      </c>
      <c r="D65" s="8">
        <f>3.8355 * CHOOSE( CONTROL!$C$15, $D$11, 100%, $F$11)</f>
        <v>3.8355000000000001</v>
      </c>
      <c r="E65" s="12">
        <f>3.835 * CHOOSE( CONTROL!$C$15, $D$11, 100%, $F$11)</f>
        <v>3.835</v>
      </c>
      <c r="F65" s="4">
        <f>4.5094 * CHOOSE(CONTROL!$C$15, $D$11, 100%, $F$11)</f>
        <v>4.5094000000000003</v>
      </c>
      <c r="G65" s="8">
        <f>3.7665 * CHOOSE( CONTROL!$C$15, $D$11, 100%, $F$11)</f>
        <v>3.7665000000000002</v>
      </c>
      <c r="H65" s="4">
        <f>4.665 * CHOOSE(CONTROL!$C$15, $D$11, 100%, $F$11)</f>
        <v>4.665</v>
      </c>
      <c r="I65" s="8">
        <f>3.7861 * CHOOSE(CONTROL!$C$15, $D$11, 100%, $F$11)</f>
        <v>3.7860999999999998</v>
      </c>
      <c r="J65" s="4">
        <f>3.6757 * CHOOSE(CONTROL!$C$15, $D$11, 100%, $F$11)</f>
        <v>3.6757</v>
      </c>
      <c r="K65" s="4"/>
      <c r="L65" s="9">
        <v>28.933900000000001</v>
      </c>
      <c r="M65" s="9">
        <v>12.063700000000001</v>
      </c>
      <c r="N65" s="9">
        <v>4.9444999999999997</v>
      </c>
      <c r="O65" s="9">
        <v>0.37459999999999999</v>
      </c>
      <c r="P65" s="9">
        <v>1.2939000000000001</v>
      </c>
      <c r="Q65" s="9">
        <v>22.150099999999998</v>
      </c>
      <c r="R65" s="9"/>
      <c r="S65" s="11"/>
    </row>
    <row r="66" spans="1:19" ht="15.75">
      <c r="A66" s="13">
        <v>43862</v>
      </c>
      <c r="B66" s="8">
        <f>3.581 * CHOOSE(CONTROL!$C$15, $D$11, 100%, $F$11)</f>
        <v>3.581</v>
      </c>
      <c r="C66" s="8">
        <f>3.5913 * CHOOSE(CONTROL!$C$15, $D$11, 100%, $F$11)</f>
        <v>3.5912999999999999</v>
      </c>
      <c r="D66" s="8">
        <f>3.5919 * CHOOSE( CONTROL!$C$15, $D$11, 100%, $F$11)</f>
        <v>3.5918999999999999</v>
      </c>
      <c r="E66" s="12">
        <f>3.5906 * CHOOSE( CONTROL!$C$15, $D$11, 100%, $F$11)</f>
        <v>3.5905999999999998</v>
      </c>
      <c r="F66" s="4">
        <f>4.2559 * CHOOSE(CONTROL!$C$15, $D$11, 100%, $F$11)</f>
        <v>4.2558999999999996</v>
      </c>
      <c r="G66" s="8">
        <f>3.5246 * CHOOSE( CONTROL!$C$15, $D$11, 100%, $F$11)</f>
        <v>3.5246</v>
      </c>
      <c r="H66" s="4">
        <f>4.4156 * CHOOSE(CONTROL!$C$15, $D$11, 100%, $F$11)</f>
        <v>4.4156000000000004</v>
      </c>
      <c r="I66" s="8">
        <f>3.5374 * CHOOSE(CONTROL!$C$15, $D$11, 100%, $F$11)</f>
        <v>3.5373999999999999</v>
      </c>
      <c r="J66" s="4">
        <f>3.4381 * CHOOSE(CONTROL!$C$15, $D$11, 100%, $F$11)</f>
        <v>3.4380999999999999</v>
      </c>
      <c r="K66" s="4"/>
      <c r="L66" s="9">
        <v>27.0672</v>
      </c>
      <c r="M66" s="9">
        <v>11.285299999999999</v>
      </c>
      <c r="N66" s="9">
        <v>4.6254999999999997</v>
      </c>
      <c r="O66" s="9">
        <v>0.35039999999999999</v>
      </c>
      <c r="P66" s="9">
        <v>1.2104999999999999</v>
      </c>
      <c r="Q66" s="9">
        <v>20.7211</v>
      </c>
      <c r="R66" s="9"/>
      <c r="S66" s="11"/>
    </row>
    <row r="67" spans="1:19" ht="15.75">
      <c r="A67" s="13">
        <v>43891</v>
      </c>
      <c r="B67" s="8">
        <f>3.5053 * CHOOSE(CONTROL!$C$15, $D$11, 100%, $F$11)</f>
        <v>3.5053000000000001</v>
      </c>
      <c r="C67" s="8">
        <f>3.5156 * CHOOSE(CONTROL!$C$15, $D$11, 100%, $F$11)</f>
        <v>3.5156000000000001</v>
      </c>
      <c r="D67" s="8">
        <f>3.4957 * CHOOSE( CONTROL!$C$15, $D$11, 100%, $F$11)</f>
        <v>3.4956999999999998</v>
      </c>
      <c r="E67" s="12">
        <f>3.5019 * CHOOSE( CONTROL!$C$15, $D$11, 100%, $F$11)</f>
        <v>3.5019</v>
      </c>
      <c r="F67" s="4">
        <f>4.1642 * CHOOSE(CONTROL!$C$15, $D$11, 100%, $F$11)</f>
        <v>4.1642000000000001</v>
      </c>
      <c r="G67" s="8">
        <f>3.4294 * CHOOSE( CONTROL!$C$15, $D$11, 100%, $F$11)</f>
        <v>3.4293999999999998</v>
      </c>
      <c r="H67" s="4">
        <f>4.3254 * CHOOSE(CONTROL!$C$15, $D$11, 100%, $F$11)</f>
        <v>4.3254000000000001</v>
      </c>
      <c r="I67" s="8">
        <f>3.4247 * CHOOSE(CONTROL!$C$15, $D$11, 100%, $F$11)</f>
        <v>3.4247000000000001</v>
      </c>
      <c r="J67" s="4">
        <f>3.3649 * CHOOSE(CONTROL!$C$15, $D$11, 100%, $F$11)</f>
        <v>3.3649</v>
      </c>
      <c r="K67" s="4"/>
      <c r="L67" s="9">
        <v>28.933900000000001</v>
      </c>
      <c r="M67" s="9">
        <v>12.063700000000001</v>
      </c>
      <c r="N67" s="9">
        <v>4.9444999999999997</v>
      </c>
      <c r="O67" s="9">
        <v>0.37459999999999999</v>
      </c>
      <c r="P67" s="9">
        <v>1.2939000000000001</v>
      </c>
      <c r="Q67" s="9">
        <v>22.150099999999998</v>
      </c>
      <c r="R67" s="9"/>
      <c r="S67" s="11"/>
    </row>
    <row r="68" spans="1:19" ht="15.75">
      <c r="A68" s="13">
        <v>43922</v>
      </c>
      <c r="B68" s="8">
        <f>3.5582 * CHOOSE(CONTROL!$C$15, $D$11, 100%, $F$11)</f>
        <v>3.5581999999999998</v>
      </c>
      <c r="C68" s="8">
        <f>3.5685 * CHOOSE(CONTROL!$C$15, $D$11, 100%, $F$11)</f>
        <v>3.5684999999999998</v>
      </c>
      <c r="D68" s="8">
        <f>3.5601 * CHOOSE( CONTROL!$C$15, $D$11, 100%, $F$11)</f>
        <v>3.5600999999999998</v>
      </c>
      <c r="E68" s="12">
        <f>3.5617 * CHOOSE( CONTROL!$C$15, $D$11, 100%, $F$11)</f>
        <v>3.5617000000000001</v>
      </c>
      <c r="F68" s="4">
        <f>4.2073 * CHOOSE(CONTROL!$C$15, $D$11, 100%, $F$11)</f>
        <v>4.2073</v>
      </c>
      <c r="G68" s="8">
        <f>3.4662 * CHOOSE( CONTROL!$C$15, $D$11, 100%, $F$11)</f>
        <v>3.4662000000000002</v>
      </c>
      <c r="H68" s="4">
        <f>4.3677 * CHOOSE(CONTROL!$C$15, $D$11, 100%, $F$11)</f>
        <v>4.3677000000000001</v>
      </c>
      <c r="I68" s="8">
        <f>3.4727 * CHOOSE(CONTROL!$C$15, $D$11, 100%, $F$11)</f>
        <v>3.4727000000000001</v>
      </c>
      <c r="J68" s="4">
        <f>3.416 * CHOOSE(CONTROL!$C$15, $D$11, 100%, $F$11)</f>
        <v>3.4159999999999999</v>
      </c>
      <c r="K68" s="4"/>
      <c r="L68" s="9">
        <v>29.665800000000001</v>
      </c>
      <c r="M68" s="9">
        <v>11.6745</v>
      </c>
      <c r="N68" s="9">
        <v>4.7850000000000001</v>
      </c>
      <c r="O68" s="9">
        <v>0.36249999999999999</v>
      </c>
      <c r="P68" s="9">
        <v>1.1798</v>
      </c>
      <c r="Q68" s="9">
        <v>21.435600000000001</v>
      </c>
      <c r="R68" s="9"/>
      <c r="S68" s="11"/>
    </row>
    <row r="69" spans="1:19" ht="15.75">
      <c r="A69" s="13">
        <v>43952</v>
      </c>
      <c r="B69" s="8">
        <f>CHOOSE( CONTROL!$C$32, 3.6568, 3.6523) * CHOOSE(CONTROL!$C$15, $D$11, 100%, $F$11)</f>
        <v>3.6568000000000001</v>
      </c>
      <c r="C69" s="8">
        <f>CHOOSE( CONTROL!$C$32, 3.6672, 3.6626) * CHOOSE(CONTROL!$C$15, $D$11, 100%, $F$11)</f>
        <v>3.6671999999999998</v>
      </c>
      <c r="D69" s="8">
        <f>CHOOSE( CONTROL!$C$32, 3.6769, 3.6723) * CHOOSE( CONTROL!$C$15, $D$11, 100%, $F$11)</f>
        <v>3.6768999999999998</v>
      </c>
      <c r="E69" s="12">
        <f>CHOOSE( CONTROL!$C$32, 3.6718, 3.6672) * CHOOSE( CONTROL!$C$15, $D$11, 100%, $F$11)</f>
        <v>3.6718000000000002</v>
      </c>
      <c r="F69" s="4">
        <f>CHOOSE( CONTROL!$C$32, 4.3451, 4.3406) * CHOOSE(CONTROL!$C$15, $D$11, 100%, $F$11)</f>
        <v>4.3451000000000004</v>
      </c>
      <c r="G69" s="8">
        <f>CHOOSE( CONTROL!$C$32, 3.5683, 3.5639) * CHOOSE( CONTROL!$C$15, $D$11, 100%, $F$11)</f>
        <v>3.5682999999999998</v>
      </c>
      <c r="H69" s="4">
        <f>CHOOSE( CONTROL!$C$32, 4.5034, 4.4989) * CHOOSE(CONTROL!$C$15, $D$11, 100%, $F$11)</f>
        <v>4.5034000000000001</v>
      </c>
      <c r="I69" s="8">
        <f>CHOOSE( CONTROL!$C$32, 3.574, 3.5696) * CHOOSE(CONTROL!$C$15, $D$11, 100%, $F$11)</f>
        <v>3.5739999999999998</v>
      </c>
      <c r="J69" s="4">
        <f>CHOOSE( CONTROL!$C$32, 3.5114, 3.507) * CHOOSE(CONTROL!$C$15, $D$11, 100%, $F$11)</f>
        <v>3.5114000000000001</v>
      </c>
      <c r="K69" s="4"/>
      <c r="L69" s="9">
        <v>30.896899999999999</v>
      </c>
      <c r="M69" s="9">
        <v>12.063700000000001</v>
      </c>
      <c r="N69" s="9">
        <v>4.9444999999999997</v>
      </c>
      <c r="O69" s="9">
        <v>0.37459999999999999</v>
      </c>
      <c r="P69" s="9">
        <v>1.2192000000000001</v>
      </c>
      <c r="Q69" s="9">
        <v>33.225200000000001</v>
      </c>
      <c r="R69" s="9"/>
      <c r="S69" s="11"/>
    </row>
    <row r="70" spans="1:19" ht="15.75">
      <c r="A70" s="13">
        <v>43983</v>
      </c>
      <c r="B70" s="8">
        <f>CHOOSE( CONTROL!$C$32, 3.5985, 3.594) * CHOOSE(CONTROL!$C$15, $D$11, 100%, $F$11)</f>
        <v>3.5985</v>
      </c>
      <c r="C70" s="8">
        <f>CHOOSE( CONTROL!$C$32, 3.6089, 3.6043) * CHOOSE(CONTROL!$C$15, $D$11, 100%, $F$11)</f>
        <v>3.6089000000000002</v>
      </c>
      <c r="D70" s="8">
        <f>CHOOSE( CONTROL!$C$32, 3.6192, 3.6147) * CHOOSE( CONTROL!$C$15, $D$11, 100%, $F$11)</f>
        <v>3.6192000000000002</v>
      </c>
      <c r="E70" s="12">
        <f>CHOOSE( CONTROL!$C$32, 3.6139, 3.6094) * CHOOSE( CONTROL!$C$15, $D$11, 100%, $F$11)</f>
        <v>3.6139000000000001</v>
      </c>
      <c r="F70" s="4">
        <f>CHOOSE( CONTROL!$C$32, 4.2868, 4.2823) * CHOOSE(CONTROL!$C$15, $D$11, 100%, $F$11)</f>
        <v>4.2868000000000004</v>
      </c>
      <c r="G70" s="8">
        <f>CHOOSE( CONTROL!$C$32, 3.5119, 3.5074) * CHOOSE( CONTROL!$C$15, $D$11, 100%, $F$11)</f>
        <v>3.5118999999999998</v>
      </c>
      <c r="H70" s="4">
        <f>CHOOSE( CONTROL!$C$32, 4.446, 4.4415) * CHOOSE(CONTROL!$C$15, $D$11, 100%, $F$11)</f>
        <v>4.4459999999999997</v>
      </c>
      <c r="I70" s="8">
        <f>CHOOSE( CONTROL!$C$32, 3.5205, 3.5162) * CHOOSE(CONTROL!$C$15, $D$11, 100%, $F$11)</f>
        <v>3.5205000000000002</v>
      </c>
      <c r="J70" s="4">
        <f>CHOOSE( CONTROL!$C$32, 3.455, 3.4507) * CHOOSE(CONTROL!$C$15, $D$11, 100%, $F$11)</f>
        <v>3.4550000000000001</v>
      </c>
      <c r="K70" s="4"/>
      <c r="L70" s="9">
        <v>29.900200000000002</v>
      </c>
      <c r="M70" s="9">
        <v>11.6745</v>
      </c>
      <c r="N70" s="9">
        <v>4.7850000000000001</v>
      </c>
      <c r="O70" s="9">
        <v>0.36249999999999999</v>
      </c>
      <c r="P70" s="9">
        <v>1.1798</v>
      </c>
      <c r="Q70" s="9">
        <v>32.153399999999998</v>
      </c>
      <c r="R70" s="9"/>
      <c r="S70" s="11"/>
    </row>
    <row r="71" spans="1:19" ht="15.75">
      <c r="A71" s="13">
        <v>44013</v>
      </c>
      <c r="B71" s="8">
        <f>CHOOSE( CONTROL!$C$32, 3.7521, 3.7475) * CHOOSE(CONTROL!$C$15, $D$11, 100%, $F$11)</f>
        <v>3.7521</v>
      </c>
      <c r="C71" s="8">
        <f>CHOOSE( CONTROL!$C$32, 3.7624, 3.7579) * CHOOSE(CONTROL!$C$15, $D$11, 100%, $F$11)</f>
        <v>3.7624</v>
      </c>
      <c r="D71" s="8">
        <f>CHOOSE( CONTROL!$C$32, 3.7733, 3.7688) * CHOOSE( CONTROL!$C$15, $D$11, 100%, $F$11)</f>
        <v>3.7732999999999999</v>
      </c>
      <c r="E71" s="12">
        <f>CHOOSE( CONTROL!$C$32, 3.7678, 3.7633) * CHOOSE( CONTROL!$C$15, $D$11, 100%, $F$11)</f>
        <v>3.7677999999999998</v>
      </c>
      <c r="F71" s="4">
        <f>CHOOSE( CONTROL!$C$32, 4.4404, 4.4358) * CHOOSE(CONTROL!$C$15, $D$11, 100%, $F$11)</f>
        <v>4.4404000000000003</v>
      </c>
      <c r="G71" s="8">
        <f>CHOOSE( CONTROL!$C$32, 3.6638, 3.6593) * CHOOSE( CONTROL!$C$15, $D$11, 100%, $F$11)</f>
        <v>3.6638000000000002</v>
      </c>
      <c r="H71" s="4">
        <f>CHOOSE( CONTROL!$C$32, 4.597, 4.5926) * CHOOSE(CONTROL!$C$15, $D$11, 100%, $F$11)</f>
        <v>4.5970000000000004</v>
      </c>
      <c r="I71" s="8">
        <f>CHOOSE( CONTROL!$C$32, 3.6718, 3.6674) * CHOOSE(CONTROL!$C$15, $D$11, 100%, $F$11)</f>
        <v>3.6718000000000002</v>
      </c>
      <c r="J71" s="4">
        <f>CHOOSE( CONTROL!$C$32, 3.6035, 3.5991) * CHOOSE(CONTROL!$C$15, $D$11, 100%, $F$11)</f>
        <v>3.6034999999999999</v>
      </c>
      <c r="K71" s="4"/>
      <c r="L71" s="9">
        <v>30.896899999999999</v>
      </c>
      <c r="M71" s="9">
        <v>12.063700000000001</v>
      </c>
      <c r="N71" s="9">
        <v>4.9444999999999997</v>
      </c>
      <c r="O71" s="9">
        <v>0.37459999999999999</v>
      </c>
      <c r="P71" s="9">
        <v>1.2192000000000001</v>
      </c>
      <c r="Q71" s="9">
        <v>33.225200000000001</v>
      </c>
      <c r="R71" s="9"/>
      <c r="S71" s="11"/>
    </row>
    <row r="72" spans="1:19" ht="15.75">
      <c r="A72" s="13">
        <v>44044</v>
      </c>
      <c r="B72" s="8">
        <f>CHOOSE( CONTROL!$C$32, 3.4648, 3.4603) * CHOOSE(CONTROL!$C$15, $D$11, 100%, $F$11)</f>
        <v>3.4647999999999999</v>
      </c>
      <c r="C72" s="8">
        <f>CHOOSE( CONTROL!$C$32, 3.4751, 3.4706) * CHOOSE(CONTROL!$C$15, $D$11, 100%, $F$11)</f>
        <v>3.4750999999999999</v>
      </c>
      <c r="D72" s="8">
        <f>CHOOSE( CONTROL!$C$32, 3.4863, 3.4818) * CHOOSE( CONTROL!$C$15, $D$11, 100%, $F$11)</f>
        <v>3.4863</v>
      </c>
      <c r="E72" s="12">
        <f>CHOOSE( CONTROL!$C$32, 3.4807, 3.4762) * CHOOSE( CONTROL!$C$15, $D$11, 100%, $F$11)</f>
        <v>3.4807000000000001</v>
      </c>
      <c r="F72" s="4">
        <f>CHOOSE( CONTROL!$C$32, 4.1531, 4.1486) * CHOOSE(CONTROL!$C$15, $D$11, 100%, $F$11)</f>
        <v>4.1531000000000002</v>
      </c>
      <c r="G72" s="8">
        <f>CHOOSE( CONTROL!$C$32, 3.3816, 3.3771) * CHOOSE( CONTROL!$C$15, $D$11, 100%, $F$11)</f>
        <v>3.3816000000000002</v>
      </c>
      <c r="H72" s="4">
        <f>CHOOSE( CONTROL!$C$32, 4.3144, 4.31) * CHOOSE(CONTROL!$C$15, $D$11, 100%, $F$11)</f>
        <v>4.3144</v>
      </c>
      <c r="I72" s="8">
        <f>CHOOSE( CONTROL!$C$32, 3.3953, 3.3909) * CHOOSE(CONTROL!$C$15, $D$11, 100%, $F$11)</f>
        <v>3.3953000000000002</v>
      </c>
      <c r="J72" s="4">
        <f>CHOOSE( CONTROL!$C$32, 3.3257, 3.3213) * CHOOSE(CONTROL!$C$15, $D$11, 100%, $F$11)</f>
        <v>3.3256999999999999</v>
      </c>
      <c r="K72" s="4"/>
      <c r="L72" s="9">
        <v>30.896899999999999</v>
      </c>
      <c r="M72" s="9">
        <v>12.063700000000001</v>
      </c>
      <c r="N72" s="9">
        <v>4.9444999999999997</v>
      </c>
      <c r="O72" s="9">
        <v>0.37459999999999999</v>
      </c>
      <c r="P72" s="9">
        <v>1.2192000000000001</v>
      </c>
      <c r="Q72" s="9">
        <v>33.225200000000001</v>
      </c>
      <c r="R72" s="9"/>
      <c r="S72" s="11"/>
    </row>
    <row r="73" spans="1:19" ht="15.75">
      <c r="A73" s="13">
        <v>44075</v>
      </c>
      <c r="B73" s="8">
        <f>CHOOSE( CONTROL!$C$32, 3.3928, 3.3883) * CHOOSE(CONTROL!$C$15, $D$11, 100%, $F$11)</f>
        <v>3.3927999999999998</v>
      </c>
      <c r="C73" s="8">
        <f>CHOOSE( CONTROL!$C$32, 3.4032, 3.3987) * CHOOSE(CONTROL!$C$15, $D$11, 100%, $F$11)</f>
        <v>3.4032</v>
      </c>
      <c r="D73" s="8">
        <f>CHOOSE( CONTROL!$C$32, 3.4144, 3.4099) * CHOOSE( CONTROL!$C$15, $D$11, 100%, $F$11)</f>
        <v>3.4144000000000001</v>
      </c>
      <c r="E73" s="12">
        <f>CHOOSE( CONTROL!$C$32, 3.4088, 3.4043) * CHOOSE( CONTROL!$C$15, $D$11, 100%, $F$11)</f>
        <v>3.4087999999999998</v>
      </c>
      <c r="F73" s="4">
        <f>CHOOSE( CONTROL!$C$32, 4.0811, 4.0766) * CHOOSE(CONTROL!$C$15, $D$11, 100%, $F$11)</f>
        <v>4.0811000000000002</v>
      </c>
      <c r="G73" s="8">
        <f>CHOOSE( CONTROL!$C$32, 3.311, 3.3065) * CHOOSE( CONTROL!$C$15, $D$11, 100%, $F$11)</f>
        <v>3.3109999999999999</v>
      </c>
      <c r="H73" s="4">
        <f>CHOOSE( CONTROL!$C$32, 4.2436, 4.2392) * CHOOSE(CONTROL!$C$15, $D$11, 100%, $F$11)</f>
        <v>4.2435999999999998</v>
      </c>
      <c r="I73" s="8">
        <f>CHOOSE( CONTROL!$C$32, 3.3261, 3.3217) * CHOOSE(CONTROL!$C$15, $D$11, 100%, $F$11)</f>
        <v>3.3260999999999998</v>
      </c>
      <c r="J73" s="4">
        <f>CHOOSE( CONTROL!$C$32, 3.2561, 3.2517) * CHOOSE(CONTROL!$C$15, $D$11, 100%, $F$11)</f>
        <v>3.2561</v>
      </c>
      <c r="K73" s="4"/>
      <c r="L73" s="9">
        <v>29.900200000000002</v>
      </c>
      <c r="M73" s="9">
        <v>11.6745</v>
      </c>
      <c r="N73" s="9">
        <v>4.7850000000000001</v>
      </c>
      <c r="O73" s="9">
        <v>0.36249999999999999</v>
      </c>
      <c r="P73" s="9">
        <v>1.1798</v>
      </c>
      <c r="Q73" s="9">
        <v>32.153399999999998</v>
      </c>
      <c r="R73" s="9"/>
      <c r="S73" s="11"/>
    </row>
    <row r="74" spans="1:19" ht="15.75">
      <c r="A74" s="13">
        <v>44105</v>
      </c>
      <c r="B74" s="8">
        <f>3.5377 * CHOOSE(CONTROL!$C$15, $D$11, 100%, $F$11)</f>
        <v>3.5377000000000001</v>
      </c>
      <c r="C74" s="8">
        <f>3.548 * CHOOSE(CONTROL!$C$15, $D$11, 100%, $F$11)</f>
        <v>3.548</v>
      </c>
      <c r="D74" s="8">
        <f>3.5604 * CHOOSE( CONTROL!$C$15, $D$11, 100%, $F$11)</f>
        <v>3.5604</v>
      </c>
      <c r="E74" s="12">
        <f>3.5552 * CHOOSE( CONTROL!$C$15, $D$11, 100%, $F$11)</f>
        <v>3.5552000000000001</v>
      </c>
      <c r="F74" s="4">
        <f>4.226 * CHOOSE(CONTROL!$C$15, $D$11, 100%, $F$11)</f>
        <v>4.226</v>
      </c>
      <c r="G74" s="8">
        <f>3.4529 * CHOOSE( CONTROL!$C$15, $D$11, 100%, $F$11)</f>
        <v>3.4529000000000001</v>
      </c>
      <c r="H74" s="4">
        <f>4.3861 * CHOOSE(CONTROL!$C$15, $D$11, 100%, $F$11)</f>
        <v>4.3860999999999999</v>
      </c>
      <c r="I74" s="8">
        <f>3.4675 * CHOOSE(CONTROL!$C$15, $D$11, 100%, $F$11)</f>
        <v>3.4674999999999998</v>
      </c>
      <c r="J74" s="4">
        <f>3.3962 * CHOOSE(CONTROL!$C$15, $D$11, 100%, $F$11)</f>
        <v>3.3961999999999999</v>
      </c>
      <c r="K74" s="4"/>
      <c r="L74" s="9">
        <v>30.654699999999998</v>
      </c>
      <c r="M74" s="9">
        <v>12.063700000000001</v>
      </c>
      <c r="N74" s="9">
        <v>4.9444999999999997</v>
      </c>
      <c r="O74" s="9">
        <v>0.37459999999999999</v>
      </c>
      <c r="P74" s="9">
        <v>1.2192000000000001</v>
      </c>
      <c r="Q74" s="9">
        <v>33.225200000000001</v>
      </c>
      <c r="R74" s="9"/>
      <c r="S74" s="11"/>
    </row>
    <row r="75" spans="1:19" ht="15.75">
      <c r="A75" s="13">
        <v>44136</v>
      </c>
      <c r="B75" s="8">
        <f>3.8134 * CHOOSE(CONTROL!$C$15, $D$11, 100%, $F$11)</f>
        <v>3.8134000000000001</v>
      </c>
      <c r="C75" s="8">
        <f>3.8237 * CHOOSE(CONTROL!$C$15, $D$11, 100%, $F$11)</f>
        <v>3.8237000000000001</v>
      </c>
      <c r="D75" s="8">
        <f>3.8098 * CHOOSE( CONTROL!$C$15, $D$11, 100%, $F$11)</f>
        <v>3.8098000000000001</v>
      </c>
      <c r="E75" s="12">
        <f>3.8138 * CHOOSE( CONTROL!$C$15, $D$11, 100%, $F$11)</f>
        <v>3.8138000000000001</v>
      </c>
      <c r="F75" s="4">
        <f>4.4677 * CHOOSE(CONTROL!$C$15, $D$11, 100%, $F$11)</f>
        <v>4.4676999999999998</v>
      </c>
      <c r="G75" s="8">
        <f>3.7413 * CHOOSE( CONTROL!$C$15, $D$11, 100%, $F$11)</f>
        <v>3.7412999999999998</v>
      </c>
      <c r="H75" s="4">
        <f>4.6239 * CHOOSE(CONTROL!$C$15, $D$11, 100%, $F$11)</f>
        <v>4.6238999999999999</v>
      </c>
      <c r="I75" s="8">
        <f>3.7673 * CHOOSE(CONTROL!$C$15, $D$11, 100%, $F$11)</f>
        <v>3.7673000000000001</v>
      </c>
      <c r="J75" s="4">
        <f>3.6628 * CHOOSE(CONTROL!$C$15, $D$11, 100%, $F$11)</f>
        <v>3.6627999999999998</v>
      </c>
      <c r="K75" s="4"/>
      <c r="L75" s="9">
        <v>28.000499999999999</v>
      </c>
      <c r="M75" s="9">
        <v>11.6745</v>
      </c>
      <c r="N75" s="9">
        <v>4.7850000000000001</v>
      </c>
      <c r="O75" s="9">
        <v>0.36249999999999999</v>
      </c>
      <c r="P75" s="9">
        <v>1.2522</v>
      </c>
      <c r="Q75" s="9">
        <v>32.153399999999998</v>
      </c>
      <c r="R75" s="9"/>
      <c r="S75" s="11"/>
    </row>
    <row r="76" spans="1:19" ht="15.75">
      <c r="A76" s="13">
        <v>44166</v>
      </c>
      <c r="B76" s="8">
        <f>3.8065 * CHOOSE(CONTROL!$C$15, $D$11, 100%, $F$11)</f>
        <v>3.8065000000000002</v>
      </c>
      <c r="C76" s="8">
        <f>3.8168 * CHOOSE(CONTROL!$C$15, $D$11, 100%, $F$11)</f>
        <v>3.8168000000000002</v>
      </c>
      <c r="D76" s="8">
        <f>3.8054 * CHOOSE( CONTROL!$C$15, $D$11, 100%, $F$11)</f>
        <v>3.8054000000000001</v>
      </c>
      <c r="E76" s="12">
        <f>3.8085 * CHOOSE( CONTROL!$C$15, $D$11, 100%, $F$11)</f>
        <v>3.8085</v>
      </c>
      <c r="F76" s="4">
        <f>4.4608 * CHOOSE(CONTROL!$C$15, $D$11, 100%, $F$11)</f>
        <v>4.4607999999999999</v>
      </c>
      <c r="G76" s="8">
        <f>3.7364 * CHOOSE( CONTROL!$C$15, $D$11, 100%, $F$11)</f>
        <v>3.7364000000000002</v>
      </c>
      <c r="H76" s="4">
        <f>4.6171 * CHOOSE(CONTROL!$C$15, $D$11, 100%, $F$11)</f>
        <v>4.6170999999999998</v>
      </c>
      <c r="I76" s="8">
        <f>3.7686 * CHOOSE(CONTROL!$C$15, $D$11, 100%, $F$11)</f>
        <v>3.7686000000000002</v>
      </c>
      <c r="J76" s="4">
        <f>3.6562 * CHOOSE(CONTROL!$C$15, $D$11, 100%, $F$11)</f>
        <v>3.6562000000000001</v>
      </c>
      <c r="K76" s="4"/>
      <c r="L76" s="9">
        <v>28.933900000000001</v>
      </c>
      <c r="M76" s="9">
        <v>12.063700000000001</v>
      </c>
      <c r="N76" s="9">
        <v>4.9444999999999997</v>
      </c>
      <c r="O76" s="9">
        <v>0.37459999999999999</v>
      </c>
      <c r="P76" s="9">
        <v>1.2939000000000001</v>
      </c>
      <c r="Q76" s="9">
        <v>33.225200000000001</v>
      </c>
      <c r="R76" s="9"/>
      <c r="S76" s="11"/>
    </row>
    <row r="77" spans="1:19" ht="15.75">
      <c r="A77" s="13">
        <v>44197</v>
      </c>
      <c r="B77" s="8">
        <f>4.4483 * CHOOSE(CONTROL!$C$15, $D$11, 100%, $F$11)</f>
        <v>4.4482999999999997</v>
      </c>
      <c r="C77" s="8">
        <f>4.4586 * CHOOSE(CONTROL!$C$15, $D$11, 100%, $F$11)</f>
        <v>4.4585999999999997</v>
      </c>
      <c r="D77" s="8">
        <f>4.457 * CHOOSE( CONTROL!$C$15, $D$11, 100%, $F$11)</f>
        <v>4.4569999999999999</v>
      </c>
      <c r="E77" s="12">
        <f>4.4565 * CHOOSE( CONTROL!$C$15, $D$11, 100%, $F$11)</f>
        <v>4.4565000000000001</v>
      </c>
      <c r="F77" s="4">
        <f>5.131 * CHOOSE(CONTROL!$C$15, $D$11, 100%, $F$11)</f>
        <v>5.1310000000000002</v>
      </c>
      <c r="G77" s="8">
        <f>4.3781 * CHOOSE( CONTROL!$C$15, $D$11, 100%, $F$11)</f>
        <v>4.3780999999999999</v>
      </c>
      <c r="H77" s="4">
        <f>5.2765 * CHOOSE(CONTROL!$C$15, $D$11, 100%, $F$11)</f>
        <v>5.2765000000000004</v>
      </c>
      <c r="I77" s="8">
        <f>4.3875 * CHOOSE(CONTROL!$C$15, $D$11, 100%, $F$11)</f>
        <v>4.3875000000000002</v>
      </c>
      <c r="J77" s="4">
        <f>4.2768 * CHOOSE(CONTROL!$C$15, $D$11, 100%, $F$11)</f>
        <v>4.2767999999999997</v>
      </c>
      <c r="K77" s="4"/>
      <c r="L77" s="9">
        <v>28.933900000000001</v>
      </c>
      <c r="M77" s="9">
        <v>12.063700000000001</v>
      </c>
      <c r="N77" s="9">
        <v>4.9444999999999997</v>
      </c>
      <c r="O77" s="9">
        <v>0.37459999999999999</v>
      </c>
      <c r="P77" s="9">
        <v>1.2939000000000001</v>
      </c>
      <c r="Q77" s="9">
        <v>33.011299999999999</v>
      </c>
      <c r="R77" s="9"/>
      <c r="S77" s="11"/>
    </row>
    <row r="78" spans="1:19" ht="15.75">
      <c r="A78" s="13">
        <v>44228</v>
      </c>
      <c r="B78" s="8">
        <f>4.1624 * CHOOSE(CONTROL!$C$15, $D$11, 100%, $F$11)</f>
        <v>4.1623999999999999</v>
      </c>
      <c r="C78" s="8">
        <f>4.1727 * CHOOSE(CONTROL!$C$15, $D$11, 100%, $F$11)</f>
        <v>4.1726999999999999</v>
      </c>
      <c r="D78" s="8">
        <f>4.1732 * CHOOSE( CONTROL!$C$15, $D$11, 100%, $F$11)</f>
        <v>4.1731999999999996</v>
      </c>
      <c r="E78" s="12">
        <f>4.1719 * CHOOSE( CONTROL!$C$15, $D$11, 100%, $F$11)</f>
        <v>4.1718999999999999</v>
      </c>
      <c r="F78" s="4">
        <f>4.8373 * CHOOSE(CONTROL!$C$15, $D$11, 100%, $F$11)</f>
        <v>4.8372999999999999</v>
      </c>
      <c r="G78" s="8">
        <f>4.0966 * CHOOSE( CONTROL!$C$15, $D$11, 100%, $F$11)</f>
        <v>4.0965999999999996</v>
      </c>
      <c r="H78" s="4">
        <f>4.9876 * CHOOSE(CONTROL!$C$15, $D$11, 100%, $F$11)</f>
        <v>4.9875999999999996</v>
      </c>
      <c r="I78" s="8">
        <f>4.1 * CHOOSE(CONTROL!$C$15, $D$11, 100%, $F$11)</f>
        <v>4.0999999999999996</v>
      </c>
      <c r="J78" s="4">
        <f>4.0003 * CHOOSE(CONTROL!$C$15, $D$11, 100%, $F$11)</f>
        <v>4.0003000000000002</v>
      </c>
      <c r="K78" s="4"/>
      <c r="L78" s="9">
        <v>26.133800000000001</v>
      </c>
      <c r="M78" s="9">
        <v>10.8962</v>
      </c>
      <c r="N78" s="9">
        <v>4.4660000000000002</v>
      </c>
      <c r="O78" s="9">
        <v>0.33829999999999999</v>
      </c>
      <c r="P78" s="9">
        <v>1.1687000000000001</v>
      </c>
      <c r="Q78" s="9">
        <v>29.816600000000001</v>
      </c>
      <c r="R78" s="9"/>
      <c r="S78" s="11"/>
    </row>
    <row r="79" spans="1:19" ht="15.75">
      <c r="A79" s="13">
        <v>44256</v>
      </c>
      <c r="B79" s="8">
        <f>4.0743 * CHOOSE(CONTROL!$C$15, $D$11, 100%, $F$11)</f>
        <v>4.0743</v>
      </c>
      <c r="C79" s="8">
        <f>4.0847 * CHOOSE(CONTROL!$C$15, $D$11, 100%, $F$11)</f>
        <v>4.0846999999999998</v>
      </c>
      <c r="D79" s="8">
        <f>4.0647 * CHOOSE( CONTROL!$C$15, $D$11, 100%, $F$11)</f>
        <v>4.0647000000000002</v>
      </c>
      <c r="E79" s="12">
        <f>4.0709 * CHOOSE( CONTROL!$C$15, $D$11, 100%, $F$11)</f>
        <v>4.0709</v>
      </c>
      <c r="F79" s="4">
        <f>4.7332 * CHOOSE(CONTROL!$C$15, $D$11, 100%, $F$11)</f>
        <v>4.7332000000000001</v>
      </c>
      <c r="G79" s="8">
        <f>3.9892 * CHOOSE( CONTROL!$C$15, $D$11, 100%, $F$11)</f>
        <v>3.9891999999999999</v>
      </c>
      <c r="H79" s="4">
        <f>4.8852 * CHOOSE(CONTROL!$C$15, $D$11, 100%, $F$11)</f>
        <v>4.8852000000000002</v>
      </c>
      <c r="I79" s="8">
        <f>3.9753 * CHOOSE(CONTROL!$C$15, $D$11, 100%, $F$11)</f>
        <v>3.9752999999999998</v>
      </c>
      <c r="J79" s="4">
        <f>3.9152 * CHOOSE(CONTROL!$C$15, $D$11, 100%, $F$11)</f>
        <v>3.9152</v>
      </c>
      <c r="K79" s="4"/>
      <c r="L79" s="9">
        <v>28.933900000000001</v>
      </c>
      <c r="M79" s="9">
        <v>12.063700000000001</v>
      </c>
      <c r="N79" s="9">
        <v>4.9444999999999997</v>
      </c>
      <c r="O79" s="9">
        <v>0.37459999999999999</v>
      </c>
      <c r="P79" s="9">
        <v>1.2939000000000001</v>
      </c>
      <c r="Q79" s="9">
        <v>33.011299999999999</v>
      </c>
      <c r="R79" s="9"/>
      <c r="S79" s="11"/>
    </row>
    <row r="80" spans="1:19" ht="15.75">
      <c r="A80" s="13">
        <v>44287</v>
      </c>
      <c r="B80" s="8">
        <f>4.1358 * CHOOSE(CONTROL!$C$15, $D$11, 100%, $F$11)</f>
        <v>4.1357999999999997</v>
      </c>
      <c r="C80" s="8">
        <f>4.1462 * CHOOSE(CONTROL!$C$15, $D$11, 100%, $F$11)</f>
        <v>4.1462000000000003</v>
      </c>
      <c r="D80" s="8">
        <f>4.1377 * CHOOSE( CONTROL!$C$15, $D$11, 100%, $F$11)</f>
        <v>4.1376999999999997</v>
      </c>
      <c r="E80" s="12">
        <f>4.1393 * CHOOSE( CONTROL!$C$15, $D$11, 100%, $F$11)</f>
        <v>4.1393000000000004</v>
      </c>
      <c r="F80" s="4">
        <f>4.7849 * CHOOSE(CONTROL!$C$15, $D$11, 100%, $F$11)</f>
        <v>4.7849000000000004</v>
      </c>
      <c r="G80" s="8">
        <f>4.0345 * CHOOSE( CONTROL!$C$15, $D$11, 100%, $F$11)</f>
        <v>4.0345000000000004</v>
      </c>
      <c r="H80" s="4">
        <f>4.936 * CHOOSE(CONTROL!$C$15, $D$11, 100%, $F$11)</f>
        <v>4.9359999999999999</v>
      </c>
      <c r="I80" s="8">
        <f>4.0316 * CHOOSE(CONTROL!$C$15, $D$11, 100%, $F$11)</f>
        <v>4.0316000000000001</v>
      </c>
      <c r="J80" s="4">
        <f>3.9747 * CHOOSE(CONTROL!$C$15, $D$11, 100%, $F$11)</f>
        <v>3.9746999999999999</v>
      </c>
      <c r="K80" s="4"/>
      <c r="L80" s="9">
        <v>29.665800000000001</v>
      </c>
      <c r="M80" s="9">
        <v>11.6745</v>
      </c>
      <c r="N80" s="9">
        <v>4.7850000000000001</v>
      </c>
      <c r="O80" s="9">
        <v>0.36249999999999999</v>
      </c>
      <c r="P80" s="9">
        <v>1.1798</v>
      </c>
      <c r="Q80" s="9">
        <v>31.946400000000001</v>
      </c>
      <c r="R80" s="9"/>
      <c r="S80" s="11"/>
    </row>
    <row r="81" spans="1:19" ht="15.75">
      <c r="A81" s="13">
        <v>44317</v>
      </c>
      <c r="B81" s="8">
        <f>CHOOSE( CONTROL!$C$32, 4.2499, 4.2454) * CHOOSE(CONTROL!$C$15, $D$11, 100%, $F$11)</f>
        <v>4.2499000000000002</v>
      </c>
      <c r="C81" s="8">
        <f>CHOOSE( CONTROL!$C$32, 4.2602, 4.2557) * CHOOSE(CONTROL!$C$15, $D$11, 100%, $F$11)</f>
        <v>4.2602000000000002</v>
      </c>
      <c r="D81" s="8">
        <f>CHOOSE( CONTROL!$C$32, 4.2699, 4.2654) * CHOOSE( CONTROL!$C$15, $D$11, 100%, $F$11)</f>
        <v>4.2698999999999998</v>
      </c>
      <c r="E81" s="12">
        <f>CHOOSE( CONTROL!$C$32, 4.2648, 4.2603) * CHOOSE( CONTROL!$C$15, $D$11, 100%, $F$11)</f>
        <v>4.2648000000000001</v>
      </c>
      <c r="F81" s="4">
        <f>CHOOSE( CONTROL!$C$32, 4.9382, 4.9336) * CHOOSE(CONTROL!$C$15, $D$11, 100%, $F$11)</f>
        <v>4.9382000000000001</v>
      </c>
      <c r="G81" s="8">
        <f>CHOOSE( CONTROL!$C$32, 4.1518, 4.1473) * CHOOSE( CONTROL!$C$15, $D$11, 100%, $F$11)</f>
        <v>4.1517999999999997</v>
      </c>
      <c r="H81" s="4">
        <f>CHOOSE( CONTROL!$C$32, 5.0868, 5.0824) * CHOOSE(CONTROL!$C$15, $D$11, 100%, $F$11)</f>
        <v>5.0868000000000002</v>
      </c>
      <c r="I81" s="8">
        <f>CHOOSE( CONTROL!$C$32, 4.1478, 4.1434) * CHOOSE(CONTROL!$C$15, $D$11, 100%, $F$11)</f>
        <v>4.1478000000000002</v>
      </c>
      <c r="J81" s="4">
        <f>CHOOSE( CONTROL!$C$32, 4.085, 4.0806) * CHOOSE(CONTROL!$C$15, $D$11, 100%, $F$11)</f>
        <v>4.085</v>
      </c>
      <c r="K81" s="4"/>
      <c r="L81" s="9">
        <v>30.896899999999999</v>
      </c>
      <c r="M81" s="9">
        <v>12.063700000000001</v>
      </c>
      <c r="N81" s="9">
        <v>4.9444999999999997</v>
      </c>
      <c r="O81" s="9">
        <v>0.37459999999999999</v>
      </c>
      <c r="P81" s="9">
        <v>1.2192000000000001</v>
      </c>
      <c r="Q81" s="9">
        <v>33.011299999999999</v>
      </c>
      <c r="R81" s="9"/>
      <c r="S81" s="11"/>
    </row>
    <row r="82" spans="1:19" ht="15.75">
      <c r="A82" s="13">
        <v>44348</v>
      </c>
      <c r="B82" s="8">
        <f>CHOOSE( CONTROL!$C$32, 4.182, 4.1775) * CHOOSE(CONTROL!$C$15, $D$11, 100%, $F$11)</f>
        <v>4.1820000000000004</v>
      </c>
      <c r="C82" s="8">
        <f>CHOOSE( CONTROL!$C$32, 4.1924, 4.1879) * CHOOSE(CONTROL!$C$15, $D$11, 100%, $F$11)</f>
        <v>4.1924000000000001</v>
      </c>
      <c r="D82" s="8">
        <f>CHOOSE( CONTROL!$C$32, 4.2027, 4.1982) * CHOOSE( CONTROL!$C$15, $D$11, 100%, $F$11)</f>
        <v>4.2027000000000001</v>
      </c>
      <c r="E82" s="12">
        <f>CHOOSE( CONTROL!$C$32, 4.1974, 4.1929) * CHOOSE( CONTROL!$C$15, $D$11, 100%, $F$11)</f>
        <v>4.1974</v>
      </c>
      <c r="F82" s="4">
        <f>CHOOSE( CONTROL!$C$32, 4.8703, 4.8658) * CHOOSE(CONTROL!$C$15, $D$11, 100%, $F$11)</f>
        <v>4.8703000000000003</v>
      </c>
      <c r="G82" s="8">
        <f>CHOOSE( CONTROL!$C$32, 4.086, 4.0815) * CHOOSE( CONTROL!$C$15, $D$11, 100%, $F$11)</f>
        <v>4.0860000000000003</v>
      </c>
      <c r="H82" s="4">
        <f>CHOOSE( CONTROL!$C$32, 5.0201, 5.0156) * CHOOSE(CONTROL!$C$15, $D$11, 100%, $F$11)</f>
        <v>5.0201000000000002</v>
      </c>
      <c r="I82" s="8">
        <f>CHOOSE( CONTROL!$C$32, 4.0851, 4.0808) * CHOOSE(CONTROL!$C$15, $D$11, 100%, $F$11)</f>
        <v>4.0850999999999997</v>
      </c>
      <c r="J82" s="4">
        <f>CHOOSE( CONTROL!$C$32, 4.0193, 4.015) * CHOOSE(CONTROL!$C$15, $D$11, 100%, $F$11)</f>
        <v>4.0193000000000003</v>
      </c>
      <c r="K82" s="4"/>
      <c r="L82" s="9">
        <v>29.900200000000002</v>
      </c>
      <c r="M82" s="9">
        <v>11.6745</v>
      </c>
      <c r="N82" s="9">
        <v>4.7850000000000001</v>
      </c>
      <c r="O82" s="9">
        <v>0.36249999999999999</v>
      </c>
      <c r="P82" s="9">
        <v>1.1798</v>
      </c>
      <c r="Q82" s="9">
        <v>31.946400000000001</v>
      </c>
      <c r="R82" s="9"/>
      <c r="S82" s="11"/>
    </row>
    <row r="83" spans="1:19" ht="15.75">
      <c r="A83" s="13">
        <v>44378</v>
      </c>
      <c r="B83" s="8">
        <f>CHOOSE( CONTROL!$C$32, 4.3607, 4.3562) * CHOOSE(CONTROL!$C$15, $D$11, 100%, $F$11)</f>
        <v>4.3606999999999996</v>
      </c>
      <c r="C83" s="8">
        <f>CHOOSE( CONTROL!$C$32, 4.371, 4.3665) * CHOOSE(CONTROL!$C$15, $D$11, 100%, $F$11)</f>
        <v>4.3710000000000004</v>
      </c>
      <c r="D83" s="8">
        <f>CHOOSE( CONTROL!$C$32, 4.3819, 4.3774) * CHOOSE( CONTROL!$C$15, $D$11, 100%, $F$11)</f>
        <v>4.3818999999999999</v>
      </c>
      <c r="E83" s="12">
        <f>CHOOSE( CONTROL!$C$32, 4.3764, 4.3719) * CHOOSE( CONTROL!$C$15, $D$11, 100%, $F$11)</f>
        <v>4.3764000000000003</v>
      </c>
      <c r="F83" s="4">
        <f>CHOOSE( CONTROL!$C$32, 5.049, 5.0445) * CHOOSE(CONTROL!$C$15, $D$11, 100%, $F$11)</f>
        <v>5.0490000000000004</v>
      </c>
      <c r="G83" s="8">
        <f>CHOOSE( CONTROL!$C$32, 4.2626, 4.2581) * CHOOSE( CONTROL!$C$15, $D$11, 100%, $F$11)</f>
        <v>4.2625999999999999</v>
      </c>
      <c r="H83" s="4">
        <f>CHOOSE( CONTROL!$C$32, 5.1958, 5.1914) * CHOOSE(CONTROL!$C$15, $D$11, 100%, $F$11)</f>
        <v>5.1958000000000002</v>
      </c>
      <c r="I83" s="8">
        <f>CHOOSE( CONTROL!$C$32, 4.2607, 4.2563) * CHOOSE(CONTROL!$C$15, $D$11, 100%, $F$11)</f>
        <v>4.2606999999999999</v>
      </c>
      <c r="J83" s="4">
        <f>CHOOSE( CONTROL!$C$32, 4.1921, 4.1877) * CHOOSE(CONTROL!$C$15, $D$11, 100%, $F$11)</f>
        <v>4.1920999999999999</v>
      </c>
      <c r="K83" s="4"/>
      <c r="L83" s="9">
        <v>30.896899999999999</v>
      </c>
      <c r="M83" s="9">
        <v>12.063700000000001</v>
      </c>
      <c r="N83" s="9">
        <v>4.9444999999999997</v>
      </c>
      <c r="O83" s="9">
        <v>0.37459999999999999</v>
      </c>
      <c r="P83" s="9">
        <v>1.2192000000000001</v>
      </c>
      <c r="Q83" s="9">
        <v>33.011299999999999</v>
      </c>
      <c r="R83" s="9"/>
      <c r="S83" s="11"/>
    </row>
    <row r="84" spans="1:19" ht="15.75">
      <c r="A84" s="13">
        <v>44409</v>
      </c>
      <c r="B84" s="8">
        <f>CHOOSE( CONTROL!$C$32, 4.0264, 4.0219) * CHOOSE(CONTROL!$C$15, $D$11, 100%, $F$11)</f>
        <v>4.0263999999999998</v>
      </c>
      <c r="C84" s="8">
        <f>CHOOSE( CONTROL!$C$32, 4.0368, 4.0322) * CHOOSE(CONTROL!$C$15, $D$11, 100%, $F$11)</f>
        <v>4.0368000000000004</v>
      </c>
      <c r="D84" s="8">
        <f>CHOOSE( CONTROL!$C$32, 4.0479, 4.0434) * CHOOSE( CONTROL!$C$15, $D$11, 100%, $F$11)</f>
        <v>4.0479000000000003</v>
      </c>
      <c r="E84" s="12">
        <f>CHOOSE( CONTROL!$C$32, 4.0423, 4.0378) * CHOOSE( CONTROL!$C$15, $D$11, 100%, $F$11)</f>
        <v>4.0423</v>
      </c>
      <c r="F84" s="4">
        <f>CHOOSE( CONTROL!$C$32, 4.7147, 4.7102) * CHOOSE(CONTROL!$C$15, $D$11, 100%, $F$11)</f>
        <v>4.7146999999999997</v>
      </c>
      <c r="G84" s="8">
        <f>CHOOSE( CONTROL!$C$32, 3.9341, 3.9297) * CHOOSE( CONTROL!$C$15, $D$11, 100%, $F$11)</f>
        <v>3.9340999999999999</v>
      </c>
      <c r="H84" s="4">
        <f>CHOOSE( CONTROL!$C$32, 4.867, 4.8625) * CHOOSE(CONTROL!$C$15, $D$11, 100%, $F$11)</f>
        <v>4.867</v>
      </c>
      <c r="I84" s="8">
        <f>CHOOSE( CONTROL!$C$32, 3.9387, 3.9343) * CHOOSE(CONTROL!$C$15, $D$11, 100%, $F$11)</f>
        <v>3.9386999999999999</v>
      </c>
      <c r="J84" s="4">
        <f>CHOOSE( CONTROL!$C$32, 3.8689, 3.8645) * CHOOSE(CONTROL!$C$15, $D$11, 100%, $F$11)</f>
        <v>3.8689</v>
      </c>
      <c r="K84" s="4"/>
      <c r="L84" s="9">
        <v>30.896899999999999</v>
      </c>
      <c r="M84" s="9">
        <v>12.063700000000001</v>
      </c>
      <c r="N84" s="9">
        <v>4.9444999999999997</v>
      </c>
      <c r="O84" s="9">
        <v>0.37459999999999999</v>
      </c>
      <c r="P84" s="9">
        <v>1.2192000000000001</v>
      </c>
      <c r="Q84" s="9">
        <v>33.011299999999999</v>
      </c>
      <c r="R84" s="9"/>
      <c r="S84" s="11"/>
    </row>
    <row r="85" spans="1:19" ht="15.75">
      <c r="A85" s="13">
        <v>44440</v>
      </c>
      <c r="B85" s="8">
        <f>CHOOSE( CONTROL!$C$32, 3.9427, 3.9382) * CHOOSE(CONTROL!$C$15, $D$11, 100%, $F$11)</f>
        <v>3.9426999999999999</v>
      </c>
      <c r="C85" s="8">
        <f>CHOOSE( CONTROL!$C$32, 3.9531, 3.9485) * CHOOSE(CONTROL!$C$15, $D$11, 100%, $F$11)</f>
        <v>3.9531000000000001</v>
      </c>
      <c r="D85" s="8">
        <f>CHOOSE( CONTROL!$C$32, 3.9643, 3.9598) * CHOOSE( CONTROL!$C$15, $D$11, 100%, $F$11)</f>
        <v>3.9643000000000002</v>
      </c>
      <c r="E85" s="12">
        <f>CHOOSE( CONTROL!$C$32, 3.9587, 3.9541) * CHOOSE( CONTROL!$C$15, $D$11, 100%, $F$11)</f>
        <v>3.9586999999999999</v>
      </c>
      <c r="F85" s="4">
        <f>CHOOSE( CONTROL!$C$32, 4.631, 4.6265) * CHOOSE(CONTROL!$C$15, $D$11, 100%, $F$11)</f>
        <v>4.6310000000000002</v>
      </c>
      <c r="G85" s="8">
        <f>CHOOSE( CONTROL!$C$32, 3.8519, 3.8475) * CHOOSE( CONTROL!$C$15, $D$11, 100%, $F$11)</f>
        <v>3.8519000000000001</v>
      </c>
      <c r="H85" s="4">
        <f>CHOOSE( CONTROL!$C$32, 4.7846, 4.7802) * CHOOSE(CONTROL!$C$15, $D$11, 100%, $F$11)</f>
        <v>4.7846000000000002</v>
      </c>
      <c r="I85" s="8">
        <f>CHOOSE( CONTROL!$C$32, 3.8581, 3.8538) * CHOOSE(CONTROL!$C$15, $D$11, 100%, $F$11)</f>
        <v>3.8580999999999999</v>
      </c>
      <c r="J85" s="4">
        <f>CHOOSE( CONTROL!$C$32, 3.7879, 3.7835) * CHOOSE(CONTROL!$C$15, $D$11, 100%, $F$11)</f>
        <v>3.7879</v>
      </c>
      <c r="K85" s="4"/>
      <c r="L85" s="9">
        <v>29.900200000000002</v>
      </c>
      <c r="M85" s="9">
        <v>11.6745</v>
      </c>
      <c r="N85" s="9">
        <v>4.7850000000000001</v>
      </c>
      <c r="O85" s="9">
        <v>0.36249999999999999</v>
      </c>
      <c r="P85" s="9">
        <v>1.1798</v>
      </c>
      <c r="Q85" s="9">
        <v>31.946400000000001</v>
      </c>
      <c r="R85" s="9"/>
      <c r="S85" s="11"/>
    </row>
    <row r="86" spans="1:19" ht="15.75">
      <c r="A86" s="13">
        <v>44470</v>
      </c>
      <c r="B86" s="8">
        <f>4.112 * CHOOSE(CONTROL!$C$15, $D$11, 100%, $F$11)</f>
        <v>4.1120000000000001</v>
      </c>
      <c r="C86" s="8">
        <f>4.1223 * CHOOSE(CONTROL!$C$15, $D$11, 100%, $F$11)</f>
        <v>4.1223000000000001</v>
      </c>
      <c r="D86" s="8">
        <f>4.1347 * CHOOSE( CONTROL!$C$15, $D$11, 100%, $F$11)</f>
        <v>4.1346999999999996</v>
      </c>
      <c r="E86" s="12">
        <f>4.1295 * CHOOSE( CONTROL!$C$15, $D$11, 100%, $F$11)</f>
        <v>4.1295000000000002</v>
      </c>
      <c r="F86" s="4">
        <f>4.8003 * CHOOSE(CONTROL!$C$15, $D$11, 100%, $F$11)</f>
        <v>4.8003</v>
      </c>
      <c r="G86" s="8">
        <f>4.0179 * CHOOSE( CONTROL!$C$15, $D$11, 100%, $F$11)</f>
        <v>4.0179</v>
      </c>
      <c r="H86" s="4">
        <f>4.9512 * CHOOSE(CONTROL!$C$15, $D$11, 100%, $F$11)</f>
        <v>4.9512</v>
      </c>
      <c r="I86" s="8">
        <f>4.0232 * CHOOSE(CONTROL!$C$15, $D$11, 100%, $F$11)</f>
        <v>4.0232000000000001</v>
      </c>
      <c r="J86" s="4">
        <f>3.9516 * CHOOSE(CONTROL!$C$15, $D$11, 100%, $F$11)</f>
        <v>3.9516</v>
      </c>
      <c r="K86" s="4"/>
      <c r="L86" s="9">
        <v>30.654699999999998</v>
      </c>
      <c r="M86" s="9">
        <v>12.063700000000001</v>
      </c>
      <c r="N86" s="9">
        <v>4.9444999999999997</v>
      </c>
      <c r="O86" s="9">
        <v>0.37459999999999999</v>
      </c>
      <c r="P86" s="9">
        <v>1.2192000000000001</v>
      </c>
      <c r="Q86" s="9">
        <v>33.011299999999999</v>
      </c>
      <c r="R86" s="9"/>
      <c r="S86" s="11"/>
    </row>
    <row r="87" spans="1:19" ht="15.75">
      <c r="A87" s="13">
        <v>44501</v>
      </c>
      <c r="B87" s="8">
        <f>4.4328 * CHOOSE(CONTROL!$C$15, $D$11, 100%, $F$11)</f>
        <v>4.4328000000000003</v>
      </c>
      <c r="C87" s="8">
        <f>4.4431 * CHOOSE(CONTROL!$C$15, $D$11, 100%, $F$11)</f>
        <v>4.4431000000000003</v>
      </c>
      <c r="D87" s="8">
        <f>4.4292 * CHOOSE( CONTROL!$C$15, $D$11, 100%, $F$11)</f>
        <v>4.4291999999999998</v>
      </c>
      <c r="E87" s="12">
        <f>4.4332 * CHOOSE( CONTROL!$C$15, $D$11, 100%, $F$11)</f>
        <v>4.4332000000000003</v>
      </c>
      <c r="F87" s="4">
        <f>5.087 * CHOOSE(CONTROL!$C$15, $D$11, 100%, $F$11)</f>
        <v>5.0869999999999997</v>
      </c>
      <c r="G87" s="8">
        <f>4.3507 * CHOOSE( CONTROL!$C$15, $D$11, 100%, $F$11)</f>
        <v>4.3506999999999998</v>
      </c>
      <c r="H87" s="4">
        <f>5.2333 * CHOOSE(CONTROL!$C$15, $D$11, 100%, $F$11)</f>
        <v>5.2332999999999998</v>
      </c>
      <c r="I87" s="8">
        <f>4.3666 * CHOOSE(CONTROL!$C$15, $D$11, 100%, $F$11)</f>
        <v>4.3666</v>
      </c>
      <c r="J87" s="4">
        <f>4.2618 * CHOOSE(CONTROL!$C$15, $D$11, 100%, $F$11)</f>
        <v>4.2618</v>
      </c>
      <c r="K87" s="4"/>
      <c r="L87" s="9">
        <v>28.000499999999999</v>
      </c>
      <c r="M87" s="9">
        <v>11.6745</v>
      </c>
      <c r="N87" s="9">
        <v>4.7850000000000001</v>
      </c>
      <c r="O87" s="9">
        <v>0.36249999999999999</v>
      </c>
      <c r="P87" s="9">
        <v>1.2522</v>
      </c>
      <c r="Q87" s="9">
        <v>31.946400000000001</v>
      </c>
      <c r="R87" s="9"/>
      <c r="S87" s="11"/>
    </row>
    <row r="88" spans="1:19" ht="15.75">
      <c r="A88" s="13">
        <v>44531</v>
      </c>
      <c r="B88" s="8">
        <f>4.4248 * CHOOSE(CONTROL!$C$15, $D$11, 100%, $F$11)</f>
        <v>4.4248000000000003</v>
      </c>
      <c r="C88" s="8">
        <f>4.4351 * CHOOSE(CONTROL!$C$15, $D$11, 100%, $F$11)</f>
        <v>4.4351000000000003</v>
      </c>
      <c r="D88" s="8">
        <f>4.4236 * CHOOSE( CONTROL!$C$15, $D$11, 100%, $F$11)</f>
        <v>4.4236000000000004</v>
      </c>
      <c r="E88" s="12">
        <f>4.4267 * CHOOSE( CONTROL!$C$15, $D$11, 100%, $F$11)</f>
        <v>4.4267000000000003</v>
      </c>
      <c r="F88" s="4">
        <f>5.079 * CHOOSE(CONTROL!$C$15, $D$11, 100%, $F$11)</f>
        <v>5.0789999999999997</v>
      </c>
      <c r="G88" s="8">
        <f>4.3447 * CHOOSE( CONTROL!$C$15, $D$11, 100%, $F$11)</f>
        <v>4.3446999999999996</v>
      </c>
      <c r="H88" s="4">
        <f>5.2254 * CHOOSE(CONTROL!$C$15, $D$11, 100%, $F$11)</f>
        <v>5.2253999999999996</v>
      </c>
      <c r="I88" s="8">
        <f>4.3668 * CHOOSE(CONTROL!$C$15, $D$11, 100%, $F$11)</f>
        <v>4.3667999999999996</v>
      </c>
      <c r="J88" s="4">
        <f>4.2541 * CHOOSE(CONTROL!$C$15, $D$11, 100%, $F$11)</f>
        <v>4.2541000000000002</v>
      </c>
      <c r="K88" s="4"/>
      <c r="L88" s="9">
        <v>28.933900000000001</v>
      </c>
      <c r="M88" s="9">
        <v>12.063700000000001</v>
      </c>
      <c r="N88" s="9">
        <v>4.9444999999999997</v>
      </c>
      <c r="O88" s="9">
        <v>0.37459999999999999</v>
      </c>
      <c r="P88" s="9">
        <v>1.2939000000000001</v>
      </c>
      <c r="Q88" s="9">
        <v>33.011299999999999</v>
      </c>
      <c r="R88" s="9"/>
      <c r="S88" s="11"/>
    </row>
    <row r="89" spans="1:19" ht="15.75">
      <c r="A89" s="13">
        <v>44562</v>
      </c>
      <c r="B89" s="8">
        <f>4.4114 * CHOOSE(CONTROL!$C$15, $D$11, 100%, $F$11)</f>
        <v>4.4114000000000004</v>
      </c>
      <c r="C89" s="8">
        <f>4.4218 * CHOOSE(CONTROL!$C$15, $D$11, 100%, $F$11)</f>
        <v>4.4218000000000002</v>
      </c>
      <c r="D89" s="8">
        <f>4.4202 * CHOOSE( CONTROL!$C$15, $D$11, 100%, $F$11)</f>
        <v>4.4202000000000004</v>
      </c>
      <c r="E89" s="12">
        <f>4.4197 * CHOOSE( CONTROL!$C$15, $D$11, 100%, $F$11)</f>
        <v>4.4196999999999997</v>
      </c>
      <c r="F89" s="4">
        <f>5.0941 * CHOOSE(CONTROL!$C$15, $D$11, 100%, $F$11)</f>
        <v>5.0941000000000001</v>
      </c>
      <c r="G89" s="8">
        <f>4.3418 * CHOOSE( CONTROL!$C$15, $D$11, 100%, $F$11)</f>
        <v>4.3418000000000001</v>
      </c>
      <c r="H89" s="4">
        <f>5.2402 * CHOOSE(CONTROL!$C$15, $D$11, 100%, $F$11)</f>
        <v>5.2401999999999997</v>
      </c>
      <c r="I89" s="8">
        <f>4.3519 * CHOOSE(CONTROL!$C$15, $D$11, 100%, $F$11)</f>
        <v>4.3518999999999997</v>
      </c>
      <c r="J89" s="4">
        <f>4.2412 * CHOOSE(CONTROL!$C$15, $D$11, 100%, $F$11)</f>
        <v>4.2412000000000001</v>
      </c>
      <c r="K89" s="4"/>
      <c r="L89" s="9">
        <v>28.933900000000001</v>
      </c>
      <c r="M89" s="9">
        <v>12.063700000000001</v>
      </c>
      <c r="N89" s="9">
        <v>4.9444999999999997</v>
      </c>
      <c r="O89" s="9">
        <v>0.37459999999999999</v>
      </c>
      <c r="P89" s="9">
        <v>1.2939000000000001</v>
      </c>
      <c r="Q89" s="9">
        <v>32.8123</v>
      </c>
      <c r="R89" s="9"/>
      <c r="S89" s="11"/>
    </row>
    <row r="90" spans="1:19" ht="15.75">
      <c r="A90" s="13">
        <v>44593</v>
      </c>
      <c r="B90" s="8">
        <f>4.1279 * CHOOSE(CONTROL!$C$15, $D$11, 100%, $F$11)</f>
        <v>4.1279000000000003</v>
      </c>
      <c r="C90" s="8">
        <f>4.1382 * CHOOSE(CONTROL!$C$15, $D$11, 100%, $F$11)</f>
        <v>4.1382000000000003</v>
      </c>
      <c r="D90" s="8">
        <f>4.1388 * CHOOSE( CONTROL!$C$15, $D$11, 100%, $F$11)</f>
        <v>4.1387999999999998</v>
      </c>
      <c r="E90" s="12">
        <f>4.1375 * CHOOSE( CONTROL!$C$15, $D$11, 100%, $F$11)</f>
        <v>4.1375000000000002</v>
      </c>
      <c r="F90" s="4">
        <f>4.8028 * CHOOSE(CONTROL!$C$15, $D$11, 100%, $F$11)</f>
        <v>4.8028000000000004</v>
      </c>
      <c r="G90" s="8">
        <f>4.0626 * CHOOSE( CONTROL!$C$15, $D$11, 100%, $F$11)</f>
        <v>4.0625999999999998</v>
      </c>
      <c r="H90" s="4">
        <f>4.9537 * CHOOSE(CONTROL!$C$15, $D$11, 100%, $F$11)</f>
        <v>4.9537000000000004</v>
      </c>
      <c r="I90" s="8">
        <f>4.0666 * CHOOSE(CONTROL!$C$15, $D$11, 100%, $F$11)</f>
        <v>4.0666000000000002</v>
      </c>
      <c r="J90" s="4">
        <f>3.967 * CHOOSE(CONTROL!$C$15, $D$11, 100%, $F$11)</f>
        <v>3.9670000000000001</v>
      </c>
      <c r="K90" s="4"/>
      <c r="L90" s="9">
        <v>26.133800000000001</v>
      </c>
      <c r="M90" s="9">
        <v>10.8962</v>
      </c>
      <c r="N90" s="9">
        <v>4.4660000000000002</v>
      </c>
      <c r="O90" s="9">
        <v>0.33829999999999999</v>
      </c>
      <c r="P90" s="9">
        <v>1.1687000000000001</v>
      </c>
      <c r="Q90" s="9">
        <v>29.636900000000001</v>
      </c>
      <c r="R90" s="9"/>
      <c r="S90" s="11"/>
    </row>
    <row r="91" spans="1:19" ht="15.75">
      <c r="A91" s="13">
        <v>44621</v>
      </c>
      <c r="B91" s="8">
        <f>4.0406 * CHOOSE(CONTROL!$C$15, $D$11, 100%, $F$11)</f>
        <v>4.0406000000000004</v>
      </c>
      <c r="C91" s="8">
        <f>4.0509 * CHOOSE(CONTROL!$C$15, $D$11, 100%, $F$11)</f>
        <v>4.0509000000000004</v>
      </c>
      <c r="D91" s="8">
        <f>4.031 * CHOOSE( CONTROL!$C$15, $D$11, 100%, $F$11)</f>
        <v>4.0309999999999997</v>
      </c>
      <c r="E91" s="12">
        <f>4.0372 * CHOOSE( CONTROL!$C$15, $D$11, 100%, $F$11)</f>
        <v>4.0372000000000003</v>
      </c>
      <c r="F91" s="4">
        <f>4.6995 * CHOOSE(CONTROL!$C$15, $D$11, 100%, $F$11)</f>
        <v>4.6994999999999996</v>
      </c>
      <c r="G91" s="8">
        <f>3.956 * CHOOSE( CONTROL!$C$15, $D$11, 100%, $F$11)</f>
        <v>3.956</v>
      </c>
      <c r="H91" s="4">
        <f>4.852 * CHOOSE(CONTROL!$C$15, $D$11, 100%, $F$11)</f>
        <v>4.8520000000000003</v>
      </c>
      <c r="I91" s="8">
        <f>3.9426 * CHOOSE(CONTROL!$C$15, $D$11, 100%, $F$11)</f>
        <v>3.9426000000000001</v>
      </c>
      <c r="J91" s="4">
        <f>3.8825 * CHOOSE(CONTROL!$C$15, $D$11, 100%, $F$11)</f>
        <v>3.8824999999999998</v>
      </c>
      <c r="K91" s="4"/>
      <c r="L91" s="9">
        <v>28.933900000000001</v>
      </c>
      <c r="M91" s="9">
        <v>12.063700000000001</v>
      </c>
      <c r="N91" s="9">
        <v>4.9444999999999997</v>
      </c>
      <c r="O91" s="9">
        <v>0.37459999999999999</v>
      </c>
      <c r="P91" s="9">
        <v>1.2939000000000001</v>
      </c>
      <c r="Q91" s="9">
        <v>32.8123</v>
      </c>
      <c r="R91" s="9"/>
      <c r="S91" s="11"/>
    </row>
    <row r="92" spans="1:19" ht="15.75">
      <c r="A92" s="13">
        <v>44652</v>
      </c>
      <c r="B92" s="8">
        <f>4.1016 * CHOOSE(CONTROL!$C$15, $D$11, 100%, $F$11)</f>
        <v>4.1016000000000004</v>
      </c>
      <c r="C92" s="8">
        <f>4.1119 * CHOOSE(CONTROL!$C$15, $D$11, 100%, $F$11)</f>
        <v>4.1119000000000003</v>
      </c>
      <c r="D92" s="8">
        <f>4.1035 * CHOOSE( CONTROL!$C$15, $D$11, 100%, $F$11)</f>
        <v>4.1035000000000004</v>
      </c>
      <c r="E92" s="12">
        <f>4.1051 * CHOOSE( CONTROL!$C$15, $D$11, 100%, $F$11)</f>
        <v>4.1051000000000002</v>
      </c>
      <c r="F92" s="4">
        <f>4.7507 * CHOOSE(CONTROL!$C$15, $D$11, 100%, $F$11)</f>
        <v>4.7507000000000001</v>
      </c>
      <c r="G92" s="8">
        <f>4.0008 * CHOOSE( CONTROL!$C$15, $D$11, 100%, $F$11)</f>
        <v>4.0007999999999999</v>
      </c>
      <c r="H92" s="4">
        <f>4.9023 * CHOOSE(CONTROL!$C$15, $D$11, 100%, $F$11)</f>
        <v>4.9023000000000003</v>
      </c>
      <c r="I92" s="8">
        <f>3.9985 * CHOOSE(CONTROL!$C$15, $D$11, 100%, $F$11)</f>
        <v>3.9984999999999999</v>
      </c>
      <c r="J92" s="4">
        <f>3.9415 * CHOOSE(CONTROL!$C$15, $D$11, 100%, $F$11)</f>
        <v>3.9415</v>
      </c>
      <c r="K92" s="4"/>
      <c r="L92" s="9">
        <v>29.665800000000001</v>
      </c>
      <c r="M92" s="9">
        <v>11.6745</v>
      </c>
      <c r="N92" s="9">
        <v>4.7850000000000001</v>
      </c>
      <c r="O92" s="9">
        <v>0.36249999999999999</v>
      </c>
      <c r="P92" s="9">
        <v>1.1798</v>
      </c>
      <c r="Q92" s="9">
        <v>31.753799999999998</v>
      </c>
      <c r="R92" s="9"/>
      <c r="S92" s="11"/>
    </row>
    <row r="93" spans="1:19" ht="15.75">
      <c r="A93" s="13">
        <v>44682</v>
      </c>
      <c r="B93" s="8">
        <f>CHOOSE( CONTROL!$C$32, 4.2147, 4.2102) * CHOOSE(CONTROL!$C$15, $D$11, 100%, $F$11)</f>
        <v>4.2146999999999997</v>
      </c>
      <c r="C93" s="8">
        <f>CHOOSE( CONTROL!$C$32, 4.2251, 4.2205) * CHOOSE(CONTROL!$C$15, $D$11, 100%, $F$11)</f>
        <v>4.2251000000000003</v>
      </c>
      <c r="D93" s="8">
        <f>CHOOSE( CONTROL!$C$32, 4.2348, 4.2302) * CHOOSE( CONTROL!$C$15, $D$11, 100%, $F$11)</f>
        <v>4.2347999999999999</v>
      </c>
      <c r="E93" s="12">
        <f>CHOOSE( CONTROL!$C$32, 4.2297, 4.2251) * CHOOSE( CONTROL!$C$15, $D$11, 100%, $F$11)</f>
        <v>4.2297000000000002</v>
      </c>
      <c r="F93" s="4">
        <f>CHOOSE( CONTROL!$C$32, 4.903, 4.8985) * CHOOSE(CONTROL!$C$15, $D$11, 100%, $F$11)</f>
        <v>4.9029999999999996</v>
      </c>
      <c r="G93" s="8">
        <f>CHOOSE( CONTROL!$C$32, 4.1172, 4.1127) * CHOOSE( CONTROL!$C$15, $D$11, 100%, $F$11)</f>
        <v>4.1172000000000004</v>
      </c>
      <c r="H93" s="4">
        <f>CHOOSE( CONTROL!$C$32, 5.0522, 5.0478) * CHOOSE(CONTROL!$C$15, $D$11, 100%, $F$11)</f>
        <v>5.0522</v>
      </c>
      <c r="I93" s="8">
        <f>CHOOSE( CONTROL!$C$32, 4.1138, 4.1094) * CHOOSE(CONTROL!$C$15, $D$11, 100%, $F$11)</f>
        <v>4.1138000000000003</v>
      </c>
      <c r="J93" s="4">
        <f>CHOOSE( CONTROL!$C$32, 4.0509, 4.0466) * CHOOSE(CONTROL!$C$15, $D$11, 100%, $F$11)</f>
        <v>4.0509000000000004</v>
      </c>
      <c r="K93" s="4"/>
      <c r="L93" s="9">
        <v>30.896899999999999</v>
      </c>
      <c r="M93" s="9">
        <v>12.063700000000001</v>
      </c>
      <c r="N93" s="9">
        <v>4.9444999999999997</v>
      </c>
      <c r="O93" s="9">
        <v>0.37459999999999999</v>
      </c>
      <c r="P93" s="9">
        <v>1.2192000000000001</v>
      </c>
      <c r="Q93" s="9">
        <v>32.8123</v>
      </c>
      <c r="R93" s="9"/>
      <c r="S93" s="11"/>
    </row>
    <row r="94" spans="1:19" ht="15.75">
      <c r="A94" s="13">
        <v>44713</v>
      </c>
      <c r="B94" s="8">
        <f>CHOOSE( CONTROL!$C$32, 4.1474, 4.1429) * CHOOSE(CONTROL!$C$15, $D$11, 100%, $F$11)</f>
        <v>4.1474000000000002</v>
      </c>
      <c r="C94" s="8">
        <f>CHOOSE( CONTROL!$C$32, 4.1578, 4.1533) * CHOOSE(CONTROL!$C$15, $D$11, 100%, $F$11)</f>
        <v>4.1577999999999999</v>
      </c>
      <c r="D94" s="8">
        <f>CHOOSE( CONTROL!$C$32, 4.1681, 4.1636) * CHOOSE( CONTROL!$C$15, $D$11, 100%, $F$11)</f>
        <v>4.1680999999999999</v>
      </c>
      <c r="E94" s="12">
        <f>CHOOSE( CONTROL!$C$32, 4.1628, 4.1583) * CHOOSE( CONTROL!$C$15, $D$11, 100%, $F$11)</f>
        <v>4.1627999999999998</v>
      </c>
      <c r="F94" s="4">
        <f>CHOOSE( CONTROL!$C$32, 4.8357, 4.8312) * CHOOSE(CONTROL!$C$15, $D$11, 100%, $F$11)</f>
        <v>4.8357000000000001</v>
      </c>
      <c r="G94" s="8">
        <f>CHOOSE( CONTROL!$C$32, 4.0519, 4.0475) * CHOOSE( CONTROL!$C$15, $D$11, 100%, $F$11)</f>
        <v>4.0518999999999998</v>
      </c>
      <c r="H94" s="4">
        <f>CHOOSE( CONTROL!$C$32, 4.986, 4.9816) * CHOOSE(CONTROL!$C$15, $D$11, 100%, $F$11)</f>
        <v>4.9859999999999998</v>
      </c>
      <c r="I94" s="8">
        <f>CHOOSE( CONTROL!$C$32, 4.0517, 4.0473) * CHOOSE(CONTROL!$C$15, $D$11, 100%, $F$11)</f>
        <v>4.0517000000000003</v>
      </c>
      <c r="J94" s="4">
        <f>CHOOSE( CONTROL!$C$32, 3.9859, 3.9815) * CHOOSE(CONTROL!$C$15, $D$11, 100%, $F$11)</f>
        <v>3.9859</v>
      </c>
      <c r="K94" s="4"/>
      <c r="L94" s="9">
        <v>29.900200000000002</v>
      </c>
      <c r="M94" s="9">
        <v>11.6745</v>
      </c>
      <c r="N94" s="9">
        <v>4.7850000000000001</v>
      </c>
      <c r="O94" s="9">
        <v>0.36249999999999999</v>
      </c>
      <c r="P94" s="9">
        <v>1.1798</v>
      </c>
      <c r="Q94" s="9">
        <v>31.753799999999998</v>
      </c>
      <c r="R94" s="9"/>
      <c r="S94" s="11"/>
    </row>
    <row r="95" spans="1:19" ht="15.75">
      <c r="A95" s="13">
        <v>44743</v>
      </c>
      <c r="B95" s="8">
        <f>CHOOSE( CONTROL!$C$32, 4.3246, 4.3201) * CHOOSE(CONTROL!$C$15, $D$11, 100%, $F$11)</f>
        <v>4.3246000000000002</v>
      </c>
      <c r="C95" s="8">
        <f>CHOOSE( CONTROL!$C$32, 4.3349, 4.3304) * CHOOSE(CONTROL!$C$15, $D$11, 100%, $F$11)</f>
        <v>4.3349000000000002</v>
      </c>
      <c r="D95" s="8">
        <f>CHOOSE( CONTROL!$C$32, 4.3458, 4.3413) * CHOOSE( CONTROL!$C$15, $D$11, 100%, $F$11)</f>
        <v>4.3457999999999997</v>
      </c>
      <c r="E95" s="12">
        <f>CHOOSE( CONTROL!$C$32, 4.3403, 4.3358) * CHOOSE( CONTROL!$C$15, $D$11, 100%, $F$11)</f>
        <v>4.3403</v>
      </c>
      <c r="F95" s="4">
        <f>CHOOSE( CONTROL!$C$32, 5.0129, 5.0084) * CHOOSE(CONTROL!$C$15, $D$11, 100%, $F$11)</f>
        <v>5.0129000000000001</v>
      </c>
      <c r="G95" s="8">
        <f>CHOOSE( CONTROL!$C$32, 4.2271, 4.2226) * CHOOSE( CONTROL!$C$15, $D$11, 100%, $F$11)</f>
        <v>4.2271000000000001</v>
      </c>
      <c r="H95" s="4">
        <f>CHOOSE( CONTROL!$C$32, 5.1603, 5.1559) * CHOOSE(CONTROL!$C$15, $D$11, 100%, $F$11)</f>
        <v>5.1603000000000003</v>
      </c>
      <c r="I95" s="8">
        <f>CHOOSE( CONTROL!$C$32, 4.2258, 4.2214) * CHOOSE(CONTROL!$C$15, $D$11, 100%, $F$11)</f>
        <v>4.2257999999999996</v>
      </c>
      <c r="J95" s="4">
        <f>CHOOSE( CONTROL!$C$32, 4.1572, 4.1528) * CHOOSE(CONTROL!$C$15, $D$11, 100%, $F$11)</f>
        <v>4.1571999999999996</v>
      </c>
      <c r="K95" s="4"/>
      <c r="L95" s="9">
        <v>30.896899999999999</v>
      </c>
      <c r="M95" s="9">
        <v>12.063700000000001</v>
      </c>
      <c r="N95" s="9">
        <v>4.9444999999999997</v>
      </c>
      <c r="O95" s="9">
        <v>0.37459999999999999</v>
      </c>
      <c r="P95" s="9">
        <v>1.2192000000000001</v>
      </c>
      <c r="Q95" s="9">
        <v>32.8123</v>
      </c>
      <c r="R95" s="9"/>
      <c r="S95" s="11"/>
    </row>
    <row r="96" spans="1:19" ht="15.75">
      <c r="A96" s="13">
        <v>44774</v>
      </c>
      <c r="B96" s="8">
        <f>CHOOSE( CONTROL!$C$32, 3.9931, 3.9886) * CHOOSE(CONTROL!$C$15, $D$11, 100%, $F$11)</f>
        <v>3.9931000000000001</v>
      </c>
      <c r="C96" s="8">
        <f>CHOOSE( CONTROL!$C$32, 4.0035, 3.9989) * CHOOSE(CONTROL!$C$15, $D$11, 100%, $F$11)</f>
        <v>4.0034999999999998</v>
      </c>
      <c r="D96" s="8">
        <f>CHOOSE( CONTROL!$C$32, 4.0146, 4.0101) * CHOOSE( CONTROL!$C$15, $D$11, 100%, $F$11)</f>
        <v>4.0145999999999997</v>
      </c>
      <c r="E96" s="12">
        <f>CHOOSE( CONTROL!$C$32, 4.009, 4.0045) * CHOOSE( CONTROL!$C$15, $D$11, 100%, $F$11)</f>
        <v>4.0090000000000003</v>
      </c>
      <c r="F96" s="4">
        <f>CHOOSE( CONTROL!$C$32, 4.6814, 4.6769) * CHOOSE(CONTROL!$C$15, $D$11, 100%, $F$11)</f>
        <v>4.6814</v>
      </c>
      <c r="G96" s="8">
        <f>CHOOSE( CONTROL!$C$32, 3.9014, 3.8969) * CHOOSE( CONTROL!$C$15, $D$11, 100%, $F$11)</f>
        <v>3.9014000000000002</v>
      </c>
      <c r="H96" s="4">
        <f>CHOOSE( CONTROL!$C$32, 4.8342, 4.8298) * CHOOSE(CONTROL!$C$15, $D$11, 100%, $F$11)</f>
        <v>4.8342000000000001</v>
      </c>
      <c r="I96" s="8">
        <f>CHOOSE( CONTROL!$C$32, 3.9065, 3.9021) * CHOOSE(CONTROL!$C$15, $D$11, 100%, $F$11)</f>
        <v>3.9064999999999999</v>
      </c>
      <c r="J96" s="4">
        <f>CHOOSE( CONTROL!$C$32, 3.8366, 3.8323) * CHOOSE(CONTROL!$C$15, $D$11, 100%, $F$11)</f>
        <v>3.8365999999999998</v>
      </c>
      <c r="K96" s="4"/>
      <c r="L96" s="9">
        <v>29.520499999999998</v>
      </c>
      <c r="M96" s="9">
        <v>12.063700000000001</v>
      </c>
      <c r="N96" s="9">
        <v>4.9444999999999997</v>
      </c>
      <c r="O96" s="9">
        <v>0.37459999999999999</v>
      </c>
      <c r="P96" s="9">
        <v>1.2192000000000001</v>
      </c>
      <c r="Q96" s="9">
        <v>32.8123</v>
      </c>
      <c r="R96" s="9"/>
      <c r="S96" s="11"/>
    </row>
    <row r="97" spans="1:19" ht="15.75">
      <c r="A97" s="13">
        <v>44805</v>
      </c>
      <c r="B97" s="8">
        <f>CHOOSE( CONTROL!$C$32, 3.9101, 3.9056) * CHOOSE(CONTROL!$C$15, $D$11, 100%, $F$11)</f>
        <v>3.9100999999999999</v>
      </c>
      <c r="C97" s="8">
        <f>CHOOSE( CONTROL!$C$32, 3.9205, 3.9159) * CHOOSE(CONTROL!$C$15, $D$11, 100%, $F$11)</f>
        <v>3.9205000000000001</v>
      </c>
      <c r="D97" s="8">
        <f>CHOOSE( CONTROL!$C$32, 3.9317, 3.9272) * CHOOSE( CONTROL!$C$15, $D$11, 100%, $F$11)</f>
        <v>3.9317000000000002</v>
      </c>
      <c r="E97" s="12">
        <f>CHOOSE( CONTROL!$C$32, 3.9261, 3.9215) * CHOOSE( CONTROL!$C$15, $D$11, 100%, $F$11)</f>
        <v>3.9260999999999999</v>
      </c>
      <c r="F97" s="4">
        <f>CHOOSE( CONTROL!$C$32, 4.5984, 4.5939) * CHOOSE(CONTROL!$C$15, $D$11, 100%, $F$11)</f>
        <v>4.5983999999999998</v>
      </c>
      <c r="G97" s="8">
        <f>CHOOSE( CONTROL!$C$32, 3.8199, 3.8154) * CHOOSE( CONTROL!$C$15, $D$11, 100%, $F$11)</f>
        <v>3.8199000000000001</v>
      </c>
      <c r="H97" s="4">
        <f>CHOOSE( CONTROL!$C$32, 4.7525, 4.7481) * CHOOSE(CONTROL!$C$15, $D$11, 100%, $F$11)</f>
        <v>4.7525000000000004</v>
      </c>
      <c r="I97" s="8">
        <f>CHOOSE( CONTROL!$C$32, 3.8266, 3.8222) * CHOOSE(CONTROL!$C$15, $D$11, 100%, $F$11)</f>
        <v>3.8266</v>
      </c>
      <c r="J97" s="4">
        <f>CHOOSE( CONTROL!$C$32, 3.7564, 3.752) * CHOOSE(CONTROL!$C$15, $D$11, 100%, $F$11)</f>
        <v>3.7564000000000002</v>
      </c>
      <c r="K97" s="4"/>
      <c r="L97" s="9">
        <v>28.568200000000001</v>
      </c>
      <c r="M97" s="9">
        <v>11.6745</v>
      </c>
      <c r="N97" s="9">
        <v>4.7850000000000001</v>
      </c>
      <c r="O97" s="9">
        <v>0.36249999999999999</v>
      </c>
      <c r="P97" s="9">
        <v>1.1798</v>
      </c>
      <c r="Q97" s="9">
        <v>31.753799999999998</v>
      </c>
      <c r="R97" s="9"/>
      <c r="S97" s="11"/>
    </row>
    <row r="98" spans="1:19" ht="15.75">
      <c r="A98" s="13">
        <v>44835</v>
      </c>
      <c r="B98" s="8">
        <f>4.0779 * CHOOSE(CONTROL!$C$15, $D$11, 100%, $F$11)</f>
        <v>4.0778999999999996</v>
      </c>
      <c r="C98" s="8">
        <f>4.0883 * CHOOSE(CONTROL!$C$15, $D$11, 100%, $F$11)</f>
        <v>4.0883000000000003</v>
      </c>
      <c r="D98" s="8">
        <f>4.1007 * CHOOSE( CONTROL!$C$15, $D$11, 100%, $F$11)</f>
        <v>4.1006999999999998</v>
      </c>
      <c r="E98" s="12">
        <f>4.0955 * CHOOSE( CONTROL!$C$15, $D$11, 100%, $F$11)</f>
        <v>4.0955000000000004</v>
      </c>
      <c r="F98" s="4">
        <f>4.7662 * CHOOSE(CONTROL!$C$15, $D$11, 100%, $F$11)</f>
        <v>4.7662000000000004</v>
      </c>
      <c r="G98" s="8">
        <f>3.9844 * CHOOSE( CONTROL!$C$15, $D$11, 100%, $F$11)</f>
        <v>3.9843999999999999</v>
      </c>
      <c r="H98" s="4">
        <f>4.9177 * CHOOSE(CONTROL!$C$15, $D$11, 100%, $F$11)</f>
        <v>4.9177</v>
      </c>
      <c r="I98" s="8">
        <f>3.9902 * CHOOSE(CONTROL!$C$15, $D$11, 100%, $F$11)</f>
        <v>3.9902000000000002</v>
      </c>
      <c r="J98" s="4">
        <f>3.9187 * CHOOSE(CONTROL!$C$15, $D$11, 100%, $F$11)</f>
        <v>3.9186999999999999</v>
      </c>
      <c r="K98" s="4"/>
      <c r="L98" s="9">
        <v>28.921800000000001</v>
      </c>
      <c r="M98" s="9">
        <v>12.063700000000001</v>
      </c>
      <c r="N98" s="9">
        <v>4.9444999999999997</v>
      </c>
      <c r="O98" s="9">
        <v>0.37459999999999999</v>
      </c>
      <c r="P98" s="9">
        <v>1.2192000000000001</v>
      </c>
      <c r="Q98" s="9">
        <v>32.8123</v>
      </c>
      <c r="R98" s="9"/>
      <c r="S98" s="11"/>
    </row>
    <row r="99" spans="1:19" ht="15.75">
      <c r="A99" s="13">
        <v>44866</v>
      </c>
      <c r="B99" s="8">
        <f>4.3961 * CHOOSE(CONTROL!$C$15, $D$11, 100%, $F$11)</f>
        <v>4.3960999999999997</v>
      </c>
      <c r="C99" s="8">
        <f>4.4064 * CHOOSE(CONTROL!$C$15, $D$11, 100%, $F$11)</f>
        <v>4.4063999999999997</v>
      </c>
      <c r="D99" s="8">
        <f>4.3924 * CHOOSE( CONTROL!$C$15, $D$11, 100%, $F$11)</f>
        <v>4.3924000000000003</v>
      </c>
      <c r="E99" s="12">
        <f>4.3964 * CHOOSE( CONTROL!$C$15, $D$11, 100%, $F$11)</f>
        <v>4.3963999999999999</v>
      </c>
      <c r="F99" s="4">
        <f>5.0503 * CHOOSE(CONTROL!$C$15, $D$11, 100%, $F$11)</f>
        <v>5.0503</v>
      </c>
      <c r="G99" s="8">
        <f>4.3146 * CHOOSE( CONTROL!$C$15, $D$11, 100%, $F$11)</f>
        <v>4.3146000000000004</v>
      </c>
      <c r="H99" s="4">
        <f>5.1971 * CHOOSE(CONTROL!$C$15, $D$11, 100%, $F$11)</f>
        <v>5.1970999999999998</v>
      </c>
      <c r="I99" s="8">
        <f>4.3311 * CHOOSE(CONTROL!$C$15, $D$11, 100%, $F$11)</f>
        <v>4.3311000000000002</v>
      </c>
      <c r="J99" s="4">
        <f>4.2263 * CHOOSE(CONTROL!$C$15, $D$11, 100%, $F$11)</f>
        <v>4.2263000000000002</v>
      </c>
      <c r="K99" s="4"/>
      <c r="L99" s="9">
        <v>26.515499999999999</v>
      </c>
      <c r="M99" s="9">
        <v>11.6745</v>
      </c>
      <c r="N99" s="9">
        <v>4.7850000000000001</v>
      </c>
      <c r="O99" s="9">
        <v>0.36249999999999999</v>
      </c>
      <c r="P99" s="9">
        <v>1.2522</v>
      </c>
      <c r="Q99" s="9">
        <v>31.753799999999998</v>
      </c>
      <c r="R99" s="9"/>
      <c r="S99" s="11"/>
    </row>
    <row r="100" spans="1:19" ht="15.75">
      <c r="A100" s="13">
        <v>44896</v>
      </c>
      <c r="B100" s="8">
        <f>4.3881 * CHOOSE(CONTROL!$C$15, $D$11, 100%, $F$11)</f>
        <v>4.3880999999999997</v>
      </c>
      <c r="C100" s="8">
        <f>4.3985 * CHOOSE(CONTROL!$C$15, $D$11, 100%, $F$11)</f>
        <v>4.3985000000000003</v>
      </c>
      <c r="D100" s="8">
        <f>4.387 * CHOOSE( CONTROL!$C$15, $D$11, 100%, $F$11)</f>
        <v>4.3869999999999996</v>
      </c>
      <c r="E100" s="12">
        <f>4.3901 * CHOOSE( CONTROL!$C$15, $D$11, 100%, $F$11)</f>
        <v>4.3901000000000003</v>
      </c>
      <c r="F100" s="4">
        <f>5.0424 * CHOOSE(CONTROL!$C$15, $D$11, 100%, $F$11)</f>
        <v>5.0423999999999998</v>
      </c>
      <c r="G100" s="8">
        <f>4.3086 * CHOOSE( CONTROL!$C$15, $D$11, 100%, $F$11)</f>
        <v>4.3086000000000002</v>
      </c>
      <c r="H100" s="4">
        <f>5.1893 * CHOOSE(CONTROL!$C$15, $D$11, 100%, $F$11)</f>
        <v>5.1893000000000002</v>
      </c>
      <c r="I100" s="8">
        <f>4.3313 * CHOOSE(CONTROL!$C$15, $D$11, 100%, $F$11)</f>
        <v>4.3312999999999997</v>
      </c>
      <c r="J100" s="4">
        <f>4.2186 * CHOOSE(CONTROL!$C$15, $D$11, 100%, $F$11)</f>
        <v>4.2186000000000003</v>
      </c>
      <c r="K100" s="4"/>
      <c r="L100" s="9">
        <v>27.3993</v>
      </c>
      <c r="M100" s="9">
        <v>12.063700000000001</v>
      </c>
      <c r="N100" s="9">
        <v>4.9444999999999997</v>
      </c>
      <c r="O100" s="9">
        <v>0.37459999999999999</v>
      </c>
      <c r="P100" s="9">
        <v>1.2939000000000001</v>
      </c>
      <c r="Q100" s="9">
        <v>32.8123</v>
      </c>
      <c r="R100" s="9"/>
      <c r="S100" s="11"/>
    </row>
    <row r="101" spans="1:19" ht="15.75">
      <c r="A101" s="13">
        <v>44927</v>
      </c>
      <c r="B101" s="8">
        <f>4.7547 * CHOOSE(CONTROL!$C$15, $D$11, 100%, $F$11)</f>
        <v>4.7546999999999997</v>
      </c>
      <c r="C101" s="8">
        <f>4.7651 * CHOOSE(CONTROL!$C$15, $D$11, 100%, $F$11)</f>
        <v>4.7651000000000003</v>
      </c>
      <c r="D101" s="8">
        <f>4.7635 * CHOOSE( CONTROL!$C$15, $D$11, 100%, $F$11)</f>
        <v>4.7634999999999996</v>
      </c>
      <c r="E101" s="12">
        <f>4.763 * CHOOSE( CONTROL!$C$15, $D$11, 100%, $F$11)</f>
        <v>4.7629999999999999</v>
      </c>
      <c r="F101" s="4">
        <f>5.4374 * CHOOSE(CONTROL!$C$15, $D$11, 100%, $F$11)</f>
        <v>5.4374000000000002</v>
      </c>
      <c r="G101" s="8">
        <f>4.6796 * CHOOSE( CONTROL!$C$15, $D$11, 100%, $F$11)</f>
        <v>4.6795999999999998</v>
      </c>
      <c r="H101" s="4">
        <f>5.578 * CHOOSE(CONTROL!$C$15, $D$11, 100%, $F$11)</f>
        <v>5.5780000000000003</v>
      </c>
      <c r="I101" s="8">
        <f>4.6841 * CHOOSE(CONTROL!$C$15, $D$11, 100%, $F$11)</f>
        <v>4.6840999999999999</v>
      </c>
      <c r="J101" s="4">
        <f>4.5732 * CHOOSE(CONTROL!$C$15, $D$11, 100%, $F$11)</f>
        <v>4.5731999999999999</v>
      </c>
      <c r="K101" s="4"/>
      <c r="L101" s="9">
        <v>27.3993</v>
      </c>
      <c r="M101" s="9">
        <v>12.063700000000001</v>
      </c>
      <c r="N101" s="9">
        <v>4.9444999999999997</v>
      </c>
      <c r="O101" s="9">
        <v>0.37459999999999999</v>
      </c>
      <c r="P101" s="9">
        <v>1.2939000000000001</v>
      </c>
      <c r="Q101" s="9">
        <v>32.624400000000001</v>
      </c>
      <c r="R101" s="9"/>
      <c r="S101" s="11"/>
    </row>
    <row r="102" spans="1:19" ht="15.75">
      <c r="A102" s="13">
        <v>44958</v>
      </c>
      <c r="B102" s="8">
        <f>4.449 * CHOOSE(CONTROL!$C$15, $D$11, 100%, $F$11)</f>
        <v>4.4489999999999998</v>
      </c>
      <c r="C102" s="8">
        <f>4.4594 * CHOOSE(CONTROL!$C$15, $D$11, 100%, $F$11)</f>
        <v>4.4593999999999996</v>
      </c>
      <c r="D102" s="8">
        <f>4.4599 * CHOOSE( CONTROL!$C$15, $D$11, 100%, $F$11)</f>
        <v>4.4599000000000002</v>
      </c>
      <c r="E102" s="12">
        <f>4.4586 * CHOOSE( CONTROL!$C$15, $D$11, 100%, $F$11)</f>
        <v>4.4585999999999997</v>
      </c>
      <c r="F102" s="4">
        <f>5.124 * CHOOSE(CONTROL!$C$15, $D$11, 100%, $F$11)</f>
        <v>5.1239999999999997</v>
      </c>
      <c r="G102" s="8">
        <f>4.3786 * CHOOSE( CONTROL!$C$15, $D$11, 100%, $F$11)</f>
        <v>4.3785999999999996</v>
      </c>
      <c r="H102" s="4">
        <f>5.2696 * CHOOSE(CONTROL!$C$15, $D$11, 100%, $F$11)</f>
        <v>5.2695999999999996</v>
      </c>
      <c r="I102" s="8">
        <f>4.3773 * CHOOSE(CONTROL!$C$15, $D$11, 100%, $F$11)</f>
        <v>4.3773</v>
      </c>
      <c r="J102" s="4">
        <f>4.2775 * CHOOSE(CONTROL!$C$15, $D$11, 100%, $F$11)</f>
        <v>4.2774999999999999</v>
      </c>
      <c r="K102" s="4"/>
      <c r="L102" s="9">
        <v>24.747800000000002</v>
      </c>
      <c r="M102" s="9">
        <v>10.8962</v>
      </c>
      <c r="N102" s="9">
        <v>4.4660000000000002</v>
      </c>
      <c r="O102" s="9">
        <v>0.33829999999999999</v>
      </c>
      <c r="P102" s="9">
        <v>1.1687000000000001</v>
      </c>
      <c r="Q102" s="9">
        <v>29.467199999999998</v>
      </c>
      <c r="R102" s="9"/>
      <c r="S102" s="11"/>
    </row>
    <row r="103" spans="1:19" ht="15.75">
      <c r="A103" s="13">
        <v>44986</v>
      </c>
      <c r="B103" s="8">
        <f>4.3549 * CHOOSE(CONTROL!$C$15, $D$11, 100%, $F$11)</f>
        <v>4.3548999999999998</v>
      </c>
      <c r="C103" s="8">
        <f>4.3652 * CHOOSE(CONTROL!$C$15, $D$11, 100%, $F$11)</f>
        <v>4.3651999999999997</v>
      </c>
      <c r="D103" s="8">
        <f>4.3453 * CHOOSE( CONTROL!$C$15, $D$11, 100%, $F$11)</f>
        <v>4.3452999999999999</v>
      </c>
      <c r="E103" s="12">
        <f>4.3515 * CHOOSE( CONTROL!$C$15, $D$11, 100%, $F$11)</f>
        <v>4.3514999999999997</v>
      </c>
      <c r="F103" s="4">
        <f>5.0138 * CHOOSE(CONTROL!$C$15, $D$11, 100%, $F$11)</f>
        <v>5.0137999999999998</v>
      </c>
      <c r="G103" s="8">
        <f>4.2652 * CHOOSE( CONTROL!$C$15, $D$11, 100%, $F$11)</f>
        <v>4.2652000000000001</v>
      </c>
      <c r="H103" s="4">
        <f>5.1612 * CHOOSE(CONTROL!$C$15, $D$11, 100%, $F$11)</f>
        <v>5.1612</v>
      </c>
      <c r="I103" s="8">
        <f>4.2467 * CHOOSE(CONTROL!$C$15, $D$11, 100%, $F$11)</f>
        <v>4.2466999999999997</v>
      </c>
      <c r="J103" s="4">
        <f>4.1865 * CHOOSE(CONTROL!$C$15, $D$11, 100%, $F$11)</f>
        <v>4.1864999999999997</v>
      </c>
      <c r="K103" s="4"/>
      <c r="L103" s="9">
        <v>27.3993</v>
      </c>
      <c r="M103" s="9">
        <v>12.063700000000001</v>
      </c>
      <c r="N103" s="9">
        <v>4.9444999999999997</v>
      </c>
      <c r="O103" s="9">
        <v>0.37459999999999999</v>
      </c>
      <c r="P103" s="9">
        <v>1.2939000000000001</v>
      </c>
      <c r="Q103" s="9">
        <v>32.624400000000001</v>
      </c>
      <c r="R103" s="9"/>
      <c r="S103" s="11"/>
    </row>
    <row r="104" spans="1:19" ht="15.75">
      <c r="A104" s="13">
        <v>45017</v>
      </c>
      <c r="B104" s="8">
        <f>4.4207 * CHOOSE(CONTROL!$C$15, $D$11, 100%, $F$11)</f>
        <v>4.4207000000000001</v>
      </c>
      <c r="C104" s="8">
        <f>4.431 * CHOOSE(CONTROL!$C$15, $D$11, 100%, $F$11)</f>
        <v>4.431</v>
      </c>
      <c r="D104" s="8">
        <f>4.4225 * CHOOSE( CONTROL!$C$15, $D$11, 100%, $F$11)</f>
        <v>4.4225000000000003</v>
      </c>
      <c r="E104" s="12">
        <f>4.4241 * CHOOSE( CONTROL!$C$15, $D$11, 100%, $F$11)</f>
        <v>4.4241000000000001</v>
      </c>
      <c r="F104" s="4">
        <f>5.0697 * CHOOSE(CONTROL!$C$15, $D$11, 100%, $F$11)</f>
        <v>5.0697000000000001</v>
      </c>
      <c r="G104" s="8">
        <f>4.3147 * CHOOSE( CONTROL!$C$15, $D$11, 100%, $F$11)</f>
        <v>4.3147000000000002</v>
      </c>
      <c r="H104" s="4">
        <f>5.2163 * CHOOSE(CONTROL!$C$15, $D$11, 100%, $F$11)</f>
        <v>5.2163000000000004</v>
      </c>
      <c r="I104" s="8">
        <f>4.3072 * CHOOSE(CONTROL!$C$15, $D$11, 100%, $F$11)</f>
        <v>4.3071999999999999</v>
      </c>
      <c r="J104" s="4">
        <f>4.2501 * CHOOSE(CONTROL!$C$15, $D$11, 100%, $F$11)</f>
        <v>4.2500999999999998</v>
      </c>
      <c r="K104" s="4"/>
      <c r="L104" s="9">
        <v>27.988800000000001</v>
      </c>
      <c r="M104" s="9">
        <v>11.6745</v>
      </c>
      <c r="N104" s="9">
        <v>4.7850000000000001</v>
      </c>
      <c r="O104" s="9">
        <v>0.36249999999999999</v>
      </c>
      <c r="P104" s="9">
        <v>1.1798</v>
      </c>
      <c r="Q104" s="9">
        <v>31.571999999999999</v>
      </c>
      <c r="R104" s="9"/>
      <c r="S104" s="11"/>
    </row>
    <row r="105" spans="1:19" ht="15.75">
      <c r="A105" s="13">
        <v>45047</v>
      </c>
      <c r="B105" s="8">
        <f>CHOOSE( CONTROL!$C$32, 4.5423, 4.5378) * CHOOSE(CONTROL!$C$15, $D$11, 100%, $F$11)</f>
        <v>4.5423</v>
      </c>
      <c r="C105" s="8">
        <f>CHOOSE( CONTROL!$C$32, 4.5526, 4.5481) * CHOOSE(CONTROL!$C$15, $D$11, 100%, $F$11)</f>
        <v>4.5526</v>
      </c>
      <c r="D105" s="8">
        <f>CHOOSE( CONTROL!$C$32, 4.5623, 4.5578) * CHOOSE( CONTROL!$C$15, $D$11, 100%, $F$11)</f>
        <v>4.5622999999999996</v>
      </c>
      <c r="E105" s="12">
        <f>CHOOSE( CONTROL!$C$32, 4.5572, 4.5527) * CHOOSE( CONTROL!$C$15, $D$11, 100%, $F$11)</f>
        <v>4.5571999999999999</v>
      </c>
      <c r="F105" s="4">
        <f>CHOOSE( CONTROL!$C$32, 5.2306, 5.2261) * CHOOSE(CONTROL!$C$15, $D$11, 100%, $F$11)</f>
        <v>5.2305999999999999</v>
      </c>
      <c r="G105" s="8">
        <f>CHOOSE( CONTROL!$C$32, 4.4395, 4.435) * CHOOSE( CONTROL!$C$15, $D$11, 100%, $F$11)</f>
        <v>4.4394999999999998</v>
      </c>
      <c r="H105" s="4">
        <f>CHOOSE( CONTROL!$C$32, 5.3745, 5.37) * CHOOSE(CONTROL!$C$15, $D$11, 100%, $F$11)</f>
        <v>5.3745000000000003</v>
      </c>
      <c r="I105" s="8">
        <f>CHOOSE( CONTROL!$C$32, 4.4307, 4.4264) * CHOOSE(CONTROL!$C$15, $D$11, 100%, $F$11)</f>
        <v>4.4306999999999999</v>
      </c>
      <c r="J105" s="4">
        <f>CHOOSE( CONTROL!$C$32, 4.3677, 4.3634) * CHOOSE(CONTROL!$C$15, $D$11, 100%, $F$11)</f>
        <v>4.3677000000000001</v>
      </c>
      <c r="K105" s="4"/>
      <c r="L105" s="9">
        <v>29.520499999999998</v>
      </c>
      <c r="M105" s="9">
        <v>12.063700000000001</v>
      </c>
      <c r="N105" s="9">
        <v>4.9444999999999997</v>
      </c>
      <c r="O105" s="9">
        <v>0.37459999999999999</v>
      </c>
      <c r="P105" s="9">
        <v>1.2192000000000001</v>
      </c>
      <c r="Q105" s="9">
        <v>32.624400000000001</v>
      </c>
      <c r="R105" s="9"/>
      <c r="S105" s="11"/>
    </row>
    <row r="106" spans="1:19" ht="15.75">
      <c r="A106" s="13">
        <v>45078</v>
      </c>
      <c r="B106" s="8">
        <f>CHOOSE( CONTROL!$C$32, 4.4697, 4.4652) * CHOOSE(CONTROL!$C$15, $D$11, 100%, $F$11)</f>
        <v>4.4696999999999996</v>
      </c>
      <c r="C106" s="8">
        <f>CHOOSE( CONTROL!$C$32, 4.4801, 4.4756) * CHOOSE(CONTROL!$C$15, $D$11, 100%, $F$11)</f>
        <v>4.4801000000000002</v>
      </c>
      <c r="D106" s="8">
        <f>CHOOSE( CONTROL!$C$32, 4.4904, 4.4859) * CHOOSE( CONTROL!$C$15, $D$11, 100%, $F$11)</f>
        <v>4.4904000000000002</v>
      </c>
      <c r="E106" s="12">
        <f>CHOOSE( CONTROL!$C$32, 4.4851, 4.4806) * CHOOSE( CONTROL!$C$15, $D$11, 100%, $F$11)</f>
        <v>4.4851000000000001</v>
      </c>
      <c r="F106" s="4">
        <f>CHOOSE( CONTROL!$C$32, 5.158, 5.1535) * CHOOSE(CONTROL!$C$15, $D$11, 100%, $F$11)</f>
        <v>5.1580000000000004</v>
      </c>
      <c r="G106" s="8">
        <f>CHOOSE( CONTROL!$C$32, 4.369, 4.3646) * CHOOSE( CONTROL!$C$15, $D$11, 100%, $F$11)</f>
        <v>4.3689999999999998</v>
      </c>
      <c r="H106" s="4">
        <f>CHOOSE( CONTROL!$C$32, 5.3031, 5.2987) * CHOOSE(CONTROL!$C$15, $D$11, 100%, $F$11)</f>
        <v>5.3030999999999997</v>
      </c>
      <c r="I106" s="8">
        <f>CHOOSE( CONTROL!$C$32, 4.3635, 4.3591) * CHOOSE(CONTROL!$C$15, $D$11, 100%, $F$11)</f>
        <v>4.3635000000000002</v>
      </c>
      <c r="J106" s="4">
        <f>CHOOSE( CONTROL!$C$32, 4.2976, 4.2932) * CHOOSE(CONTROL!$C$15, $D$11, 100%, $F$11)</f>
        <v>4.2976000000000001</v>
      </c>
      <c r="K106" s="4"/>
      <c r="L106" s="9">
        <v>28.568200000000001</v>
      </c>
      <c r="M106" s="9">
        <v>11.6745</v>
      </c>
      <c r="N106" s="9">
        <v>4.7850000000000001</v>
      </c>
      <c r="O106" s="9">
        <v>0.36249999999999999</v>
      </c>
      <c r="P106" s="9">
        <v>1.1798</v>
      </c>
      <c r="Q106" s="9">
        <v>31.571999999999999</v>
      </c>
      <c r="R106" s="9"/>
      <c r="S106" s="11"/>
    </row>
    <row r="107" spans="1:19" ht="15.75">
      <c r="A107" s="13">
        <v>45108</v>
      </c>
      <c r="B107" s="8">
        <f>CHOOSE( CONTROL!$C$32, 4.6608, 4.6562) * CHOOSE(CONTROL!$C$15, $D$11, 100%, $F$11)</f>
        <v>4.6608000000000001</v>
      </c>
      <c r="C107" s="8">
        <f>CHOOSE( CONTROL!$C$32, 4.6711, 4.6666) * CHOOSE(CONTROL!$C$15, $D$11, 100%, $F$11)</f>
        <v>4.6711</v>
      </c>
      <c r="D107" s="8">
        <f>CHOOSE( CONTROL!$C$32, 4.682, 4.6775) * CHOOSE( CONTROL!$C$15, $D$11, 100%, $F$11)</f>
        <v>4.6820000000000004</v>
      </c>
      <c r="E107" s="12">
        <f>CHOOSE( CONTROL!$C$32, 4.6765, 4.672) * CHOOSE( CONTROL!$C$15, $D$11, 100%, $F$11)</f>
        <v>4.6764999999999999</v>
      </c>
      <c r="F107" s="4">
        <f>CHOOSE( CONTROL!$C$32, 5.3491, 5.3445) * CHOOSE(CONTROL!$C$15, $D$11, 100%, $F$11)</f>
        <v>5.3491</v>
      </c>
      <c r="G107" s="8">
        <f>CHOOSE( CONTROL!$C$32, 4.5578, 4.5533) * CHOOSE( CONTROL!$C$15, $D$11, 100%, $F$11)</f>
        <v>4.5578000000000003</v>
      </c>
      <c r="H107" s="4">
        <f>CHOOSE( CONTROL!$C$32, 5.491, 5.4866) * CHOOSE(CONTROL!$C$15, $D$11, 100%, $F$11)</f>
        <v>5.4909999999999997</v>
      </c>
      <c r="I107" s="8">
        <f>CHOOSE( CONTROL!$C$32, 4.5511, 4.5467) * CHOOSE(CONTROL!$C$15, $D$11, 100%, $F$11)</f>
        <v>4.5510999999999999</v>
      </c>
      <c r="J107" s="4">
        <f>CHOOSE( CONTROL!$C$32, 4.4823, 4.4779) * CHOOSE(CONTROL!$C$15, $D$11, 100%, $F$11)</f>
        <v>4.4823000000000004</v>
      </c>
      <c r="K107" s="4"/>
      <c r="L107" s="9">
        <v>29.520499999999998</v>
      </c>
      <c r="M107" s="9">
        <v>12.063700000000001</v>
      </c>
      <c r="N107" s="9">
        <v>4.9444999999999997</v>
      </c>
      <c r="O107" s="9">
        <v>0.37459999999999999</v>
      </c>
      <c r="P107" s="9">
        <v>1.2192000000000001</v>
      </c>
      <c r="Q107" s="9">
        <v>32.624400000000001</v>
      </c>
      <c r="R107" s="9"/>
      <c r="S107" s="11"/>
    </row>
    <row r="108" spans="1:19" ht="15.75">
      <c r="A108" s="13">
        <v>45139</v>
      </c>
      <c r="B108" s="8">
        <f>CHOOSE( CONTROL!$C$32, 4.3033, 4.2988) * CHOOSE(CONTROL!$C$15, $D$11, 100%, $F$11)</f>
        <v>4.3033000000000001</v>
      </c>
      <c r="C108" s="8">
        <f>CHOOSE( CONTROL!$C$32, 4.3137, 4.3092) * CHOOSE(CONTROL!$C$15, $D$11, 100%, $F$11)</f>
        <v>4.3136999999999999</v>
      </c>
      <c r="D108" s="8">
        <f>CHOOSE( CONTROL!$C$32, 4.3249, 4.3203) * CHOOSE( CONTROL!$C$15, $D$11, 100%, $F$11)</f>
        <v>4.3249000000000004</v>
      </c>
      <c r="E108" s="12">
        <f>CHOOSE( CONTROL!$C$32, 4.3193, 4.3147) * CHOOSE( CONTROL!$C$15, $D$11, 100%, $F$11)</f>
        <v>4.3193000000000001</v>
      </c>
      <c r="F108" s="4">
        <f>CHOOSE( CONTROL!$C$32, 4.9916, 4.9871) * CHOOSE(CONTROL!$C$15, $D$11, 100%, $F$11)</f>
        <v>4.9916</v>
      </c>
      <c r="G108" s="8">
        <f>CHOOSE( CONTROL!$C$32, 4.2066, 4.2021) * CHOOSE( CONTROL!$C$15, $D$11, 100%, $F$11)</f>
        <v>4.2065999999999999</v>
      </c>
      <c r="H108" s="4">
        <f>CHOOSE( CONTROL!$C$32, 5.1394, 5.135) * CHOOSE(CONTROL!$C$15, $D$11, 100%, $F$11)</f>
        <v>5.1394000000000002</v>
      </c>
      <c r="I108" s="8">
        <f>CHOOSE( CONTROL!$C$32, 4.2066, 4.2023) * CHOOSE(CONTROL!$C$15, $D$11, 100%, $F$11)</f>
        <v>4.2065999999999999</v>
      </c>
      <c r="J108" s="4">
        <f>CHOOSE( CONTROL!$C$32, 4.1367, 4.1323) * CHOOSE(CONTROL!$C$15, $D$11, 100%, $F$11)</f>
        <v>4.1367000000000003</v>
      </c>
      <c r="K108" s="4"/>
      <c r="L108" s="9">
        <v>29.520499999999998</v>
      </c>
      <c r="M108" s="9">
        <v>12.063700000000001</v>
      </c>
      <c r="N108" s="9">
        <v>4.9444999999999997</v>
      </c>
      <c r="O108" s="9">
        <v>0.37459999999999999</v>
      </c>
      <c r="P108" s="9">
        <v>1.2192000000000001</v>
      </c>
      <c r="Q108" s="9">
        <v>32.624400000000001</v>
      </c>
      <c r="R108" s="9"/>
      <c r="S108" s="11"/>
    </row>
    <row r="109" spans="1:19" ht="15.75">
      <c r="A109" s="13">
        <v>45170</v>
      </c>
      <c r="B109" s="8">
        <f>CHOOSE( CONTROL!$C$32, 4.2138, 4.2093) * CHOOSE(CONTROL!$C$15, $D$11, 100%, $F$11)</f>
        <v>4.2138</v>
      </c>
      <c r="C109" s="8">
        <f>CHOOSE( CONTROL!$C$32, 4.2242, 4.2197) * CHOOSE(CONTROL!$C$15, $D$11, 100%, $F$11)</f>
        <v>4.2241999999999997</v>
      </c>
      <c r="D109" s="8">
        <f>CHOOSE( CONTROL!$C$32, 4.2354, 4.2309) * CHOOSE( CONTROL!$C$15, $D$11, 100%, $F$11)</f>
        <v>4.2354000000000003</v>
      </c>
      <c r="E109" s="12">
        <f>CHOOSE( CONTROL!$C$32, 4.2298, 4.2253) * CHOOSE( CONTROL!$C$15, $D$11, 100%, $F$11)</f>
        <v>4.2298</v>
      </c>
      <c r="F109" s="4">
        <f>CHOOSE( CONTROL!$C$32, 4.9021, 4.8976) * CHOOSE(CONTROL!$C$15, $D$11, 100%, $F$11)</f>
        <v>4.9020999999999999</v>
      </c>
      <c r="G109" s="8">
        <f>CHOOSE( CONTROL!$C$32, 4.1187, 4.1142) * CHOOSE( CONTROL!$C$15, $D$11, 100%, $F$11)</f>
        <v>4.1186999999999996</v>
      </c>
      <c r="H109" s="4">
        <f>CHOOSE( CONTROL!$C$32, 5.0513, 5.0469) * CHOOSE(CONTROL!$C$15, $D$11, 100%, $F$11)</f>
        <v>5.0513000000000003</v>
      </c>
      <c r="I109" s="8">
        <f>CHOOSE( CONTROL!$C$32, 4.1205, 4.1161) * CHOOSE(CONTROL!$C$15, $D$11, 100%, $F$11)</f>
        <v>4.1204999999999998</v>
      </c>
      <c r="J109" s="4">
        <f>CHOOSE( CONTROL!$C$32, 4.0501, 4.0457) * CHOOSE(CONTROL!$C$15, $D$11, 100%, $F$11)</f>
        <v>4.0500999999999996</v>
      </c>
      <c r="K109" s="4"/>
      <c r="L109" s="9">
        <v>28.568200000000001</v>
      </c>
      <c r="M109" s="9">
        <v>11.6745</v>
      </c>
      <c r="N109" s="9">
        <v>4.7850000000000001</v>
      </c>
      <c r="O109" s="9">
        <v>0.36249999999999999</v>
      </c>
      <c r="P109" s="9">
        <v>1.1798</v>
      </c>
      <c r="Q109" s="9">
        <v>31.571999999999999</v>
      </c>
      <c r="R109" s="9"/>
      <c r="S109" s="11"/>
    </row>
    <row r="110" spans="1:19" ht="15.75">
      <c r="A110" s="13">
        <v>45200</v>
      </c>
      <c r="B110" s="8">
        <f>4.3952 * CHOOSE(CONTROL!$C$15, $D$11, 100%, $F$11)</f>
        <v>4.3952</v>
      </c>
      <c r="C110" s="8">
        <f>4.4055 * CHOOSE(CONTROL!$C$15, $D$11, 100%, $F$11)</f>
        <v>4.4055</v>
      </c>
      <c r="D110" s="8">
        <f>4.4179 * CHOOSE( CONTROL!$C$15, $D$11, 100%, $F$11)</f>
        <v>4.4179000000000004</v>
      </c>
      <c r="E110" s="12">
        <f>4.4127 * CHOOSE( CONTROL!$C$15, $D$11, 100%, $F$11)</f>
        <v>4.4127000000000001</v>
      </c>
      <c r="F110" s="4">
        <f>5.0834 * CHOOSE(CONTROL!$C$15, $D$11, 100%, $F$11)</f>
        <v>5.0834000000000001</v>
      </c>
      <c r="G110" s="8">
        <f>4.2965 * CHOOSE( CONTROL!$C$15, $D$11, 100%, $F$11)</f>
        <v>4.2965</v>
      </c>
      <c r="H110" s="4">
        <f>5.2297 * CHOOSE(CONTROL!$C$15, $D$11, 100%, $F$11)</f>
        <v>5.2297000000000002</v>
      </c>
      <c r="I110" s="8">
        <f>4.2972 * CHOOSE(CONTROL!$C$15, $D$11, 100%, $F$11)</f>
        <v>4.2972000000000001</v>
      </c>
      <c r="J110" s="4">
        <f>4.2255 * CHOOSE(CONTROL!$C$15, $D$11, 100%, $F$11)</f>
        <v>4.2255000000000003</v>
      </c>
      <c r="K110" s="4"/>
      <c r="L110" s="9">
        <v>28.921800000000001</v>
      </c>
      <c r="M110" s="9">
        <v>12.063700000000001</v>
      </c>
      <c r="N110" s="9">
        <v>4.9444999999999997</v>
      </c>
      <c r="O110" s="9">
        <v>0.37459999999999999</v>
      </c>
      <c r="P110" s="9">
        <v>1.2192000000000001</v>
      </c>
      <c r="Q110" s="9">
        <v>32.624400000000001</v>
      </c>
      <c r="R110" s="9"/>
      <c r="S110" s="11"/>
    </row>
    <row r="111" spans="1:19" ht="15.75">
      <c r="A111" s="13">
        <v>45231</v>
      </c>
      <c r="B111" s="8">
        <f>4.7382 * CHOOSE(CONTROL!$C$15, $D$11, 100%, $F$11)</f>
        <v>4.7382</v>
      </c>
      <c r="C111" s="8">
        <f>4.7485 * CHOOSE(CONTROL!$C$15, $D$11, 100%, $F$11)</f>
        <v>4.7484999999999999</v>
      </c>
      <c r="D111" s="8">
        <f>4.7346 * CHOOSE( CONTROL!$C$15, $D$11, 100%, $F$11)</f>
        <v>4.7346000000000004</v>
      </c>
      <c r="E111" s="12">
        <f>4.7386 * CHOOSE( CONTROL!$C$15, $D$11, 100%, $F$11)</f>
        <v>4.7385999999999999</v>
      </c>
      <c r="F111" s="4">
        <f>5.3924 * CHOOSE(CONTROL!$C$15, $D$11, 100%, $F$11)</f>
        <v>5.3924000000000003</v>
      </c>
      <c r="G111" s="8">
        <f>4.6512 * CHOOSE( CONTROL!$C$15, $D$11, 100%, $F$11)</f>
        <v>4.6512000000000002</v>
      </c>
      <c r="H111" s="4">
        <f>5.5337 * CHOOSE(CONTROL!$C$15, $D$11, 100%, $F$11)</f>
        <v>5.5336999999999996</v>
      </c>
      <c r="I111" s="8">
        <f>4.6621 * CHOOSE(CONTROL!$C$15, $D$11, 100%, $F$11)</f>
        <v>4.6620999999999997</v>
      </c>
      <c r="J111" s="4">
        <f>4.5572 * CHOOSE(CONTROL!$C$15, $D$11, 100%, $F$11)</f>
        <v>4.5571999999999999</v>
      </c>
      <c r="K111" s="4"/>
      <c r="L111" s="9">
        <v>26.515499999999999</v>
      </c>
      <c r="M111" s="9">
        <v>11.6745</v>
      </c>
      <c r="N111" s="9">
        <v>4.7850000000000001</v>
      </c>
      <c r="O111" s="9">
        <v>0.36249999999999999</v>
      </c>
      <c r="P111" s="9">
        <v>1.2522</v>
      </c>
      <c r="Q111" s="9">
        <v>31.571999999999999</v>
      </c>
      <c r="R111" s="9"/>
      <c r="S111" s="11"/>
    </row>
    <row r="112" spans="1:19" ht="15.75">
      <c r="A112" s="13">
        <v>45261</v>
      </c>
      <c r="B112" s="8">
        <f>4.7296 * CHOOSE(CONTROL!$C$15, $D$11, 100%, $F$11)</f>
        <v>4.7295999999999996</v>
      </c>
      <c r="C112" s="8">
        <f>4.7399 * CHOOSE(CONTROL!$C$15, $D$11, 100%, $F$11)</f>
        <v>4.7398999999999996</v>
      </c>
      <c r="D112" s="8">
        <f>4.7285 * CHOOSE( CONTROL!$C$15, $D$11, 100%, $F$11)</f>
        <v>4.7285000000000004</v>
      </c>
      <c r="E112" s="12">
        <f>4.7316 * CHOOSE( CONTROL!$C$15, $D$11, 100%, $F$11)</f>
        <v>4.7316000000000003</v>
      </c>
      <c r="F112" s="4">
        <f>5.3839 * CHOOSE(CONTROL!$C$15, $D$11, 100%, $F$11)</f>
        <v>5.3838999999999997</v>
      </c>
      <c r="G112" s="8">
        <f>4.6446 * CHOOSE( CONTROL!$C$15, $D$11, 100%, $F$11)</f>
        <v>4.6445999999999996</v>
      </c>
      <c r="H112" s="4">
        <f>5.5253 * CHOOSE(CONTROL!$C$15, $D$11, 100%, $F$11)</f>
        <v>5.5252999999999997</v>
      </c>
      <c r="I112" s="8">
        <f>4.6618 * CHOOSE(CONTROL!$C$15, $D$11, 100%, $F$11)</f>
        <v>4.6618000000000004</v>
      </c>
      <c r="J112" s="4">
        <f>4.5489 * CHOOSE(CONTROL!$C$15, $D$11, 100%, $F$11)</f>
        <v>4.5488999999999997</v>
      </c>
      <c r="K112" s="4"/>
      <c r="L112" s="9">
        <v>27.3993</v>
      </c>
      <c r="M112" s="9">
        <v>12.063700000000001</v>
      </c>
      <c r="N112" s="9">
        <v>4.9444999999999997</v>
      </c>
      <c r="O112" s="9">
        <v>0.37459999999999999</v>
      </c>
      <c r="P112" s="9">
        <v>1.2939000000000001</v>
      </c>
      <c r="Q112" s="9">
        <v>32.624400000000001</v>
      </c>
      <c r="R112" s="9"/>
      <c r="S112" s="11"/>
    </row>
    <row r="113" spans="1:19" ht="15.75">
      <c r="A113" s="13">
        <v>45292</v>
      </c>
      <c r="B113" s="8">
        <f>5.0448 * CHOOSE(CONTROL!$C$15, $D$11, 100%, $F$11)</f>
        <v>5.0448000000000004</v>
      </c>
      <c r="C113" s="8">
        <f>5.0552 * CHOOSE(CONTROL!$C$15, $D$11, 100%, $F$11)</f>
        <v>5.0552000000000001</v>
      </c>
      <c r="D113" s="8">
        <f>5.0536 * CHOOSE( CONTROL!$C$15, $D$11, 100%, $F$11)</f>
        <v>5.0536000000000003</v>
      </c>
      <c r="E113" s="12">
        <f>5.0531 * CHOOSE( CONTROL!$C$15, $D$11, 100%, $F$11)</f>
        <v>5.0530999999999997</v>
      </c>
      <c r="F113" s="4">
        <f>5.7275 * CHOOSE(CONTROL!$C$15, $D$11, 100%, $F$11)</f>
        <v>5.7275</v>
      </c>
      <c r="G113" s="8">
        <f>4.965 * CHOOSE( CONTROL!$C$15, $D$11, 100%, $F$11)</f>
        <v>4.9649999999999999</v>
      </c>
      <c r="H113" s="4">
        <f>5.8634 * CHOOSE(CONTROL!$C$15, $D$11, 100%, $F$11)</f>
        <v>5.8634000000000004</v>
      </c>
      <c r="I113" s="8">
        <f>4.9648 * CHOOSE(CONTROL!$C$15, $D$11, 100%, $F$11)</f>
        <v>4.9648000000000003</v>
      </c>
      <c r="J113" s="4">
        <f>4.8538 * CHOOSE(CONTROL!$C$15, $D$11, 100%, $F$11)</f>
        <v>4.8537999999999997</v>
      </c>
      <c r="K113" s="4"/>
      <c r="L113" s="9">
        <v>27.3993</v>
      </c>
      <c r="M113" s="9">
        <v>12.063700000000001</v>
      </c>
      <c r="N113" s="9">
        <v>4.9444999999999997</v>
      </c>
      <c r="O113" s="9">
        <v>0.37459999999999999</v>
      </c>
      <c r="P113" s="9">
        <v>1.2939000000000001</v>
      </c>
      <c r="Q113" s="9">
        <v>32.440300000000001</v>
      </c>
      <c r="R113" s="9"/>
      <c r="S113" s="11"/>
    </row>
    <row r="114" spans="1:19" ht="15.75">
      <c r="A114" s="13">
        <v>45323</v>
      </c>
      <c r="B114" s="8">
        <f>4.7204 * CHOOSE(CONTROL!$C$15, $D$11, 100%, $F$11)</f>
        <v>4.7203999999999997</v>
      </c>
      <c r="C114" s="8">
        <f>4.7307 * CHOOSE(CONTROL!$C$15, $D$11, 100%, $F$11)</f>
        <v>4.7306999999999997</v>
      </c>
      <c r="D114" s="8">
        <f>4.7313 * CHOOSE( CONTROL!$C$15, $D$11, 100%, $F$11)</f>
        <v>4.7313000000000001</v>
      </c>
      <c r="E114" s="12">
        <f>4.73 * CHOOSE( CONTROL!$C$15, $D$11, 100%, $F$11)</f>
        <v>4.7300000000000004</v>
      </c>
      <c r="F114" s="4">
        <f>5.3953 * CHOOSE(CONTROL!$C$15, $D$11, 100%, $F$11)</f>
        <v>5.3952999999999998</v>
      </c>
      <c r="G114" s="8">
        <f>4.6455 * CHOOSE( CONTROL!$C$15, $D$11, 100%, $F$11)</f>
        <v>4.6455000000000002</v>
      </c>
      <c r="H114" s="4">
        <f>5.5366 * CHOOSE(CONTROL!$C$15, $D$11, 100%, $F$11)</f>
        <v>5.5366</v>
      </c>
      <c r="I114" s="8">
        <f>4.6399 * CHOOSE(CONTROL!$C$15, $D$11, 100%, $F$11)</f>
        <v>4.6398999999999999</v>
      </c>
      <c r="J114" s="4">
        <f>4.54 * CHOOSE(CONTROL!$C$15, $D$11, 100%, $F$11)</f>
        <v>4.54</v>
      </c>
      <c r="K114" s="4"/>
      <c r="L114" s="9">
        <v>25.631599999999999</v>
      </c>
      <c r="M114" s="9">
        <v>11.285299999999999</v>
      </c>
      <c r="N114" s="9">
        <v>4.6254999999999997</v>
      </c>
      <c r="O114" s="9">
        <v>0.35039999999999999</v>
      </c>
      <c r="P114" s="9">
        <v>1.2104999999999999</v>
      </c>
      <c r="Q114" s="9">
        <v>30.347300000000001</v>
      </c>
      <c r="R114" s="9"/>
      <c r="S114" s="11"/>
    </row>
    <row r="115" spans="1:19" ht="15.75">
      <c r="A115" s="13">
        <v>45352</v>
      </c>
      <c r="B115" s="8">
        <f>4.6205 * CHOOSE(CONTROL!$C$15, $D$11, 100%, $F$11)</f>
        <v>4.6204999999999998</v>
      </c>
      <c r="C115" s="8">
        <f>4.6308 * CHOOSE(CONTROL!$C$15, $D$11, 100%, $F$11)</f>
        <v>4.6307999999999998</v>
      </c>
      <c r="D115" s="8">
        <f>4.6109 * CHOOSE( CONTROL!$C$15, $D$11, 100%, $F$11)</f>
        <v>4.6109</v>
      </c>
      <c r="E115" s="12">
        <f>4.6171 * CHOOSE( CONTROL!$C$15, $D$11, 100%, $F$11)</f>
        <v>4.6170999999999998</v>
      </c>
      <c r="F115" s="4">
        <f>5.2794 * CHOOSE(CONTROL!$C$15, $D$11, 100%, $F$11)</f>
        <v>5.2793999999999999</v>
      </c>
      <c r="G115" s="8">
        <f>4.5265 * CHOOSE( CONTROL!$C$15, $D$11, 100%, $F$11)</f>
        <v>4.5265000000000004</v>
      </c>
      <c r="H115" s="4">
        <f>5.4225 * CHOOSE(CONTROL!$C$15, $D$11, 100%, $F$11)</f>
        <v>5.4225000000000003</v>
      </c>
      <c r="I115" s="8">
        <f>4.5037 * CHOOSE(CONTROL!$C$15, $D$11, 100%, $F$11)</f>
        <v>4.5037000000000003</v>
      </c>
      <c r="J115" s="4">
        <f>4.4433 * CHOOSE(CONTROL!$C$15, $D$11, 100%, $F$11)</f>
        <v>4.4432999999999998</v>
      </c>
      <c r="K115" s="4"/>
      <c r="L115" s="9">
        <v>27.3993</v>
      </c>
      <c r="M115" s="9">
        <v>12.063700000000001</v>
      </c>
      <c r="N115" s="9">
        <v>4.9444999999999997</v>
      </c>
      <c r="O115" s="9">
        <v>0.37459999999999999</v>
      </c>
      <c r="P115" s="9">
        <v>1.2939000000000001</v>
      </c>
      <c r="Q115" s="9">
        <v>32.440300000000001</v>
      </c>
      <c r="R115" s="9"/>
      <c r="S115" s="11"/>
    </row>
    <row r="116" spans="1:19" ht="15.75">
      <c r="A116" s="13">
        <v>45383</v>
      </c>
      <c r="B116" s="8">
        <f>4.6903 * CHOOSE(CONTROL!$C$15, $D$11, 100%, $F$11)</f>
        <v>4.6902999999999997</v>
      </c>
      <c r="C116" s="8">
        <f>4.7006 * CHOOSE(CONTROL!$C$15, $D$11, 100%, $F$11)</f>
        <v>4.7005999999999997</v>
      </c>
      <c r="D116" s="8">
        <f>4.6921 * CHOOSE( CONTROL!$C$15, $D$11, 100%, $F$11)</f>
        <v>4.6920999999999999</v>
      </c>
      <c r="E116" s="12">
        <f>4.6937 * CHOOSE( CONTROL!$C$15, $D$11, 100%, $F$11)</f>
        <v>4.6936999999999998</v>
      </c>
      <c r="F116" s="4">
        <f>5.3394 * CHOOSE(CONTROL!$C$15, $D$11, 100%, $F$11)</f>
        <v>5.3394000000000004</v>
      </c>
      <c r="G116" s="8">
        <f>4.58 * CHOOSE( CONTROL!$C$15, $D$11, 100%, $F$11)</f>
        <v>4.58</v>
      </c>
      <c r="H116" s="4">
        <f>5.4815 * CHOOSE(CONTROL!$C$15, $D$11, 100%, $F$11)</f>
        <v>5.4814999999999996</v>
      </c>
      <c r="I116" s="8">
        <f>4.5681 * CHOOSE(CONTROL!$C$15, $D$11, 100%, $F$11)</f>
        <v>4.5681000000000003</v>
      </c>
      <c r="J116" s="4">
        <f>4.5109 * CHOOSE(CONTROL!$C$15, $D$11, 100%, $F$11)</f>
        <v>4.5109000000000004</v>
      </c>
      <c r="K116" s="4"/>
      <c r="L116" s="9">
        <v>27.988800000000001</v>
      </c>
      <c r="M116" s="9">
        <v>11.6745</v>
      </c>
      <c r="N116" s="9">
        <v>4.7850000000000001</v>
      </c>
      <c r="O116" s="9">
        <v>0.36249999999999999</v>
      </c>
      <c r="P116" s="9">
        <v>1.1798</v>
      </c>
      <c r="Q116" s="9">
        <v>31.393799999999999</v>
      </c>
      <c r="R116" s="9"/>
      <c r="S116" s="11"/>
    </row>
    <row r="117" spans="1:19" ht="15.75">
      <c r="A117" s="13">
        <v>45413</v>
      </c>
      <c r="B117" s="8">
        <f>CHOOSE( CONTROL!$C$32, 4.8191, 4.8146) * CHOOSE(CONTROL!$C$15, $D$11, 100%, $F$11)</f>
        <v>4.8190999999999997</v>
      </c>
      <c r="C117" s="8">
        <f>CHOOSE( CONTROL!$C$32, 4.8294, 4.8249) * CHOOSE(CONTROL!$C$15, $D$11, 100%, $F$11)</f>
        <v>4.8293999999999997</v>
      </c>
      <c r="D117" s="8">
        <f>CHOOSE( CONTROL!$C$32, 4.8391, 4.8346) * CHOOSE( CONTROL!$C$15, $D$11, 100%, $F$11)</f>
        <v>4.8391000000000002</v>
      </c>
      <c r="E117" s="12">
        <f>CHOOSE( CONTROL!$C$32, 4.834, 4.8295) * CHOOSE( CONTROL!$C$15, $D$11, 100%, $F$11)</f>
        <v>4.8339999999999996</v>
      </c>
      <c r="F117" s="4">
        <f>CHOOSE( CONTROL!$C$32, 5.5074, 5.5029) * CHOOSE(CONTROL!$C$15, $D$11, 100%, $F$11)</f>
        <v>5.5073999999999996</v>
      </c>
      <c r="G117" s="8">
        <f>CHOOSE( CONTROL!$C$32, 4.7118, 4.7073) * CHOOSE( CONTROL!$C$15, $D$11, 100%, $F$11)</f>
        <v>4.7118000000000002</v>
      </c>
      <c r="H117" s="4">
        <f>CHOOSE( CONTROL!$C$32, 5.6468, 5.6424) * CHOOSE(CONTROL!$C$15, $D$11, 100%, $F$11)</f>
        <v>5.6467999999999998</v>
      </c>
      <c r="I117" s="8">
        <f>CHOOSE( CONTROL!$C$32, 4.6986, 4.6942) * CHOOSE(CONTROL!$C$15, $D$11, 100%, $F$11)</f>
        <v>4.6985999999999999</v>
      </c>
      <c r="J117" s="4">
        <f>CHOOSE( CONTROL!$C$32, 4.6354, 4.6311) * CHOOSE(CONTROL!$C$15, $D$11, 100%, $F$11)</f>
        <v>4.6353999999999997</v>
      </c>
      <c r="K117" s="4"/>
      <c r="L117" s="9">
        <v>29.520499999999998</v>
      </c>
      <c r="M117" s="9">
        <v>12.063700000000001</v>
      </c>
      <c r="N117" s="9">
        <v>4.9444999999999997</v>
      </c>
      <c r="O117" s="9">
        <v>0.37459999999999999</v>
      </c>
      <c r="P117" s="9">
        <v>1.2192000000000001</v>
      </c>
      <c r="Q117" s="9">
        <v>32.440300000000001</v>
      </c>
      <c r="R117" s="9"/>
      <c r="S117" s="11"/>
    </row>
    <row r="118" spans="1:19" ht="15.75">
      <c r="A118" s="13">
        <v>45444</v>
      </c>
      <c r="B118" s="8">
        <f>CHOOSE( CONTROL!$C$32, 4.7421, 4.7376) * CHOOSE(CONTROL!$C$15, $D$11, 100%, $F$11)</f>
        <v>4.7420999999999998</v>
      </c>
      <c r="C118" s="8">
        <f>CHOOSE( CONTROL!$C$32, 4.7524, 4.7479) * CHOOSE(CONTROL!$C$15, $D$11, 100%, $F$11)</f>
        <v>4.7523999999999997</v>
      </c>
      <c r="D118" s="8">
        <f>CHOOSE( CONTROL!$C$32, 4.7628, 4.7582) * CHOOSE( CONTROL!$C$15, $D$11, 100%, $F$11)</f>
        <v>4.7628000000000004</v>
      </c>
      <c r="E118" s="12">
        <f>CHOOSE( CONTROL!$C$32, 4.7575, 4.7529) * CHOOSE( CONTROL!$C$15, $D$11, 100%, $F$11)</f>
        <v>4.7575000000000003</v>
      </c>
      <c r="F118" s="4">
        <f>CHOOSE( CONTROL!$C$32, 5.4304, 5.4259) * CHOOSE(CONTROL!$C$15, $D$11, 100%, $F$11)</f>
        <v>5.4303999999999997</v>
      </c>
      <c r="G118" s="8">
        <f>CHOOSE( CONTROL!$C$32, 4.637, 4.6325) * CHOOSE( CONTROL!$C$15, $D$11, 100%, $F$11)</f>
        <v>4.6369999999999996</v>
      </c>
      <c r="H118" s="4">
        <f>CHOOSE( CONTROL!$C$32, 5.5711, 5.5666) * CHOOSE(CONTROL!$C$15, $D$11, 100%, $F$11)</f>
        <v>5.5711000000000004</v>
      </c>
      <c r="I118" s="8">
        <f>CHOOSE( CONTROL!$C$32, 4.627, 4.6227) * CHOOSE(CONTROL!$C$15, $D$11, 100%, $F$11)</f>
        <v>4.6269999999999998</v>
      </c>
      <c r="J118" s="4">
        <f>CHOOSE( CONTROL!$C$32, 4.561, 4.5566) * CHOOSE(CONTROL!$C$15, $D$11, 100%, $F$11)</f>
        <v>4.5609999999999999</v>
      </c>
      <c r="K118" s="4"/>
      <c r="L118" s="9">
        <v>28.568200000000001</v>
      </c>
      <c r="M118" s="9">
        <v>11.6745</v>
      </c>
      <c r="N118" s="9">
        <v>4.7850000000000001</v>
      </c>
      <c r="O118" s="9">
        <v>0.36249999999999999</v>
      </c>
      <c r="P118" s="9">
        <v>1.1798</v>
      </c>
      <c r="Q118" s="9">
        <v>31.393799999999999</v>
      </c>
      <c r="R118" s="9"/>
      <c r="S118" s="11"/>
    </row>
    <row r="119" spans="1:19" ht="15.75">
      <c r="A119" s="13">
        <v>45474</v>
      </c>
      <c r="B119" s="8">
        <f>CHOOSE( CONTROL!$C$32, 4.9448, 4.9403) * CHOOSE(CONTROL!$C$15, $D$11, 100%, $F$11)</f>
        <v>4.9447999999999999</v>
      </c>
      <c r="C119" s="8">
        <f>CHOOSE( CONTROL!$C$32, 4.9552, 4.9507) * CHOOSE(CONTROL!$C$15, $D$11, 100%, $F$11)</f>
        <v>4.9551999999999996</v>
      </c>
      <c r="D119" s="8">
        <f>CHOOSE( CONTROL!$C$32, 4.9661, 4.9615) * CHOOSE( CONTROL!$C$15, $D$11, 100%, $F$11)</f>
        <v>4.9661</v>
      </c>
      <c r="E119" s="12">
        <f>CHOOSE( CONTROL!$C$32, 4.9606, 4.956) * CHOOSE( CONTROL!$C$15, $D$11, 100%, $F$11)</f>
        <v>4.9606000000000003</v>
      </c>
      <c r="F119" s="4">
        <f>CHOOSE( CONTROL!$C$32, 5.6331, 5.6286) * CHOOSE(CONTROL!$C$15, $D$11, 100%, $F$11)</f>
        <v>5.6330999999999998</v>
      </c>
      <c r="G119" s="8">
        <f>CHOOSE( CONTROL!$C$32, 4.8373, 4.8328) * CHOOSE( CONTROL!$C$15, $D$11, 100%, $F$11)</f>
        <v>4.8372999999999999</v>
      </c>
      <c r="H119" s="4">
        <f>CHOOSE( CONTROL!$C$32, 5.7705, 5.7661) * CHOOSE(CONTROL!$C$15, $D$11, 100%, $F$11)</f>
        <v>5.7705000000000002</v>
      </c>
      <c r="I119" s="8">
        <f>CHOOSE( CONTROL!$C$32, 4.8259, 4.8215) * CHOOSE(CONTROL!$C$15, $D$11, 100%, $F$11)</f>
        <v>4.8258999999999999</v>
      </c>
      <c r="J119" s="4">
        <f>CHOOSE( CONTROL!$C$32, 4.7571, 4.7527) * CHOOSE(CONTROL!$C$15, $D$11, 100%, $F$11)</f>
        <v>4.7571000000000003</v>
      </c>
      <c r="K119" s="4"/>
      <c r="L119" s="9">
        <v>29.520499999999998</v>
      </c>
      <c r="M119" s="9">
        <v>12.063700000000001</v>
      </c>
      <c r="N119" s="9">
        <v>4.9444999999999997</v>
      </c>
      <c r="O119" s="9">
        <v>0.37459999999999999</v>
      </c>
      <c r="P119" s="9">
        <v>1.2192000000000001</v>
      </c>
      <c r="Q119" s="9">
        <v>32.440300000000001</v>
      </c>
      <c r="R119" s="9"/>
      <c r="S119" s="11"/>
    </row>
    <row r="120" spans="1:19" ht="15.75">
      <c r="A120" s="13">
        <v>45505</v>
      </c>
      <c r="B120" s="8">
        <f>CHOOSE( CONTROL!$C$32, 4.5655, 4.561) * CHOOSE(CONTROL!$C$15, $D$11, 100%, $F$11)</f>
        <v>4.5655000000000001</v>
      </c>
      <c r="C120" s="8">
        <f>CHOOSE( CONTROL!$C$32, 4.5758, 4.5713) * CHOOSE(CONTROL!$C$15, $D$11, 100%, $F$11)</f>
        <v>4.5758000000000001</v>
      </c>
      <c r="D120" s="8">
        <f>CHOOSE( CONTROL!$C$32, 4.587, 4.5825) * CHOOSE( CONTROL!$C$15, $D$11, 100%, $F$11)</f>
        <v>4.5869999999999997</v>
      </c>
      <c r="E120" s="12">
        <f>CHOOSE( CONTROL!$C$32, 4.5814, 4.5769) * CHOOSE( CONTROL!$C$15, $D$11, 100%, $F$11)</f>
        <v>4.5814000000000004</v>
      </c>
      <c r="F120" s="4">
        <f>CHOOSE( CONTROL!$C$32, 5.2538, 5.2493) * CHOOSE(CONTROL!$C$15, $D$11, 100%, $F$11)</f>
        <v>5.2538</v>
      </c>
      <c r="G120" s="8">
        <f>CHOOSE( CONTROL!$C$32, 4.4645, 4.46) * CHOOSE( CONTROL!$C$15, $D$11, 100%, $F$11)</f>
        <v>4.4645000000000001</v>
      </c>
      <c r="H120" s="4">
        <f>CHOOSE( CONTROL!$C$32, 5.3973, 5.3929) * CHOOSE(CONTROL!$C$15, $D$11, 100%, $F$11)</f>
        <v>5.3973000000000004</v>
      </c>
      <c r="I120" s="8">
        <f>CHOOSE( CONTROL!$C$32, 4.4603, 4.4559) * CHOOSE(CONTROL!$C$15, $D$11, 100%, $F$11)</f>
        <v>4.4603000000000002</v>
      </c>
      <c r="J120" s="4">
        <f>CHOOSE( CONTROL!$C$32, 4.3902, 4.3858) * CHOOSE(CONTROL!$C$15, $D$11, 100%, $F$11)</f>
        <v>4.3902000000000001</v>
      </c>
      <c r="K120" s="4"/>
      <c r="L120" s="9">
        <v>29.520499999999998</v>
      </c>
      <c r="M120" s="9">
        <v>12.063700000000001</v>
      </c>
      <c r="N120" s="9">
        <v>4.9444999999999997</v>
      </c>
      <c r="O120" s="9">
        <v>0.37459999999999999</v>
      </c>
      <c r="P120" s="9">
        <v>1.2192000000000001</v>
      </c>
      <c r="Q120" s="9">
        <v>32.440300000000001</v>
      </c>
      <c r="R120" s="9"/>
      <c r="S120" s="11"/>
    </row>
    <row r="121" spans="1:19" ht="15.75">
      <c r="A121" s="13">
        <v>45536</v>
      </c>
      <c r="B121" s="8">
        <f>CHOOSE( CONTROL!$C$32, 4.4705, 4.466) * CHOOSE(CONTROL!$C$15, $D$11, 100%, $F$11)</f>
        <v>4.4705000000000004</v>
      </c>
      <c r="C121" s="8">
        <f>CHOOSE( CONTROL!$C$32, 4.4808, 4.4763) * CHOOSE(CONTROL!$C$15, $D$11, 100%, $F$11)</f>
        <v>4.4808000000000003</v>
      </c>
      <c r="D121" s="8">
        <f>CHOOSE( CONTROL!$C$32, 4.4921, 4.4876) * CHOOSE( CONTROL!$C$15, $D$11, 100%, $F$11)</f>
        <v>4.4920999999999998</v>
      </c>
      <c r="E121" s="12">
        <f>CHOOSE( CONTROL!$C$32, 4.4864, 4.4819) * CHOOSE( CONTROL!$C$15, $D$11, 100%, $F$11)</f>
        <v>4.4863999999999997</v>
      </c>
      <c r="F121" s="4">
        <f>CHOOSE( CONTROL!$C$32, 5.1588, 5.1543) * CHOOSE(CONTROL!$C$15, $D$11, 100%, $F$11)</f>
        <v>5.1588000000000003</v>
      </c>
      <c r="G121" s="8">
        <f>CHOOSE( CONTROL!$C$32, 4.3712, 4.3667) * CHOOSE( CONTROL!$C$15, $D$11, 100%, $F$11)</f>
        <v>4.3712</v>
      </c>
      <c r="H121" s="4">
        <f>CHOOSE( CONTROL!$C$32, 5.3039, 5.2994) * CHOOSE(CONTROL!$C$15, $D$11, 100%, $F$11)</f>
        <v>5.3038999999999996</v>
      </c>
      <c r="I121" s="8">
        <f>CHOOSE( CONTROL!$C$32, 4.3688, 4.3644) * CHOOSE(CONTROL!$C$15, $D$11, 100%, $F$11)</f>
        <v>4.3688000000000002</v>
      </c>
      <c r="J121" s="4">
        <f>CHOOSE( CONTROL!$C$32, 4.2983, 4.2939) * CHOOSE(CONTROL!$C$15, $D$11, 100%, $F$11)</f>
        <v>4.2983000000000002</v>
      </c>
      <c r="K121" s="4"/>
      <c r="L121" s="9">
        <v>28.568200000000001</v>
      </c>
      <c r="M121" s="9">
        <v>11.6745</v>
      </c>
      <c r="N121" s="9">
        <v>4.7850000000000001</v>
      </c>
      <c r="O121" s="9">
        <v>0.36249999999999999</v>
      </c>
      <c r="P121" s="9">
        <v>1.1798</v>
      </c>
      <c r="Q121" s="9">
        <v>31.393799999999999</v>
      </c>
      <c r="R121" s="9"/>
      <c r="S121" s="11"/>
    </row>
    <row r="122" spans="1:19" ht="15.75">
      <c r="A122" s="13">
        <v>45566</v>
      </c>
      <c r="B122" s="8">
        <f>4.6632 * CHOOSE(CONTROL!$C$15, $D$11, 100%, $F$11)</f>
        <v>4.6631999999999998</v>
      </c>
      <c r="C122" s="8">
        <f>4.6736 * CHOOSE(CONTROL!$C$15, $D$11, 100%, $F$11)</f>
        <v>4.6736000000000004</v>
      </c>
      <c r="D122" s="8">
        <f>4.686 * CHOOSE( CONTROL!$C$15, $D$11, 100%, $F$11)</f>
        <v>4.6859999999999999</v>
      </c>
      <c r="E122" s="12">
        <f>4.6808 * CHOOSE( CONTROL!$C$15, $D$11, 100%, $F$11)</f>
        <v>4.6807999999999996</v>
      </c>
      <c r="F122" s="4">
        <f>5.3515 * CHOOSE(CONTROL!$C$15, $D$11, 100%, $F$11)</f>
        <v>5.3514999999999997</v>
      </c>
      <c r="G122" s="8">
        <f>4.5602 * CHOOSE( CONTROL!$C$15, $D$11, 100%, $F$11)</f>
        <v>4.5602</v>
      </c>
      <c r="H122" s="4">
        <f>5.4935 * CHOOSE(CONTROL!$C$15, $D$11, 100%, $F$11)</f>
        <v>5.4935</v>
      </c>
      <c r="I122" s="8">
        <f>4.5565 * CHOOSE(CONTROL!$C$15, $D$11, 100%, $F$11)</f>
        <v>4.5564999999999998</v>
      </c>
      <c r="J122" s="4">
        <f>4.4847 * CHOOSE(CONTROL!$C$15, $D$11, 100%, $F$11)</f>
        <v>4.4847000000000001</v>
      </c>
      <c r="K122" s="4"/>
      <c r="L122" s="9">
        <v>28.921800000000001</v>
      </c>
      <c r="M122" s="9">
        <v>12.063700000000001</v>
      </c>
      <c r="N122" s="9">
        <v>4.9444999999999997</v>
      </c>
      <c r="O122" s="9">
        <v>0.37459999999999999</v>
      </c>
      <c r="P122" s="9">
        <v>1.2192000000000001</v>
      </c>
      <c r="Q122" s="9">
        <v>32.440300000000001</v>
      </c>
      <c r="R122" s="9"/>
      <c r="S122" s="11"/>
    </row>
    <row r="123" spans="1:19" ht="15.75">
      <c r="A123" s="13">
        <v>45597</v>
      </c>
      <c r="B123" s="8">
        <f>5.0273 * CHOOSE(CONTROL!$C$15, $D$11, 100%, $F$11)</f>
        <v>5.0273000000000003</v>
      </c>
      <c r="C123" s="8">
        <f>5.0376 * CHOOSE(CONTROL!$C$15, $D$11, 100%, $F$11)</f>
        <v>5.0376000000000003</v>
      </c>
      <c r="D123" s="8">
        <f>5.0237 * CHOOSE( CONTROL!$C$15, $D$11, 100%, $F$11)</f>
        <v>5.0236999999999998</v>
      </c>
      <c r="E123" s="12">
        <f>5.0277 * CHOOSE( CONTROL!$C$15, $D$11, 100%, $F$11)</f>
        <v>5.0277000000000003</v>
      </c>
      <c r="F123" s="4">
        <f>5.6815 * CHOOSE(CONTROL!$C$15, $D$11, 100%, $F$11)</f>
        <v>5.6814999999999998</v>
      </c>
      <c r="G123" s="8">
        <f>4.9356 * CHOOSE( CONTROL!$C$15, $D$11, 100%, $F$11)</f>
        <v>4.9356</v>
      </c>
      <c r="H123" s="4">
        <f>5.8181 * CHOOSE(CONTROL!$C$15, $D$11, 100%, $F$11)</f>
        <v>5.8181000000000003</v>
      </c>
      <c r="I123" s="8">
        <f>4.9418 * CHOOSE(CONTROL!$C$15, $D$11, 100%, $F$11)</f>
        <v>4.9417999999999997</v>
      </c>
      <c r="J123" s="4">
        <f>4.8368 * CHOOSE(CONTROL!$C$15, $D$11, 100%, $F$11)</f>
        <v>4.8368000000000002</v>
      </c>
      <c r="K123" s="4"/>
      <c r="L123" s="9">
        <v>26.515499999999999</v>
      </c>
      <c r="M123" s="9">
        <v>11.6745</v>
      </c>
      <c r="N123" s="9">
        <v>4.7850000000000001</v>
      </c>
      <c r="O123" s="9">
        <v>0.36249999999999999</v>
      </c>
      <c r="P123" s="9">
        <v>1.2522</v>
      </c>
      <c r="Q123" s="9">
        <v>31.393799999999999</v>
      </c>
      <c r="R123" s="9"/>
      <c r="S123" s="11"/>
    </row>
    <row r="124" spans="1:19" ht="15.75">
      <c r="A124" s="13">
        <v>45627</v>
      </c>
      <c r="B124" s="8">
        <f>5.0182 * CHOOSE(CONTROL!$C$15, $D$11, 100%, $F$11)</f>
        <v>5.0182000000000002</v>
      </c>
      <c r="C124" s="8">
        <f>5.0285 * CHOOSE(CONTROL!$C$15, $D$11, 100%, $F$11)</f>
        <v>5.0285000000000002</v>
      </c>
      <c r="D124" s="8">
        <f>5.017 * CHOOSE( CONTROL!$C$15, $D$11, 100%, $F$11)</f>
        <v>5.0170000000000003</v>
      </c>
      <c r="E124" s="12">
        <f>5.0201 * CHOOSE( CONTROL!$C$15, $D$11, 100%, $F$11)</f>
        <v>5.0201000000000002</v>
      </c>
      <c r="F124" s="4">
        <f>5.6724 * CHOOSE(CONTROL!$C$15, $D$11, 100%, $F$11)</f>
        <v>5.6723999999999997</v>
      </c>
      <c r="G124" s="8">
        <f>4.9285 * CHOOSE( CONTROL!$C$15, $D$11, 100%, $F$11)</f>
        <v>4.9284999999999997</v>
      </c>
      <c r="H124" s="4">
        <f>5.8092 * CHOOSE(CONTROL!$C$15, $D$11, 100%, $F$11)</f>
        <v>5.8091999999999997</v>
      </c>
      <c r="I124" s="8">
        <f>4.941 * CHOOSE(CONTROL!$C$15, $D$11, 100%, $F$11)</f>
        <v>4.9409999999999998</v>
      </c>
      <c r="J124" s="4">
        <f>4.828 * CHOOSE(CONTROL!$C$15, $D$11, 100%, $F$11)</f>
        <v>4.8280000000000003</v>
      </c>
      <c r="K124" s="4"/>
      <c r="L124" s="9">
        <v>27.3993</v>
      </c>
      <c r="M124" s="9">
        <v>12.063700000000001</v>
      </c>
      <c r="N124" s="9">
        <v>4.9444999999999997</v>
      </c>
      <c r="O124" s="9">
        <v>0.37459999999999999</v>
      </c>
      <c r="P124" s="9">
        <v>1.2939000000000001</v>
      </c>
      <c r="Q124" s="9">
        <v>32.440300000000001</v>
      </c>
      <c r="R124" s="9"/>
      <c r="S124" s="11"/>
    </row>
    <row r="125" spans="1:19" ht="15.75">
      <c r="A125" s="13">
        <v>45658</v>
      </c>
      <c r="B125" s="8">
        <f>5.2782 * CHOOSE(CONTROL!$C$15, $D$11, 100%, $F$11)</f>
        <v>5.2782</v>
      </c>
      <c r="C125" s="8">
        <f>5.2885 * CHOOSE(CONTROL!$C$15, $D$11, 100%, $F$11)</f>
        <v>5.2885</v>
      </c>
      <c r="D125" s="8">
        <f>5.287 * CHOOSE( CONTROL!$C$15, $D$11, 100%, $F$11)</f>
        <v>5.2869999999999999</v>
      </c>
      <c r="E125" s="12">
        <f>5.2865 * CHOOSE( CONTROL!$C$15, $D$11, 100%, $F$11)</f>
        <v>5.2865000000000002</v>
      </c>
      <c r="F125" s="4">
        <f>5.9609 * CHOOSE(CONTROL!$C$15, $D$11, 100%, $F$11)</f>
        <v>5.9608999999999996</v>
      </c>
      <c r="G125" s="8">
        <f>5.1946 * CHOOSE( CONTROL!$C$15, $D$11, 100%, $F$11)</f>
        <v>5.1946000000000003</v>
      </c>
      <c r="H125" s="4">
        <f>6.093 * CHOOSE(CONTROL!$C$15, $D$11, 100%, $F$11)</f>
        <v>6.093</v>
      </c>
      <c r="I125" s="8">
        <f>5.1906 * CHOOSE(CONTROL!$C$15, $D$11, 100%, $F$11)</f>
        <v>5.1905999999999999</v>
      </c>
      <c r="J125" s="4">
        <f>5.0794 * CHOOSE(CONTROL!$C$15, $D$11, 100%, $F$11)</f>
        <v>5.0793999999999997</v>
      </c>
      <c r="K125" s="4"/>
      <c r="L125" s="9">
        <v>27.3993</v>
      </c>
      <c r="M125" s="9">
        <v>12.063700000000001</v>
      </c>
      <c r="N125" s="9">
        <v>4.9444999999999997</v>
      </c>
      <c r="O125" s="9">
        <v>0.37459999999999999</v>
      </c>
      <c r="P125" s="9">
        <v>1.2939000000000001</v>
      </c>
      <c r="Q125" s="9">
        <v>32.254300000000001</v>
      </c>
      <c r="R125" s="9"/>
      <c r="S125" s="11"/>
    </row>
    <row r="126" spans="1:19" ht="15.75">
      <c r="A126" s="13">
        <v>45689</v>
      </c>
      <c r="B126" s="8">
        <f>4.9386 * CHOOSE(CONTROL!$C$15, $D$11, 100%, $F$11)</f>
        <v>4.9386000000000001</v>
      </c>
      <c r="C126" s="8">
        <f>4.949 * CHOOSE(CONTROL!$C$15, $D$11, 100%, $F$11)</f>
        <v>4.9489999999999998</v>
      </c>
      <c r="D126" s="8">
        <f>4.9495 * CHOOSE( CONTROL!$C$15, $D$11, 100%, $F$11)</f>
        <v>4.9494999999999996</v>
      </c>
      <c r="E126" s="12">
        <f>4.9482 * CHOOSE( CONTROL!$C$15, $D$11, 100%, $F$11)</f>
        <v>4.9481999999999999</v>
      </c>
      <c r="F126" s="4">
        <f>5.6136 * CHOOSE(CONTROL!$C$15, $D$11, 100%, $F$11)</f>
        <v>5.6135999999999999</v>
      </c>
      <c r="G126" s="8">
        <f>4.8603 * CHOOSE( CONTROL!$C$15, $D$11, 100%, $F$11)</f>
        <v>4.8602999999999996</v>
      </c>
      <c r="H126" s="4">
        <f>5.7513 * CHOOSE(CONTROL!$C$15, $D$11, 100%, $F$11)</f>
        <v>5.7512999999999996</v>
      </c>
      <c r="I126" s="8">
        <f>4.8511 * CHOOSE(CONTROL!$C$15, $D$11, 100%, $F$11)</f>
        <v>4.8510999999999997</v>
      </c>
      <c r="J126" s="4">
        <f>4.7511 * CHOOSE(CONTROL!$C$15, $D$11, 100%, $F$11)</f>
        <v>4.7511000000000001</v>
      </c>
      <c r="K126" s="4"/>
      <c r="L126" s="9">
        <v>24.747800000000002</v>
      </c>
      <c r="M126" s="9">
        <v>10.8962</v>
      </c>
      <c r="N126" s="9">
        <v>4.4660000000000002</v>
      </c>
      <c r="O126" s="9">
        <v>0.33829999999999999</v>
      </c>
      <c r="P126" s="9">
        <v>1.1687000000000001</v>
      </c>
      <c r="Q126" s="9">
        <v>29.132899999999999</v>
      </c>
      <c r="R126" s="9"/>
      <c r="S126" s="11"/>
    </row>
    <row r="127" spans="1:19" ht="15.75">
      <c r="A127" s="13">
        <v>45717</v>
      </c>
      <c r="B127" s="8">
        <f>4.8341 * CHOOSE(CONTROL!$C$15, $D$11, 100%, $F$11)</f>
        <v>4.8341000000000003</v>
      </c>
      <c r="C127" s="8">
        <f>4.8444 * CHOOSE(CONTROL!$C$15, $D$11, 100%, $F$11)</f>
        <v>4.8444000000000003</v>
      </c>
      <c r="D127" s="8">
        <f>4.8245 * CHOOSE( CONTROL!$C$15, $D$11, 100%, $F$11)</f>
        <v>4.8244999999999996</v>
      </c>
      <c r="E127" s="12">
        <f>4.8307 * CHOOSE( CONTROL!$C$15, $D$11, 100%, $F$11)</f>
        <v>4.8307000000000002</v>
      </c>
      <c r="F127" s="4">
        <f>5.493 * CHOOSE(CONTROL!$C$15, $D$11, 100%, $F$11)</f>
        <v>5.4930000000000003</v>
      </c>
      <c r="G127" s="8">
        <f>4.7367 * CHOOSE( CONTROL!$C$15, $D$11, 100%, $F$11)</f>
        <v>4.7366999999999999</v>
      </c>
      <c r="H127" s="4">
        <f>5.6326 * CHOOSE(CONTROL!$C$15, $D$11, 100%, $F$11)</f>
        <v>5.6326000000000001</v>
      </c>
      <c r="I127" s="8">
        <f>4.7104 * CHOOSE(CONTROL!$C$15, $D$11, 100%, $F$11)</f>
        <v>4.7103999999999999</v>
      </c>
      <c r="J127" s="4">
        <f>4.6499 * CHOOSE(CONTROL!$C$15, $D$11, 100%, $F$11)</f>
        <v>4.6498999999999997</v>
      </c>
      <c r="K127" s="4"/>
      <c r="L127" s="9">
        <v>27.3993</v>
      </c>
      <c r="M127" s="9">
        <v>12.063700000000001</v>
      </c>
      <c r="N127" s="9">
        <v>4.9444999999999997</v>
      </c>
      <c r="O127" s="9">
        <v>0.37459999999999999</v>
      </c>
      <c r="P127" s="9">
        <v>1.2939000000000001</v>
      </c>
      <c r="Q127" s="9">
        <v>32.254300000000001</v>
      </c>
      <c r="R127" s="9"/>
      <c r="S127" s="11"/>
    </row>
    <row r="128" spans="1:19" ht="15.75">
      <c r="A128" s="13">
        <v>45748</v>
      </c>
      <c r="B128" s="8">
        <f>4.9071 * CHOOSE(CONTROL!$C$15, $D$11, 100%, $F$11)</f>
        <v>4.9070999999999998</v>
      </c>
      <c r="C128" s="8">
        <f>4.9175 * CHOOSE(CONTROL!$C$15, $D$11, 100%, $F$11)</f>
        <v>4.9175000000000004</v>
      </c>
      <c r="D128" s="8">
        <f>4.909 * CHOOSE( CONTROL!$C$15, $D$11, 100%, $F$11)</f>
        <v>4.9089999999999998</v>
      </c>
      <c r="E128" s="12">
        <f>4.9106 * CHOOSE( CONTROL!$C$15, $D$11, 100%, $F$11)</f>
        <v>4.9105999999999996</v>
      </c>
      <c r="F128" s="4">
        <f>5.5562 * CHOOSE(CONTROL!$C$15, $D$11, 100%, $F$11)</f>
        <v>5.5561999999999996</v>
      </c>
      <c r="G128" s="8">
        <f>4.7933 * CHOOSE( CONTROL!$C$15, $D$11, 100%, $F$11)</f>
        <v>4.7933000000000003</v>
      </c>
      <c r="H128" s="4">
        <f>5.6949 * CHOOSE(CONTROL!$C$15, $D$11, 100%, $F$11)</f>
        <v>5.6948999999999996</v>
      </c>
      <c r="I128" s="8">
        <f>4.7779 * CHOOSE(CONTROL!$C$15, $D$11, 100%, $F$11)</f>
        <v>4.7778999999999998</v>
      </c>
      <c r="J128" s="4">
        <f>4.7206 * CHOOSE(CONTROL!$C$15, $D$11, 100%, $F$11)</f>
        <v>4.7206000000000001</v>
      </c>
      <c r="K128" s="4"/>
      <c r="L128" s="9">
        <v>27.988800000000001</v>
      </c>
      <c r="M128" s="9">
        <v>11.6745</v>
      </c>
      <c r="N128" s="9">
        <v>4.7850000000000001</v>
      </c>
      <c r="O128" s="9">
        <v>0.36249999999999999</v>
      </c>
      <c r="P128" s="9">
        <v>1.1798</v>
      </c>
      <c r="Q128" s="9">
        <v>31.213799999999999</v>
      </c>
      <c r="R128" s="9"/>
      <c r="S128" s="11"/>
    </row>
    <row r="129" spans="1:19" ht="15.75">
      <c r="A129" s="13">
        <v>45778</v>
      </c>
      <c r="B129" s="8">
        <f>CHOOSE( CONTROL!$C$32, 5.0417, 5.0372) * CHOOSE(CONTROL!$C$15, $D$11, 100%, $F$11)</f>
        <v>5.0416999999999996</v>
      </c>
      <c r="C129" s="8">
        <f>CHOOSE( CONTROL!$C$32, 5.0521, 5.0475) * CHOOSE(CONTROL!$C$15, $D$11, 100%, $F$11)</f>
        <v>5.0521000000000003</v>
      </c>
      <c r="D129" s="8">
        <f>CHOOSE( CONTROL!$C$32, 5.0618, 5.0572) * CHOOSE( CONTROL!$C$15, $D$11, 100%, $F$11)</f>
        <v>5.0617999999999999</v>
      </c>
      <c r="E129" s="12">
        <f>CHOOSE( CONTROL!$C$32, 5.0567, 5.0521) * CHOOSE( CONTROL!$C$15, $D$11, 100%, $F$11)</f>
        <v>5.0567000000000002</v>
      </c>
      <c r="F129" s="4">
        <f>CHOOSE( CONTROL!$C$32, 5.73, 5.7255) * CHOOSE(CONTROL!$C$15, $D$11, 100%, $F$11)</f>
        <v>5.73</v>
      </c>
      <c r="G129" s="8">
        <f>CHOOSE( CONTROL!$C$32, 4.9308, 4.9264) * CHOOSE( CONTROL!$C$15, $D$11, 100%, $F$11)</f>
        <v>4.9307999999999996</v>
      </c>
      <c r="H129" s="4">
        <f>CHOOSE( CONTROL!$C$32, 5.8658, 5.8614) * CHOOSE(CONTROL!$C$15, $D$11, 100%, $F$11)</f>
        <v>5.8658000000000001</v>
      </c>
      <c r="I129" s="8">
        <f>CHOOSE( CONTROL!$C$32, 4.914, 4.9096) * CHOOSE(CONTROL!$C$15, $D$11, 100%, $F$11)</f>
        <v>4.9139999999999997</v>
      </c>
      <c r="J129" s="4">
        <f>CHOOSE( CONTROL!$C$32, 4.8508, 4.8464) * CHOOSE(CONTROL!$C$15, $D$11, 100%, $F$11)</f>
        <v>4.8507999999999996</v>
      </c>
      <c r="K129" s="4"/>
      <c r="L129" s="9">
        <v>29.520499999999998</v>
      </c>
      <c r="M129" s="9">
        <v>12.063700000000001</v>
      </c>
      <c r="N129" s="9">
        <v>4.9444999999999997</v>
      </c>
      <c r="O129" s="9">
        <v>0.37459999999999999</v>
      </c>
      <c r="P129" s="9">
        <v>1.2192000000000001</v>
      </c>
      <c r="Q129" s="9">
        <v>32.254300000000001</v>
      </c>
      <c r="R129" s="9"/>
      <c r="S129" s="11"/>
    </row>
    <row r="130" spans="1:19" ht="15.75">
      <c r="A130" s="13">
        <v>45809</v>
      </c>
      <c r="B130" s="8">
        <f>CHOOSE( CONTROL!$C$32, 4.9612, 4.9566) * CHOOSE(CONTROL!$C$15, $D$11, 100%, $F$11)</f>
        <v>4.9611999999999998</v>
      </c>
      <c r="C130" s="8">
        <f>CHOOSE( CONTROL!$C$32, 4.9715, 4.967) * CHOOSE(CONTROL!$C$15, $D$11, 100%, $F$11)</f>
        <v>4.9714999999999998</v>
      </c>
      <c r="D130" s="8">
        <f>CHOOSE( CONTROL!$C$32, 4.9818, 4.9773) * CHOOSE( CONTROL!$C$15, $D$11, 100%, $F$11)</f>
        <v>4.9817999999999998</v>
      </c>
      <c r="E130" s="12">
        <f>CHOOSE( CONTROL!$C$32, 4.9765, 4.972) * CHOOSE( CONTROL!$C$15, $D$11, 100%, $F$11)</f>
        <v>4.9764999999999997</v>
      </c>
      <c r="F130" s="4">
        <f>CHOOSE( CONTROL!$C$32, 5.6495, 5.6449) * CHOOSE(CONTROL!$C$15, $D$11, 100%, $F$11)</f>
        <v>5.6494999999999997</v>
      </c>
      <c r="G130" s="8">
        <f>CHOOSE( CONTROL!$C$32, 4.8525, 4.848) * CHOOSE( CONTROL!$C$15, $D$11, 100%, $F$11)</f>
        <v>4.8525</v>
      </c>
      <c r="H130" s="4">
        <f>CHOOSE( CONTROL!$C$32, 5.7866, 5.7821) * CHOOSE(CONTROL!$C$15, $D$11, 100%, $F$11)</f>
        <v>5.7866</v>
      </c>
      <c r="I130" s="8">
        <f>CHOOSE( CONTROL!$C$32, 4.839, 4.8346) * CHOOSE(CONTROL!$C$15, $D$11, 100%, $F$11)</f>
        <v>4.8390000000000004</v>
      </c>
      <c r="J130" s="4">
        <f>CHOOSE( CONTROL!$C$32, 4.7728, 4.7685) * CHOOSE(CONTROL!$C$15, $D$11, 100%, $F$11)</f>
        <v>4.7728000000000002</v>
      </c>
      <c r="K130" s="4"/>
      <c r="L130" s="9">
        <v>28.568200000000001</v>
      </c>
      <c r="M130" s="9">
        <v>11.6745</v>
      </c>
      <c r="N130" s="9">
        <v>4.7850000000000001</v>
      </c>
      <c r="O130" s="9">
        <v>0.36249999999999999</v>
      </c>
      <c r="P130" s="9">
        <v>1.1798</v>
      </c>
      <c r="Q130" s="9">
        <v>31.213799999999999</v>
      </c>
      <c r="R130" s="9"/>
      <c r="S130" s="11"/>
    </row>
    <row r="131" spans="1:19" ht="15.75">
      <c r="A131" s="13">
        <v>45839</v>
      </c>
      <c r="B131" s="8">
        <f>CHOOSE( CONTROL!$C$32, 5.1733, 5.1688) * CHOOSE(CONTROL!$C$15, $D$11, 100%, $F$11)</f>
        <v>5.1733000000000002</v>
      </c>
      <c r="C131" s="8">
        <f>CHOOSE( CONTROL!$C$32, 5.1837, 5.1791) * CHOOSE(CONTROL!$C$15, $D$11, 100%, $F$11)</f>
        <v>5.1837</v>
      </c>
      <c r="D131" s="8">
        <f>CHOOSE( CONTROL!$C$32, 5.1945, 5.19) * CHOOSE( CONTROL!$C$15, $D$11, 100%, $F$11)</f>
        <v>5.1944999999999997</v>
      </c>
      <c r="E131" s="12">
        <f>CHOOSE( CONTROL!$C$32, 5.189, 5.1845) * CHOOSE( CONTROL!$C$15, $D$11, 100%, $F$11)</f>
        <v>5.1890000000000001</v>
      </c>
      <c r="F131" s="4">
        <f>CHOOSE( CONTROL!$C$32, 5.8616, 5.8571) * CHOOSE(CONTROL!$C$15, $D$11, 100%, $F$11)</f>
        <v>5.8616000000000001</v>
      </c>
      <c r="G131" s="8">
        <f>CHOOSE( CONTROL!$C$32, 5.0621, 5.0576) * CHOOSE( CONTROL!$C$15, $D$11, 100%, $F$11)</f>
        <v>5.0621</v>
      </c>
      <c r="H131" s="4">
        <f>CHOOSE( CONTROL!$C$32, 5.9953, 5.9909) * CHOOSE(CONTROL!$C$15, $D$11, 100%, $F$11)</f>
        <v>5.9953000000000003</v>
      </c>
      <c r="I131" s="8">
        <f>CHOOSE( CONTROL!$C$32, 5.047, 5.0426) * CHOOSE(CONTROL!$C$15, $D$11, 100%, $F$11)</f>
        <v>5.0469999999999997</v>
      </c>
      <c r="J131" s="4">
        <f>CHOOSE( CONTROL!$C$32, 4.978, 4.9736) * CHOOSE(CONTROL!$C$15, $D$11, 100%, $F$11)</f>
        <v>4.9779999999999998</v>
      </c>
      <c r="K131" s="4"/>
      <c r="L131" s="9">
        <v>29.520499999999998</v>
      </c>
      <c r="M131" s="9">
        <v>12.063700000000001</v>
      </c>
      <c r="N131" s="9">
        <v>4.9444999999999997</v>
      </c>
      <c r="O131" s="9">
        <v>0.37459999999999999</v>
      </c>
      <c r="P131" s="9">
        <v>1.2192000000000001</v>
      </c>
      <c r="Q131" s="9">
        <v>32.254300000000001</v>
      </c>
      <c r="R131" s="9"/>
      <c r="S131" s="11"/>
    </row>
    <row r="132" spans="1:19" ht="15.75">
      <c r="A132" s="13">
        <v>45870</v>
      </c>
      <c r="B132" s="8">
        <f>CHOOSE( CONTROL!$C$32, 4.7763, 4.7718) * CHOOSE(CONTROL!$C$15, $D$11, 100%, $F$11)</f>
        <v>4.7763</v>
      </c>
      <c r="C132" s="8">
        <f>CHOOSE( CONTROL!$C$32, 4.7867, 4.7822) * CHOOSE(CONTROL!$C$15, $D$11, 100%, $F$11)</f>
        <v>4.7866999999999997</v>
      </c>
      <c r="D132" s="8">
        <f>CHOOSE( CONTROL!$C$32, 4.7978, 4.7933) * CHOOSE( CONTROL!$C$15, $D$11, 100%, $F$11)</f>
        <v>4.7977999999999996</v>
      </c>
      <c r="E132" s="12">
        <f>CHOOSE( CONTROL!$C$32, 4.7922, 4.7877) * CHOOSE( CONTROL!$C$15, $D$11, 100%, $F$11)</f>
        <v>4.7922000000000002</v>
      </c>
      <c r="F132" s="4">
        <f>CHOOSE( CONTROL!$C$32, 5.4646, 5.4601) * CHOOSE(CONTROL!$C$15, $D$11, 100%, $F$11)</f>
        <v>5.4645999999999999</v>
      </c>
      <c r="G132" s="8">
        <f>CHOOSE( CONTROL!$C$32, 4.6719, 4.6675) * CHOOSE( CONTROL!$C$15, $D$11, 100%, $F$11)</f>
        <v>4.6718999999999999</v>
      </c>
      <c r="H132" s="4">
        <f>CHOOSE( CONTROL!$C$32, 5.6047, 5.6003) * CHOOSE(CONTROL!$C$15, $D$11, 100%, $F$11)</f>
        <v>5.6047000000000002</v>
      </c>
      <c r="I132" s="8">
        <f>CHOOSE( CONTROL!$C$32, 4.6643, 4.6599) * CHOOSE(CONTROL!$C$15, $D$11, 100%, $F$11)</f>
        <v>4.6642999999999999</v>
      </c>
      <c r="J132" s="4">
        <f>CHOOSE( CONTROL!$C$32, 4.5941, 4.5897) * CHOOSE(CONTROL!$C$15, $D$11, 100%, $F$11)</f>
        <v>4.5941000000000001</v>
      </c>
      <c r="K132" s="4"/>
      <c r="L132" s="9">
        <v>29.520499999999998</v>
      </c>
      <c r="M132" s="9">
        <v>12.063700000000001</v>
      </c>
      <c r="N132" s="9">
        <v>4.9444999999999997</v>
      </c>
      <c r="O132" s="9">
        <v>0.37459999999999999</v>
      </c>
      <c r="P132" s="9">
        <v>1.2192000000000001</v>
      </c>
      <c r="Q132" s="9">
        <v>32.254300000000001</v>
      </c>
      <c r="R132" s="9"/>
      <c r="S132" s="11"/>
    </row>
    <row r="133" spans="1:19" ht="15.75">
      <c r="A133" s="13">
        <v>45901</v>
      </c>
      <c r="B133" s="8">
        <f>CHOOSE( CONTROL!$C$32, 4.6769, 4.6724) * CHOOSE(CONTROL!$C$15, $D$11, 100%, $F$11)</f>
        <v>4.6768999999999998</v>
      </c>
      <c r="C133" s="8">
        <f>CHOOSE( CONTROL!$C$32, 4.6873, 4.6827) * CHOOSE(CONTROL!$C$15, $D$11, 100%, $F$11)</f>
        <v>4.6872999999999996</v>
      </c>
      <c r="D133" s="8">
        <f>CHOOSE( CONTROL!$C$32, 4.6985, 4.694) * CHOOSE( CONTROL!$C$15, $D$11, 100%, $F$11)</f>
        <v>4.6985000000000001</v>
      </c>
      <c r="E133" s="12">
        <f>CHOOSE( CONTROL!$C$32, 4.6929, 4.6883) * CHOOSE( CONTROL!$C$15, $D$11, 100%, $F$11)</f>
        <v>4.6928999999999998</v>
      </c>
      <c r="F133" s="4">
        <f>CHOOSE( CONTROL!$C$32, 5.3652, 5.3607) * CHOOSE(CONTROL!$C$15, $D$11, 100%, $F$11)</f>
        <v>5.3651999999999997</v>
      </c>
      <c r="G133" s="8">
        <f>CHOOSE( CONTROL!$C$32, 4.5743, 4.5698) * CHOOSE( CONTROL!$C$15, $D$11, 100%, $F$11)</f>
        <v>4.5743</v>
      </c>
      <c r="H133" s="4">
        <f>CHOOSE( CONTROL!$C$32, 5.5069, 5.5025) * CHOOSE(CONTROL!$C$15, $D$11, 100%, $F$11)</f>
        <v>5.5068999999999999</v>
      </c>
      <c r="I133" s="8">
        <f>CHOOSE( CONTROL!$C$32, 4.5685, 4.5642) * CHOOSE(CONTROL!$C$15, $D$11, 100%, $F$11)</f>
        <v>4.5685000000000002</v>
      </c>
      <c r="J133" s="4">
        <f>CHOOSE( CONTROL!$C$32, 4.498, 4.4936) * CHOOSE(CONTROL!$C$15, $D$11, 100%, $F$11)</f>
        <v>4.4980000000000002</v>
      </c>
      <c r="K133" s="4"/>
      <c r="L133" s="9">
        <v>28.568200000000001</v>
      </c>
      <c r="M133" s="9">
        <v>11.6745</v>
      </c>
      <c r="N133" s="9">
        <v>4.7850000000000001</v>
      </c>
      <c r="O133" s="9">
        <v>0.36249999999999999</v>
      </c>
      <c r="P133" s="9">
        <v>1.1798</v>
      </c>
      <c r="Q133" s="9">
        <v>31.213799999999999</v>
      </c>
      <c r="R133" s="9"/>
      <c r="S133" s="11"/>
    </row>
    <row r="134" spans="1:19" ht="15.75">
      <c r="A134" s="13">
        <v>45931</v>
      </c>
      <c r="B134" s="8">
        <f>4.8788 * CHOOSE(CONTROL!$C$15, $D$11, 100%, $F$11)</f>
        <v>4.8788</v>
      </c>
      <c r="C134" s="8">
        <f>4.8892 * CHOOSE(CONTROL!$C$15, $D$11, 100%, $F$11)</f>
        <v>4.8891999999999998</v>
      </c>
      <c r="D134" s="8">
        <f>4.9016 * CHOOSE( CONTROL!$C$15, $D$11, 100%, $F$11)</f>
        <v>4.9016000000000002</v>
      </c>
      <c r="E134" s="12">
        <f>4.8964 * CHOOSE( CONTROL!$C$15, $D$11, 100%, $F$11)</f>
        <v>4.8963999999999999</v>
      </c>
      <c r="F134" s="4">
        <f>5.5671 * CHOOSE(CONTROL!$C$15, $D$11, 100%, $F$11)</f>
        <v>5.5670999999999999</v>
      </c>
      <c r="G134" s="8">
        <f>4.7724 * CHOOSE( CONTROL!$C$15, $D$11, 100%, $F$11)</f>
        <v>4.7724000000000002</v>
      </c>
      <c r="H134" s="4">
        <f>5.7056 * CHOOSE(CONTROL!$C$15, $D$11, 100%, $F$11)</f>
        <v>5.7055999999999996</v>
      </c>
      <c r="I134" s="8">
        <f>4.7652 * CHOOSE(CONTROL!$C$15, $D$11, 100%, $F$11)</f>
        <v>4.7652000000000001</v>
      </c>
      <c r="J134" s="4">
        <f>4.6932 * CHOOSE(CONTROL!$C$15, $D$11, 100%, $F$11)</f>
        <v>4.6932</v>
      </c>
      <c r="K134" s="4"/>
      <c r="L134" s="9">
        <v>28.921800000000001</v>
      </c>
      <c r="M134" s="9">
        <v>12.063700000000001</v>
      </c>
      <c r="N134" s="9">
        <v>4.9444999999999997</v>
      </c>
      <c r="O134" s="9">
        <v>0.37459999999999999</v>
      </c>
      <c r="P134" s="9">
        <v>1.2192000000000001</v>
      </c>
      <c r="Q134" s="9">
        <v>32.254300000000001</v>
      </c>
      <c r="R134" s="9"/>
      <c r="S134" s="11"/>
    </row>
    <row r="135" spans="1:19" ht="15.75">
      <c r="A135" s="13">
        <v>45962</v>
      </c>
      <c r="B135" s="8">
        <f>5.2598 * CHOOSE(CONTROL!$C$15, $D$11, 100%, $F$11)</f>
        <v>5.2598000000000003</v>
      </c>
      <c r="C135" s="8">
        <f>5.2701 * CHOOSE(CONTROL!$C$15, $D$11, 100%, $F$11)</f>
        <v>5.2701000000000002</v>
      </c>
      <c r="D135" s="8">
        <f>5.2562 * CHOOSE( CONTROL!$C$15, $D$11, 100%, $F$11)</f>
        <v>5.2561999999999998</v>
      </c>
      <c r="E135" s="12">
        <f>5.2602 * CHOOSE( CONTROL!$C$15, $D$11, 100%, $F$11)</f>
        <v>5.2602000000000002</v>
      </c>
      <c r="F135" s="4">
        <f>5.9141 * CHOOSE(CONTROL!$C$15, $D$11, 100%, $F$11)</f>
        <v>5.9141000000000004</v>
      </c>
      <c r="G135" s="8">
        <f>5.1644 * CHOOSE( CONTROL!$C$15, $D$11, 100%, $F$11)</f>
        <v>5.1643999999999997</v>
      </c>
      <c r="H135" s="4">
        <f>6.0469 * CHOOSE(CONTROL!$C$15, $D$11, 100%, $F$11)</f>
        <v>6.0468999999999999</v>
      </c>
      <c r="I135" s="8">
        <f>5.1668 * CHOOSE(CONTROL!$C$15, $D$11, 100%, $F$11)</f>
        <v>5.1668000000000003</v>
      </c>
      <c r="J135" s="4">
        <f>5.0617 * CHOOSE(CONTROL!$C$15, $D$11, 100%, $F$11)</f>
        <v>5.0617000000000001</v>
      </c>
      <c r="K135" s="4"/>
      <c r="L135" s="9">
        <v>26.515499999999999</v>
      </c>
      <c r="M135" s="9">
        <v>11.6745</v>
      </c>
      <c r="N135" s="9">
        <v>4.7850000000000001</v>
      </c>
      <c r="O135" s="9">
        <v>0.36249999999999999</v>
      </c>
      <c r="P135" s="9">
        <v>1.2522</v>
      </c>
      <c r="Q135" s="9">
        <v>31.213799999999999</v>
      </c>
      <c r="R135" s="9"/>
      <c r="S135" s="11"/>
    </row>
    <row r="136" spans="1:19" ht="15.75">
      <c r="A136" s="13">
        <v>45992</v>
      </c>
      <c r="B136" s="8">
        <f>5.2503 * CHOOSE(CONTROL!$C$15, $D$11, 100%, $F$11)</f>
        <v>5.2503000000000002</v>
      </c>
      <c r="C136" s="8">
        <f>5.2606 * CHOOSE(CONTROL!$C$15, $D$11, 100%, $F$11)</f>
        <v>5.2606000000000002</v>
      </c>
      <c r="D136" s="8">
        <f>5.2491 * CHOOSE( CONTROL!$C$15, $D$11, 100%, $F$11)</f>
        <v>5.2491000000000003</v>
      </c>
      <c r="E136" s="12">
        <f>5.2522 * CHOOSE( CONTROL!$C$15, $D$11, 100%, $F$11)</f>
        <v>5.2522000000000002</v>
      </c>
      <c r="F136" s="4">
        <f>5.9045 * CHOOSE(CONTROL!$C$15, $D$11, 100%, $F$11)</f>
        <v>5.9044999999999996</v>
      </c>
      <c r="G136" s="8">
        <f>5.1568 * CHOOSE( CONTROL!$C$15, $D$11, 100%, $F$11)</f>
        <v>5.1567999999999996</v>
      </c>
      <c r="H136" s="4">
        <f>6.0375 * CHOOSE(CONTROL!$C$15, $D$11, 100%, $F$11)</f>
        <v>6.0374999999999996</v>
      </c>
      <c r="I136" s="8">
        <f>5.1656 * CHOOSE(CONTROL!$C$15, $D$11, 100%, $F$11)</f>
        <v>5.1656000000000004</v>
      </c>
      <c r="J136" s="4">
        <f>5.0524 * CHOOSE(CONTROL!$C$15, $D$11, 100%, $F$11)</f>
        <v>5.0523999999999996</v>
      </c>
      <c r="K136" s="4"/>
      <c r="L136" s="9">
        <v>27.3993</v>
      </c>
      <c r="M136" s="9">
        <v>12.063700000000001</v>
      </c>
      <c r="N136" s="9">
        <v>4.9444999999999997</v>
      </c>
      <c r="O136" s="9">
        <v>0.37459999999999999</v>
      </c>
      <c r="P136" s="9">
        <v>1.2939000000000001</v>
      </c>
      <c r="Q136" s="9">
        <v>32.254300000000001</v>
      </c>
      <c r="R136" s="9"/>
      <c r="S136" s="11"/>
    </row>
    <row r="137" spans="1:19" ht="15.75">
      <c r="A137" s="13">
        <v>46023</v>
      </c>
      <c r="B137" s="8">
        <f>5.4511 * CHOOSE(CONTROL!$C$15, $D$11, 100%, $F$11)</f>
        <v>5.4511000000000003</v>
      </c>
      <c r="C137" s="8">
        <f>5.4614 * CHOOSE(CONTROL!$C$15, $D$11, 100%, $F$11)</f>
        <v>5.4614000000000003</v>
      </c>
      <c r="D137" s="8">
        <f>5.4598 * CHOOSE( CONTROL!$C$15, $D$11, 100%, $F$11)</f>
        <v>5.4598000000000004</v>
      </c>
      <c r="E137" s="12">
        <f>5.4593 * CHOOSE( CONTROL!$C$15, $D$11, 100%, $F$11)</f>
        <v>5.4592999999999998</v>
      </c>
      <c r="F137" s="4">
        <f>6.1337 * CHOOSE(CONTROL!$C$15, $D$11, 100%, $F$11)</f>
        <v>6.1337000000000002</v>
      </c>
      <c r="G137" s="8">
        <f>5.3646 * CHOOSE( CONTROL!$C$15, $D$11, 100%, $F$11)</f>
        <v>5.3646000000000003</v>
      </c>
      <c r="H137" s="4">
        <f>6.263 * CHOOSE(CONTROL!$C$15, $D$11, 100%, $F$11)</f>
        <v>6.2629999999999999</v>
      </c>
      <c r="I137" s="8">
        <f>5.3578 * CHOOSE(CONTROL!$C$15, $D$11, 100%, $F$11)</f>
        <v>5.3578000000000001</v>
      </c>
      <c r="J137" s="4">
        <f>5.2466 * CHOOSE(CONTROL!$C$15, $D$11, 100%, $F$11)</f>
        <v>5.2465999999999999</v>
      </c>
      <c r="K137" s="4"/>
      <c r="L137" s="9">
        <v>27.3993</v>
      </c>
      <c r="M137" s="9">
        <v>12.063700000000001</v>
      </c>
      <c r="N137" s="9">
        <v>4.9444999999999997</v>
      </c>
      <c r="O137" s="9">
        <v>0.37459999999999999</v>
      </c>
      <c r="P137" s="9">
        <v>1.2939000000000001</v>
      </c>
      <c r="Q137" s="9">
        <v>32.070099999999996</v>
      </c>
      <c r="R137" s="9"/>
      <c r="S137" s="11"/>
    </row>
    <row r="138" spans="1:19" ht="15.75">
      <c r="A138" s="13">
        <v>46054</v>
      </c>
      <c r="B138" s="8">
        <f>5.1003 * CHOOSE(CONTROL!$C$15, $D$11, 100%, $F$11)</f>
        <v>5.1002999999999998</v>
      </c>
      <c r="C138" s="8">
        <f>5.1107 * CHOOSE(CONTROL!$C$15, $D$11, 100%, $F$11)</f>
        <v>5.1106999999999996</v>
      </c>
      <c r="D138" s="8">
        <f>5.1112 * CHOOSE( CONTROL!$C$15, $D$11, 100%, $F$11)</f>
        <v>5.1112000000000002</v>
      </c>
      <c r="E138" s="12">
        <f>5.1099 * CHOOSE( CONTROL!$C$15, $D$11, 100%, $F$11)</f>
        <v>5.1098999999999997</v>
      </c>
      <c r="F138" s="4">
        <f>5.7753 * CHOOSE(CONTROL!$C$15, $D$11, 100%, $F$11)</f>
        <v>5.7752999999999997</v>
      </c>
      <c r="G138" s="8">
        <f>5.0193 * CHOOSE( CONTROL!$C$15, $D$11, 100%, $F$11)</f>
        <v>5.0193000000000003</v>
      </c>
      <c r="H138" s="4">
        <f>5.9104 * CHOOSE(CONTROL!$C$15, $D$11, 100%, $F$11)</f>
        <v>5.9104000000000001</v>
      </c>
      <c r="I138" s="8">
        <f>5.0075 * CHOOSE(CONTROL!$C$15, $D$11, 100%, $F$11)</f>
        <v>5.0075000000000003</v>
      </c>
      <c r="J138" s="4">
        <f>4.9074 * CHOOSE(CONTROL!$C$15, $D$11, 100%, $F$11)</f>
        <v>4.9074</v>
      </c>
      <c r="K138" s="4"/>
      <c r="L138" s="9">
        <v>24.747800000000002</v>
      </c>
      <c r="M138" s="9">
        <v>10.8962</v>
      </c>
      <c r="N138" s="9">
        <v>4.4660000000000002</v>
      </c>
      <c r="O138" s="9">
        <v>0.33829999999999999</v>
      </c>
      <c r="P138" s="9">
        <v>1.1687000000000001</v>
      </c>
      <c r="Q138" s="9">
        <v>28.9666</v>
      </c>
      <c r="R138" s="9"/>
      <c r="S138" s="11"/>
    </row>
    <row r="139" spans="1:19" ht="15.75">
      <c r="A139" s="13">
        <v>46082</v>
      </c>
      <c r="B139" s="8">
        <f>4.9923 * CHOOSE(CONTROL!$C$15, $D$11, 100%, $F$11)</f>
        <v>4.9923000000000002</v>
      </c>
      <c r="C139" s="8">
        <f>5.0026 * CHOOSE(CONTROL!$C$15, $D$11, 100%, $F$11)</f>
        <v>5.0026000000000002</v>
      </c>
      <c r="D139" s="8">
        <f>4.9827 * CHOOSE( CONTROL!$C$15, $D$11, 100%, $F$11)</f>
        <v>4.9827000000000004</v>
      </c>
      <c r="E139" s="12">
        <f>4.9889 * CHOOSE( CONTROL!$C$15, $D$11, 100%, $F$11)</f>
        <v>4.9889000000000001</v>
      </c>
      <c r="F139" s="4">
        <f>5.6512 * CHOOSE(CONTROL!$C$15, $D$11, 100%, $F$11)</f>
        <v>5.6512000000000002</v>
      </c>
      <c r="G139" s="8">
        <f>4.8923 * CHOOSE( CONTROL!$C$15, $D$11, 100%, $F$11)</f>
        <v>4.8922999999999996</v>
      </c>
      <c r="H139" s="4">
        <f>5.7883 * CHOOSE(CONTROL!$C$15, $D$11, 100%, $F$11)</f>
        <v>5.7882999999999996</v>
      </c>
      <c r="I139" s="8">
        <f>4.8635 * CHOOSE(CONTROL!$C$15, $D$11, 100%, $F$11)</f>
        <v>4.8635000000000002</v>
      </c>
      <c r="J139" s="4">
        <f>4.803 * CHOOSE(CONTROL!$C$15, $D$11, 100%, $F$11)</f>
        <v>4.8029999999999999</v>
      </c>
      <c r="K139" s="4"/>
      <c r="L139" s="9">
        <v>27.3993</v>
      </c>
      <c r="M139" s="9">
        <v>12.063700000000001</v>
      </c>
      <c r="N139" s="9">
        <v>4.9444999999999997</v>
      </c>
      <c r="O139" s="9">
        <v>0.37459999999999999</v>
      </c>
      <c r="P139" s="9">
        <v>1.2939000000000001</v>
      </c>
      <c r="Q139" s="9">
        <v>32.070099999999996</v>
      </c>
      <c r="R139" s="9"/>
      <c r="S139" s="11"/>
    </row>
    <row r="140" spans="1:19" ht="15.75">
      <c r="A140" s="13">
        <v>46113</v>
      </c>
      <c r="B140" s="8">
        <f>5.0678 * CHOOSE(CONTROL!$C$15, $D$11, 100%, $F$11)</f>
        <v>5.0678000000000001</v>
      </c>
      <c r="C140" s="8">
        <f>5.0781 * CHOOSE(CONTROL!$C$15, $D$11, 100%, $F$11)</f>
        <v>5.0781000000000001</v>
      </c>
      <c r="D140" s="8">
        <f>5.0696 * CHOOSE( CONTROL!$C$15, $D$11, 100%, $F$11)</f>
        <v>5.0696000000000003</v>
      </c>
      <c r="E140" s="12">
        <f>5.0712 * CHOOSE( CONTROL!$C$15, $D$11, 100%, $F$11)</f>
        <v>5.0712000000000002</v>
      </c>
      <c r="F140" s="4">
        <f>5.7169 * CHOOSE(CONTROL!$C$15, $D$11, 100%, $F$11)</f>
        <v>5.7168999999999999</v>
      </c>
      <c r="G140" s="8">
        <f>4.9514 * CHOOSE( CONTROL!$C$15, $D$11, 100%, $F$11)</f>
        <v>4.9513999999999996</v>
      </c>
      <c r="H140" s="4">
        <f>5.8529 * CHOOSE(CONTROL!$C$15, $D$11, 100%, $F$11)</f>
        <v>5.8529</v>
      </c>
      <c r="I140" s="8">
        <f>4.9334 * CHOOSE(CONTROL!$C$15, $D$11, 100%, $F$11)</f>
        <v>4.9333999999999998</v>
      </c>
      <c r="J140" s="4">
        <f>4.876 * CHOOSE(CONTROL!$C$15, $D$11, 100%, $F$11)</f>
        <v>4.8760000000000003</v>
      </c>
      <c r="K140" s="4"/>
      <c r="L140" s="9">
        <v>27.988800000000001</v>
      </c>
      <c r="M140" s="9">
        <v>11.6745</v>
      </c>
      <c r="N140" s="9">
        <v>4.7850000000000001</v>
      </c>
      <c r="O140" s="9">
        <v>0.36249999999999999</v>
      </c>
      <c r="P140" s="9">
        <v>1.1798</v>
      </c>
      <c r="Q140" s="9">
        <v>31.035599999999999</v>
      </c>
      <c r="R140" s="9"/>
      <c r="S140" s="11"/>
    </row>
    <row r="141" spans="1:19" ht="15.75">
      <c r="A141" s="13">
        <v>46143</v>
      </c>
      <c r="B141" s="8">
        <f>CHOOSE( CONTROL!$C$32, 5.2067, 5.2021) * CHOOSE(CONTROL!$C$15, $D$11, 100%, $F$11)</f>
        <v>5.2066999999999997</v>
      </c>
      <c r="C141" s="8">
        <f>CHOOSE( CONTROL!$C$32, 5.217, 5.2125) * CHOOSE(CONTROL!$C$15, $D$11, 100%, $F$11)</f>
        <v>5.2169999999999996</v>
      </c>
      <c r="D141" s="8">
        <f>CHOOSE( CONTROL!$C$32, 5.2267, 5.2222) * CHOOSE( CONTROL!$C$15, $D$11, 100%, $F$11)</f>
        <v>5.2267000000000001</v>
      </c>
      <c r="E141" s="12">
        <f>CHOOSE( CONTROL!$C$32, 5.2216, 5.2171) * CHOOSE( CONTROL!$C$15, $D$11, 100%, $F$11)</f>
        <v>5.2215999999999996</v>
      </c>
      <c r="F141" s="4">
        <f>CHOOSE( CONTROL!$C$32, 5.8949, 5.8904) * CHOOSE(CONTROL!$C$15, $D$11, 100%, $F$11)</f>
        <v>5.8948999999999998</v>
      </c>
      <c r="G141" s="8">
        <f>CHOOSE( CONTROL!$C$32, 5.0931, 5.0886) * CHOOSE( CONTROL!$C$15, $D$11, 100%, $F$11)</f>
        <v>5.0930999999999997</v>
      </c>
      <c r="H141" s="4">
        <f>CHOOSE( CONTROL!$C$32, 6.0281, 6.0237) * CHOOSE(CONTROL!$C$15, $D$11, 100%, $F$11)</f>
        <v>6.0281000000000002</v>
      </c>
      <c r="I141" s="8">
        <f>CHOOSE( CONTROL!$C$32, 5.0736, 5.0692) * CHOOSE(CONTROL!$C$15, $D$11, 100%, $F$11)</f>
        <v>5.0735999999999999</v>
      </c>
      <c r="J141" s="4">
        <f>CHOOSE( CONTROL!$C$32, 5.0103, 5.0059) * CHOOSE(CONTROL!$C$15, $D$11, 100%, $F$11)</f>
        <v>5.0103</v>
      </c>
      <c r="K141" s="4"/>
      <c r="L141" s="9">
        <v>29.520499999999998</v>
      </c>
      <c r="M141" s="9">
        <v>12.063700000000001</v>
      </c>
      <c r="N141" s="9">
        <v>4.9444999999999997</v>
      </c>
      <c r="O141" s="9">
        <v>0.37459999999999999</v>
      </c>
      <c r="P141" s="9">
        <v>1.2192000000000001</v>
      </c>
      <c r="Q141" s="9">
        <v>32.070099999999996</v>
      </c>
      <c r="R141" s="9"/>
      <c r="S141" s="11"/>
    </row>
    <row r="142" spans="1:19" ht="15.75">
      <c r="A142" s="13">
        <v>46174</v>
      </c>
      <c r="B142" s="8">
        <f>CHOOSE( CONTROL!$C$32, 5.1234, 5.1189) * CHOOSE(CONTROL!$C$15, $D$11, 100%, $F$11)</f>
        <v>5.1234000000000002</v>
      </c>
      <c r="C142" s="8">
        <f>CHOOSE( CONTROL!$C$32, 5.1338, 5.1293) * CHOOSE(CONTROL!$C$15, $D$11, 100%, $F$11)</f>
        <v>5.1337999999999999</v>
      </c>
      <c r="D142" s="8">
        <f>CHOOSE( CONTROL!$C$32, 5.1441, 5.1396) * CHOOSE( CONTROL!$C$15, $D$11, 100%, $F$11)</f>
        <v>5.1440999999999999</v>
      </c>
      <c r="E142" s="12">
        <f>CHOOSE( CONTROL!$C$32, 5.1388, 5.1343) * CHOOSE( CONTROL!$C$15, $D$11, 100%, $F$11)</f>
        <v>5.1387999999999998</v>
      </c>
      <c r="F142" s="4">
        <f>CHOOSE( CONTROL!$C$32, 5.8117, 5.8072) * CHOOSE(CONTROL!$C$15, $D$11, 100%, $F$11)</f>
        <v>5.8117000000000001</v>
      </c>
      <c r="G142" s="8">
        <f>CHOOSE( CONTROL!$C$32, 5.0121, 5.0077) * CHOOSE( CONTROL!$C$15, $D$11, 100%, $F$11)</f>
        <v>5.0121000000000002</v>
      </c>
      <c r="H142" s="4">
        <f>CHOOSE( CONTROL!$C$32, 5.9462, 5.9418) * CHOOSE(CONTROL!$C$15, $D$11, 100%, $F$11)</f>
        <v>5.9462000000000002</v>
      </c>
      <c r="I142" s="8">
        <f>CHOOSE( CONTROL!$C$32, 4.996, 4.9916) * CHOOSE(CONTROL!$C$15, $D$11, 100%, $F$11)</f>
        <v>4.9960000000000004</v>
      </c>
      <c r="J142" s="4">
        <f>CHOOSE( CONTROL!$C$32, 4.9298, 4.9254) * CHOOSE(CONTROL!$C$15, $D$11, 100%, $F$11)</f>
        <v>4.9298000000000002</v>
      </c>
      <c r="K142" s="4"/>
      <c r="L142" s="9">
        <v>28.568200000000001</v>
      </c>
      <c r="M142" s="9">
        <v>11.6745</v>
      </c>
      <c r="N142" s="9">
        <v>4.7850000000000001</v>
      </c>
      <c r="O142" s="9">
        <v>0.36249999999999999</v>
      </c>
      <c r="P142" s="9">
        <v>1.1798</v>
      </c>
      <c r="Q142" s="9">
        <v>31.035599999999999</v>
      </c>
      <c r="R142" s="9"/>
      <c r="S142" s="11"/>
    </row>
    <row r="143" spans="1:19" ht="15.75">
      <c r="A143" s="13">
        <v>46204</v>
      </c>
      <c r="B143" s="8">
        <f>CHOOSE( CONTROL!$C$32, 5.3426, 5.3381) * CHOOSE(CONTROL!$C$15, $D$11, 100%, $F$11)</f>
        <v>5.3426</v>
      </c>
      <c r="C143" s="8">
        <f>CHOOSE( CONTROL!$C$32, 5.3529, 5.3484) * CHOOSE(CONTROL!$C$15, $D$11, 100%, $F$11)</f>
        <v>5.3529</v>
      </c>
      <c r="D143" s="8">
        <f>CHOOSE( CONTROL!$C$32, 5.3638, 5.3593) * CHOOSE( CONTROL!$C$15, $D$11, 100%, $F$11)</f>
        <v>5.3638000000000003</v>
      </c>
      <c r="E143" s="12">
        <f>CHOOSE( CONTROL!$C$32, 5.3583, 5.3538) * CHOOSE( CONTROL!$C$15, $D$11, 100%, $F$11)</f>
        <v>5.3582999999999998</v>
      </c>
      <c r="F143" s="4">
        <f>CHOOSE( CONTROL!$C$32, 6.0309, 6.0264) * CHOOSE(CONTROL!$C$15, $D$11, 100%, $F$11)</f>
        <v>6.0308999999999999</v>
      </c>
      <c r="G143" s="8">
        <f>CHOOSE( CONTROL!$C$32, 5.2286, 5.2241) * CHOOSE( CONTROL!$C$15, $D$11, 100%, $F$11)</f>
        <v>5.2286000000000001</v>
      </c>
      <c r="H143" s="4">
        <f>CHOOSE( CONTROL!$C$32, 6.1618, 6.1574) * CHOOSE(CONTROL!$C$15, $D$11, 100%, $F$11)</f>
        <v>6.1618000000000004</v>
      </c>
      <c r="I143" s="8">
        <f>CHOOSE( CONTROL!$C$32, 5.2108, 5.2064) * CHOOSE(CONTROL!$C$15, $D$11, 100%, $F$11)</f>
        <v>5.2107999999999999</v>
      </c>
      <c r="J143" s="4">
        <f>CHOOSE( CONTROL!$C$32, 5.1417, 5.1373) * CHOOSE(CONTROL!$C$15, $D$11, 100%, $F$11)</f>
        <v>5.1417000000000002</v>
      </c>
      <c r="K143" s="4"/>
      <c r="L143" s="9">
        <v>29.520499999999998</v>
      </c>
      <c r="M143" s="9">
        <v>12.063700000000001</v>
      </c>
      <c r="N143" s="9">
        <v>4.9444999999999997</v>
      </c>
      <c r="O143" s="9">
        <v>0.37459999999999999</v>
      </c>
      <c r="P143" s="9">
        <v>1.2192000000000001</v>
      </c>
      <c r="Q143" s="9">
        <v>32.070099999999996</v>
      </c>
      <c r="R143" s="9"/>
      <c r="S143" s="11"/>
    </row>
    <row r="144" spans="1:19" ht="15.75">
      <c r="A144" s="13">
        <v>46235</v>
      </c>
      <c r="B144" s="8">
        <f>CHOOSE( CONTROL!$C$32, 4.9325, 4.928) * CHOOSE(CONTROL!$C$15, $D$11, 100%, $F$11)</f>
        <v>4.9325000000000001</v>
      </c>
      <c r="C144" s="8">
        <f>CHOOSE( CONTROL!$C$32, 4.9429, 4.9383) * CHOOSE(CONTROL!$C$15, $D$11, 100%, $F$11)</f>
        <v>4.9428999999999998</v>
      </c>
      <c r="D144" s="8">
        <f>CHOOSE( CONTROL!$C$32, 4.954, 4.9495) * CHOOSE( CONTROL!$C$15, $D$11, 100%, $F$11)</f>
        <v>4.9539999999999997</v>
      </c>
      <c r="E144" s="12">
        <f>CHOOSE( CONTROL!$C$32, 4.9484, 4.9439) * CHOOSE( CONTROL!$C$15, $D$11, 100%, $F$11)</f>
        <v>4.9484000000000004</v>
      </c>
      <c r="F144" s="4">
        <f>CHOOSE( CONTROL!$C$32, 5.6208, 5.6163) * CHOOSE(CONTROL!$C$15, $D$11, 100%, $F$11)</f>
        <v>5.6208</v>
      </c>
      <c r="G144" s="8">
        <f>CHOOSE( CONTROL!$C$32, 4.8256, 4.8211) * CHOOSE( CONTROL!$C$15, $D$11, 100%, $F$11)</f>
        <v>4.8255999999999997</v>
      </c>
      <c r="H144" s="4">
        <f>CHOOSE( CONTROL!$C$32, 5.7584, 5.754) * CHOOSE(CONTROL!$C$15, $D$11, 100%, $F$11)</f>
        <v>5.7584</v>
      </c>
      <c r="I144" s="8">
        <f>CHOOSE( CONTROL!$C$32, 4.8154, 4.811) * CHOOSE(CONTROL!$C$15, $D$11, 100%, $F$11)</f>
        <v>4.8154000000000003</v>
      </c>
      <c r="J144" s="4">
        <f>CHOOSE( CONTROL!$C$32, 4.7451, 4.7408) * CHOOSE(CONTROL!$C$15, $D$11, 100%, $F$11)</f>
        <v>4.7450999999999999</v>
      </c>
      <c r="K144" s="4"/>
      <c r="L144" s="9">
        <v>29.520499999999998</v>
      </c>
      <c r="M144" s="9">
        <v>12.063700000000001</v>
      </c>
      <c r="N144" s="9">
        <v>4.9444999999999997</v>
      </c>
      <c r="O144" s="9">
        <v>0.37459999999999999</v>
      </c>
      <c r="P144" s="9">
        <v>1.2192000000000001</v>
      </c>
      <c r="Q144" s="9">
        <v>32.070099999999996</v>
      </c>
      <c r="R144" s="9"/>
      <c r="S144" s="11"/>
    </row>
    <row r="145" spans="1:19" ht="15.75">
      <c r="A145" s="13">
        <v>46266</v>
      </c>
      <c r="B145" s="8">
        <f>CHOOSE( CONTROL!$C$32, 4.8298, 4.8253) * CHOOSE(CONTROL!$C$15, $D$11, 100%, $F$11)</f>
        <v>4.8297999999999996</v>
      </c>
      <c r="C145" s="8">
        <f>CHOOSE( CONTROL!$C$32, 4.8402, 4.8357) * CHOOSE(CONTROL!$C$15, $D$11, 100%, $F$11)</f>
        <v>4.8402000000000003</v>
      </c>
      <c r="D145" s="8">
        <f>CHOOSE( CONTROL!$C$32, 4.8514, 4.8469) * CHOOSE( CONTROL!$C$15, $D$11, 100%, $F$11)</f>
        <v>4.8513999999999999</v>
      </c>
      <c r="E145" s="12">
        <f>CHOOSE( CONTROL!$C$32, 4.8458, 4.8413) * CHOOSE( CONTROL!$C$15, $D$11, 100%, $F$11)</f>
        <v>4.8457999999999997</v>
      </c>
      <c r="F145" s="4">
        <f>CHOOSE( CONTROL!$C$32, 5.5181, 5.5136) * CHOOSE(CONTROL!$C$15, $D$11, 100%, $F$11)</f>
        <v>5.5180999999999996</v>
      </c>
      <c r="G145" s="8">
        <f>CHOOSE( CONTROL!$C$32, 4.7247, 4.7203) * CHOOSE( CONTROL!$C$15, $D$11, 100%, $F$11)</f>
        <v>4.7247000000000003</v>
      </c>
      <c r="H145" s="4">
        <f>CHOOSE( CONTROL!$C$32, 5.6574, 5.6529) * CHOOSE(CONTROL!$C$15, $D$11, 100%, $F$11)</f>
        <v>5.6574</v>
      </c>
      <c r="I145" s="8">
        <f>CHOOSE( CONTROL!$C$32, 4.7165, 4.7121) * CHOOSE(CONTROL!$C$15, $D$11, 100%, $F$11)</f>
        <v>4.7164999999999999</v>
      </c>
      <c r="J145" s="4">
        <f>CHOOSE( CONTROL!$C$32, 4.6458, 4.6415) * CHOOSE(CONTROL!$C$15, $D$11, 100%, $F$11)</f>
        <v>4.6458000000000004</v>
      </c>
      <c r="K145" s="4"/>
      <c r="L145" s="9">
        <v>28.568200000000001</v>
      </c>
      <c r="M145" s="9">
        <v>11.6745</v>
      </c>
      <c r="N145" s="9">
        <v>4.7850000000000001</v>
      </c>
      <c r="O145" s="9">
        <v>0.36249999999999999</v>
      </c>
      <c r="P145" s="9">
        <v>1.1798</v>
      </c>
      <c r="Q145" s="9">
        <v>31.035599999999999</v>
      </c>
      <c r="R145" s="9"/>
      <c r="S145" s="11"/>
    </row>
    <row r="146" spans="1:19" ht="15.75">
      <c r="A146" s="13">
        <v>46296</v>
      </c>
      <c r="B146" s="8">
        <f>5.0385 * CHOOSE(CONTROL!$C$15, $D$11, 100%, $F$11)</f>
        <v>5.0385</v>
      </c>
      <c r="C146" s="8">
        <f>5.0489 * CHOOSE(CONTROL!$C$15, $D$11, 100%, $F$11)</f>
        <v>5.0488999999999997</v>
      </c>
      <c r="D146" s="8">
        <f>5.0613 * CHOOSE( CONTROL!$C$15, $D$11, 100%, $F$11)</f>
        <v>5.0613000000000001</v>
      </c>
      <c r="E146" s="12">
        <f>5.0561 * CHOOSE( CONTROL!$C$15, $D$11, 100%, $F$11)</f>
        <v>5.0560999999999998</v>
      </c>
      <c r="F146" s="4">
        <f>5.7268 * CHOOSE(CONTROL!$C$15, $D$11, 100%, $F$11)</f>
        <v>5.7267999999999999</v>
      </c>
      <c r="G146" s="8">
        <f>4.9295 * CHOOSE( CONTROL!$C$15, $D$11, 100%, $F$11)</f>
        <v>4.9295</v>
      </c>
      <c r="H146" s="4">
        <f>5.8627 * CHOOSE(CONTROL!$C$15, $D$11, 100%, $F$11)</f>
        <v>5.8627000000000002</v>
      </c>
      <c r="I146" s="8">
        <f>4.9197 * CHOOSE(CONTROL!$C$15, $D$11, 100%, $F$11)</f>
        <v>4.9196999999999997</v>
      </c>
      <c r="J146" s="4">
        <f>4.8477 * CHOOSE(CONTROL!$C$15, $D$11, 100%, $F$11)</f>
        <v>4.8476999999999997</v>
      </c>
      <c r="K146" s="4"/>
      <c r="L146" s="9">
        <v>28.921800000000001</v>
      </c>
      <c r="M146" s="9">
        <v>12.063700000000001</v>
      </c>
      <c r="N146" s="9">
        <v>4.9444999999999997</v>
      </c>
      <c r="O146" s="9">
        <v>0.37459999999999999</v>
      </c>
      <c r="P146" s="9">
        <v>1.2192000000000001</v>
      </c>
      <c r="Q146" s="9">
        <v>32.070099999999996</v>
      </c>
      <c r="R146" s="9"/>
      <c r="S146" s="11"/>
    </row>
    <row r="147" spans="1:19" ht="15.75">
      <c r="A147" s="13">
        <v>46327</v>
      </c>
      <c r="B147" s="8">
        <f>5.4321 * CHOOSE(CONTROL!$C$15, $D$11, 100%, $F$11)</f>
        <v>5.4321000000000002</v>
      </c>
      <c r="C147" s="8">
        <f>5.4424 * CHOOSE(CONTROL!$C$15, $D$11, 100%, $F$11)</f>
        <v>5.4424000000000001</v>
      </c>
      <c r="D147" s="8">
        <f>5.4284 * CHOOSE( CONTROL!$C$15, $D$11, 100%, $F$11)</f>
        <v>5.4283999999999999</v>
      </c>
      <c r="E147" s="12">
        <f>5.4324 * CHOOSE( CONTROL!$C$15, $D$11, 100%, $F$11)</f>
        <v>5.4324000000000003</v>
      </c>
      <c r="F147" s="4">
        <f>6.0863 * CHOOSE(CONTROL!$C$15, $D$11, 100%, $F$11)</f>
        <v>6.0862999999999996</v>
      </c>
      <c r="G147" s="8">
        <f>5.3338 * CHOOSE( CONTROL!$C$15, $D$11, 100%, $F$11)</f>
        <v>5.3338000000000001</v>
      </c>
      <c r="H147" s="4">
        <f>6.2164 * CHOOSE(CONTROL!$C$15, $D$11, 100%, $F$11)</f>
        <v>6.2164000000000001</v>
      </c>
      <c r="I147" s="8">
        <f>5.3335 * CHOOSE(CONTROL!$C$15, $D$11, 100%, $F$11)</f>
        <v>5.3334999999999999</v>
      </c>
      <c r="J147" s="4">
        <f>5.2282 * CHOOSE(CONTROL!$C$15, $D$11, 100%, $F$11)</f>
        <v>5.2282000000000002</v>
      </c>
      <c r="K147" s="4"/>
      <c r="L147" s="9">
        <v>26.515499999999999</v>
      </c>
      <c r="M147" s="9">
        <v>11.6745</v>
      </c>
      <c r="N147" s="9">
        <v>4.7850000000000001</v>
      </c>
      <c r="O147" s="9">
        <v>0.36249999999999999</v>
      </c>
      <c r="P147" s="9">
        <v>1.2522</v>
      </c>
      <c r="Q147" s="9">
        <v>31.035599999999999</v>
      </c>
      <c r="R147" s="9"/>
      <c r="S147" s="11"/>
    </row>
    <row r="148" spans="1:19" ht="15.75">
      <c r="A148" s="13">
        <v>46357</v>
      </c>
      <c r="B148" s="8">
        <f>5.4222 * CHOOSE(CONTROL!$C$15, $D$11, 100%, $F$11)</f>
        <v>5.4222000000000001</v>
      </c>
      <c r="C148" s="8">
        <f>5.4326 * CHOOSE(CONTROL!$C$15, $D$11, 100%, $F$11)</f>
        <v>5.4325999999999999</v>
      </c>
      <c r="D148" s="8">
        <f>5.4211 * CHOOSE( CONTROL!$C$15, $D$11, 100%, $F$11)</f>
        <v>5.4211</v>
      </c>
      <c r="E148" s="12">
        <f>5.4242 * CHOOSE( CONTROL!$C$15, $D$11, 100%, $F$11)</f>
        <v>5.4241999999999999</v>
      </c>
      <c r="F148" s="4">
        <f>6.0765 * CHOOSE(CONTROL!$C$15, $D$11, 100%, $F$11)</f>
        <v>6.0765000000000002</v>
      </c>
      <c r="G148" s="8">
        <f>5.326 * CHOOSE( CONTROL!$C$15, $D$11, 100%, $F$11)</f>
        <v>5.3259999999999996</v>
      </c>
      <c r="H148" s="4">
        <f>6.2067 * CHOOSE(CONTROL!$C$15, $D$11, 100%, $F$11)</f>
        <v>6.2066999999999997</v>
      </c>
      <c r="I148" s="8">
        <f>5.3319 * CHOOSE(CONTROL!$C$15, $D$11, 100%, $F$11)</f>
        <v>5.3319000000000001</v>
      </c>
      <c r="J148" s="4">
        <f>5.2187 * CHOOSE(CONTROL!$C$15, $D$11, 100%, $F$11)</f>
        <v>5.2187000000000001</v>
      </c>
      <c r="K148" s="4"/>
      <c r="L148" s="9">
        <v>27.3993</v>
      </c>
      <c r="M148" s="9">
        <v>12.063700000000001</v>
      </c>
      <c r="N148" s="9">
        <v>4.9444999999999997</v>
      </c>
      <c r="O148" s="9">
        <v>0.37459999999999999</v>
      </c>
      <c r="P148" s="9">
        <v>1.2939000000000001</v>
      </c>
      <c r="Q148" s="9">
        <v>32.070099999999996</v>
      </c>
      <c r="R148" s="9"/>
      <c r="S148" s="11"/>
    </row>
    <row r="149" spans="1:19" ht="15.75">
      <c r="A149" s="13">
        <v>46388</v>
      </c>
      <c r="B149" s="8">
        <f>5.6287 * CHOOSE(CONTROL!$C$15, $D$11, 100%, $F$11)</f>
        <v>5.6287000000000003</v>
      </c>
      <c r="C149" s="8">
        <f>5.6391 * CHOOSE(CONTROL!$C$15, $D$11, 100%, $F$11)</f>
        <v>5.6391</v>
      </c>
      <c r="D149" s="8">
        <f>5.6375 * CHOOSE( CONTROL!$C$15, $D$11, 100%, $F$11)</f>
        <v>5.6375000000000002</v>
      </c>
      <c r="E149" s="12">
        <f>5.637 * CHOOSE( CONTROL!$C$15, $D$11, 100%, $F$11)</f>
        <v>5.6369999999999996</v>
      </c>
      <c r="F149" s="4">
        <f>6.3114 * CHOOSE(CONTROL!$C$15, $D$11, 100%, $F$11)</f>
        <v>6.3113999999999999</v>
      </c>
      <c r="G149" s="8">
        <f>5.5394 * CHOOSE( CONTROL!$C$15, $D$11, 100%, $F$11)</f>
        <v>5.5393999999999997</v>
      </c>
      <c r="H149" s="4">
        <f>6.4378 * CHOOSE(CONTROL!$C$15, $D$11, 100%, $F$11)</f>
        <v>6.4378000000000002</v>
      </c>
      <c r="I149" s="8">
        <f>5.5297 * CHOOSE(CONTROL!$C$15, $D$11, 100%, $F$11)</f>
        <v>5.5297000000000001</v>
      </c>
      <c r="J149" s="4">
        <f>5.4184 * CHOOSE(CONTROL!$C$15, $D$11, 100%, $F$11)</f>
        <v>5.4184000000000001</v>
      </c>
      <c r="K149" s="4"/>
      <c r="L149" s="9">
        <v>27.3993</v>
      </c>
      <c r="M149" s="9">
        <v>12.063700000000001</v>
      </c>
      <c r="N149" s="9">
        <v>4.9444999999999997</v>
      </c>
      <c r="O149" s="9">
        <v>0.37459999999999999</v>
      </c>
      <c r="P149" s="9">
        <v>1.2939000000000001</v>
      </c>
      <c r="Q149" s="9">
        <v>31.885999999999999</v>
      </c>
      <c r="R149" s="9"/>
      <c r="S149" s="11"/>
    </row>
    <row r="150" spans="1:19" ht="15.75">
      <c r="A150" s="13">
        <v>46419</v>
      </c>
      <c r="B150" s="8">
        <f>5.2665 * CHOOSE(CONTROL!$C$15, $D$11, 100%, $F$11)</f>
        <v>5.2664999999999997</v>
      </c>
      <c r="C150" s="8">
        <f>5.2769 * CHOOSE(CONTROL!$C$15, $D$11, 100%, $F$11)</f>
        <v>5.2769000000000004</v>
      </c>
      <c r="D150" s="8">
        <f>5.2774 * CHOOSE( CONTROL!$C$15, $D$11, 100%, $F$11)</f>
        <v>5.2774000000000001</v>
      </c>
      <c r="E150" s="12">
        <f>5.2761 * CHOOSE( CONTROL!$C$15, $D$11, 100%, $F$11)</f>
        <v>5.2760999999999996</v>
      </c>
      <c r="F150" s="4">
        <f>5.9415 * CHOOSE(CONTROL!$C$15, $D$11, 100%, $F$11)</f>
        <v>5.9414999999999996</v>
      </c>
      <c r="G150" s="8">
        <f>5.1828 * CHOOSE( CONTROL!$C$15, $D$11, 100%, $F$11)</f>
        <v>5.1828000000000003</v>
      </c>
      <c r="H150" s="4">
        <f>6.0739 * CHOOSE(CONTROL!$C$15, $D$11, 100%, $F$11)</f>
        <v>6.0739000000000001</v>
      </c>
      <c r="I150" s="8">
        <f>5.1683 * CHOOSE(CONTROL!$C$15, $D$11, 100%, $F$11)</f>
        <v>5.1683000000000003</v>
      </c>
      <c r="J150" s="4">
        <f>5.0681 * CHOOSE(CONTROL!$C$15, $D$11, 100%, $F$11)</f>
        <v>5.0681000000000003</v>
      </c>
      <c r="K150" s="4"/>
      <c r="L150" s="9">
        <v>24.747800000000002</v>
      </c>
      <c r="M150" s="9">
        <v>10.8962</v>
      </c>
      <c r="N150" s="9">
        <v>4.4660000000000002</v>
      </c>
      <c r="O150" s="9">
        <v>0.33829999999999999</v>
      </c>
      <c r="P150" s="9">
        <v>1.1687000000000001</v>
      </c>
      <c r="Q150" s="9">
        <v>28.8002</v>
      </c>
      <c r="R150" s="9"/>
      <c r="S150" s="11"/>
    </row>
    <row r="151" spans="1:19" ht="15.75">
      <c r="A151" s="13">
        <v>46447</v>
      </c>
      <c r="B151" s="8">
        <f>5.155 * CHOOSE(CONTROL!$C$15, $D$11, 100%, $F$11)</f>
        <v>5.1550000000000002</v>
      </c>
      <c r="C151" s="8">
        <f>5.1653 * CHOOSE(CONTROL!$C$15, $D$11, 100%, $F$11)</f>
        <v>5.1653000000000002</v>
      </c>
      <c r="D151" s="8">
        <f>5.1454 * CHOOSE( CONTROL!$C$15, $D$11, 100%, $F$11)</f>
        <v>5.1454000000000004</v>
      </c>
      <c r="E151" s="12">
        <f>5.1516 * CHOOSE( CONTROL!$C$15, $D$11, 100%, $F$11)</f>
        <v>5.1516000000000002</v>
      </c>
      <c r="F151" s="4">
        <f>5.8139 * CHOOSE(CONTROL!$C$15, $D$11, 100%, $F$11)</f>
        <v>5.8139000000000003</v>
      </c>
      <c r="G151" s="8">
        <f>5.0524 * CHOOSE( CONTROL!$C$15, $D$11, 100%, $F$11)</f>
        <v>5.0523999999999996</v>
      </c>
      <c r="H151" s="4">
        <f>5.9483 * CHOOSE(CONTROL!$C$15, $D$11, 100%, $F$11)</f>
        <v>5.9482999999999997</v>
      </c>
      <c r="I151" s="8">
        <f>5.0209 * CHOOSE(CONTROL!$C$15, $D$11, 100%, $F$11)</f>
        <v>5.0209000000000001</v>
      </c>
      <c r="J151" s="4">
        <f>4.9603 * CHOOSE(CONTROL!$C$15, $D$11, 100%, $F$11)</f>
        <v>4.9603000000000002</v>
      </c>
      <c r="K151" s="4"/>
      <c r="L151" s="9">
        <v>27.3993</v>
      </c>
      <c r="M151" s="9">
        <v>12.063700000000001</v>
      </c>
      <c r="N151" s="9">
        <v>4.9444999999999997</v>
      </c>
      <c r="O151" s="9">
        <v>0.37459999999999999</v>
      </c>
      <c r="P151" s="9">
        <v>1.2939000000000001</v>
      </c>
      <c r="Q151" s="9">
        <v>31.885999999999999</v>
      </c>
      <c r="R151" s="9"/>
      <c r="S151" s="11"/>
    </row>
    <row r="152" spans="1:19" ht="15.75">
      <c r="A152" s="13">
        <v>46478</v>
      </c>
      <c r="B152" s="8">
        <f>5.2329 * CHOOSE(CONTROL!$C$15, $D$11, 100%, $F$11)</f>
        <v>5.2328999999999999</v>
      </c>
      <c r="C152" s="8">
        <f>5.2433 * CHOOSE(CONTROL!$C$15, $D$11, 100%, $F$11)</f>
        <v>5.2432999999999996</v>
      </c>
      <c r="D152" s="8">
        <f>5.2348 * CHOOSE( CONTROL!$C$15, $D$11, 100%, $F$11)</f>
        <v>5.2347999999999999</v>
      </c>
      <c r="E152" s="12">
        <f>5.2364 * CHOOSE( CONTROL!$C$15, $D$11, 100%, $F$11)</f>
        <v>5.2363999999999997</v>
      </c>
      <c r="F152" s="4">
        <f>5.882 * CHOOSE(CONTROL!$C$15, $D$11, 100%, $F$11)</f>
        <v>5.8819999999999997</v>
      </c>
      <c r="G152" s="8">
        <f>5.1138 * CHOOSE( CONTROL!$C$15, $D$11, 100%, $F$11)</f>
        <v>5.1138000000000003</v>
      </c>
      <c r="H152" s="4">
        <f>6.0154 * CHOOSE(CONTROL!$C$15, $D$11, 100%, $F$11)</f>
        <v>6.0153999999999996</v>
      </c>
      <c r="I152" s="8">
        <f>5.0931 * CHOOSE(CONTROL!$C$15, $D$11, 100%, $F$11)</f>
        <v>5.0930999999999997</v>
      </c>
      <c r="J152" s="4">
        <f>5.0356 * CHOOSE(CONTROL!$C$15, $D$11, 100%, $F$11)</f>
        <v>5.0355999999999996</v>
      </c>
      <c r="K152" s="4"/>
      <c r="L152" s="9">
        <v>27.988800000000001</v>
      </c>
      <c r="M152" s="9">
        <v>11.6745</v>
      </c>
      <c r="N152" s="9">
        <v>4.7850000000000001</v>
      </c>
      <c r="O152" s="9">
        <v>0.36249999999999999</v>
      </c>
      <c r="P152" s="9">
        <v>1.1798</v>
      </c>
      <c r="Q152" s="9">
        <v>30.857399999999998</v>
      </c>
      <c r="R152" s="9"/>
      <c r="S152" s="11"/>
    </row>
    <row r="153" spans="1:19" ht="15.75">
      <c r="A153" s="13">
        <v>46508</v>
      </c>
      <c r="B153" s="8">
        <f>CHOOSE( CONTROL!$C$32, 5.3762, 5.3717) * CHOOSE(CONTROL!$C$15, $D$11, 100%, $F$11)</f>
        <v>5.3761999999999999</v>
      </c>
      <c r="C153" s="8">
        <f>CHOOSE( CONTROL!$C$32, 5.3865, 5.382) * CHOOSE(CONTROL!$C$15, $D$11, 100%, $F$11)</f>
        <v>5.3864999999999998</v>
      </c>
      <c r="D153" s="8">
        <f>CHOOSE( CONTROL!$C$32, 5.3962, 5.3917) * CHOOSE( CONTROL!$C$15, $D$11, 100%, $F$11)</f>
        <v>5.3962000000000003</v>
      </c>
      <c r="E153" s="12">
        <f>CHOOSE( CONTROL!$C$32, 5.3911, 5.3866) * CHOOSE( CONTROL!$C$15, $D$11, 100%, $F$11)</f>
        <v>5.3910999999999998</v>
      </c>
      <c r="F153" s="4">
        <f>CHOOSE( CONTROL!$C$32, 6.0645, 6.0599) * CHOOSE(CONTROL!$C$15, $D$11, 100%, $F$11)</f>
        <v>6.0644999999999998</v>
      </c>
      <c r="G153" s="8">
        <f>CHOOSE( CONTROL!$C$32, 5.2599, 5.2554) * CHOOSE( CONTROL!$C$15, $D$11, 100%, $F$11)</f>
        <v>5.2599</v>
      </c>
      <c r="H153" s="4">
        <f>CHOOSE( CONTROL!$C$32, 6.1949, 6.1904) * CHOOSE(CONTROL!$C$15, $D$11, 100%, $F$11)</f>
        <v>6.1948999999999996</v>
      </c>
      <c r="I153" s="8">
        <f>CHOOSE( CONTROL!$C$32, 5.2376, 5.2332) * CHOOSE(CONTROL!$C$15, $D$11, 100%, $F$11)</f>
        <v>5.2375999999999996</v>
      </c>
      <c r="J153" s="4">
        <f>CHOOSE( CONTROL!$C$32, 5.1742, 5.1698) * CHOOSE(CONTROL!$C$15, $D$11, 100%, $F$11)</f>
        <v>5.1741999999999999</v>
      </c>
      <c r="K153" s="4"/>
      <c r="L153" s="9">
        <v>29.520499999999998</v>
      </c>
      <c r="M153" s="9">
        <v>12.063700000000001</v>
      </c>
      <c r="N153" s="9">
        <v>4.9444999999999997</v>
      </c>
      <c r="O153" s="9">
        <v>0.37459999999999999</v>
      </c>
      <c r="P153" s="9">
        <v>1.2192000000000001</v>
      </c>
      <c r="Q153" s="9">
        <v>31.885999999999999</v>
      </c>
      <c r="R153" s="9"/>
      <c r="S153" s="11"/>
    </row>
    <row r="154" spans="1:19" ht="15.75">
      <c r="A154" s="13">
        <v>46539</v>
      </c>
      <c r="B154" s="8">
        <f>CHOOSE( CONTROL!$C$32, 5.2902, 5.2857) * CHOOSE(CONTROL!$C$15, $D$11, 100%, $F$11)</f>
        <v>5.2901999999999996</v>
      </c>
      <c r="C154" s="8">
        <f>CHOOSE( CONTROL!$C$32, 5.3006, 5.296) * CHOOSE(CONTROL!$C$15, $D$11, 100%, $F$11)</f>
        <v>5.3006000000000002</v>
      </c>
      <c r="D154" s="8">
        <f>CHOOSE( CONTROL!$C$32, 5.3109, 5.3064) * CHOOSE( CONTROL!$C$15, $D$11, 100%, $F$11)</f>
        <v>5.3109000000000002</v>
      </c>
      <c r="E154" s="12">
        <f>CHOOSE( CONTROL!$C$32, 5.3056, 5.3011) * CHOOSE( CONTROL!$C$15, $D$11, 100%, $F$11)</f>
        <v>5.3056000000000001</v>
      </c>
      <c r="F154" s="4">
        <f>CHOOSE( CONTROL!$C$32, 5.9785, 5.974) * CHOOSE(CONTROL!$C$15, $D$11, 100%, $F$11)</f>
        <v>5.9785000000000004</v>
      </c>
      <c r="G154" s="8">
        <f>CHOOSE( CONTROL!$C$32, 5.1762, 5.1718) * CHOOSE( CONTROL!$C$15, $D$11, 100%, $F$11)</f>
        <v>5.1761999999999997</v>
      </c>
      <c r="H154" s="4">
        <f>CHOOSE( CONTROL!$C$32, 6.1103, 6.1059) * CHOOSE(CONTROL!$C$15, $D$11, 100%, $F$11)</f>
        <v>6.1102999999999996</v>
      </c>
      <c r="I154" s="8">
        <f>CHOOSE( CONTROL!$C$32, 5.1574, 5.153) * CHOOSE(CONTROL!$C$15, $D$11, 100%, $F$11)</f>
        <v>5.1574</v>
      </c>
      <c r="J154" s="4">
        <f>CHOOSE( CONTROL!$C$32, 5.0911, 5.0867) * CHOOSE(CONTROL!$C$15, $D$11, 100%, $F$11)</f>
        <v>5.0911</v>
      </c>
      <c r="K154" s="4"/>
      <c r="L154" s="9">
        <v>28.568200000000001</v>
      </c>
      <c r="M154" s="9">
        <v>11.6745</v>
      </c>
      <c r="N154" s="9">
        <v>4.7850000000000001</v>
      </c>
      <c r="O154" s="9">
        <v>0.36249999999999999</v>
      </c>
      <c r="P154" s="9">
        <v>1.1798</v>
      </c>
      <c r="Q154" s="9">
        <v>30.857399999999998</v>
      </c>
      <c r="R154" s="9"/>
      <c r="S154" s="11"/>
    </row>
    <row r="155" spans="1:19" ht="15.75">
      <c r="A155" s="13">
        <v>46569</v>
      </c>
      <c r="B155" s="8">
        <f>CHOOSE( CONTROL!$C$32, 5.5166, 5.512) * CHOOSE(CONTROL!$C$15, $D$11, 100%, $F$11)</f>
        <v>5.5166000000000004</v>
      </c>
      <c r="C155" s="8">
        <f>CHOOSE( CONTROL!$C$32, 5.5269, 5.5224) * CHOOSE(CONTROL!$C$15, $D$11, 100%, $F$11)</f>
        <v>5.5269000000000004</v>
      </c>
      <c r="D155" s="8">
        <f>CHOOSE( CONTROL!$C$32, 5.5378, 5.5333) * CHOOSE( CONTROL!$C$15, $D$11, 100%, $F$11)</f>
        <v>5.5377999999999998</v>
      </c>
      <c r="E155" s="12">
        <f>CHOOSE( CONTROL!$C$32, 5.5323, 5.5278) * CHOOSE( CONTROL!$C$15, $D$11, 100%, $F$11)</f>
        <v>5.5323000000000002</v>
      </c>
      <c r="F155" s="4">
        <f>CHOOSE( CONTROL!$C$32, 6.2049, 6.2003) * CHOOSE(CONTROL!$C$15, $D$11, 100%, $F$11)</f>
        <v>6.2049000000000003</v>
      </c>
      <c r="G155" s="8">
        <f>CHOOSE( CONTROL!$C$32, 5.3997, 5.3953) * CHOOSE( CONTROL!$C$15, $D$11, 100%, $F$11)</f>
        <v>5.3997000000000002</v>
      </c>
      <c r="H155" s="4">
        <f>CHOOSE( CONTROL!$C$32, 6.333, 6.3285) * CHOOSE(CONTROL!$C$15, $D$11, 100%, $F$11)</f>
        <v>6.3330000000000002</v>
      </c>
      <c r="I155" s="8">
        <f>CHOOSE( CONTROL!$C$32, 5.3791, 5.3747) * CHOOSE(CONTROL!$C$15, $D$11, 100%, $F$11)</f>
        <v>5.3791000000000002</v>
      </c>
      <c r="J155" s="4">
        <f>CHOOSE( CONTROL!$C$32, 5.31, 5.3056) * CHOOSE(CONTROL!$C$15, $D$11, 100%, $F$11)</f>
        <v>5.31</v>
      </c>
      <c r="K155" s="4"/>
      <c r="L155" s="9">
        <v>29.520499999999998</v>
      </c>
      <c r="M155" s="9">
        <v>12.063700000000001</v>
      </c>
      <c r="N155" s="9">
        <v>4.9444999999999997</v>
      </c>
      <c r="O155" s="9">
        <v>0.37459999999999999</v>
      </c>
      <c r="P155" s="9">
        <v>1.2192000000000001</v>
      </c>
      <c r="Q155" s="9">
        <v>31.885999999999999</v>
      </c>
      <c r="R155" s="9"/>
      <c r="S155" s="11"/>
    </row>
    <row r="156" spans="1:19" ht="15.75">
      <c r="A156" s="13">
        <v>46600</v>
      </c>
      <c r="B156" s="8">
        <f>CHOOSE( CONTROL!$C$32, 5.0931, 5.0885) * CHOOSE(CONTROL!$C$15, $D$11, 100%, $F$11)</f>
        <v>5.0930999999999997</v>
      </c>
      <c r="C156" s="8">
        <f>CHOOSE( CONTROL!$C$32, 5.1034, 5.0989) * CHOOSE(CONTROL!$C$15, $D$11, 100%, $F$11)</f>
        <v>5.1033999999999997</v>
      </c>
      <c r="D156" s="8">
        <f>CHOOSE( CONTROL!$C$32, 5.1146, 5.1101) * CHOOSE( CONTROL!$C$15, $D$11, 100%, $F$11)</f>
        <v>5.1146000000000003</v>
      </c>
      <c r="E156" s="12">
        <f>CHOOSE( CONTROL!$C$32, 5.109, 5.1045) * CHOOSE( CONTROL!$C$15, $D$11, 100%, $F$11)</f>
        <v>5.109</v>
      </c>
      <c r="F156" s="4">
        <f>CHOOSE( CONTROL!$C$32, 5.7814, 5.7768) * CHOOSE(CONTROL!$C$15, $D$11, 100%, $F$11)</f>
        <v>5.7813999999999997</v>
      </c>
      <c r="G156" s="8">
        <f>CHOOSE( CONTROL!$C$32, 4.9835, 4.9791) * CHOOSE( CONTROL!$C$15, $D$11, 100%, $F$11)</f>
        <v>4.9835000000000003</v>
      </c>
      <c r="H156" s="4">
        <f>CHOOSE( CONTROL!$C$32, 5.9164, 5.9119) * CHOOSE(CONTROL!$C$15, $D$11, 100%, $F$11)</f>
        <v>5.9164000000000003</v>
      </c>
      <c r="I156" s="8">
        <f>CHOOSE( CONTROL!$C$32, 4.9708, 4.9664) * CHOOSE(CONTROL!$C$15, $D$11, 100%, $F$11)</f>
        <v>4.9707999999999997</v>
      </c>
      <c r="J156" s="4">
        <f>CHOOSE( CONTROL!$C$32, 4.9004, 4.896) * CHOOSE(CONTROL!$C$15, $D$11, 100%, $F$11)</f>
        <v>4.9004000000000003</v>
      </c>
      <c r="K156" s="4"/>
      <c r="L156" s="9">
        <v>29.520499999999998</v>
      </c>
      <c r="M156" s="9">
        <v>12.063700000000001</v>
      </c>
      <c r="N156" s="9">
        <v>4.9444999999999997</v>
      </c>
      <c r="O156" s="9">
        <v>0.37459999999999999</v>
      </c>
      <c r="P156" s="9">
        <v>1.2192000000000001</v>
      </c>
      <c r="Q156" s="9">
        <v>31.885999999999999</v>
      </c>
      <c r="R156" s="9"/>
      <c r="S156" s="11"/>
    </row>
    <row r="157" spans="1:19" ht="15.75">
      <c r="A157" s="13">
        <v>46631</v>
      </c>
      <c r="B157" s="8">
        <f>CHOOSE( CONTROL!$C$32, 4.987, 4.9825) * CHOOSE(CONTROL!$C$15, $D$11, 100%, $F$11)</f>
        <v>4.9870000000000001</v>
      </c>
      <c r="C157" s="8">
        <f>CHOOSE( CONTROL!$C$32, 4.9974, 4.9928) * CHOOSE(CONTROL!$C$15, $D$11, 100%, $F$11)</f>
        <v>4.9973999999999998</v>
      </c>
      <c r="D157" s="8">
        <f>CHOOSE( CONTROL!$C$32, 5.0086, 5.0041) * CHOOSE( CONTROL!$C$15, $D$11, 100%, $F$11)</f>
        <v>5.0086000000000004</v>
      </c>
      <c r="E157" s="12">
        <f>CHOOSE( CONTROL!$C$32, 5.003, 4.9984) * CHOOSE( CONTROL!$C$15, $D$11, 100%, $F$11)</f>
        <v>5.0030000000000001</v>
      </c>
      <c r="F157" s="4">
        <f>CHOOSE( CONTROL!$C$32, 5.6753, 5.6708) * CHOOSE(CONTROL!$C$15, $D$11, 100%, $F$11)</f>
        <v>5.6753</v>
      </c>
      <c r="G157" s="8">
        <f>CHOOSE( CONTROL!$C$32, 4.8793, 4.8749) * CHOOSE( CONTROL!$C$15, $D$11, 100%, $F$11)</f>
        <v>4.8792999999999997</v>
      </c>
      <c r="H157" s="4">
        <f>CHOOSE( CONTROL!$C$32, 5.812, 5.8076) * CHOOSE(CONTROL!$C$15, $D$11, 100%, $F$11)</f>
        <v>5.8120000000000003</v>
      </c>
      <c r="I157" s="8">
        <f>CHOOSE( CONTROL!$C$32, 4.8686, 4.8642) * CHOOSE(CONTROL!$C$15, $D$11, 100%, $F$11)</f>
        <v>4.8685999999999998</v>
      </c>
      <c r="J157" s="4">
        <f>CHOOSE( CONTROL!$C$32, 4.7978, 4.7935) * CHOOSE(CONTROL!$C$15, $D$11, 100%, $F$11)</f>
        <v>4.7977999999999996</v>
      </c>
      <c r="K157" s="4"/>
      <c r="L157" s="9">
        <v>28.568200000000001</v>
      </c>
      <c r="M157" s="9">
        <v>11.6745</v>
      </c>
      <c r="N157" s="9">
        <v>4.7850000000000001</v>
      </c>
      <c r="O157" s="9">
        <v>0.36249999999999999</v>
      </c>
      <c r="P157" s="9">
        <v>1.1798</v>
      </c>
      <c r="Q157" s="9">
        <v>30.857399999999998</v>
      </c>
      <c r="R157" s="9"/>
      <c r="S157" s="11"/>
    </row>
    <row r="158" spans="1:19" ht="15.75">
      <c r="A158" s="13">
        <v>46661</v>
      </c>
      <c r="B158" s="8">
        <f>5.2027 * CHOOSE(CONTROL!$C$15, $D$11, 100%, $F$11)</f>
        <v>5.2027000000000001</v>
      </c>
      <c r="C158" s="8">
        <f>5.213 * CHOOSE(CONTROL!$C$15, $D$11, 100%, $F$11)</f>
        <v>5.2130000000000001</v>
      </c>
      <c r="D158" s="8">
        <f>5.2254 * CHOOSE( CONTROL!$C$15, $D$11, 100%, $F$11)</f>
        <v>5.2253999999999996</v>
      </c>
      <c r="E158" s="12">
        <f>5.2202 * CHOOSE( CONTROL!$C$15, $D$11, 100%, $F$11)</f>
        <v>5.2202000000000002</v>
      </c>
      <c r="F158" s="4">
        <f>5.891 * CHOOSE(CONTROL!$C$15, $D$11, 100%, $F$11)</f>
        <v>5.891</v>
      </c>
      <c r="G158" s="8">
        <f>5.091 * CHOOSE( CONTROL!$C$15, $D$11, 100%, $F$11)</f>
        <v>5.0910000000000002</v>
      </c>
      <c r="H158" s="4">
        <f>6.0242 * CHOOSE(CONTROL!$C$15, $D$11, 100%, $F$11)</f>
        <v>6.0242000000000004</v>
      </c>
      <c r="I158" s="8">
        <f>5.0785 * CHOOSE(CONTROL!$C$15, $D$11, 100%, $F$11)</f>
        <v>5.0785</v>
      </c>
      <c r="J158" s="4">
        <f>5.0064 * CHOOSE(CONTROL!$C$15, $D$11, 100%, $F$11)</f>
        <v>5.0064000000000002</v>
      </c>
      <c r="K158" s="4"/>
      <c r="L158" s="9">
        <v>28.921800000000001</v>
      </c>
      <c r="M158" s="9">
        <v>12.063700000000001</v>
      </c>
      <c r="N158" s="9">
        <v>4.9444999999999997</v>
      </c>
      <c r="O158" s="9">
        <v>0.37459999999999999</v>
      </c>
      <c r="P158" s="9">
        <v>1.2192000000000001</v>
      </c>
      <c r="Q158" s="9">
        <v>31.885999999999999</v>
      </c>
      <c r="R158" s="9"/>
      <c r="S158" s="11"/>
    </row>
    <row r="159" spans="1:19" ht="15.75">
      <c r="A159" s="13">
        <v>46692</v>
      </c>
      <c r="B159" s="8">
        <f>5.6091 * CHOOSE(CONTROL!$C$15, $D$11, 100%, $F$11)</f>
        <v>5.6090999999999998</v>
      </c>
      <c r="C159" s="8">
        <f>5.6195 * CHOOSE(CONTROL!$C$15, $D$11, 100%, $F$11)</f>
        <v>5.6195000000000004</v>
      </c>
      <c r="D159" s="8">
        <f>5.6055 * CHOOSE( CONTROL!$C$15, $D$11, 100%, $F$11)</f>
        <v>5.6055000000000001</v>
      </c>
      <c r="E159" s="12">
        <f>5.6095 * CHOOSE( CONTROL!$C$15, $D$11, 100%, $F$11)</f>
        <v>5.6094999999999997</v>
      </c>
      <c r="F159" s="4">
        <f>6.2634 * CHOOSE(CONTROL!$C$15, $D$11, 100%, $F$11)</f>
        <v>6.2633999999999999</v>
      </c>
      <c r="G159" s="8">
        <f>5.508 * CHOOSE( CONTROL!$C$15, $D$11, 100%, $F$11)</f>
        <v>5.508</v>
      </c>
      <c r="H159" s="4">
        <f>6.3906 * CHOOSE(CONTROL!$C$15, $D$11, 100%, $F$11)</f>
        <v>6.3906000000000001</v>
      </c>
      <c r="I159" s="8">
        <f>5.5048 * CHOOSE(CONTROL!$C$15, $D$11, 100%, $F$11)</f>
        <v>5.5048000000000004</v>
      </c>
      <c r="J159" s="4">
        <f>5.3995 * CHOOSE(CONTROL!$C$15, $D$11, 100%, $F$11)</f>
        <v>5.3994999999999997</v>
      </c>
      <c r="K159" s="4"/>
      <c r="L159" s="9">
        <v>26.515499999999999</v>
      </c>
      <c r="M159" s="9">
        <v>11.6745</v>
      </c>
      <c r="N159" s="9">
        <v>4.7850000000000001</v>
      </c>
      <c r="O159" s="9">
        <v>0.36249999999999999</v>
      </c>
      <c r="P159" s="9">
        <v>1.2522</v>
      </c>
      <c r="Q159" s="9">
        <v>30.857399999999998</v>
      </c>
      <c r="R159" s="9"/>
      <c r="S159" s="11"/>
    </row>
    <row r="160" spans="1:19" ht="15.75">
      <c r="A160" s="13">
        <v>46722</v>
      </c>
      <c r="B160" s="8">
        <f>5.599 * CHOOSE(CONTROL!$C$15, $D$11, 100%, $F$11)</f>
        <v>5.5990000000000002</v>
      </c>
      <c r="C160" s="8">
        <f>5.6093 * CHOOSE(CONTROL!$C$15, $D$11, 100%, $F$11)</f>
        <v>5.6093000000000002</v>
      </c>
      <c r="D160" s="8">
        <f>5.5978 * CHOOSE( CONTROL!$C$15, $D$11, 100%, $F$11)</f>
        <v>5.5978000000000003</v>
      </c>
      <c r="E160" s="12">
        <f>5.6009 * CHOOSE( CONTROL!$C$15, $D$11, 100%, $F$11)</f>
        <v>5.6009000000000002</v>
      </c>
      <c r="F160" s="4">
        <f>6.2532 * CHOOSE(CONTROL!$C$15, $D$11, 100%, $F$11)</f>
        <v>6.2531999999999996</v>
      </c>
      <c r="G160" s="8">
        <f>5.4999 * CHOOSE( CONTROL!$C$15, $D$11, 100%, $F$11)</f>
        <v>5.4999000000000002</v>
      </c>
      <c r="H160" s="4">
        <f>6.3806 * CHOOSE(CONTROL!$C$15, $D$11, 100%, $F$11)</f>
        <v>6.3806000000000003</v>
      </c>
      <c r="I160" s="8">
        <f>5.5029 * CHOOSE(CONTROL!$C$15, $D$11, 100%, $F$11)</f>
        <v>5.5029000000000003</v>
      </c>
      <c r="J160" s="4">
        <f>5.3896 * CHOOSE(CONTROL!$C$15, $D$11, 100%, $F$11)</f>
        <v>5.3895999999999997</v>
      </c>
      <c r="K160" s="4"/>
      <c r="L160" s="9">
        <v>27.3993</v>
      </c>
      <c r="M160" s="9">
        <v>12.063700000000001</v>
      </c>
      <c r="N160" s="9">
        <v>4.9444999999999997</v>
      </c>
      <c r="O160" s="9">
        <v>0.37459999999999999</v>
      </c>
      <c r="P160" s="9">
        <v>1.2939000000000001</v>
      </c>
      <c r="Q160" s="9">
        <v>31.885999999999999</v>
      </c>
      <c r="R160" s="9"/>
      <c r="S160" s="11"/>
    </row>
    <row r="161" spans="1:19" ht="15.75">
      <c r="A161" s="13">
        <v>46753</v>
      </c>
      <c r="B161" s="8">
        <f>5.8113 * CHOOSE(CONTROL!$C$15, $D$11, 100%, $F$11)</f>
        <v>5.8113000000000001</v>
      </c>
      <c r="C161" s="8">
        <f>5.8217 * CHOOSE(CONTROL!$C$15, $D$11, 100%, $F$11)</f>
        <v>5.8216999999999999</v>
      </c>
      <c r="D161" s="8">
        <f>5.8201 * CHOOSE( CONTROL!$C$15, $D$11, 100%, $F$11)</f>
        <v>5.8201000000000001</v>
      </c>
      <c r="E161" s="12">
        <f>5.8196 * CHOOSE( CONTROL!$C$15, $D$11, 100%, $F$11)</f>
        <v>5.8196000000000003</v>
      </c>
      <c r="F161" s="4">
        <f>6.494 * CHOOSE(CONTROL!$C$15, $D$11, 100%, $F$11)</f>
        <v>6.4939999999999998</v>
      </c>
      <c r="G161" s="8">
        <f>5.7191 * CHOOSE( CONTROL!$C$15, $D$11, 100%, $F$11)</f>
        <v>5.7191000000000001</v>
      </c>
      <c r="H161" s="4">
        <f>6.6175 * CHOOSE(CONTROL!$C$15, $D$11, 100%, $F$11)</f>
        <v>6.6174999999999997</v>
      </c>
      <c r="I161" s="8">
        <f>5.7064 * CHOOSE(CONTROL!$C$15, $D$11, 100%, $F$11)</f>
        <v>5.7064000000000004</v>
      </c>
      <c r="J161" s="4">
        <f>5.595 * CHOOSE(CONTROL!$C$15, $D$11, 100%, $F$11)</f>
        <v>5.5949999999999998</v>
      </c>
      <c r="K161" s="4"/>
      <c r="L161" s="9">
        <v>27.3993</v>
      </c>
      <c r="M161" s="9">
        <v>12.063700000000001</v>
      </c>
      <c r="N161" s="9">
        <v>4.9444999999999997</v>
      </c>
      <c r="O161" s="9">
        <v>0.37459999999999999</v>
      </c>
      <c r="P161" s="9">
        <v>1.2939000000000001</v>
      </c>
      <c r="Q161" s="9">
        <v>31.701799999999999</v>
      </c>
      <c r="R161" s="9"/>
      <c r="S161" s="11"/>
    </row>
    <row r="162" spans="1:19" ht="15.75">
      <c r="A162" s="13">
        <v>46784</v>
      </c>
      <c r="B162" s="8">
        <f>5.4373 * CHOOSE(CONTROL!$C$15, $D$11, 100%, $F$11)</f>
        <v>5.4372999999999996</v>
      </c>
      <c r="C162" s="8">
        <f>5.4477 * CHOOSE(CONTROL!$C$15, $D$11, 100%, $F$11)</f>
        <v>5.4477000000000002</v>
      </c>
      <c r="D162" s="8">
        <f>5.4482 * CHOOSE( CONTROL!$C$15, $D$11, 100%, $F$11)</f>
        <v>5.4481999999999999</v>
      </c>
      <c r="E162" s="12">
        <f>5.4469 * CHOOSE( CONTROL!$C$15, $D$11, 100%, $F$11)</f>
        <v>5.4469000000000003</v>
      </c>
      <c r="F162" s="4">
        <f>6.1123 * CHOOSE(CONTROL!$C$15, $D$11, 100%, $F$11)</f>
        <v>6.1123000000000003</v>
      </c>
      <c r="G162" s="8">
        <f>5.3509 * CHOOSE( CONTROL!$C$15, $D$11, 100%, $F$11)</f>
        <v>5.3509000000000002</v>
      </c>
      <c r="H162" s="4">
        <f>6.2419 * CHOOSE(CONTROL!$C$15, $D$11, 100%, $F$11)</f>
        <v>6.2419000000000002</v>
      </c>
      <c r="I162" s="8">
        <f>5.3336 * CHOOSE(CONTROL!$C$15, $D$11, 100%, $F$11)</f>
        <v>5.3335999999999997</v>
      </c>
      <c r="J162" s="4">
        <f>5.2333 * CHOOSE(CONTROL!$C$15, $D$11, 100%, $F$11)</f>
        <v>5.2332999999999998</v>
      </c>
      <c r="K162" s="4"/>
      <c r="L162" s="9">
        <v>25.631599999999999</v>
      </c>
      <c r="M162" s="9">
        <v>11.285299999999999</v>
      </c>
      <c r="N162" s="9">
        <v>4.6254999999999997</v>
      </c>
      <c r="O162" s="9">
        <v>0.35039999999999999</v>
      </c>
      <c r="P162" s="9">
        <v>1.2104999999999999</v>
      </c>
      <c r="Q162" s="9">
        <v>29.656600000000001</v>
      </c>
      <c r="R162" s="9"/>
      <c r="S162" s="11"/>
    </row>
    <row r="163" spans="1:19" ht="15.75">
      <c r="A163" s="13">
        <v>46813</v>
      </c>
      <c r="B163" s="8">
        <f>5.3221 * CHOOSE(CONTROL!$C$15, $D$11, 100%, $F$11)</f>
        <v>5.3220999999999998</v>
      </c>
      <c r="C163" s="8">
        <f>5.3325 * CHOOSE(CONTROL!$C$15, $D$11, 100%, $F$11)</f>
        <v>5.3324999999999996</v>
      </c>
      <c r="D163" s="8">
        <f>5.3125 * CHOOSE( CONTROL!$C$15, $D$11, 100%, $F$11)</f>
        <v>5.3125</v>
      </c>
      <c r="E163" s="12">
        <f>5.3187 * CHOOSE( CONTROL!$C$15, $D$11, 100%, $F$11)</f>
        <v>5.3186999999999998</v>
      </c>
      <c r="F163" s="4">
        <f>5.981 * CHOOSE(CONTROL!$C$15, $D$11, 100%, $F$11)</f>
        <v>5.9809999999999999</v>
      </c>
      <c r="G163" s="8">
        <f>5.2168 * CHOOSE( CONTROL!$C$15, $D$11, 100%, $F$11)</f>
        <v>5.2168000000000001</v>
      </c>
      <c r="H163" s="4">
        <f>6.1128 * CHOOSE(CONTROL!$C$15, $D$11, 100%, $F$11)</f>
        <v>6.1128</v>
      </c>
      <c r="I163" s="8">
        <f>5.1826 * CHOOSE(CONTROL!$C$15, $D$11, 100%, $F$11)</f>
        <v>5.1825999999999999</v>
      </c>
      <c r="J163" s="4">
        <f>5.1219 * CHOOSE(CONTROL!$C$15, $D$11, 100%, $F$11)</f>
        <v>5.1219000000000001</v>
      </c>
      <c r="K163" s="4"/>
      <c r="L163" s="9">
        <v>27.3993</v>
      </c>
      <c r="M163" s="9">
        <v>12.063700000000001</v>
      </c>
      <c r="N163" s="9">
        <v>4.9444999999999997</v>
      </c>
      <c r="O163" s="9">
        <v>0.37459999999999999</v>
      </c>
      <c r="P163" s="9">
        <v>1.2939000000000001</v>
      </c>
      <c r="Q163" s="9">
        <v>31.701799999999999</v>
      </c>
      <c r="R163" s="9"/>
      <c r="S163" s="11"/>
    </row>
    <row r="164" spans="1:19" ht="15.75">
      <c r="A164" s="13">
        <v>46844</v>
      </c>
      <c r="B164" s="8">
        <f>5.4026 * CHOOSE(CONTROL!$C$15, $D$11, 100%, $F$11)</f>
        <v>5.4025999999999996</v>
      </c>
      <c r="C164" s="8">
        <f>5.413 * CHOOSE(CONTROL!$C$15, $D$11, 100%, $F$11)</f>
        <v>5.4130000000000003</v>
      </c>
      <c r="D164" s="8">
        <f>5.4045 * CHOOSE( CONTROL!$C$15, $D$11, 100%, $F$11)</f>
        <v>5.4044999999999996</v>
      </c>
      <c r="E164" s="12">
        <f>5.4061 * CHOOSE( CONTROL!$C$15, $D$11, 100%, $F$11)</f>
        <v>5.4061000000000003</v>
      </c>
      <c r="F164" s="4">
        <f>6.0517 * CHOOSE(CONTROL!$C$15, $D$11, 100%, $F$11)</f>
        <v>6.0517000000000003</v>
      </c>
      <c r="G164" s="8">
        <f>5.2808 * CHOOSE( CONTROL!$C$15, $D$11, 100%, $F$11)</f>
        <v>5.2808000000000002</v>
      </c>
      <c r="H164" s="4">
        <f>6.1823 * CHOOSE(CONTROL!$C$15, $D$11, 100%, $F$11)</f>
        <v>6.1822999999999997</v>
      </c>
      <c r="I164" s="8">
        <f>5.2573 * CHOOSE(CONTROL!$C$15, $D$11, 100%, $F$11)</f>
        <v>5.2572999999999999</v>
      </c>
      <c r="J164" s="4">
        <f>5.1998 * CHOOSE(CONTROL!$C$15, $D$11, 100%, $F$11)</f>
        <v>5.1997999999999998</v>
      </c>
      <c r="K164" s="4"/>
      <c r="L164" s="9">
        <v>27.988800000000001</v>
      </c>
      <c r="M164" s="9">
        <v>11.6745</v>
      </c>
      <c r="N164" s="9">
        <v>4.7850000000000001</v>
      </c>
      <c r="O164" s="9">
        <v>0.36249999999999999</v>
      </c>
      <c r="P164" s="9">
        <v>1.1798</v>
      </c>
      <c r="Q164" s="9">
        <v>30.679200000000002</v>
      </c>
      <c r="R164" s="9"/>
      <c r="S164" s="11"/>
    </row>
    <row r="165" spans="1:19" ht="15.75">
      <c r="A165" s="13">
        <v>46874</v>
      </c>
      <c r="B165" s="8">
        <f>CHOOSE( CONTROL!$C$32, 5.5504, 5.5459) * CHOOSE(CONTROL!$C$15, $D$11, 100%, $F$11)</f>
        <v>5.5503999999999998</v>
      </c>
      <c r="C165" s="8">
        <f>CHOOSE( CONTROL!$C$32, 5.5607, 5.5562) * CHOOSE(CONTROL!$C$15, $D$11, 100%, $F$11)</f>
        <v>5.5606999999999998</v>
      </c>
      <c r="D165" s="8">
        <f>CHOOSE( CONTROL!$C$32, 5.5704, 5.5659) * CHOOSE( CONTROL!$C$15, $D$11, 100%, $F$11)</f>
        <v>5.5704000000000002</v>
      </c>
      <c r="E165" s="12">
        <f>CHOOSE( CONTROL!$C$32, 5.5653, 5.5608) * CHOOSE( CONTROL!$C$15, $D$11, 100%, $F$11)</f>
        <v>5.5652999999999997</v>
      </c>
      <c r="F165" s="4">
        <f>CHOOSE( CONTROL!$C$32, 6.2387, 6.2342) * CHOOSE(CONTROL!$C$15, $D$11, 100%, $F$11)</f>
        <v>6.2386999999999997</v>
      </c>
      <c r="G165" s="8">
        <f>CHOOSE( CONTROL!$C$32, 5.4313, 5.4268) * CHOOSE( CONTROL!$C$15, $D$11, 100%, $F$11)</f>
        <v>5.4313000000000002</v>
      </c>
      <c r="H165" s="4">
        <f>CHOOSE( CONTROL!$C$32, 6.3663, 6.3618) * CHOOSE(CONTROL!$C$15, $D$11, 100%, $F$11)</f>
        <v>6.3662999999999998</v>
      </c>
      <c r="I165" s="8">
        <f>CHOOSE( CONTROL!$C$32, 5.4062, 5.4018) * CHOOSE(CONTROL!$C$15, $D$11, 100%, $F$11)</f>
        <v>5.4062000000000001</v>
      </c>
      <c r="J165" s="4">
        <f>CHOOSE( CONTROL!$C$32, 5.3427, 5.3383) * CHOOSE(CONTROL!$C$15, $D$11, 100%, $F$11)</f>
        <v>5.3426999999999998</v>
      </c>
      <c r="K165" s="4"/>
      <c r="L165" s="9">
        <v>29.520499999999998</v>
      </c>
      <c r="M165" s="9">
        <v>12.063700000000001</v>
      </c>
      <c r="N165" s="9">
        <v>4.9444999999999997</v>
      </c>
      <c r="O165" s="9">
        <v>0.37459999999999999</v>
      </c>
      <c r="P165" s="9">
        <v>1.2192000000000001</v>
      </c>
      <c r="Q165" s="9">
        <v>31.701799999999999</v>
      </c>
      <c r="R165" s="9"/>
      <c r="S165" s="11"/>
    </row>
    <row r="166" spans="1:19" ht="15.75">
      <c r="A166" s="13">
        <v>46905</v>
      </c>
      <c r="B166" s="8">
        <f>CHOOSE( CONTROL!$C$32, 5.4617, 5.4571) * CHOOSE(CONTROL!$C$15, $D$11, 100%, $F$11)</f>
        <v>5.4617000000000004</v>
      </c>
      <c r="C166" s="8">
        <f>CHOOSE( CONTROL!$C$32, 5.472, 5.4675) * CHOOSE(CONTROL!$C$15, $D$11, 100%, $F$11)</f>
        <v>5.4720000000000004</v>
      </c>
      <c r="D166" s="8">
        <f>CHOOSE( CONTROL!$C$32, 5.4823, 5.4778) * CHOOSE( CONTROL!$C$15, $D$11, 100%, $F$11)</f>
        <v>5.4823000000000004</v>
      </c>
      <c r="E166" s="12">
        <f>CHOOSE( CONTROL!$C$32, 5.477, 5.4725) * CHOOSE( CONTROL!$C$15, $D$11, 100%, $F$11)</f>
        <v>5.4770000000000003</v>
      </c>
      <c r="F166" s="4">
        <f>CHOOSE( CONTROL!$C$32, 6.15, 6.1454) * CHOOSE(CONTROL!$C$15, $D$11, 100%, $F$11)</f>
        <v>6.15</v>
      </c>
      <c r="G166" s="8">
        <f>CHOOSE( CONTROL!$C$32, 5.3449, 5.3404) * CHOOSE( CONTROL!$C$15, $D$11, 100%, $F$11)</f>
        <v>5.3449</v>
      </c>
      <c r="H166" s="4">
        <f>CHOOSE( CONTROL!$C$32, 6.279, 6.2745) * CHOOSE(CONTROL!$C$15, $D$11, 100%, $F$11)</f>
        <v>6.2789999999999999</v>
      </c>
      <c r="I166" s="8">
        <f>CHOOSE( CONTROL!$C$32, 5.3233, 5.3189) * CHOOSE(CONTROL!$C$15, $D$11, 100%, $F$11)</f>
        <v>5.3232999999999997</v>
      </c>
      <c r="J166" s="4">
        <f>CHOOSE( CONTROL!$C$32, 5.2569, 5.2525) * CHOOSE(CONTROL!$C$15, $D$11, 100%, $F$11)</f>
        <v>5.2568999999999999</v>
      </c>
      <c r="K166" s="4"/>
      <c r="L166" s="9">
        <v>28.568200000000001</v>
      </c>
      <c r="M166" s="9">
        <v>11.6745</v>
      </c>
      <c r="N166" s="9">
        <v>4.7850000000000001</v>
      </c>
      <c r="O166" s="9">
        <v>0.36249999999999999</v>
      </c>
      <c r="P166" s="9">
        <v>1.1798</v>
      </c>
      <c r="Q166" s="9">
        <v>30.679200000000002</v>
      </c>
      <c r="R166" s="9"/>
      <c r="S166" s="11"/>
    </row>
    <row r="167" spans="1:19" ht="15.75">
      <c r="A167" s="13">
        <v>46935</v>
      </c>
      <c r="B167" s="8">
        <f>CHOOSE( CONTROL!$C$32, 5.6954, 5.6908) * CHOOSE(CONTROL!$C$15, $D$11, 100%, $F$11)</f>
        <v>5.6954000000000002</v>
      </c>
      <c r="C167" s="8">
        <f>CHOOSE( CONTROL!$C$32, 5.7057, 5.7012) * CHOOSE(CONTROL!$C$15, $D$11, 100%, $F$11)</f>
        <v>5.7057000000000002</v>
      </c>
      <c r="D167" s="8">
        <f>CHOOSE( CONTROL!$C$32, 5.7166, 5.7121) * CHOOSE( CONTROL!$C$15, $D$11, 100%, $F$11)</f>
        <v>5.7165999999999997</v>
      </c>
      <c r="E167" s="12">
        <f>CHOOSE( CONTROL!$C$32, 5.7111, 5.7066) * CHOOSE( CONTROL!$C$15, $D$11, 100%, $F$11)</f>
        <v>5.7111000000000001</v>
      </c>
      <c r="F167" s="4">
        <f>CHOOSE( CONTROL!$C$32, 6.3837, 6.3791) * CHOOSE(CONTROL!$C$15, $D$11, 100%, $F$11)</f>
        <v>6.3837000000000002</v>
      </c>
      <c r="G167" s="8">
        <f>CHOOSE( CONTROL!$C$32, 5.5757, 5.5712) * CHOOSE( CONTROL!$C$15, $D$11, 100%, $F$11)</f>
        <v>5.5757000000000003</v>
      </c>
      <c r="H167" s="4">
        <f>CHOOSE( CONTROL!$C$32, 6.5089, 6.5045) * CHOOSE(CONTROL!$C$15, $D$11, 100%, $F$11)</f>
        <v>6.5088999999999997</v>
      </c>
      <c r="I167" s="8">
        <f>CHOOSE( CONTROL!$C$32, 5.5521, 5.5477) * CHOOSE(CONTROL!$C$15, $D$11, 100%, $F$11)</f>
        <v>5.5521000000000003</v>
      </c>
      <c r="J167" s="4">
        <f>CHOOSE( CONTROL!$C$32, 5.4829, 5.4785) * CHOOSE(CONTROL!$C$15, $D$11, 100%, $F$11)</f>
        <v>5.4828999999999999</v>
      </c>
      <c r="K167" s="4"/>
      <c r="L167" s="9">
        <v>29.520499999999998</v>
      </c>
      <c r="M167" s="9">
        <v>12.063700000000001</v>
      </c>
      <c r="N167" s="9">
        <v>4.9444999999999997</v>
      </c>
      <c r="O167" s="9">
        <v>0.37459999999999999</v>
      </c>
      <c r="P167" s="9">
        <v>1.2192000000000001</v>
      </c>
      <c r="Q167" s="9">
        <v>31.701799999999999</v>
      </c>
      <c r="R167" s="9"/>
      <c r="S167" s="11"/>
    </row>
    <row r="168" spans="1:19" ht="15.75">
      <c r="A168" s="13">
        <v>46966</v>
      </c>
      <c r="B168" s="8">
        <f>CHOOSE( CONTROL!$C$32, 5.2581, 5.2536) * CHOOSE(CONTROL!$C$15, $D$11, 100%, $F$11)</f>
        <v>5.2580999999999998</v>
      </c>
      <c r="C168" s="8">
        <f>CHOOSE( CONTROL!$C$32, 5.2684, 5.2639) * CHOOSE(CONTROL!$C$15, $D$11, 100%, $F$11)</f>
        <v>5.2683999999999997</v>
      </c>
      <c r="D168" s="8">
        <f>CHOOSE( CONTROL!$C$32, 5.2796, 5.2751) * CHOOSE( CONTROL!$C$15, $D$11, 100%, $F$11)</f>
        <v>5.2796000000000003</v>
      </c>
      <c r="E168" s="12">
        <f>CHOOSE( CONTROL!$C$32, 5.274, 5.2695) * CHOOSE( CONTROL!$C$15, $D$11, 100%, $F$11)</f>
        <v>5.274</v>
      </c>
      <c r="F168" s="4">
        <f>CHOOSE( CONTROL!$C$32, 5.9464, 5.9418) * CHOOSE(CONTROL!$C$15, $D$11, 100%, $F$11)</f>
        <v>5.9463999999999997</v>
      </c>
      <c r="G168" s="8">
        <f>CHOOSE( CONTROL!$C$32, 5.1459, 5.1414) * CHOOSE( CONTROL!$C$15, $D$11, 100%, $F$11)</f>
        <v>5.1459000000000001</v>
      </c>
      <c r="H168" s="4">
        <f>CHOOSE( CONTROL!$C$32, 6.0787, 6.0742) * CHOOSE(CONTROL!$C$15, $D$11, 100%, $F$11)</f>
        <v>6.0787000000000004</v>
      </c>
      <c r="I168" s="8">
        <f>CHOOSE( CONTROL!$C$32, 5.1304, 5.126) * CHOOSE(CONTROL!$C$15, $D$11, 100%, $F$11)</f>
        <v>5.1303999999999998</v>
      </c>
      <c r="J168" s="4">
        <f>CHOOSE( CONTROL!$C$32, 5.06, 5.0556) * CHOOSE(CONTROL!$C$15, $D$11, 100%, $F$11)</f>
        <v>5.0599999999999996</v>
      </c>
      <c r="K168" s="4"/>
      <c r="L168" s="9">
        <v>29.520499999999998</v>
      </c>
      <c r="M168" s="9">
        <v>12.063700000000001</v>
      </c>
      <c r="N168" s="9">
        <v>4.9444999999999997</v>
      </c>
      <c r="O168" s="9">
        <v>0.37459999999999999</v>
      </c>
      <c r="P168" s="9">
        <v>1.2192000000000001</v>
      </c>
      <c r="Q168" s="9">
        <v>31.701799999999999</v>
      </c>
      <c r="R168" s="9"/>
      <c r="S168" s="11"/>
    </row>
    <row r="169" spans="1:19" ht="15.75">
      <c r="A169" s="13">
        <v>46997</v>
      </c>
      <c r="B169" s="8">
        <f>CHOOSE( CONTROL!$C$32, 5.1486, 5.1441) * CHOOSE(CONTROL!$C$15, $D$11, 100%, $F$11)</f>
        <v>5.1486000000000001</v>
      </c>
      <c r="C169" s="8">
        <f>CHOOSE( CONTROL!$C$32, 5.1589, 5.1544) * CHOOSE(CONTROL!$C$15, $D$11, 100%, $F$11)</f>
        <v>5.1589</v>
      </c>
      <c r="D169" s="8">
        <f>CHOOSE( CONTROL!$C$32, 5.1702, 5.1657) * CHOOSE( CONTROL!$C$15, $D$11, 100%, $F$11)</f>
        <v>5.1702000000000004</v>
      </c>
      <c r="E169" s="12">
        <f>CHOOSE( CONTROL!$C$32, 5.1645, 5.16) * CHOOSE( CONTROL!$C$15, $D$11, 100%, $F$11)</f>
        <v>5.1645000000000003</v>
      </c>
      <c r="F169" s="4">
        <f>CHOOSE( CONTROL!$C$32, 5.8369, 5.8323) * CHOOSE(CONTROL!$C$15, $D$11, 100%, $F$11)</f>
        <v>5.8369</v>
      </c>
      <c r="G169" s="8">
        <f>CHOOSE( CONTROL!$C$32, 5.0383, 5.0338) * CHOOSE( CONTROL!$C$15, $D$11, 100%, $F$11)</f>
        <v>5.0382999999999996</v>
      </c>
      <c r="H169" s="4">
        <f>CHOOSE( CONTROL!$C$32, 5.971, 5.9665) * CHOOSE(CONTROL!$C$15, $D$11, 100%, $F$11)</f>
        <v>5.9710000000000001</v>
      </c>
      <c r="I169" s="8">
        <f>CHOOSE( CONTROL!$C$32, 5.0249, 5.0205) * CHOOSE(CONTROL!$C$15, $D$11, 100%, $F$11)</f>
        <v>5.0248999999999997</v>
      </c>
      <c r="J169" s="4">
        <f>CHOOSE( CONTROL!$C$32, 4.9541, 4.9497) * CHOOSE(CONTROL!$C$15, $D$11, 100%, $F$11)</f>
        <v>4.9541000000000004</v>
      </c>
      <c r="K169" s="4"/>
      <c r="L169" s="9">
        <v>28.568200000000001</v>
      </c>
      <c r="M169" s="9">
        <v>11.6745</v>
      </c>
      <c r="N169" s="9">
        <v>4.7850000000000001</v>
      </c>
      <c r="O169" s="9">
        <v>0.36249999999999999</v>
      </c>
      <c r="P169" s="9">
        <v>1.1798</v>
      </c>
      <c r="Q169" s="9">
        <v>30.679200000000002</v>
      </c>
      <c r="R169" s="9"/>
      <c r="S169" s="11"/>
    </row>
    <row r="170" spans="1:19" ht="15.75">
      <c r="A170" s="13">
        <v>47027</v>
      </c>
      <c r="B170" s="8">
        <f>5.3714 * CHOOSE(CONTROL!$C$15, $D$11, 100%, $F$11)</f>
        <v>5.3714000000000004</v>
      </c>
      <c r="C170" s="8">
        <f>5.3818 * CHOOSE(CONTROL!$C$15, $D$11, 100%, $F$11)</f>
        <v>5.3818000000000001</v>
      </c>
      <c r="D170" s="8">
        <f>5.3942 * CHOOSE( CONTROL!$C$15, $D$11, 100%, $F$11)</f>
        <v>5.3941999999999997</v>
      </c>
      <c r="E170" s="12">
        <f>5.389 * CHOOSE( CONTROL!$C$15, $D$11, 100%, $F$11)</f>
        <v>5.3890000000000002</v>
      </c>
      <c r="F170" s="4">
        <f>6.0597 * CHOOSE(CONTROL!$C$15, $D$11, 100%, $F$11)</f>
        <v>6.0597000000000003</v>
      </c>
      <c r="G170" s="8">
        <f>5.257 * CHOOSE( CONTROL!$C$15, $D$11, 100%, $F$11)</f>
        <v>5.2569999999999997</v>
      </c>
      <c r="H170" s="4">
        <f>6.1902 * CHOOSE(CONTROL!$C$15, $D$11, 100%, $F$11)</f>
        <v>6.1901999999999999</v>
      </c>
      <c r="I170" s="8">
        <f>5.2418 * CHOOSE(CONTROL!$C$15, $D$11, 100%, $F$11)</f>
        <v>5.2417999999999996</v>
      </c>
      <c r="J170" s="4">
        <f>5.1696 * CHOOSE(CONTROL!$C$15, $D$11, 100%, $F$11)</f>
        <v>5.1696</v>
      </c>
      <c r="K170" s="4"/>
      <c r="L170" s="9">
        <v>28.921800000000001</v>
      </c>
      <c r="M170" s="9">
        <v>12.063700000000001</v>
      </c>
      <c r="N170" s="9">
        <v>4.9444999999999997</v>
      </c>
      <c r="O170" s="9">
        <v>0.37459999999999999</v>
      </c>
      <c r="P170" s="9">
        <v>1.2192000000000001</v>
      </c>
      <c r="Q170" s="9">
        <v>31.701799999999999</v>
      </c>
      <c r="R170" s="9"/>
      <c r="S170" s="11"/>
    </row>
    <row r="171" spans="1:19" ht="15.75">
      <c r="A171" s="13">
        <v>47058</v>
      </c>
      <c r="B171" s="8">
        <f>5.7911 * CHOOSE(CONTROL!$C$15, $D$11, 100%, $F$11)</f>
        <v>5.7911000000000001</v>
      </c>
      <c r="C171" s="8">
        <f>5.8014 * CHOOSE(CONTROL!$C$15, $D$11, 100%, $F$11)</f>
        <v>5.8014000000000001</v>
      </c>
      <c r="D171" s="8">
        <f>5.7875 * CHOOSE( CONTROL!$C$15, $D$11, 100%, $F$11)</f>
        <v>5.7874999999999996</v>
      </c>
      <c r="E171" s="12">
        <f>5.7915 * CHOOSE( CONTROL!$C$15, $D$11, 100%, $F$11)</f>
        <v>5.7915000000000001</v>
      </c>
      <c r="F171" s="4">
        <f>6.4453 * CHOOSE(CONTROL!$C$15, $D$11, 100%, $F$11)</f>
        <v>6.4452999999999996</v>
      </c>
      <c r="G171" s="8">
        <f>5.687 * CHOOSE( CONTROL!$C$15, $D$11, 100%, $F$11)</f>
        <v>5.6870000000000003</v>
      </c>
      <c r="H171" s="4">
        <f>6.5696 * CHOOSE(CONTROL!$C$15, $D$11, 100%, $F$11)</f>
        <v>6.5696000000000003</v>
      </c>
      <c r="I171" s="8">
        <f>5.6809 * CHOOSE(CONTROL!$C$15, $D$11, 100%, $F$11)</f>
        <v>5.6809000000000003</v>
      </c>
      <c r="J171" s="4">
        <f>5.5754 * CHOOSE(CONTROL!$C$15, $D$11, 100%, $F$11)</f>
        <v>5.5754000000000001</v>
      </c>
      <c r="K171" s="4"/>
      <c r="L171" s="9">
        <v>26.515499999999999</v>
      </c>
      <c r="M171" s="9">
        <v>11.6745</v>
      </c>
      <c r="N171" s="9">
        <v>4.7850000000000001</v>
      </c>
      <c r="O171" s="9">
        <v>0.36249999999999999</v>
      </c>
      <c r="P171" s="9">
        <v>1.2522</v>
      </c>
      <c r="Q171" s="9">
        <v>30.679200000000002</v>
      </c>
      <c r="R171" s="9"/>
      <c r="S171" s="11"/>
    </row>
    <row r="172" spans="1:19" ht="15.75">
      <c r="A172" s="13">
        <v>47088</v>
      </c>
      <c r="B172" s="8">
        <f>5.7806 * CHOOSE(CONTROL!$C$15, $D$11, 100%, $F$11)</f>
        <v>5.7805999999999997</v>
      </c>
      <c r="C172" s="8">
        <f>5.7909 * CHOOSE(CONTROL!$C$15, $D$11, 100%, $F$11)</f>
        <v>5.7908999999999997</v>
      </c>
      <c r="D172" s="8">
        <f>5.7795 * CHOOSE( CONTROL!$C$15, $D$11, 100%, $F$11)</f>
        <v>5.7794999999999996</v>
      </c>
      <c r="E172" s="12">
        <f>5.7826 * CHOOSE( CONTROL!$C$15, $D$11, 100%, $F$11)</f>
        <v>5.7826000000000004</v>
      </c>
      <c r="F172" s="4">
        <f>6.4349 * CHOOSE(CONTROL!$C$15, $D$11, 100%, $F$11)</f>
        <v>6.4348999999999998</v>
      </c>
      <c r="G172" s="8">
        <f>5.6786 * CHOOSE( CONTROL!$C$15, $D$11, 100%, $F$11)</f>
        <v>5.6786000000000003</v>
      </c>
      <c r="H172" s="4">
        <f>6.5593 * CHOOSE(CONTROL!$C$15, $D$11, 100%, $F$11)</f>
        <v>6.5593000000000004</v>
      </c>
      <c r="I172" s="8">
        <f>5.6787 * CHOOSE(CONTROL!$C$15, $D$11, 100%, $F$11)</f>
        <v>5.6787000000000001</v>
      </c>
      <c r="J172" s="4">
        <f>5.5653 * CHOOSE(CONTROL!$C$15, $D$11, 100%, $F$11)</f>
        <v>5.5652999999999997</v>
      </c>
      <c r="K172" s="4"/>
      <c r="L172" s="9">
        <v>27.3993</v>
      </c>
      <c r="M172" s="9">
        <v>12.063700000000001</v>
      </c>
      <c r="N172" s="9">
        <v>4.9444999999999997</v>
      </c>
      <c r="O172" s="9">
        <v>0.37459999999999999</v>
      </c>
      <c r="P172" s="9">
        <v>1.2939000000000001</v>
      </c>
      <c r="Q172" s="9">
        <v>31.701799999999999</v>
      </c>
      <c r="R172" s="9"/>
      <c r="S172" s="11"/>
    </row>
    <row r="173" spans="1:19" ht="15.75">
      <c r="A173" s="13">
        <v>47119</v>
      </c>
      <c r="B173" s="8">
        <f>5.927 * CHOOSE(CONTROL!$C$15, $D$11, 100%, $F$11)</f>
        <v>5.9269999999999996</v>
      </c>
      <c r="C173" s="8">
        <f>5.9374 * CHOOSE(CONTROL!$C$15, $D$11, 100%, $F$11)</f>
        <v>5.9374000000000002</v>
      </c>
      <c r="D173" s="8">
        <f>5.9358 * CHOOSE( CONTROL!$C$15, $D$11, 100%, $F$11)</f>
        <v>5.9358000000000004</v>
      </c>
      <c r="E173" s="12">
        <f>5.9353 * CHOOSE( CONTROL!$C$15, $D$11, 100%, $F$11)</f>
        <v>5.9352999999999998</v>
      </c>
      <c r="F173" s="4">
        <f>6.6097 * CHOOSE(CONTROL!$C$15, $D$11, 100%, $F$11)</f>
        <v>6.6097000000000001</v>
      </c>
      <c r="G173" s="8">
        <f>5.8329 * CHOOSE( CONTROL!$C$15, $D$11, 100%, $F$11)</f>
        <v>5.8329000000000004</v>
      </c>
      <c r="H173" s="4">
        <f>6.7313 * CHOOSE(CONTROL!$C$15, $D$11, 100%, $F$11)</f>
        <v>6.7313000000000001</v>
      </c>
      <c r="I173" s="8">
        <f>5.8184 * CHOOSE(CONTROL!$C$15, $D$11, 100%, $F$11)</f>
        <v>5.8183999999999996</v>
      </c>
      <c r="J173" s="4">
        <f>5.7069 * CHOOSE(CONTROL!$C$15, $D$11, 100%, $F$11)</f>
        <v>5.7069000000000001</v>
      </c>
      <c r="K173" s="4"/>
      <c r="L173" s="9">
        <v>27.3993</v>
      </c>
      <c r="M173" s="9">
        <v>12.063700000000001</v>
      </c>
      <c r="N173" s="9">
        <v>4.9444999999999997</v>
      </c>
      <c r="O173" s="9">
        <v>0.37459999999999999</v>
      </c>
      <c r="P173" s="9">
        <v>1.2939000000000001</v>
      </c>
      <c r="Q173" s="9">
        <v>31.517700000000001</v>
      </c>
      <c r="R173" s="9"/>
      <c r="S173" s="11"/>
    </row>
    <row r="174" spans="1:19" ht="15.75">
      <c r="A174" s="13">
        <v>47150</v>
      </c>
      <c r="B174" s="8">
        <f>5.5455 * CHOOSE(CONTROL!$C$15, $D$11, 100%, $F$11)</f>
        <v>5.5454999999999997</v>
      </c>
      <c r="C174" s="8">
        <f>5.5559 * CHOOSE(CONTROL!$C$15, $D$11, 100%, $F$11)</f>
        <v>5.5559000000000003</v>
      </c>
      <c r="D174" s="8">
        <f>5.5564 * CHOOSE( CONTROL!$C$15, $D$11, 100%, $F$11)</f>
        <v>5.5564</v>
      </c>
      <c r="E174" s="12">
        <f>5.5551 * CHOOSE( CONTROL!$C$15, $D$11, 100%, $F$11)</f>
        <v>5.5551000000000004</v>
      </c>
      <c r="F174" s="4">
        <f>6.2205 * CHOOSE(CONTROL!$C$15, $D$11, 100%, $F$11)</f>
        <v>6.2205000000000004</v>
      </c>
      <c r="G174" s="8">
        <f>5.4574 * CHOOSE( CONTROL!$C$15, $D$11, 100%, $F$11)</f>
        <v>5.4573999999999998</v>
      </c>
      <c r="H174" s="4">
        <f>6.3484 * CHOOSE(CONTROL!$C$15, $D$11, 100%, $F$11)</f>
        <v>6.3483999999999998</v>
      </c>
      <c r="I174" s="8">
        <f>5.4383 * CHOOSE(CONTROL!$C$15, $D$11, 100%, $F$11)</f>
        <v>5.4382999999999999</v>
      </c>
      <c r="J174" s="4">
        <f>5.338 * CHOOSE(CONTROL!$C$15, $D$11, 100%, $F$11)</f>
        <v>5.3380000000000001</v>
      </c>
      <c r="K174" s="4"/>
      <c r="L174" s="9">
        <v>24.747800000000002</v>
      </c>
      <c r="M174" s="9">
        <v>10.8962</v>
      </c>
      <c r="N174" s="9">
        <v>4.4660000000000002</v>
      </c>
      <c r="O174" s="9">
        <v>0.33829999999999999</v>
      </c>
      <c r="P174" s="9">
        <v>1.1687000000000001</v>
      </c>
      <c r="Q174" s="9">
        <v>28.467600000000001</v>
      </c>
      <c r="R174" s="9"/>
      <c r="S174" s="11"/>
    </row>
    <row r="175" spans="1:19" ht="15.75">
      <c r="A175" s="13">
        <v>47178</v>
      </c>
      <c r="B175" s="8">
        <f>5.428 * CHOOSE(CONTROL!$C$15, $D$11, 100%, $F$11)</f>
        <v>5.4279999999999999</v>
      </c>
      <c r="C175" s="8">
        <f>5.4384 * CHOOSE(CONTROL!$C$15, $D$11, 100%, $F$11)</f>
        <v>5.4383999999999997</v>
      </c>
      <c r="D175" s="8">
        <f>5.4185 * CHOOSE( CONTROL!$C$15, $D$11, 100%, $F$11)</f>
        <v>5.4184999999999999</v>
      </c>
      <c r="E175" s="12">
        <f>5.4247 * CHOOSE( CONTROL!$C$15, $D$11, 100%, $F$11)</f>
        <v>5.4246999999999996</v>
      </c>
      <c r="F175" s="4">
        <f>6.087 * CHOOSE(CONTROL!$C$15, $D$11, 100%, $F$11)</f>
        <v>6.0869999999999997</v>
      </c>
      <c r="G175" s="8">
        <f>5.321 * CHOOSE( CONTROL!$C$15, $D$11, 100%, $F$11)</f>
        <v>5.3209999999999997</v>
      </c>
      <c r="H175" s="4">
        <f>6.217 * CHOOSE(CONTROL!$C$15, $D$11, 100%, $F$11)</f>
        <v>6.2169999999999996</v>
      </c>
      <c r="I175" s="8">
        <f>5.2851 * CHOOSE(CONTROL!$C$15, $D$11, 100%, $F$11)</f>
        <v>5.2850999999999999</v>
      </c>
      <c r="J175" s="4">
        <f>5.2244 * CHOOSE(CONTROL!$C$15, $D$11, 100%, $F$11)</f>
        <v>5.2244000000000002</v>
      </c>
      <c r="K175" s="4"/>
      <c r="L175" s="9">
        <v>27.3993</v>
      </c>
      <c r="M175" s="9">
        <v>12.063700000000001</v>
      </c>
      <c r="N175" s="9">
        <v>4.9444999999999997</v>
      </c>
      <c r="O175" s="9">
        <v>0.37459999999999999</v>
      </c>
      <c r="P175" s="9">
        <v>1.2939000000000001</v>
      </c>
      <c r="Q175" s="9">
        <v>31.517700000000001</v>
      </c>
      <c r="R175" s="9"/>
      <c r="S175" s="11"/>
    </row>
    <row r="176" spans="1:19" ht="15.75">
      <c r="A176" s="13">
        <v>47209</v>
      </c>
      <c r="B176" s="8">
        <f>5.5102 * CHOOSE(CONTROL!$C$15, $D$11, 100%, $F$11)</f>
        <v>5.5102000000000002</v>
      </c>
      <c r="C176" s="8">
        <f>5.5205 * CHOOSE(CONTROL!$C$15, $D$11, 100%, $F$11)</f>
        <v>5.5205000000000002</v>
      </c>
      <c r="D176" s="8">
        <f>5.512 * CHOOSE( CONTROL!$C$15, $D$11, 100%, $F$11)</f>
        <v>5.5119999999999996</v>
      </c>
      <c r="E176" s="12">
        <f>5.5136 * CHOOSE( CONTROL!$C$15, $D$11, 100%, $F$11)</f>
        <v>5.5136000000000003</v>
      </c>
      <c r="F176" s="4">
        <f>6.1592 * CHOOSE(CONTROL!$C$15, $D$11, 100%, $F$11)</f>
        <v>6.1592000000000002</v>
      </c>
      <c r="G176" s="8">
        <f>5.3866 * CHOOSE( CONTROL!$C$15, $D$11, 100%, $F$11)</f>
        <v>5.3865999999999996</v>
      </c>
      <c r="H176" s="4">
        <f>6.2881 * CHOOSE(CONTROL!$C$15, $D$11, 100%, $F$11)</f>
        <v>6.2881</v>
      </c>
      <c r="I176" s="8">
        <f>5.3614 * CHOOSE(CONTROL!$C$15, $D$11, 100%, $F$11)</f>
        <v>5.3613999999999997</v>
      </c>
      <c r="J176" s="4">
        <f>5.3038 * CHOOSE(CONTROL!$C$15, $D$11, 100%, $F$11)</f>
        <v>5.3037999999999998</v>
      </c>
      <c r="K176" s="4"/>
      <c r="L176" s="9">
        <v>27.988800000000001</v>
      </c>
      <c r="M176" s="9">
        <v>11.6745</v>
      </c>
      <c r="N176" s="9">
        <v>4.7850000000000001</v>
      </c>
      <c r="O176" s="9">
        <v>0.36249999999999999</v>
      </c>
      <c r="P176" s="9">
        <v>1.1798</v>
      </c>
      <c r="Q176" s="9">
        <v>30.501000000000001</v>
      </c>
      <c r="R176" s="9"/>
      <c r="S176" s="11"/>
    </row>
    <row r="177" spans="1:19" ht="15.75">
      <c r="A177" s="13">
        <v>47239</v>
      </c>
      <c r="B177" s="8">
        <f>CHOOSE( CONTROL!$C$32, 5.6608, 5.6563) * CHOOSE(CONTROL!$C$15, $D$11, 100%, $F$11)</f>
        <v>5.6608000000000001</v>
      </c>
      <c r="C177" s="8">
        <f>CHOOSE( CONTROL!$C$32, 5.6711, 5.6666) * CHOOSE(CONTROL!$C$15, $D$11, 100%, $F$11)</f>
        <v>5.6711</v>
      </c>
      <c r="D177" s="8">
        <f>CHOOSE( CONTROL!$C$32, 5.6808, 5.6763) * CHOOSE( CONTROL!$C$15, $D$11, 100%, $F$11)</f>
        <v>5.6807999999999996</v>
      </c>
      <c r="E177" s="12">
        <f>CHOOSE( CONTROL!$C$32, 5.6757, 5.6712) * CHOOSE( CONTROL!$C$15, $D$11, 100%, $F$11)</f>
        <v>5.6757</v>
      </c>
      <c r="F177" s="4">
        <f>CHOOSE( CONTROL!$C$32, 6.3491, 6.3446) * CHOOSE(CONTROL!$C$15, $D$11, 100%, $F$11)</f>
        <v>6.3491</v>
      </c>
      <c r="G177" s="8">
        <f>CHOOSE( CONTROL!$C$32, 5.5399, 5.5354) * CHOOSE( CONTROL!$C$15, $D$11, 100%, $F$11)</f>
        <v>5.5399000000000003</v>
      </c>
      <c r="H177" s="4">
        <f>CHOOSE( CONTROL!$C$32, 6.4749, 6.4705) * CHOOSE(CONTROL!$C$15, $D$11, 100%, $F$11)</f>
        <v>6.4748999999999999</v>
      </c>
      <c r="I177" s="8">
        <f>CHOOSE( CONTROL!$C$32, 5.513, 5.5086) * CHOOSE(CONTROL!$C$15, $D$11, 100%, $F$11)</f>
        <v>5.5129999999999999</v>
      </c>
      <c r="J177" s="4">
        <f>CHOOSE( CONTROL!$C$32, 5.4495, 5.4451) * CHOOSE(CONTROL!$C$15, $D$11, 100%, $F$11)</f>
        <v>5.4494999999999996</v>
      </c>
      <c r="K177" s="4"/>
      <c r="L177" s="9">
        <v>29.520499999999998</v>
      </c>
      <c r="M177" s="9">
        <v>12.063700000000001</v>
      </c>
      <c r="N177" s="9">
        <v>4.9444999999999997</v>
      </c>
      <c r="O177" s="9">
        <v>0.37459999999999999</v>
      </c>
      <c r="P177" s="9">
        <v>1.2192000000000001</v>
      </c>
      <c r="Q177" s="9">
        <v>31.517700000000001</v>
      </c>
      <c r="R177" s="9"/>
      <c r="S177" s="11"/>
    </row>
    <row r="178" spans="1:19" ht="15.75">
      <c r="A178" s="13">
        <v>47270</v>
      </c>
      <c r="B178" s="8">
        <f>CHOOSE( CONTROL!$C$32, 5.5703, 5.5658) * CHOOSE(CONTROL!$C$15, $D$11, 100%, $F$11)</f>
        <v>5.5702999999999996</v>
      </c>
      <c r="C178" s="8">
        <f>CHOOSE( CONTROL!$C$32, 5.5806, 5.5761) * CHOOSE(CONTROL!$C$15, $D$11, 100%, $F$11)</f>
        <v>5.5805999999999996</v>
      </c>
      <c r="D178" s="8">
        <f>CHOOSE( CONTROL!$C$32, 5.5909, 5.5864) * CHOOSE( CONTROL!$C$15, $D$11, 100%, $F$11)</f>
        <v>5.5909000000000004</v>
      </c>
      <c r="E178" s="12">
        <f>CHOOSE( CONTROL!$C$32, 5.5856, 5.5811) * CHOOSE( CONTROL!$C$15, $D$11, 100%, $F$11)</f>
        <v>5.5856000000000003</v>
      </c>
      <c r="F178" s="4">
        <f>CHOOSE( CONTROL!$C$32, 6.2586, 6.2541) * CHOOSE(CONTROL!$C$15, $D$11, 100%, $F$11)</f>
        <v>6.2586000000000004</v>
      </c>
      <c r="G178" s="8">
        <f>CHOOSE( CONTROL!$C$32, 5.4517, 5.4473) * CHOOSE( CONTROL!$C$15, $D$11, 100%, $F$11)</f>
        <v>5.4516999999999998</v>
      </c>
      <c r="H178" s="4">
        <f>CHOOSE( CONTROL!$C$32, 6.3859, 6.3814) * CHOOSE(CONTROL!$C$15, $D$11, 100%, $F$11)</f>
        <v>6.3859000000000004</v>
      </c>
      <c r="I178" s="8">
        <f>CHOOSE( CONTROL!$C$32, 5.4284, 5.424) * CHOOSE(CONTROL!$C$15, $D$11, 100%, $F$11)</f>
        <v>5.4283999999999999</v>
      </c>
      <c r="J178" s="4">
        <f>CHOOSE( CONTROL!$C$32, 5.3619, 5.3575) * CHOOSE(CONTROL!$C$15, $D$11, 100%, $F$11)</f>
        <v>5.3619000000000003</v>
      </c>
      <c r="K178" s="4"/>
      <c r="L178" s="9">
        <v>28.568200000000001</v>
      </c>
      <c r="M178" s="9">
        <v>11.6745</v>
      </c>
      <c r="N178" s="9">
        <v>4.7850000000000001</v>
      </c>
      <c r="O178" s="9">
        <v>0.36249999999999999</v>
      </c>
      <c r="P178" s="9">
        <v>1.1798</v>
      </c>
      <c r="Q178" s="9">
        <v>30.501000000000001</v>
      </c>
      <c r="R178" s="9"/>
      <c r="S178" s="11"/>
    </row>
    <row r="179" spans="1:19" ht="15.75">
      <c r="A179" s="13">
        <v>47300</v>
      </c>
      <c r="B179" s="8">
        <f>CHOOSE( CONTROL!$C$32, 5.8087, 5.8041) * CHOOSE(CONTROL!$C$15, $D$11, 100%, $F$11)</f>
        <v>5.8087</v>
      </c>
      <c r="C179" s="8">
        <f>CHOOSE( CONTROL!$C$32, 5.819, 5.8145) * CHOOSE(CONTROL!$C$15, $D$11, 100%, $F$11)</f>
        <v>5.819</v>
      </c>
      <c r="D179" s="8">
        <f>CHOOSE( CONTROL!$C$32, 5.8299, 5.8254) * CHOOSE( CONTROL!$C$15, $D$11, 100%, $F$11)</f>
        <v>5.8299000000000003</v>
      </c>
      <c r="E179" s="12">
        <f>CHOOSE( CONTROL!$C$32, 5.8244, 5.8199) * CHOOSE( CONTROL!$C$15, $D$11, 100%, $F$11)</f>
        <v>5.8243999999999998</v>
      </c>
      <c r="F179" s="4">
        <f>CHOOSE( CONTROL!$C$32, 6.497, 6.4924) * CHOOSE(CONTROL!$C$15, $D$11, 100%, $F$11)</f>
        <v>6.4969999999999999</v>
      </c>
      <c r="G179" s="8">
        <f>CHOOSE( CONTROL!$C$32, 5.6871, 5.6827) * CHOOSE( CONTROL!$C$15, $D$11, 100%, $F$11)</f>
        <v>5.6871</v>
      </c>
      <c r="H179" s="4">
        <f>CHOOSE( CONTROL!$C$32, 6.6204, 6.6159) * CHOOSE(CONTROL!$C$15, $D$11, 100%, $F$11)</f>
        <v>6.6204000000000001</v>
      </c>
      <c r="I179" s="8">
        <f>CHOOSE( CONTROL!$C$32, 5.6617, 5.6574) * CHOOSE(CONTROL!$C$15, $D$11, 100%, $F$11)</f>
        <v>5.6616999999999997</v>
      </c>
      <c r="J179" s="4">
        <f>CHOOSE( CONTROL!$C$32, 5.5925, 5.5881) * CHOOSE(CONTROL!$C$15, $D$11, 100%, $F$11)</f>
        <v>5.5925000000000002</v>
      </c>
      <c r="K179" s="4"/>
      <c r="L179" s="9">
        <v>29.520499999999998</v>
      </c>
      <c r="M179" s="9">
        <v>12.063700000000001</v>
      </c>
      <c r="N179" s="9">
        <v>4.9444999999999997</v>
      </c>
      <c r="O179" s="9">
        <v>0.37459999999999999</v>
      </c>
      <c r="P179" s="9">
        <v>1.2192000000000001</v>
      </c>
      <c r="Q179" s="9">
        <v>31.517700000000001</v>
      </c>
      <c r="R179" s="9"/>
      <c r="S179" s="11"/>
    </row>
    <row r="180" spans="1:19" ht="15.75">
      <c r="A180" s="13">
        <v>47331</v>
      </c>
      <c r="B180" s="8">
        <f>CHOOSE( CONTROL!$C$32, 5.3626, 5.3581) * CHOOSE(CONTROL!$C$15, $D$11, 100%, $F$11)</f>
        <v>5.3625999999999996</v>
      </c>
      <c r="C180" s="8">
        <f>CHOOSE( CONTROL!$C$32, 5.373, 5.3684) * CHOOSE(CONTROL!$C$15, $D$11, 100%, $F$11)</f>
        <v>5.3730000000000002</v>
      </c>
      <c r="D180" s="8">
        <f>CHOOSE( CONTROL!$C$32, 5.3841, 5.3796) * CHOOSE( CONTROL!$C$15, $D$11, 100%, $F$11)</f>
        <v>5.3841000000000001</v>
      </c>
      <c r="E180" s="12">
        <f>CHOOSE( CONTROL!$C$32, 5.3785, 5.374) * CHOOSE( CONTROL!$C$15, $D$11, 100%, $F$11)</f>
        <v>5.3784999999999998</v>
      </c>
      <c r="F180" s="4">
        <f>CHOOSE( CONTROL!$C$32, 6.0509, 6.0464) * CHOOSE(CONTROL!$C$15, $D$11, 100%, $F$11)</f>
        <v>6.0509000000000004</v>
      </c>
      <c r="G180" s="8">
        <f>CHOOSE( CONTROL!$C$32, 5.2487, 5.2443) * CHOOSE( CONTROL!$C$15, $D$11, 100%, $F$11)</f>
        <v>5.2487000000000004</v>
      </c>
      <c r="H180" s="4">
        <f>CHOOSE( CONTROL!$C$32, 6.1816, 6.1771) * CHOOSE(CONTROL!$C$15, $D$11, 100%, $F$11)</f>
        <v>6.1816000000000004</v>
      </c>
      <c r="I180" s="8">
        <f>CHOOSE( CONTROL!$C$32, 5.2316, 5.2272) * CHOOSE(CONTROL!$C$15, $D$11, 100%, $F$11)</f>
        <v>5.2316000000000003</v>
      </c>
      <c r="J180" s="4">
        <f>CHOOSE( CONTROL!$C$32, 5.1611, 5.1567) * CHOOSE(CONTROL!$C$15, $D$11, 100%, $F$11)</f>
        <v>5.1611000000000002</v>
      </c>
      <c r="K180" s="4"/>
      <c r="L180" s="9">
        <v>29.520499999999998</v>
      </c>
      <c r="M180" s="9">
        <v>12.063700000000001</v>
      </c>
      <c r="N180" s="9">
        <v>4.9444999999999997</v>
      </c>
      <c r="O180" s="9">
        <v>0.37459999999999999</v>
      </c>
      <c r="P180" s="9">
        <v>1.2192000000000001</v>
      </c>
      <c r="Q180" s="9">
        <v>31.517700000000001</v>
      </c>
      <c r="R180" s="9"/>
      <c r="S180" s="11"/>
    </row>
    <row r="181" spans="1:19" ht="15.75">
      <c r="A181" s="13">
        <v>47362</v>
      </c>
      <c r="B181" s="8">
        <f>CHOOSE( CONTROL!$C$32, 5.2509, 5.2464) * CHOOSE(CONTROL!$C$15, $D$11, 100%, $F$11)</f>
        <v>5.2508999999999997</v>
      </c>
      <c r="C181" s="8">
        <f>CHOOSE( CONTROL!$C$32, 5.2613, 5.2568) * CHOOSE(CONTROL!$C$15, $D$11, 100%, $F$11)</f>
        <v>5.2613000000000003</v>
      </c>
      <c r="D181" s="8">
        <f>CHOOSE( CONTROL!$C$32, 5.2725, 5.268) * CHOOSE( CONTROL!$C$15, $D$11, 100%, $F$11)</f>
        <v>5.2725</v>
      </c>
      <c r="E181" s="12">
        <f>CHOOSE( CONTROL!$C$32, 5.2669, 5.2624) * CHOOSE( CONTROL!$C$15, $D$11, 100%, $F$11)</f>
        <v>5.2668999999999997</v>
      </c>
      <c r="F181" s="4">
        <f>CHOOSE( CONTROL!$C$32, 5.9392, 5.9347) * CHOOSE(CONTROL!$C$15, $D$11, 100%, $F$11)</f>
        <v>5.9391999999999996</v>
      </c>
      <c r="G181" s="8">
        <f>CHOOSE( CONTROL!$C$32, 5.139, 5.1345) * CHOOSE( CONTROL!$C$15, $D$11, 100%, $F$11)</f>
        <v>5.1390000000000002</v>
      </c>
      <c r="H181" s="4">
        <f>CHOOSE( CONTROL!$C$32, 6.0717, 6.0672) * CHOOSE(CONTROL!$C$15, $D$11, 100%, $F$11)</f>
        <v>6.0716999999999999</v>
      </c>
      <c r="I181" s="8">
        <f>CHOOSE( CONTROL!$C$32, 5.1239, 5.1196) * CHOOSE(CONTROL!$C$15, $D$11, 100%, $F$11)</f>
        <v>5.1238999999999999</v>
      </c>
      <c r="J181" s="4">
        <f>CHOOSE( CONTROL!$C$32, 5.0531, 5.0487) * CHOOSE(CONTROL!$C$15, $D$11, 100%, $F$11)</f>
        <v>5.0530999999999997</v>
      </c>
      <c r="K181" s="4"/>
      <c r="L181" s="9">
        <v>28.568200000000001</v>
      </c>
      <c r="M181" s="9">
        <v>11.6745</v>
      </c>
      <c r="N181" s="9">
        <v>4.7850000000000001</v>
      </c>
      <c r="O181" s="9">
        <v>0.36249999999999999</v>
      </c>
      <c r="P181" s="9">
        <v>1.1798</v>
      </c>
      <c r="Q181" s="9">
        <v>30.501000000000001</v>
      </c>
      <c r="R181" s="9"/>
      <c r="S181" s="11"/>
    </row>
    <row r="182" spans="1:19" ht="15.75">
      <c r="A182" s="13">
        <v>47392</v>
      </c>
      <c r="B182" s="8">
        <f>5.4783 * CHOOSE(CONTROL!$C$15, $D$11, 100%, $F$11)</f>
        <v>5.4782999999999999</v>
      </c>
      <c r="C182" s="8">
        <f>5.4887 * CHOOSE(CONTROL!$C$15, $D$11, 100%, $F$11)</f>
        <v>5.4886999999999997</v>
      </c>
      <c r="D182" s="8">
        <f>5.5011 * CHOOSE( CONTROL!$C$15, $D$11, 100%, $F$11)</f>
        <v>5.5011000000000001</v>
      </c>
      <c r="E182" s="12">
        <f>5.4959 * CHOOSE( CONTROL!$C$15, $D$11, 100%, $F$11)</f>
        <v>5.4958999999999998</v>
      </c>
      <c r="F182" s="4">
        <f>6.1666 * CHOOSE(CONTROL!$C$15, $D$11, 100%, $F$11)</f>
        <v>6.1665999999999999</v>
      </c>
      <c r="G182" s="8">
        <f>5.3622 * CHOOSE( CONTROL!$C$15, $D$11, 100%, $F$11)</f>
        <v>5.3621999999999996</v>
      </c>
      <c r="H182" s="4">
        <f>6.2954 * CHOOSE(CONTROL!$C$15, $D$11, 100%, $F$11)</f>
        <v>6.2953999999999999</v>
      </c>
      <c r="I182" s="8">
        <f>5.3452 * CHOOSE(CONTROL!$C$15, $D$11, 100%, $F$11)</f>
        <v>5.3452000000000002</v>
      </c>
      <c r="J182" s="4">
        <f>5.273 * CHOOSE(CONTROL!$C$15, $D$11, 100%, $F$11)</f>
        <v>5.2729999999999997</v>
      </c>
      <c r="K182" s="4"/>
      <c r="L182" s="9">
        <v>28.921800000000001</v>
      </c>
      <c r="M182" s="9">
        <v>12.063700000000001</v>
      </c>
      <c r="N182" s="9">
        <v>4.9444999999999997</v>
      </c>
      <c r="O182" s="9">
        <v>0.37459999999999999</v>
      </c>
      <c r="P182" s="9">
        <v>1.2192000000000001</v>
      </c>
      <c r="Q182" s="9">
        <v>31.517700000000001</v>
      </c>
      <c r="R182" s="9"/>
      <c r="S182" s="11"/>
    </row>
    <row r="183" spans="1:19" ht="15.75">
      <c r="A183" s="13">
        <v>47423</v>
      </c>
      <c r="B183" s="8">
        <f>5.9064 * CHOOSE(CONTROL!$C$15, $D$11, 100%, $F$11)</f>
        <v>5.9063999999999997</v>
      </c>
      <c r="C183" s="8">
        <f>5.9167 * CHOOSE(CONTROL!$C$15, $D$11, 100%, $F$11)</f>
        <v>5.9166999999999996</v>
      </c>
      <c r="D183" s="8">
        <f>5.9028 * CHOOSE( CONTROL!$C$15, $D$11, 100%, $F$11)</f>
        <v>5.9028</v>
      </c>
      <c r="E183" s="12">
        <f>5.9068 * CHOOSE( CONTROL!$C$15, $D$11, 100%, $F$11)</f>
        <v>5.9067999999999996</v>
      </c>
      <c r="F183" s="4">
        <f>6.5606 * CHOOSE(CONTROL!$C$15, $D$11, 100%, $F$11)</f>
        <v>6.5606</v>
      </c>
      <c r="G183" s="8">
        <f>5.8005 * CHOOSE( CONTROL!$C$15, $D$11, 100%, $F$11)</f>
        <v>5.8005000000000004</v>
      </c>
      <c r="H183" s="4">
        <f>6.683 * CHOOSE(CONTROL!$C$15, $D$11, 100%, $F$11)</f>
        <v>6.6829999999999998</v>
      </c>
      <c r="I183" s="8">
        <f>5.7924 * CHOOSE(CONTROL!$C$15, $D$11, 100%, $F$11)</f>
        <v>5.7923999999999998</v>
      </c>
      <c r="J183" s="4">
        <f>5.687 * CHOOSE(CONTROL!$C$15, $D$11, 100%, $F$11)</f>
        <v>5.6870000000000003</v>
      </c>
      <c r="K183" s="4"/>
      <c r="L183" s="9">
        <v>26.515499999999999</v>
      </c>
      <c r="M183" s="9">
        <v>11.6745</v>
      </c>
      <c r="N183" s="9">
        <v>4.7850000000000001</v>
      </c>
      <c r="O183" s="9">
        <v>0.36249999999999999</v>
      </c>
      <c r="P183" s="9">
        <v>1.2522</v>
      </c>
      <c r="Q183" s="9">
        <v>30.501000000000001</v>
      </c>
      <c r="R183" s="9"/>
      <c r="S183" s="11"/>
    </row>
    <row r="184" spans="1:19" ht="15.75">
      <c r="A184" s="13">
        <v>47453</v>
      </c>
      <c r="B184" s="8">
        <f>5.8957 * CHOOSE(CONTROL!$C$15, $D$11, 100%, $F$11)</f>
        <v>5.8956999999999997</v>
      </c>
      <c r="C184" s="8">
        <f>5.906 * CHOOSE(CONTROL!$C$15, $D$11, 100%, $F$11)</f>
        <v>5.9059999999999997</v>
      </c>
      <c r="D184" s="8">
        <f>5.8945 * CHOOSE( CONTROL!$C$15, $D$11, 100%, $F$11)</f>
        <v>5.8944999999999999</v>
      </c>
      <c r="E184" s="12">
        <f>5.8976 * CHOOSE( CONTROL!$C$15, $D$11, 100%, $F$11)</f>
        <v>5.8975999999999997</v>
      </c>
      <c r="F184" s="4">
        <f>6.5499 * CHOOSE(CONTROL!$C$15, $D$11, 100%, $F$11)</f>
        <v>6.5499000000000001</v>
      </c>
      <c r="G184" s="8">
        <f>5.7918 * CHOOSE( CONTROL!$C$15, $D$11, 100%, $F$11)</f>
        <v>5.7918000000000003</v>
      </c>
      <c r="H184" s="4">
        <f>6.6725 * CHOOSE(CONTROL!$C$15, $D$11, 100%, $F$11)</f>
        <v>6.6725000000000003</v>
      </c>
      <c r="I184" s="8">
        <f>5.7901 * CHOOSE(CONTROL!$C$15, $D$11, 100%, $F$11)</f>
        <v>5.7900999999999998</v>
      </c>
      <c r="J184" s="4">
        <f>5.6766 * CHOOSE(CONTROL!$C$15, $D$11, 100%, $F$11)</f>
        <v>5.6765999999999996</v>
      </c>
      <c r="K184" s="4"/>
      <c r="L184" s="9">
        <v>27.3993</v>
      </c>
      <c r="M184" s="9">
        <v>12.063700000000001</v>
      </c>
      <c r="N184" s="9">
        <v>4.9444999999999997</v>
      </c>
      <c r="O184" s="9">
        <v>0.37459999999999999</v>
      </c>
      <c r="P184" s="9">
        <v>1.2939000000000001</v>
      </c>
      <c r="Q184" s="9">
        <v>31.517700000000001</v>
      </c>
      <c r="R184" s="9"/>
      <c r="S184" s="11"/>
    </row>
    <row r="185" spans="1:19" ht="15.75">
      <c r="A185" s="13">
        <v>47484</v>
      </c>
      <c r="B185" s="8">
        <f>6.0451 * CHOOSE(CONTROL!$C$15, $D$11, 100%, $F$11)</f>
        <v>6.0450999999999997</v>
      </c>
      <c r="C185" s="8">
        <f>6.0554 * CHOOSE(CONTROL!$C$15, $D$11, 100%, $F$11)</f>
        <v>6.0553999999999997</v>
      </c>
      <c r="D185" s="8">
        <f>6.0538 * CHOOSE( CONTROL!$C$15, $D$11, 100%, $F$11)</f>
        <v>6.0537999999999998</v>
      </c>
      <c r="E185" s="12">
        <f>6.0533 * CHOOSE( CONTROL!$C$15, $D$11, 100%, $F$11)</f>
        <v>6.0533000000000001</v>
      </c>
      <c r="F185" s="4">
        <f>6.7278 * CHOOSE(CONTROL!$C$15, $D$11, 100%, $F$11)</f>
        <v>6.7278000000000002</v>
      </c>
      <c r="G185" s="8">
        <f>5.949 * CHOOSE( CONTROL!$C$15, $D$11, 100%, $F$11)</f>
        <v>5.9489999999999998</v>
      </c>
      <c r="H185" s="4">
        <f>6.8474 * CHOOSE(CONTROL!$C$15, $D$11, 100%, $F$11)</f>
        <v>6.8474000000000004</v>
      </c>
      <c r="I185" s="8">
        <f>5.9326 * CHOOSE(CONTROL!$C$15, $D$11, 100%, $F$11)</f>
        <v>5.9325999999999999</v>
      </c>
      <c r="J185" s="4">
        <f>5.8211 * CHOOSE(CONTROL!$C$15, $D$11, 100%, $F$11)</f>
        <v>5.8211000000000004</v>
      </c>
      <c r="K185" s="4"/>
      <c r="L185" s="9">
        <v>27.3993</v>
      </c>
      <c r="M185" s="9">
        <v>12.063700000000001</v>
      </c>
      <c r="N185" s="9">
        <v>4.9444999999999997</v>
      </c>
      <c r="O185" s="9">
        <v>0.37459999999999999</v>
      </c>
      <c r="P185" s="9">
        <v>1.2939000000000001</v>
      </c>
      <c r="Q185" s="9">
        <v>31.333600000000001</v>
      </c>
      <c r="R185" s="9"/>
      <c r="S185" s="11"/>
    </row>
    <row r="186" spans="1:19" ht="15.75">
      <c r="A186" s="13">
        <v>47515</v>
      </c>
      <c r="B186" s="8">
        <f>5.6559 * CHOOSE(CONTROL!$C$15, $D$11, 100%, $F$11)</f>
        <v>5.6558999999999999</v>
      </c>
      <c r="C186" s="8">
        <f>5.6663 * CHOOSE(CONTROL!$C$15, $D$11, 100%, $F$11)</f>
        <v>5.6662999999999997</v>
      </c>
      <c r="D186" s="8">
        <f>5.6668 * CHOOSE( CONTROL!$C$15, $D$11, 100%, $F$11)</f>
        <v>5.6668000000000003</v>
      </c>
      <c r="E186" s="12">
        <f>5.6655 * CHOOSE( CONTROL!$C$15, $D$11, 100%, $F$11)</f>
        <v>5.6654999999999998</v>
      </c>
      <c r="F186" s="4">
        <f>6.3309 * CHOOSE(CONTROL!$C$15, $D$11, 100%, $F$11)</f>
        <v>6.3308999999999997</v>
      </c>
      <c r="G186" s="8">
        <f>5.566 * CHOOSE( CONTROL!$C$15, $D$11, 100%, $F$11)</f>
        <v>5.5659999999999998</v>
      </c>
      <c r="H186" s="4">
        <f>6.457 * CHOOSE(CONTROL!$C$15, $D$11, 100%, $F$11)</f>
        <v>6.4569999999999999</v>
      </c>
      <c r="I186" s="8">
        <f>5.5451 * CHOOSE(CONTROL!$C$15, $D$11, 100%, $F$11)</f>
        <v>5.5450999999999997</v>
      </c>
      <c r="J186" s="4">
        <f>5.4448 * CHOOSE(CONTROL!$C$15, $D$11, 100%, $F$11)</f>
        <v>5.4447999999999999</v>
      </c>
      <c r="K186" s="4"/>
      <c r="L186" s="9">
        <v>24.747800000000002</v>
      </c>
      <c r="M186" s="9">
        <v>10.8962</v>
      </c>
      <c r="N186" s="9">
        <v>4.4660000000000002</v>
      </c>
      <c r="O186" s="9">
        <v>0.33829999999999999</v>
      </c>
      <c r="P186" s="9">
        <v>1.1687000000000001</v>
      </c>
      <c r="Q186" s="9">
        <v>28.301300000000001</v>
      </c>
      <c r="R186" s="9"/>
      <c r="S186" s="11"/>
    </row>
    <row r="187" spans="1:19" ht="15.75">
      <c r="A187" s="13">
        <v>47543</v>
      </c>
      <c r="B187" s="8">
        <f>5.5361 * CHOOSE(CONTROL!$C$15, $D$11, 100%, $F$11)</f>
        <v>5.5361000000000002</v>
      </c>
      <c r="C187" s="8">
        <f>5.5464 * CHOOSE(CONTROL!$C$15, $D$11, 100%, $F$11)</f>
        <v>5.5464000000000002</v>
      </c>
      <c r="D187" s="8">
        <f>5.5265 * CHOOSE( CONTROL!$C$15, $D$11, 100%, $F$11)</f>
        <v>5.5265000000000004</v>
      </c>
      <c r="E187" s="12">
        <f>5.5327 * CHOOSE( CONTROL!$C$15, $D$11, 100%, $F$11)</f>
        <v>5.5327000000000002</v>
      </c>
      <c r="F187" s="4">
        <f>6.195 * CHOOSE(CONTROL!$C$15, $D$11, 100%, $F$11)</f>
        <v>6.1950000000000003</v>
      </c>
      <c r="G187" s="8">
        <f>5.4273 * CHOOSE( CONTROL!$C$15, $D$11, 100%, $F$11)</f>
        <v>5.4272999999999998</v>
      </c>
      <c r="H187" s="4">
        <f>6.3233 * CHOOSE(CONTROL!$C$15, $D$11, 100%, $F$11)</f>
        <v>6.3232999999999997</v>
      </c>
      <c r="I187" s="8">
        <f>5.3897 * CHOOSE(CONTROL!$C$15, $D$11, 100%, $F$11)</f>
        <v>5.3897000000000004</v>
      </c>
      <c r="J187" s="4">
        <f>5.3288 * CHOOSE(CONTROL!$C$15, $D$11, 100%, $F$11)</f>
        <v>5.3288000000000002</v>
      </c>
      <c r="K187" s="4"/>
      <c r="L187" s="9">
        <v>27.3993</v>
      </c>
      <c r="M187" s="9">
        <v>12.063700000000001</v>
      </c>
      <c r="N187" s="9">
        <v>4.9444999999999997</v>
      </c>
      <c r="O187" s="9">
        <v>0.37459999999999999</v>
      </c>
      <c r="P187" s="9">
        <v>1.2939000000000001</v>
      </c>
      <c r="Q187" s="9">
        <v>31.333600000000001</v>
      </c>
      <c r="R187" s="9"/>
      <c r="S187" s="11"/>
    </row>
    <row r="188" spans="1:19" ht="15.75">
      <c r="A188" s="13">
        <v>47574</v>
      </c>
      <c r="B188" s="8">
        <f>5.6198 * CHOOSE(CONTROL!$C$15, $D$11, 100%, $F$11)</f>
        <v>5.6197999999999997</v>
      </c>
      <c r="C188" s="8">
        <f>5.6302 * CHOOSE(CONTROL!$C$15, $D$11, 100%, $F$11)</f>
        <v>5.6302000000000003</v>
      </c>
      <c r="D188" s="8">
        <f>5.6217 * CHOOSE( CONTROL!$C$15, $D$11, 100%, $F$11)</f>
        <v>5.6216999999999997</v>
      </c>
      <c r="E188" s="12">
        <f>5.6233 * CHOOSE( CONTROL!$C$15, $D$11, 100%, $F$11)</f>
        <v>5.6233000000000004</v>
      </c>
      <c r="F188" s="4">
        <f>6.2689 * CHOOSE(CONTROL!$C$15, $D$11, 100%, $F$11)</f>
        <v>6.2689000000000004</v>
      </c>
      <c r="G188" s="8">
        <f>5.4945 * CHOOSE( CONTROL!$C$15, $D$11, 100%, $F$11)</f>
        <v>5.4945000000000004</v>
      </c>
      <c r="H188" s="4">
        <f>6.396 * CHOOSE(CONTROL!$C$15, $D$11, 100%, $F$11)</f>
        <v>6.3959999999999999</v>
      </c>
      <c r="I188" s="8">
        <f>5.4675 * CHOOSE(CONTROL!$C$15, $D$11, 100%, $F$11)</f>
        <v>5.4675000000000002</v>
      </c>
      <c r="J188" s="4">
        <f>5.4098 * CHOOSE(CONTROL!$C$15, $D$11, 100%, $F$11)</f>
        <v>5.4097999999999997</v>
      </c>
      <c r="K188" s="4"/>
      <c r="L188" s="9">
        <v>27.988800000000001</v>
      </c>
      <c r="M188" s="9">
        <v>11.6745</v>
      </c>
      <c r="N188" s="9">
        <v>4.7850000000000001</v>
      </c>
      <c r="O188" s="9">
        <v>0.36249999999999999</v>
      </c>
      <c r="P188" s="9">
        <v>1.1798</v>
      </c>
      <c r="Q188" s="9">
        <v>30.322800000000001</v>
      </c>
      <c r="R188" s="9"/>
      <c r="S188" s="11"/>
    </row>
    <row r="189" spans="1:19" ht="15.75">
      <c r="A189" s="13">
        <v>47604</v>
      </c>
      <c r="B189" s="8">
        <f>CHOOSE( CONTROL!$C$32, 5.7734, 5.7689) * CHOOSE(CONTROL!$C$15, $D$11, 100%, $F$11)</f>
        <v>5.7733999999999996</v>
      </c>
      <c r="C189" s="8">
        <f>CHOOSE( CONTROL!$C$32, 5.7838, 5.7792) * CHOOSE(CONTROL!$C$15, $D$11, 100%, $F$11)</f>
        <v>5.7838000000000003</v>
      </c>
      <c r="D189" s="8">
        <f>CHOOSE( CONTROL!$C$32, 5.7934, 5.7889) * CHOOSE( CONTROL!$C$15, $D$11, 100%, $F$11)</f>
        <v>5.7934000000000001</v>
      </c>
      <c r="E189" s="12">
        <f>CHOOSE( CONTROL!$C$32, 5.7883, 5.7838) * CHOOSE( CONTROL!$C$15, $D$11, 100%, $F$11)</f>
        <v>5.7882999999999996</v>
      </c>
      <c r="F189" s="4">
        <f>CHOOSE( CONTROL!$C$32, 6.4617, 6.4572) * CHOOSE(CONTROL!$C$15, $D$11, 100%, $F$11)</f>
        <v>6.4617000000000004</v>
      </c>
      <c r="G189" s="8">
        <f>CHOOSE( CONTROL!$C$32, 5.6507, 5.6462) * CHOOSE( CONTROL!$C$15, $D$11, 100%, $F$11)</f>
        <v>5.6506999999999996</v>
      </c>
      <c r="H189" s="4">
        <f>CHOOSE( CONTROL!$C$32, 6.5857, 6.5812) * CHOOSE(CONTROL!$C$15, $D$11, 100%, $F$11)</f>
        <v>6.5857000000000001</v>
      </c>
      <c r="I189" s="8">
        <f>CHOOSE( CONTROL!$C$32, 5.622, 5.6176) * CHOOSE(CONTROL!$C$15, $D$11, 100%, $F$11)</f>
        <v>5.6219999999999999</v>
      </c>
      <c r="J189" s="4">
        <f>CHOOSE( CONTROL!$C$32, 5.5584, 5.554) * CHOOSE(CONTROL!$C$15, $D$11, 100%, $F$11)</f>
        <v>5.5583999999999998</v>
      </c>
      <c r="K189" s="4"/>
      <c r="L189" s="9">
        <v>29.520499999999998</v>
      </c>
      <c r="M189" s="9">
        <v>12.063700000000001</v>
      </c>
      <c r="N189" s="9">
        <v>4.9444999999999997</v>
      </c>
      <c r="O189" s="9">
        <v>0.37459999999999999</v>
      </c>
      <c r="P189" s="9">
        <v>1.2192000000000001</v>
      </c>
      <c r="Q189" s="9">
        <v>31.333600000000001</v>
      </c>
      <c r="R189" s="9"/>
      <c r="S189" s="11"/>
    </row>
    <row r="190" spans="1:19" ht="15.75">
      <c r="A190" s="13">
        <v>47635</v>
      </c>
      <c r="B190" s="8">
        <f>CHOOSE( CONTROL!$C$32, 5.6811, 5.6766) * CHOOSE(CONTROL!$C$15, $D$11, 100%, $F$11)</f>
        <v>5.6810999999999998</v>
      </c>
      <c r="C190" s="8">
        <f>CHOOSE( CONTROL!$C$32, 5.6914, 5.6869) * CHOOSE(CONTROL!$C$15, $D$11, 100%, $F$11)</f>
        <v>5.6913999999999998</v>
      </c>
      <c r="D190" s="8">
        <f>CHOOSE( CONTROL!$C$32, 5.7017, 5.6972) * CHOOSE( CONTROL!$C$15, $D$11, 100%, $F$11)</f>
        <v>5.7016999999999998</v>
      </c>
      <c r="E190" s="12">
        <f>CHOOSE( CONTROL!$C$32, 5.6964, 5.6919) * CHOOSE( CONTROL!$C$15, $D$11, 100%, $F$11)</f>
        <v>5.6963999999999997</v>
      </c>
      <c r="F190" s="4">
        <f>CHOOSE( CONTROL!$C$32, 6.3694, 6.3648) * CHOOSE(CONTROL!$C$15, $D$11, 100%, $F$11)</f>
        <v>6.3693999999999997</v>
      </c>
      <c r="G190" s="8">
        <f>CHOOSE( CONTROL!$C$32, 5.5608, 5.5563) * CHOOSE( CONTROL!$C$15, $D$11, 100%, $F$11)</f>
        <v>5.5608000000000004</v>
      </c>
      <c r="H190" s="4">
        <f>CHOOSE( CONTROL!$C$32, 6.4949, 6.4904) * CHOOSE(CONTROL!$C$15, $D$11, 100%, $F$11)</f>
        <v>6.4949000000000003</v>
      </c>
      <c r="I190" s="8">
        <f>CHOOSE( CONTROL!$C$32, 5.5356, 5.5312) * CHOOSE(CONTROL!$C$15, $D$11, 100%, $F$11)</f>
        <v>5.5355999999999996</v>
      </c>
      <c r="J190" s="4">
        <f>CHOOSE( CONTROL!$C$32, 5.4691, 5.4647) * CHOOSE(CONTROL!$C$15, $D$11, 100%, $F$11)</f>
        <v>5.4691000000000001</v>
      </c>
      <c r="K190" s="4"/>
      <c r="L190" s="9">
        <v>28.568200000000001</v>
      </c>
      <c r="M190" s="9">
        <v>11.6745</v>
      </c>
      <c r="N190" s="9">
        <v>4.7850000000000001</v>
      </c>
      <c r="O190" s="9">
        <v>0.36249999999999999</v>
      </c>
      <c r="P190" s="9">
        <v>1.1798</v>
      </c>
      <c r="Q190" s="9">
        <v>30.322800000000001</v>
      </c>
      <c r="R190" s="9"/>
      <c r="S190" s="11"/>
    </row>
    <row r="191" spans="1:19" ht="15.75">
      <c r="A191" s="13">
        <v>47665</v>
      </c>
      <c r="B191" s="8">
        <f>CHOOSE( CONTROL!$C$32, 5.9242, 5.9197) * CHOOSE(CONTROL!$C$15, $D$11, 100%, $F$11)</f>
        <v>5.9241999999999999</v>
      </c>
      <c r="C191" s="8">
        <f>CHOOSE( CONTROL!$C$32, 5.9346, 5.93) * CHOOSE(CONTROL!$C$15, $D$11, 100%, $F$11)</f>
        <v>5.9345999999999997</v>
      </c>
      <c r="D191" s="8">
        <f>CHOOSE( CONTROL!$C$32, 5.9454, 5.9409) * CHOOSE( CONTROL!$C$15, $D$11, 100%, $F$11)</f>
        <v>5.9454000000000002</v>
      </c>
      <c r="E191" s="12">
        <f>CHOOSE( CONTROL!$C$32, 5.9399, 5.9354) * CHOOSE( CONTROL!$C$15, $D$11, 100%, $F$11)</f>
        <v>5.9398999999999997</v>
      </c>
      <c r="F191" s="4">
        <f>CHOOSE( CONTROL!$C$32, 6.6125, 6.608) * CHOOSE(CONTROL!$C$15, $D$11, 100%, $F$11)</f>
        <v>6.6124999999999998</v>
      </c>
      <c r="G191" s="8">
        <f>CHOOSE( CONTROL!$C$32, 5.8008, 5.7964) * CHOOSE( CONTROL!$C$15, $D$11, 100%, $F$11)</f>
        <v>5.8007999999999997</v>
      </c>
      <c r="H191" s="4">
        <f>CHOOSE( CONTROL!$C$32, 6.7341, 6.7296) * CHOOSE(CONTROL!$C$15, $D$11, 100%, $F$11)</f>
        <v>6.7340999999999998</v>
      </c>
      <c r="I191" s="8">
        <f>CHOOSE( CONTROL!$C$32, 5.7736, 5.7692) * CHOOSE(CONTROL!$C$15, $D$11, 100%, $F$11)</f>
        <v>5.7736000000000001</v>
      </c>
      <c r="J191" s="4">
        <f>CHOOSE( CONTROL!$C$32, 5.7042, 5.6998) * CHOOSE(CONTROL!$C$15, $D$11, 100%, $F$11)</f>
        <v>5.7042000000000002</v>
      </c>
      <c r="K191" s="4"/>
      <c r="L191" s="9">
        <v>29.520499999999998</v>
      </c>
      <c r="M191" s="9">
        <v>12.063700000000001</v>
      </c>
      <c r="N191" s="9">
        <v>4.9444999999999997</v>
      </c>
      <c r="O191" s="9">
        <v>0.37459999999999999</v>
      </c>
      <c r="P191" s="9">
        <v>1.2192000000000001</v>
      </c>
      <c r="Q191" s="9">
        <v>31.333600000000001</v>
      </c>
      <c r="R191" s="9"/>
      <c r="S191" s="11"/>
    </row>
    <row r="192" spans="1:19" ht="15.75">
      <c r="A192" s="13">
        <v>47696</v>
      </c>
      <c r="B192" s="8">
        <f>CHOOSE( CONTROL!$C$32, 5.4693, 5.4647) * CHOOSE(CONTROL!$C$15, $D$11, 100%, $F$11)</f>
        <v>5.4692999999999996</v>
      </c>
      <c r="C192" s="8">
        <f>CHOOSE( CONTROL!$C$32, 5.4796, 5.4751) * CHOOSE(CONTROL!$C$15, $D$11, 100%, $F$11)</f>
        <v>5.4795999999999996</v>
      </c>
      <c r="D192" s="8">
        <f>CHOOSE( CONTROL!$C$32, 5.4908, 5.4863) * CHOOSE( CONTROL!$C$15, $D$11, 100%, $F$11)</f>
        <v>5.4908000000000001</v>
      </c>
      <c r="E192" s="12">
        <f>CHOOSE( CONTROL!$C$32, 5.4852, 5.4807) * CHOOSE( CONTROL!$C$15, $D$11, 100%, $F$11)</f>
        <v>5.4851999999999999</v>
      </c>
      <c r="F192" s="4">
        <f>CHOOSE( CONTROL!$C$32, 6.1576, 6.153) * CHOOSE(CONTROL!$C$15, $D$11, 100%, $F$11)</f>
        <v>6.1576000000000004</v>
      </c>
      <c r="G192" s="8">
        <f>CHOOSE( CONTROL!$C$32, 5.3537, 5.3492) * CHOOSE( CONTROL!$C$15, $D$11, 100%, $F$11)</f>
        <v>5.3536999999999999</v>
      </c>
      <c r="H192" s="4">
        <f>CHOOSE( CONTROL!$C$32, 6.2865, 6.282) * CHOOSE(CONTROL!$C$15, $D$11, 100%, $F$11)</f>
        <v>6.2865000000000002</v>
      </c>
      <c r="I192" s="8">
        <f>CHOOSE( CONTROL!$C$32, 5.3348, 5.3304) * CHOOSE(CONTROL!$C$15, $D$11, 100%, $F$11)</f>
        <v>5.3348000000000004</v>
      </c>
      <c r="J192" s="4">
        <f>CHOOSE( CONTROL!$C$32, 5.2642, 5.2599) * CHOOSE(CONTROL!$C$15, $D$11, 100%, $F$11)</f>
        <v>5.2641999999999998</v>
      </c>
      <c r="K192" s="4"/>
      <c r="L192" s="9">
        <v>29.520499999999998</v>
      </c>
      <c r="M192" s="9">
        <v>12.063700000000001</v>
      </c>
      <c r="N192" s="9">
        <v>4.9444999999999997</v>
      </c>
      <c r="O192" s="9">
        <v>0.37459999999999999</v>
      </c>
      <c r="P192" s="9">
        <v>1.2192000000000001</v>
      </c>
      <c r="Q192" s="9">
        <v>31.333600000000001</v>
      </c>
      <c r="R192" s="9"/>
      <c r="S192" s="11"/>
    </row>
    <row r="193" spans="1:19" ht="15.75">
      <c r="A193" s="13">
        <v>47727</v>
      </c>
      <c r="B193" s="8">
        <f>CHOOSE( CONTROL!$C$32, 5.3553, 5.3508) * CHOOSE(CONTROL!$C$15, $D$11, 100%, $F$11)</f>
        <v>5.3552999999999997</v>
      </c>
      <c r="C193" s="8">
        <f>CHOOSE( CONTROL!$C$32, 5.3657, 5.3612) * CHOOSE(CONTROL!$C$15, $D$11, 100%, $F$11)</f>
        <v>5.3657000000000004</v>
      </c>
      <c r="D193" s="8">
        <f>CHOOSE( CONTROL!$C$32, 5.3769, 5.3724) * CHOOSE( CONTROL!$C$15, $D$11, 100%, $F$11)</f>
        <v>5.3769</v>
      </c>
      <c r="E193" s="12">
        <f>CHOOSE( CONTROL!$C$32, 5.3713, 5.3668) * CHOOSE( CONTROL!$C$15, $D$11, 100%, $F$11)</f>
        <v>5.3712999999999997</v>
      </c>
      <c r="F193" s="4">
        <f>CHOOSE( CONTROL!$C$32, 6.0436, 6.0391) * CHOOSE(CONTROL!$C$15, $D$11, 100%, $F$11)</f>
        <v>6.0435999999999996</v>
      </c>
      <c r="G193" s="8">
        <f>CHOOSE( CONTROL!$C$32, 5.2417, 5.2373) * CHOOSE( CONTROL!$C$15, $D$11, 100%, $F$11)</f>
        <v>5.2416999999999998</v>
      </c>
      <c r="H193" s="4">
        <f>CHOOSE( CONTROL!$C$32, 6.1744, 6.1699) * CHOOSE(CONTROL!$C$15, $D$11, 100%, $F$11)</f>
        <v>6.1744000000000003</v>
      </c>
      <c r="I193" s="8">
        <f>CHOOSE( CONTROL!$C$32, 5.225, 5.2206) * CHOOSE(CONTROL!$C$15, $D$11, 100%, $F$11)</f>
        <v>5.2249999999999996</v>
      </c>
      <c r="J193" s="4">
        <f>CHOOSE( CONTROL!$C$32, 5.154, 5.1497) * CHOOSE(CONTROL!$C$15, $D$11, 100%, $F$11)</f>
        <v>5.1539999999999999</v>
      </c>
      <c r="K193" s="4"/>
      <c r="L193" s="9">
        <v>28.568200000000001</v>
      </c>
      <c r="M193" s="9">
        <v>11.6745</v>
      </c>
      <c r="N193" s="9">
        <v>4.7850000000000001</v>
      </c>
      <c r="O193" s="9">
        <v>0.36249999999999999</v>
      </c>
      <c r="P193" s="9">
        <v>1.1798</v>
      </c>
      <c r="Q193" s="9">
        <v>30.322800000000001</v>
      </c>
      <c r="R193" s="9"/>
      <c r="S193" s="11"/>
    </row>
    <row r="194" spans="1:19" ht="15.75">
      <c r="A194" s="13">
        <v>47757</v>
      </c>
      <c r="B194" s="8">
        <f>5.5874 * CHOOSE(CONTROL!$C$15, $D$11, 100%, $F$11)</f>
        <v>5.5873999999999997</v>
      </c>
      <c r="C194" s="8">
        <f>5.5977 * CHOOSE(CONTROL!$C$15, $D$11, 100%, $F$11)</f>
        <v>5.5976999999999997</v>
      </c>
      <c r="D194" s="8">
        <f>5.6101 * CHOOSE( CONTROL!$C$15, $D$11, 100%, $F$11)</f>
        <v>5.6101000000000001</v>
      </c>
      <c r="E194" s="12">
        <f>5.6049 * CHOOSE( CONTROL!$C$15, $D$11, 100%, $F$11)</f>
        <v>5.6048999999999998</v>
      </c>
      <c r="F194" s="4">
        <f>6.2757 * CHOOSE(CONTROL!$C$15, $D$11, 100%, $F$11)</f>
        <v>6.2756999999999996</v>
      </c>
      <c r="G194" s="8">
        <f>5.4694 * CHOOSE( CONTROL!$C$15, $D$11, 100%, $F$11)</f>
        <v>5.4694000000000003</v>
      </c>
      <c r="H194" s="4">
        <f>6.4027 * CHOOSE(CONTROL!$C$15, $D$11, 100%, $F$11)</f>
        <v>6.4027000000000003</v>
      </c>
      <c r="I194" s="8">
        <f>5.4507 * CHOOSE(CONTROL!$C$15, $D$11, 100%, $F$11)</f>
        <v>5.4507000000000003</v>
      </c>
      <c r="J194" s="4">
        <f>5.3784 * CHOOSE(CONTROL!$C$15, $D$11, 100%, $F$11)</f>
        <v>5.3784000000000001</v>
      </c>
      <c r="K194" s="4"/>
      <c r="L194" s="9">
        <v>28.921800000000001</v>
      </c>
      <c r="M194" s="9">
        <v>12.063700000000001</v>
      </c>
      <c r="N194" s="9">
        <v>4.9444999999999997</v>
      </c>
      <c r="O194" s="9">
        <v>0.37459999999999999</v>
      </c>
      <c r="P194" s="9">
        <v>1.2192000000000001</v>
      </c>
      <c r="Q194" s="9">
        <v>31.333600000000001</v>
      </c>
      <c r="R194" s="9"/>
      <c r="S194" s="11"/>
    </row>
    <row r="195" spans="1:19" ht="15.75">
      <c r="A195" s="13">
        <v>47788</v>
      </c>
      <c r="B195" s="8">
        <f>6.024 * CHOOSE(CONTROL!$C$15, $D$11, 100%, $F$11)</f>
        <v>6.024</v>
      </c>
      <c r="C195" s="8">
        <f>6.0343 * CHOOSE(CONTROL!$C$15, $D$11, 100%, $F$11)</f>
        <v>6.0343</v>
      </c>
      <c r="D195" s="8">
        <f>6.0204 * CHOOSE( CONTROL!$C$15, $D$11, 100%, $F$11)</f>
        <v>6.0204000000000004</v>
      </c>
      <c r="E195" s="12">
        <f>6.0244 * CHOOSE( CONTROL!$C$15, $D$11, 100%, $F$11)</f>
        <v>6.0244</v>
      </c>
      <c r="F195" s="4">
        <f>6.6782 * CHOOSE(CONTROL!$C$15, $D$11, 100%, $F$11)</f>
        <v>6.6782000000000004</v>
      </c>
      <c r="G195" s="8">
        <f>5.9162 * CHOOSE( CONTROL!$C$15, $D$11, 100%, $F$11)</f>
        <v>5.9161999999999999</v>
      </c>
      <c r="H195" s="4">
        <f>6.7987 * CHOOSE(CONTROL!$C$15, $D$11, 100%, $F$11)</f>
        <v>6.7987000000000002</v>
      </c>
      <c r="I195" s="8">
        <f>5.9062 * CHOOSE(CONTROL!$C$15, $D$11, 100%, $F$11)</f>
        <v>5.9062000000000001</v>
      </c>
      <c r="J195" s="4">
        <f>5.8007 * CHOOSE(CONTROL!$C$15, $D$11, 100%, $F$11)</f>
        <v>5.8007</v>
      </c>
      <c r="K195" s="4"/>
      <c r="L195" s="9">
        <v>26.515499999999999</v>
      </c>
      <c r="M195" s="9">
        <v>11.6745</v>
      </c>
      <c r="N195" s="9">
        <v>4.7850000000000001</v>
      </c>
      <c r="O195" s="9">
        <v>0.36249999999999999</v>
      </c>
      <c r="P195" s="9">
        <v>1.2522</v>
      </c>
      <c r="Q195" s="9">
        <v>30.322800000000001</v>
      </c>
      <c r="R195" s="9"/>
      <c r="S195" s="11"/>
    </row>
    <row r="196" spans="1:19" ht="15.75">
      <c r="A196" s="13">
        <v>47818</v>
      </c>
      <c r="B196" s="8">
        <f>6.0131 * CHOOSE(CONTROL!$C$15, $D$11, 100%, $F$11)</f>
        <v>6.0130999999999997</v>
      </c>
      <c r="C196" s="8">
        <f>6.0234 * CHOOSE(CONTROL!$C$15, $D$11, 100%, $F$11)</f>
        <v>6.0233999999999996</v>
      </c>
      <c r="D196" s="8">
        <f>6.0119 * CHOOSE( CONTROL!$C$15, $D$11, 100%, $F$11)</f>
        <v>6.0118999999999998</v>
      </c>
      <c r="E196" s="12">
        <f>6.015 * CHOOSE( CONTROL!$C$15, $D$11, 100%, $F$11)</f>
        <v>6.0149999999999997</v>
      </c>
      <c r="F196" s="4">
        <f>6.6673 * CHOOSE(CONTROL!$C$15, $D$11, 100%, $F$11)</f>
        <v>6.6673</v>
      </c>
      <c r="G196" s="8">
        <f>5.9073 * CHOOSE( CONTROL!$C$15, $D$11, 100%, $F$11)</f>
        <v>5.9073000000000002</v>
      </c>
      <c r="H196" s="4">
        <f>6.788 * CHOOSE(CONTROL!$C$15, $D$11, 100%, $F$11)</f>
        <v>6.7880000000000003</v>
      </c>
      <c r="I196" s="8">
        <f>5.9036 * CHOOSE(CONTROL!$C$15, $D$11, 100%, $F$11)</f>
        <v>5.9036</v>
      </c>
      <c r="J196" s="4">
        <f>5.7901 * CHOOSE(CONTROL!$C$15, $D$11, 100%, $F$11)</f>
        <v>5.7900999999999998</v>
      </c>
      <c r="K196" s="4"/>
      <c r="L196" s="9">
        <v>27.3993</v>
      </c>
      <c r="M196" s="9">
        <v>12.063700000000001</v>
      </c>
      <c r="N196" s="9">
        <v>4.9444999999999997</v>
      </c>
      <c r="O196" s="9">
        <v>0.37459999999999999</v>
      </c>
      <c r="P196" s="9">
        <v>1.2939000000000001</v>
      </c>
      <c r="Q196" s="9">
        <v>31.333600000000001</v>
      </c>
      <c r="R196" s="9"/>
      <c r="S196" s="11"/>
    </row>
    <row r="197" spans="1:19" ht="15.75">
      <c r="A197" s="13">
        <v>47849</v>
      </c>
      <c r="B197" s="8">
        <f>6.1654 * CHOOSE(CONTROL!$C$15, $D$11, 100%, $F$11)</f>
        <v>6.1654</v>
      </c>
      <c r="C197" s="8">
        <f>6.1758 * CHOOSE(CONTROL!$C$15, $D$11, 100%, $F$11)</f>
        <v>6.1757999999999997</v>
      </c>
      <c r="D197" s="8">
        <f>6.1742 * CHOOSE( CONTROL!$C$15, $D$11, 100%, $F$11)</f>
        <v>6.1741999999999999</v>
      </c>
      <c r="E197" s="12">
        <f>6.1737 * CHOOSE( CONTROL!$C$15, $D$11, 100%, $F$11)</f>
        <v>6.1737000000000002</v>
      </c>
      <c r="F197" s="4">
        <f>6.8481 * CHOOSE(CONTROL!$C$15, $D$11, 100%, $F$11)</f>
        <v>6.8480999999999996</v>
      </c>
      <c r="G197" s="8">
        <f>6.0675 * CHOOSE( CONTROL!$C$15, $D$11, 100%, $F$11)</f>
        <v>6.0674999999999999</v>
      </c>
      <c r="H197" s="4">
        <f>6.9659 * CHOOSE(CONTROL!$C$15, $D$11, 100%, $F$11)</f>
        <v>6.9659000000000004</v>
      </c>
      <c r="I197" s="8">
        <f>6.049 * CHOOSE(CONTROL!$C$15, $D$11, 100%, $F$11)</f>
        <v>6.0490000000000004</v>
      </c>
      <c r="J197" s="4">
        <f>5.9375 * CHOOSE(CONTROL!$C$15, $D$11, 100%, $F$11)</f>
        <v>5.9375</v>
      </c>
      <c r="K197" s="4"/>
      <c r="L197" s="9">
        <v>27.3993</v>
      </c>
      <c r="M197" s="9">
        <v>12.063700000000001</v>
      </c>
      <c r="N197" s="9">
        <v>4.9444999999999997</v>
      </c>
      <c r="O197" s="9">
        <v>0.37459999999999999</v>
      </c>
      <c r="P197" s="9">
        <v>1.2939000000000001</v>
      </c>
      <c r="Q197" s="9">
        <v>31.026700000000002</v>
      </c>
      <c r="R197" s="9"/>
      <c r="S197" s="11"/>
    </row>
    <row r="198" spans="1:19" ht="15.75">
      <c r="A198" s="13">
        <v>47880</v>
      </c>
      <c r="B198" s="8">
        <f>5.7685 * CHOOSE(CONTROL!$C$15, $D$11, 100%, $F$11)</f>
        <v>5.7685000000000004</v>
      </c>
      <c r="C198" s="8">
        <f>5.7789 * CHOOSE(CONTROL!$C$15, $D$11, 100%, $F$11)</f>
        <v>5.7789000000000001</v>
      </c>
      <c r="D198" s="8">
        <f>5.7794 * CHOOSE( CONTROL!$C$15, $D$11, 100%, $F$11)</f>
        <v>5.7793999999999999</v>
      </c>
      <c r="E198" s="12">
        <f>5.7781 * CHOOSE( CONTROL!$C$15, $D$11, 100%, $F$11)</f>
        <v>5.7781000000000002</v>
      </c>
      <c r="F198" s="4">
        <f>6.4435 * CHOOSE(CONTROL!$C$15, $D$11, 100%, $F$11)</f>
        <v>6.4435000000000002</v>
      </c>
      <c r="G198" s="8">
        <f>5.6767 * CHOOSE( CONTROL!$C$15, $D$11, 100%, $F$11)</f>
        <v>5.6767000000000003</v>
      </c>
      <c r="H198" s="4">
        <f>6.5678 * CHOOSE(CONTROL!$C$15, $D$11, 100%, $F$11)</f>
        <v>6.5678000000000001</v>
      </c>
      <c r="I198" s="8">
        <f>5.6541 * CHOOSE(CONTROL!$C$15, $D$11, 100%, $F$11)</f>
        <v>5.6540999999999997</v>
      </c>
      <c r="J198" s="4">
        <f>5.5536 * CHOOSE(CONTROL!$C$15, $D$11, 100%, $F$11)</f>
        <v>5.5536000000000003</v>
      </c>
      <c r="K198" s="4"/>
      <c r="L198" s="9">
        <v>24.747800000000002</v>
      </c>
      <c r="M198" s="9">
        <v>10.8962</v>
      </c>
      <c r="N198" s="9">
        <v>4.4660000000000002</v>
      </c>
      <c r="O198" s="9">
        <v>0.33829999999999999</v>
      </c>
      <c r="P198" s="9">
        <v>1.1687000000000001</v>
      </c>
      <c r="Q198" s="9">
        <v>28.024100000000001</v>
      </c>
      <c r="R198" s="9"/>
      <c r="S198" s="11"/>
    </row>
    <row r="199" spans="1:19" ht="15.75">
      <c r="A199" s="13">
        <v>47908</v>
      </c>
      <c r="B199" s="8">
        <f>5.6463 * CHOOSE(CONTROL!$C$15, $D$11, 100%, $F$11)</f>
        <v>5.6463000000000001</v>
      </c>
      <c r="C199" s="8">
        <f>5.6566 * CHOOSE(CONTROL!$C$15, $D$11, 100%, $F$11)</f>
        <v>5.6566000000000001</v>
      </c>
      <c r="D199" s="8">
        <f>5.6367 * CHOOSE( CONTROL!$C$15, $D$11, 100%, $F$11)</f>
        <v>5.6367000000000003</v>
      </c>
      <c r="E199" s="12">
        <f>5.6429 * CHOOSE( CONTROL!$C$15, $D$11, 100%, $F$11)</f>
        <v>5.6429</v>
      </c>
      <c r="F199" s="4">
        <f>6.3052 * CHOOSE(CONTROL!$C$15, $D$11, 100%, $F$11)</f>
        <v>6.3052000000000001</v>
      </c>
      <c r="G199" s="8">
        <f>5.5357 * CHOOSE( CONTROL!$C$15, $D$11, 100%, $F$11)</f>
        <v>5.5357000000000003</v>
      </c>
      <c r="H199" s="4">
        <f>6.4317 * CHOOSE(CONTROL!$C$15, $D$11, 100%, $F$11)</f>
        <v>6.4317000000000002</v>
      </c>
      <c r="I199" s="8">
        <f>5.4963 * CHOOSE(CONTROL!$C$15, $D$11, 100%, $F$11)</f>
        <v>5.4962999999999997</v>
      </c>
      <c r="J199" s="4">
        <f>5.4354 * CHOOSE(CONTROL!$C$15, $D$11, 100%, $F$11)</f>
        <v>5.4353999999999996</v>
      </c>
      <c r="K199" s="4"/>
      <c r="L199" s="9">
        <v>27.3993</v>
      </c>
      <c r="M199" s="9">
        <v>12.063700000000001</v>
      </c>
      <c r="N199" s="9">
        <v>4.9444999999999997</v>
      </c>
      <c r="O199" s="9">
        <v>0.37459999999999999</v>
      </c>
      <c r="P199" s="9">
        <v>1.2939000000000001</v>
      </c>
      <c r="Q199" s="9">
        <v>31.026700000000002</v>
      </c>
      <c r="R199" s="9"/>
      <c r="S199" s="11"/>
    </row>
    <row r="200" spans="1:19" ht="15.75">
      <c r="A200" s="13">
        <v>47939</v>
      </c>
      <c r="B200" s="8">
        <f>5.7317 * CHOOSE(CONTROL!$C$15, $D$11, 100%, $F$11)</f>
        <v>5.7317</v>
      </c>
      <c r="C200" s="8">
        <f>5.7421 * CHOOSE(CONTROL!$C$15, $D$11, 100%, $F$11)</f>
        <v>5.7420999999999998</v>
      </c>
      <c r="D200" s="8">
        <f>5.7336 * CHOOSE( CONTROL!$C$15, $D$11, 100%, $F$11)</f>
        <v>5.7336</v>
      </c>
      <c r="E200" s="12">
        <f>5.7352 * CHOOSE( CONTROL!$C$15, $D$11, 100%, $F$11)</f>
        <v>5.7351999999999999</v>
      </c>
      <c r="F200" s="4">
        <f>6.3808 * CHOOSE(CONTROL!$C$15, $D$11, 100%, $F$11)</f>
        <v>6.3807999999999998</v>
      </c>
      <c r="G200" s="8">
        <f>5.6046 * CHOOSE( CONTROL!$C$15, $D$11, 100%, $F$11)</f>
        <v>5.6045999999999996</v>
      </c>
      <c r="H200" s="4">
        <f>6.5061 * CHOOSE(CONTROL!$C$15, $D$11, 100%, $F$11)</f>
        <v>6.5061</v>
      </c>
      <c r="I200" s="8">
        <f>5.5758 * CHOOSE(CONTROL!$C$15, $D$11, 100%, $F$11)</f>
        <v>5.5758000000000001</v>
      </c>
      <c r="J200" s="4">
        <f>5.518 * CHOOSE(CONTROL!$C$15, $D$11, 100%, $F$11)</f>
        <v>5.5179999999999998</v>
      </c>
      <c r="K200" s="4"/>
      <c r="L200" s="9">
        <v>27.988800000000001</v>
      </c>
      <c r="M200" s="9">
        <v>11.6745</v>
      </c>
      <c r="N200" s="9">
        <v>4.7850000000000001</v>
      </c>
      <c r="O200" s="9">
        <v>0.36249999999999999</v>
      </c>
      <c r="P200" s="9">
        <v>1.1798</v>
      </c>
      <c r="Q200" s="9">
        <v>30.0258</v>
      </c>
      <c r="R200" s="9"/>
      <c r="S200" s="11"/>
    </row>
    <row r="201" spans="1:19" ht="15.75">
      <c r="A201" s="13">
        <v>47969</v>
      </c>
      <c r="B201" s="8">
        <f>CHOOSE( CONTROL!$C$32, 5.8883, 5.8837) * CHOOSE(CONTROL!$C$15, $D$11, 100%, $F$11)</f>
        <v>5.8883000000000001</v>
      </c>
      <c r="C201" s="8">
        <f>CHOOSE( CONTROL!$C$32, 5.8986, 5.8941) * CHOOSE(CONTROL!$C$15, $D$11, 100%, $F$11)</f>
        <v>5.8986000000000001</v>
      </c>
      <c r="D201" s="8">
        <f>CHOOSE( CONTROL!$C$32, 5.9083, 5.9038) * CHOOSE( CONTROL!$C$15, $D$11, 100%, $F$11)</f>
        <v>5.9082999999999997</v>
      </c>
      <c r="E201" s="12">
        <f>CHOOSE( CONTROL!$C$32, 5.9032, 5.8987) * CHOOSE( CONTROL!$C$15, $D$11, 100%, $F$11)</f>
        <v>5.9032</v>
      </c>
      <c r="F201" s="4">
        <f>CHOOSE( CONTROL!$C$32, 6.5766, 6.572) * CHOOSE(CONTROL!$C$15, $D$11, 100%, $F$11)</f>
        <v>6.5766</v>
      </c>
      <c r="G201" s="8">
        <f>CHOOSE( CONTROL!$C$32, 5.7637, 5.7592) * CHOOSE( CONTROL!$C$15, $D$11, 100%, $F$11)</f>
        <v>5.7637</v>
      </c>
      <c r="H201" s="4">
        <f>CHOOSE( CONTROL!$C$32, 6.6987, 6.6942) * CHOOSE(CONTROL!$C$15, $D$11, 100%, $F$11)</f>
        <v>6.6986999999999997</v>
      </c>
      <c r="I201" s="8">
        <f>CHOOSE( CONTROL!$C$32, 5.7331, 5.7287) * CHOOSE(CONTROL!$C$15, $D$11, 100%, $F$11)</f>
        <v>5.7331000000000003</v>
      </c>
      <c r="J201" s="4">
        <f>CHOOSE( CONTROL!$C$32, 5.6694, 5.6651) * CHOOSE(CONTROL!$C$15, $D$11, 100%, $F$11)</f>
        <v>5.6694000000000004</v>
      </c>
      <c r="K201" s="4"/>
      <c r="L201" s="9">
        <v>29.520499999999998</v>
      </c>
      <c r="M201" s="9">
        <v>12.063700000000001</v>
      </c>
      <c r="N201" s="9">
        <v>4.9444999999999997</v>
      </c>
      <c r="O201" s="9">
        <v>0.37459999999999999</v>
      </c>
      <c r="P201" s="9">
        <v>1.2192000000000001</v>
      </c>
      <c r="Q201" s="9">
        <v>31.026700000000002</v>
      </c>
      <c r="R201" s="9"/>
      <c r="S201" s="11"/>
    </row>
    <row r="202" spans="1:19" ht="15.75">
      <c r="A202" s="13">
        <v>48000</v>
      </c>
      <c r="B202" s="8">
        <f>CHOOSE( CONTROL!$C$32, 5.7941, 5.7896) * CHOOSE(CONTROL!$C$15, $D$11, 100%, $F$11)</f>
        <v>5.7941000000000003</v>
      </c>
      <c r="C202" s="8">
        <f>CHOOSE( CONTROL!$C$32, 5.8044, 5.7999) * CHOOSE(CONTROL!$C$15, $D$11, 100%, $F$11)</f>
        <v>5.8044000000000002</v>
      </c>
      <c r="D202" s="8">
        <f>CHOOSE( CONTROL!$C$32, 5.8147, 5.8102) * CHOOSE( CONTROL!$C$15, $D$11, 100%, $F$11)</f>
        <v>5.8147000000000002</v>
      </c>
      <c r="E202" s="12">
        <f>CHOOSE( CONTROL!$C$32, 5.8094, 5.8049) * CHOOSE( CONTROL!$C$15, $D$11, 100%, $F$11)</f>
        <v>5.8094000000000001</v>
      </c>
      <c r="F202" s="4">
        <f>CHOOSE( CONTROL!$C$32, 6.4824, 6.4779) * CHOOSE(CONTROL!$C$15, $D$11, 100%, $F$11)</f>
        <v>6.4824000000000002</v>
      </c>
      <c r="G202" s="8">
        <f>CHOOSE( CONTROL!$C$32, 5.6719, 5.6675) * CHOOSE( CONTROL!$C$15, $D$11, 100%, $F$11)</f>
        <v>5.6718999999999999</v>
      </c>
      <c r="H202" s="4">
        <f>CHOOSE( CONTROL!$C$32, 6.606, 6.6016) * CHOOSE(CONTROL!$C$15, $D$11, 100%, $F$11)</f>
        <v>6.6059999999999999</v>
      </c>
      <c r="I202" s="8">
        <f>CHOOSE( CONTROL!$C$32, 5.6449, 5.6406) * CHOOSE(CONTROL!$C$15, $D$11, 100%, $F$11)</f>
        <v>5.6448999999999998</v>
      </c>
      <c r="J202" s="4">
        <f>CHOOSE( CONTROL!$C$32, 5.5784, 5.574) * CHOOSE(CONTROL!$C$15, $D$11, 100%, $F$11)</f>
        <v>5.5784000000000002</v>
      </c>
      <c r="K202" s="4"/>
      <c r="L202" s="9">
        <v>28.568200000000001</v>
      </c>
      <c r="M202" s="9">
        <v>11.6745</v>
      </c>
      <c r="N202" s="9">
        <v>4.7850000000000001</v>
      </c>
      <c r="O202" s="9">
        <v>0.36249999999999999</v>
      </c>
      <c r="P202" s="9">
        <v>1.1798</v>
      </c>
      <c r="Q202" s="9">
        <v>30.0258</v>
      </c>
      <c r="R202" s="9"/>
      <c r="S202" s="11"/>
    </row>
    <row r="203" spans="1:19" ht="15.75">
      <c r="A203" s="13">
        <v>48030</v>
      </c>
      <c r="B203" s="8">
        <f>CHOOSE( CONTROL!$C$32, 6.0421, 6.0376) * CHOOSE(CONTROL!$C$15, $D$11, 100%, $F$11)</f>
        <v>6.0420999999999996</v>
      </c>
      <c r="C203" s="8">
        <f>CHOOSE( CONTROL!$C$32, 6.0524, 6.0479) * CHOOSE(CONTROL!$C$15, $D$11, 100%, $F$11)</f>
        <v>6.0523999999999996</v>
      </c>
      <c r="D203" s="8">
        <f>CHOOSE( CONTROL!$C$32, 6.0633, 6.0588) * CHOOSE( CONTROL!$C$15, $D$11, 100%, $F$11)</f>
        <v>6.0632999999999999</v>
      </c>
      <c r="E203" s="12">
        <f>CHOOSE( CONTROL!$C$32, 6.0578, 6.0533) * CHOOSE( CONTROL!$C$15, $D$11, 100%, $F$11)</f>
        <v>6.0578000000000003</v>
      </c>
      <c r="F203" s="4">
        <f>CHOOSE( CONTROL!$C$32, 6.7304, 6.7259) * CHOOSE(CONTROL!$C$15, $D$11, 100%, $F$11)</f>
        <v>6.7304000000000004</v>
      </c>
      <c r="G203" s="8">
        <f>CHOOSE( CONTROL!$C$32, 5.9168, 5.9123) * CHOOSE( CONTROL!$C$15, $D$11, 100%, $F$11)</f>
        <v>5.9168000000000003</v>
      </c>
      <c r="H203" s="4">
        <f>CHOOSE( CONTROL!$C$32, 6.85, 6.8456) * CHOOSE(CONTROL!$C$15, $D$11, 100%, $F$11)</f>
        <v>6.85</v>
      </c>
      <c r="I203" s="8">
        <f>CHOOSE( CONTROL!$C$32, 5.8876, 5.8832) * CHOOSE(CONTROL!$C$15, $D$11, 100%, $F$11)</f>
        <v>5.8875999999999999</v>
      </c>
      <c r="J203" s="4">
        <f>CHOOSE( CONTROL!$C$32, 5.8182, 5.8138) * CHOOSE(CONTROL!$C$15, $D$11, 100%, $F$11)</f>
        <v>5.8182</v>
      </c>
      <c r="K203" s="4"/>
      <c r="L203" s="9">
        <v>29.520499999999998</v>
      </c>
      <c r="M203" s="9">
        <v>12.063700000000001</v>
      </c>
      <c r="N203" s="9">
        <v>4.9444999999999997</v>
      </c>
      <c r="O203" s="9">
        <v>0.37459999999999999</v>
      </c>
      <c r="P203" s="9">
        <v>1.2192000000000001</v>
      </c>
      <c r="Q203" s="9">
        <v>31.026700000000002</v>
      </c>
      <c r="R203" s="9"/>
      <c r="S203" s="11"/>
    </row>
    <row r="204" spans="1:19" ht="15.75">
      <c r="A204" s="13">
        <v>48061</v>
      </c>
      <c r="B204" s="8">
        <f>CHOOSE( CONTROL!$C$32, 5.578, 5.5735) * CHOOSE(CONTROL!$C$15, $D$11, 100%, $F$11)</f>
        <v>5.5780000000000003</v>
      </c>
      <c r="C204" s="8">
        <f>CHOOSE( CONTROL!$C$32, 5.5884, 5.5839) * CHOOSE(CONTROL!$C$15, $D$11, 100%, $F$11)</f>
        <v>5.5884</v>
      </c>
      <c r="D204" s="8">
        <f>CHOOSE( CONTROL!$C$32, 5.5996, 5.595) * CHOOSE( CONTROL!$C$15, $D$11, 100%, $F$11)</f>
        <v>5.5995999999999997</v>
      </c>
      <c r="E204" s="12">
        <f>CHOOSE( CONTROL!$C$32, 5.594, 5.5894) * CHOOSE( CONTROL!$C$15, $D$11, 100%, $F$11)</f>
        <v>5.5940000000000003</v>
      </c>
      <c r="F204" s="4">
        <f>CHOOSE( CONTROL!$C$32, 6.2663, 6.2618) * CHOOSE(CONTROL!$C$15, $D$11, 100%, $F$11)</f>
        <v>6.2663000000000002</v>
      </c>
      <c r="G204" s="8">
        <f>CHOOSE( CONTROL!$C$32, 5.4607, 5.4562) * CHOOSE( CONTROL!$C$15, $D$11, 100%, $F$11)</f>
        <v>5.4607000000000001</v>
      </c>
      <c r="H204" s="4">
        <f>CHOOSE( CONTROL!$C$32, 6.3935, 6.389) * CHOOSE(CONTROL!$C$15, $D$11, 100%, $F$11)</f>
        <v>6.3935000000000004</v>
      </c>
      <c r="I204" s="8">
        <f>CHOOSE( CONTROL!$C$32, 5.44, 5.4356) * CHOOSE(CONTROL!$C$15, $D$11, 100%, $F$11)</f>
        <v>5.44</v>
      </c>
      <c r="J204" s="4">
        <f>CHOOSE( CONTROL!$C$32, 5.3694, 5.365) * CHOOSE(CONTROL!$C$15, $D$11, 100%, $F$11)</f>
        <v>5.3693999999999997</v>
      </c>
      <c r="K204" s="4"/>
      <c r="L204" s="9">
        <v>29.520499999999998</v>
      </c>
      <c r="M204" s="9">
        <v>12.063700000000001</v>
      </c>
      <c r="N204" s="9">
        <v>4.9444999999999997</v>
      </c>
      <c r="O204" s="9">
        <v>0.37459999999999999</v>
      </c>
      <c r="P204" s="9">
        <v>1.2192000000000001</v>
      </c>
      <c r="Q204" s="9">
        <v>31.026700000000002</v>
      </c>
      <c r="R204" s="9"/>
      <c r="S204" s="11"/>
    </row>
    <row r="205" spans="1:19" ht="15.75">
      <c r="A205" s="13">
        <v>48092</v>
      </c>
      <c r="B205" s="8">
        <f>CHOOSE( CONTROL!$C$32, 5.4618, 5.4573) * CHOOSE(CONTROL!$C$15, $D$11, 100%, $F$11)</f>
        <v>5.4618000000000002</v>
      </c>
      <c r="C205" s="8">
        <f>CHOOSE( CONTROL!$C$32, 5.4722, 5.4677) * CHOOSE(CONTROL!$C$15, $D$11, 100%, $F$11)</f>
        <v>5.4722</v>
      </c>
      <c r="D205" s="8">
        <f>CHOOSE( CONTROL!$C$32, 5.4834, 5.4789) * CHOOSE( CONTROL!$C$15, $D$11, 100%, $F$11)</f>
        <v>5.4833999999999996</v>
      </c>
      <c r="E205" s="12">
        <f>CHOOSE( CONTROL!$C$32, 5.4778, 5.4733) * CHOOSE( CONTROL!$C$15, $D$11, 100%, $F$11)</f>
        <v>5.4778000000000002</v>
      </c>
      <c r="F205" s="4">
        <f>CHOOSE( CONTROL!$C$32, 6.1501, 6.1456) * CHOOSE(CONTROL!$C$15, $D$11, 100%, $F$11)</f>
        <v>6.1501000000000001</v>
      </c>
      <c r="G205" s="8">
        <f>CHOOSE( CONTROL!$C$32, 5.3465, 5.342) * CHOOSE( CONTROL!$C$15, $D$11, 100%, $F$11)</f>
        <v>5.3464999999999998</v>
      </c>
      <c r="H205" s="4">
        <f>CHOOSE( CONTROL!$C$32, 6.2792, 6.2747) * CHOOSE(CONTROL!$C$15, $D$11, 100%, $F$11)</f>
        <v>6.2792000000000003</v>
      </c>
      <c r="I205" s="8">
        <f>CHOOSE( CONTROL!$C$32, 5.328, 5.3236) * CHOOSE(CONTROL!$C$15, $D$11, 100%, $F$11)</f>
        <v>5.3280000000000003</v>
      </c>
      <c r="J205" s="4">
        <f>CHOOSE( CONTROL!$C$32, 5.257, 5.2527) * CHOOSE(CONTROL!$C$15, $D$11, 100%, $F$11)</f>
        <v>5.2569999999999997</v>
      </c>
      <c r="K205" s="4"/>
      <c r="L205" s="9">
        <v>28.568200000000001</v>
      </c>
      <c r="M205" s="9">
        <v>11.6745</v>
      </c>
      <c r="N205" s="9">
        <v>4.7850000000000001</v>
      </c>
      <c r="O205" s="9">
        <v>0.36249999999999999</v>
      </c>
      <c r="P205" s="9">
        <v>1.1798</v>
      </c>
      <c r="Q205" s="9">
        <v>30.0258</v>
      </c>
      <c r="R205" s="9"/>
      <c r="S205" s="11"/>
    </row>
    <row r="206" spans="1:19" ht="15.75">
      <c r="A206" s="13">
        <v>48122</v>
      </c>
      <c r="B206" s="8">
        <f>5.6986 * CHOOSE(CONTROL!$C$15, $D$11, 100%, $F$11)</f>
        <v>5.6985999999999999</v>
      </c>
      <c r="C206" s="8">
        <f>5.7089 * CHOOSE(CONTROL!$C$15, $D$11, 100%, $F$11)</f>
        <v>5.7088999999999999</v>
      </c>
      <c r="D206" s="8">
        <f>5.7214 * CHOOSE( CONTROL!$C$15, $D$11, 100%, $F$11)</f>
        <v>5.7214</v>
      </c>
      <c r="E206" s="12">
        <f>5.7162 * CHOOSE( CONTROL!$C$15, $D$11, 100%, $F$11)</f>
        <v>5.7161999999999997</v>
      </c>
      <c r="F206" s="4">
        <f>6.3869 * CHOOSE(CONTROL!$C$15, $D$11, 100%, $F$11)</f>
        <v>6.3868999999999998</v>
      </c>
      <c r="G206" s="8">
        <f>5.5789 * CHOOSE( CONTROL!$C$15, $D$11, 100%, $F$11)</f>
        <v>5.5789</v>
      </c>
      <c r="H206" s="4">
        <f>6.5121 * CHOOSE(CONTROL!$C$15, $D$11, 100%, $F$11)</f>
        <v>6.5121000000000002</v>
      </c>
      <c r="I206" s="8">
        <f>5.5584 * CHOOSE(CONTROL!$C$15, $D$11, 100%, $F$11)</f>
        <v>5.5583999999999998</v>
      </c>
      <c r="J206" s="4">
        <f>5.486 * CHOOSE(CONTROL!$C$15, $D$11, 100%, $F$11)</f>
        <v>5.4859999999999998</v>
      </c>
      <c r="K206" s="4"/>
      <c r="L206" s="9">
        <v>28.921800000000001</v>
      </c>
      <c r="M206" s="9">
        <v>12.063700000000001</v>
      </c>
      <c r="N206" s="9">
        <v>4.9444999999999997</v>
      </c>
      <c r="O206" s="9">
        <v>0.37459999999999999</v>
      </c>
      <c r="P206" s="9">
        <v>1.2192000000000001</v>
      </c>
      <c r="Q206" s="9">
        <v>31.026700000000002</v>
      </c>
      <c r="R206" s="9"/>
      <c r="S206" s="11"/>
    </row>
    <row r="207" spans="1:19" ht="15.75">
      <c r="A207" s="13">
        <v>48153</v>
      </c>
      <c r="B207" s="8">
        <f>6.144 * CHOOSE(CONTROL!$C$15, $D$11, 100%, $F$11)</f>
        <v>6.1440000000000001</v>
      </c>
      <c r="C207" s="8">
        <f>6.1543 * CHOOSE(CONTROL!$C$15, $D$11, 100%, $F$11)</f>
        <v>6.1543000000000001</v>
      </c>
      <c r="D207" s="8">
        <f>6.1403 * CHOOSE( CONTROL!$C$15, $D$11, 100%, $F$11)</f>
        <v>6.1402999999999999</v>
      </c>
      <c r="E207" s="12">
        <f>6.1443 * CHOOSE( CONTROL!$C$15, $D$11, 100%, $F$11)</f>
        <v>6.1443000000000003</v>
      </c>
      <c r="F207" s="4">
        <f>6.7982 * CHOOSE(CONTROL!$C$15, $D$11, 100%, $F$11)</f>
        <v>6.7981999999999996</v>
      </c>
      <c r="G207" s="8">
        <f>6.0342 * CHOOSE( CONTROL!$C$15, $D$11, 100%, $F$11)</f>
        <v>6.0342000000000002</v>
      </c>
      <c r="H207" s="4">
        <f>6.9168 * CHOOSE(CONTROL!$C$15, $D$11, 100%, $F$11)</f>
        <v>6.9168000000000003</v>
      </c>
      <c r="I207" s="8">
        <f>6.0223 * CHOOSE(CONTROL!$C$15, $D$11, 100%, $F$11)</f>
        <v>6.0223000000000004</v>
      </c>
      <c r="J207" s="4">
        <f>5.9167 * CHOOSE(CONTROL!$C$15, $D$11, 100%, $F$11)</f>
        <v>5.9166999999999996</v>
      </c>
      <c r="K207" s="4"/>
      <c r="L207" s="9">
        <v>26.515499999999999</v>
      </c>
      <c r="M207" s="9">
        <v>11.6745</v>
      </c>
      <c r="N207" s="9">
        <v>4.7850000000000001</v>
      </c>
      <c r="O207" s="9">
        <v>0.36249999999999999</v>
      </c>
      <c r="P207" s="9">
        <v>1.2522</v>
      </c>
      <c r="Q207" s="9">
        <v>30.0258</v>
      </c>
      <c r="R207" s="9"/>
      <c r="S207" s="11"/>
    </row>
    <row r="208" spans="1:19" ht="15.75">
      <c r="A208" s="13">
        <v>48183</v>
      </c>
      <c r="B208" s="8">
        <f>6.1328 * CHOOSE(CONTROL!$C$15, $D$11, 100%, $F$11)</f>
        <v>6.1327999999999996</v>
      </c>
      <c r="C208" s="8">
        <f>6.1432 * CHOOSE(CONTROL!$C$15, $D$11, 100%, $F$11)</f>
        <v>6.1432000000000002</v>
      </c>
      <c r="D208" s="8">
        <f>6.1317 * CHOOSE( CONTROL!$C$15, $D$11, 100%, $F$11)</f>
        <v>6.1317000000000004</v>
      </c>
      <c r="E208" s="12">
        <f>6.1348 * CHOOSE( CONTROL!$C$15, $D$11, 100%, $F$11)</f>
        <v>6.1348000000000003</v>
      </c>
      <c r="F208" s="4">
        <f>6.7871 * CHOOSE(CONTROL!$C$15, $D$11, 100%, $F$11)</f>
        <v>6.7870999999999997</v>
      </c>
      <c r="G208" s="8">
        <f>6.0251 * CHOOSE( CONTROL!$C$15, $D$11, 100%, $F$11)</f>
        <v>6.0251000000000001</v>
      </c>
      <c r="H208" s="4">
        <f>6.9058 * CHOOSE(CONTROL!$C$15, $D$11, 100%, $F$11)</f>
        <v>6.9058000000000002</v>
      </c>
      <c r="I208" s="8">
        <f>6.0195 * CHOOSE(CONTROL!$C$15, $D$11, 100%, $F$11)</f>
        <v>6.0194999999999999</v>
      </c>
      <c r="J208" s="4">
        <f>5.906 * CHOOSE(CONTROL!$C$15, $D$11, 100%, $F$11)</f>
        <v>5.9059999999999997</v>
      </c>
      <c r="K208" s="4"/>
      <c r="L208" s="9">
        <v>27.3993</v>
      </c>
      <c r="M208" s="9">
        <v>12.063700000000001</v>
      </c>
      <c r="N208" s="9">
        <v>4.9444999999999997</v>
      </c>
      <c r="O208" s="9">
        <v>0.37459999999999999</v>
      </c>
      <c r="P208" s="9">
        <v>1.2939000000000001</v>
      </c>
      <c r="Q208" s="9">
        <v>31.026700000000002</v>
      </c>
      <c r="R208" s="9"/>
      <c r="S208" s="11"/>
    </row>
    <row r="209" spans="1:19" ht="15.75">
      <c r="A209" s="13">
        <v>48214</v>
      </c>
      <c r="B209" s="8">
        <f>6.2882 * CHOOSE(CONTROL!$C$15, $D$11, 100%, $F$11)</f>
        <v>6.2881999999999998</v>
      </c>
      <c r="C209" s="8">
        <f>6.2986 * CHOOSE(CONTROL!$C$15, $D$11, 100%, $F$11)</f>
        <v>6.2986000000000004</v>
      </c>
      <c r="D209" s="8">
        <f>6.297 * CHOOSE( CONTROL!$C$15, $D$11, 100%, $F$11)</f>
        <v>6.2969999999999997</v>
      </c>
      <c r="E209" s="12">
        <f>6.2965 * CHOOSE( CONTROL!$C$15, $D$11, 100%, $F$11)</f>
        <v>6.2965</v>
      </c>
      <c r="F209" s="4">
        <f>6.9709 * CHOOSE(CONTROL!$C$15, $D$11, 100%, $F$11)</f>
        <v>6.9709000000000003</v>
      </c>
      <c r="G209" s="8">
        <f>6.1883 * CHOOSE( CONTROL!$C$15, $D$11, 100%, $F$11)</f>
        <v>6.1882999999999999</v>
      </c>
      <c r="H209" s="4">
        <f>7.0867 * CHOOSE(CONTROL!$C$15, $D$11, 100%, $F$11)</f>
        <v>7.0867000000000004</v>
      </c>
      <c r="I209" s="8">
        <f>6.1679 * CHOOSE(CONTROL!$C$15, $D$11, 100%, $F$11)</f>
        <v>6.1679000000000004</v>
      </c>
      <c r="J209" s="4">
        <f>6.0562 * CHOOSE(CONTROL!$C$15, $D$11, 100%, $F$11)</f>
        <v>6.0561999999999996</v>
      </c>
      <c r="K209" s="4"/>
      <c r="L209" s="9">
        <v>27.3993</v>
      </c>
      <c r="M209" s="9">
        <v>12.063700000000001</v>
      </c>
      <c r="N209" s="9">
        <v>4.9444999999999997</v>
      </c>
      <c r="O209" s="9">
        <v>0.37459999999999999</v>
      </c>
      <c r="P209" s="9">
        <v>1.2939000000000001</v>
      </c>
      <c r="Q209" s="9">
        <v>30.8704</v>
      </c>
      <c r="R209" s="9"/>
      <c r="S209" s="11"/>
    </row>
    <row r="210" spans="1:19" ht="15.75">
      <c r="A210" s="13">
        <v>48245</v>
      </c>
      <c r="B210" s="8">
        <f>5.8834 * CHOOSE(CONTROL!$C$15, $D$11, 100%, $F$11)</f>
        <v>5.8834</v>
      </c>
      <c r="C210" s="8">
        <f>5.8937 * CHOOSE(CONTROL!$C$15, $D$11, 100%, $F$11)</f>
        <v>5.8936999999999999</v>
      </c>
      <c r="D210" s="8">
        <f>5.8943 * CHOOSE( CONTROL!$C$15, $D$11, 100%, $F$11)</f>
        <v>5.8943000000000003</v>
      </c>
      <c r="E210" s="12">
        <f>5.893 * CHOOSE( CONTROL!$C$15, $D$11, 100%, $F$11)</f>
        <v>5.8929999999999998</v>
      </c>
      <c r="F210" s="4">
        <f>6.5583 * CHOOSE(CONTROL!$C$15, $D$11, 100%, $F$11)</f>
        <v>6.5583</v>
      </c>
      <c r="G210" s="8">
        <f>5.7897 * CHOOSE( CONTROL!$C$15, $D$11, 100%, $F$11)</f>
        <v>5.7896999999999998</v>
      </c>
      <c r="H210" s="4">
        <f>6.6808 * CHOOSE(CONTROL!$C$15, $D$11, 100%, $F$11)</f>
        <v>6.6807999999999996</v>
      </c>
      <c r="I210" s="8">
        <f>5.7652 * CHOOSE(CONTROL!$C$15, $D$11, 100%, $F$11)</f>
        <v>5.7652000000000001</v>
      </c>
      <c r="J210" s="4">
        <f>5.6647 * CHOOSE(CONTROL!$C$15, $D$11, 100%, $F$11)</f>
        <v>5.6646999999999998</v>
      </c>
      <c r="K210" s="4"/>
      <c r="L210" s="9">
        <v>25.631599999999999</v>
      </c>
      <c r="M210" s="9">
        <v>11.285299999999999</v>
      </c>
      <c r="N210" s="9">
        <v>4.6254999999999997</v>
      </c>
      <c r="O210" s="9">
        <v>0.35039999999999999</v>
      </c>
      <c r="P210" s="9">
        <v>1.2104999999999999</v>
      </c>
      <c r="Q210" s="9">
        <v>28.878799999999998</v>
      </c>
      <c r="R210" s="9"/>
      <c r="S210" s="11"/>
    </row>
    <row r="211" spans="1:19" ht="15.75">
      <c r="A211" s="13">
        <v>48274</v>
      </c>
      <c r="B211" s="8">
        <f>5.7587 * CHOOSE(CONTROL!$C$15, $D$11, 100%, $F$11)</f>
        <v>5.7587000000000002</v>
      </c>
      <c r="C211" s="8">
        <f>5.769 * CHOOSE(CONTROL!$C$15, $D$11, 100%, $F$11)</f>
        <v>5.7690000000000001</v>
      </c>
      <c r="D211" s="8">
        <f>5.7491 * CHOOSE( CONTROL!$C$15, $D$11, 100%, $F$11)</f>
        <v>5.7491000000000003</v>
      </c>
      <c r="E211" s="12">
        <f>5.7553 * CHOOSE( CONTROL!$C$15, $D$11, 100%, $F$11)</f>
        <v>5.7553000000000001</v>
      </c>
      <c r="F211" s="4">
        <f>6.4176 * CHOOSE(CONTROL!$C$15, $D$11, 100%, $F$11)</f>
        <v>6.4176000000000002</v>
      </c>
      <c r="G211" s="8">
        <f>5.6463 * CHOOSE( CONTROL!$C$15, $D$11, 100%, $F$11)</f>
        <v>5.6463000000000001</v>
      </c>
      <c r="H211" s="4">
        <f>6.5423 * CHOOSE(CONTROL!$C$15, $D$11, 100%, $F$11)</f>
        <v>6.5423</v>
      </c>
      <c r="I211" s="8">
        <f>5.605 * CHOOSE(CONTROL!$C$15, $D$11, 100%, $F$11)</f>
        <v>5.6050000000000004</v>
      </c>
      <c r="J211" s="4">
        <f>5.5441 * CHOOSE(CONTROL!$C$15, $D$11, 100%, $F$11)</f>
        <v>5.5441000000000003</v>
      </c>
      <c r="K211" s="4"/>
      <c r="L211" s="9">
        <v>27.3993</v>
      </c>
      <c r="M211" s="9">
        <v>12.063700000000001</v>
      </c>
      <c r="N211" s="9">
        <v>4.9444999999999997</v>
      </c>
      <c r="O211" s="9">
        <v>0.37459999999999999</v>
      </c>
      <c r="P211" s="9">
        <v>1.2939000000000001</v>
      </c>
      <c r="Q211" s="9">
        <v>30.8704</v>
      </c>
      <c r="R211" s="9"/>
      <c r="S211" s="11"/>
    </row>
    <row r="212" spans="1:19" ht="15.75">
      <c r="A212" s="13">
        <v>48305</v>
      </c>
      <c r="B212" s="8">
        <f>5.8458 * CHOOSE(CONTROL!$C$15, $D$11, 100%, $F$11)</f>
        <v>5.8457999999999997</v>
      </c>
      <c r="C212" s="8">
        <f>5.8562 * CHOOSE(CONTROL!$C$15, $D$11, 100%, $F$11)</f>
        <v>5.8562000000000003</v>
      </c>
      <c r="D212" s="8">
        <f>5.8477 * CHOOSE( CONTROL!$C$15, $D$11, 100%, $F$11)</f>
        <v>5.8476999999999997</v>
      </c>
      <c r="E212" s="12">
        <f>5.8493 * CHOOSE( CONTROL!$C$15, $D$11, 100%, $F$11)</f>
        <v>5.8493000000000004</v>
      </c>
      <c r="F212" s="4">
        <f>6.4949 * CHOOSE(CONTROL!$C$15, $D$11, 100%, $F$11)</f>
        <v>6.4949000000000003</v>
      </c>
      <c r="G212" s="8">
        <f>5.7168 * CHOOSE( CONTROL!$C$15, $D$11, 100%, $F$11)</f>
        <v>5.7168000000000001</v>
      </c>
      <c r="H212" s="4">
        <f>6.6184 * CHOOSE(CONTROL!$C$15, $D$11, 100%, $F$11)</f>
        <v>6.6184000000000003</v>
      </c>
      <c r="I212" s="8">
        <f>5.6862 * CHOOSE(CONTROL!$C$15, $D$11, 100%, $F$11)</f>
        <v>5.6862000000000004</v>
      </c>
      <c r="J212" s="4">
        <f>5.6284 * CHOOSE(CONTROL!$C$15, $D$11, 100%, $F$11)</f>
        <v>5.6284000000000001</v>
      </c>
      <c r="K212" s="4"/>
      <c r="L212" s="9">
        <v>27.988800000000001</v>
      </c>
      <c r="M212" s="9">
        <v>11.6745</v>
      </c>
      <c r="N212" s="9">
        <v>4.7850000000000001</v>
      </c>
      <c r="O212" s="9">
        <v>0.36249999999999999</v>
      </c>
      <c r="P212" s="9">
        <v>1.1798</v>
      </c>
      <c r="Q212" s="9">
        <v>29.874600000000001</v>
      </c>
      <c r="R212" s="9"/>
      <c r="S212" s="11"/>
    </row>
    <row r="213" spans="1:19" ht="15.75">
      <c r="A213" s="13">
        <v>48335</v>
      </c>
      <c r="B213" s="8">
        <f>CHOOSE( CONTROL!$C$32, 6.0054, 6.0009) * CHOOSE(CONTROL!$C$15, $D$11, 100%, $F$11)</f>
        <v>6.0053999999999998</v>
      </c>
      <c r="C213" s="8">
        <f>CHOOSE( CONTROL!$C$32, 6.0158, 6.0112) * CHOOSE(CONTROL!$C$15, $D$11, 100%, $F$11)</f>
        <v>6.0157999999999996</v>
      </c>
      <c r="D213" s="8">
        <f>CHOOSE( CONTROL!$C$32, 6.0255, 6.0209) * CHOOSE( CONTROL!$C$15, $D$11, 100%, $F$11)</f>
        <v>6.0255000000000001</v>
      </c>
      <c r="E213" s="12">
        <f>CHOOSE( CONTROL!$C$32, 6.0204, 6.0158) * CHOOSE( CONTROL!$C$15, $D$11, 100%, $F$11)</f>
        <v>6.0204000000000004</v>
      </c>
      <c r="F213" s="4">
        <f>CHOOSE( CONTROL!$C$32, 6.6937, 6.6892) * CHOOSE(CONTROL!$C$15, $D$11, 100%, $F$11)</f>
        <v>6.6936999999999998</v>
      </c>
      <c r="G213" s="8">
        <f>CHOOSE( CONTROL!$C$32, 5.8789, 5.8745) * CHOOSE( CONTROL!$C$15, $D$11, 100%, $F$11)</f>
        <v>5.8788999999999998</v>
      </c>
      <c r="H213" s="4">
        <f>CHOOSE( CONTROL!$C$32, 6.814, 6.8095) * CHOOSE(CONTROL!$C$15, $D$11, 100%, $F$11)</f>
        <v>6.8140000000000001</v>
      </c>
      <c r="I213" s="8">
        <f>CHOOSE( CONTROL!$C$32, 5.8465, 5.8421) * CHOOSE(CONTROL!$C$15, $D$11, 100%, $F$11)</f>
        <v>5.8464999999999998</v>
      </c>
      <c r="J213" s="4">
        <f>CHOOSE( CONTROL!$C$32, 5.7827, 5.7784) * CHOOSE(CONTROL!$C$15, $D$11, 100%, $F$11)</f>
        <v>5.7827000000000002</v>
      </c>
      <c r="K213" s="4"/>
      <c r="L213" s="9">
        <v>29.520499999999998</v>
      </c>
      <c r="M213" s="9">
        <v>12.063700000000001</v>
      </c>
      <c r="N213" s="9">
        <v>4.9444999999999997</v>
      </c>
      <c r="O213" s="9">
        <v>0.37459999999999999</v>
      </c>
      <c r="P213" s="9">
        <v>1.2192000000000001</v>
      </c>
      <c r="Q213" s="9">
        <v>30.8704</v>
      </c>
      <c r="R213" s="9"/>
      <c r="S213" s="11"/>
    </row>
    <row r="214" spans="1:19" ht="15.75">
      <c r="A214" s="13">
        <v>48366</v>
      </c>
      <c r="B214" s="8">
        <f>CHOOSE( CONTROL!$C$32, 5.9094, 5.9048) * CHOOSE(CONTROL!$C$15, $D$11, 100%, $F$11)</f>
        <v>5.9093999999999998</v>
      </c>
      <c r="C214" s="8">
        <f>CHOOSE( CONTROL!$C$32, 5.9197, 5.9152) * CHOOSE(CONTROL!$C$15, $D$11, 100%, $F$11)</f>
        <v>5.9196999999999997</v>
      </c>
      <c r="D214" s="8">
        <f>CHOOSE( CONTROL!$C$32, 5.93, 5.9255) * CHOOSE( CONTROL!$C$15, $D$11, 100%, $F$11)</f>
        <v>5.93</v>
      </c>
      <c r="E214" s="12">
        <f>CHOOSE( CONTROL!$C$32, 5.9247, 5.9202) * CHOOSE( CONTROL!$C$15, $D$11, 100%, $F$11)</f>
        <v>5.9246999999999996</v>
      </c>
      <c r="F214" s="4">
        <f>CHOOSE( CONTROL!$C$32, 6.5977, 6.5931) * CHOOSE(CONTROL!$C$15, $D$11, 100%, $F$11)</f>
        <v>6.5976999999999997</v>
      </c>
      <c r="G214" s="8">
        <f>CHOOSE( CONTROL!$C$32, 5.7853, 5.7809) * CHOOSE( CONTROL!$C$15, $D$11, 100%, $F$11)</f>
        <v>5.7853000000000003</v>
      </c>
      <c r="H214" s="4">
        <f>CHOOSE( CONTROL!$C$32, 6.7194, 6.715) * CHOOSE(CONTROL!$C$15, $D$11, 100%, $F$11)</f>
        <v>6.7194000000000003</v>
      </c>
      <c r="I214" s="8">
        <f>CHOOSE( CONTROL!$C$32, 5.7565, 5.7521) * CHOOSE(CONTROL!$C$15, $D$11, 100%, $F$11)</f>
        <v>5.7565</v>
      </c>
      <c r="J214" s="4">
        <f>CHOOSE( CONTROL!$C$32, 5.6898, 5.6855) * CHOOSE(CONTROL!$C$15, $D$11, 100%, $F$11)</f>
        <v>5.6898</v>
      </c>
      <c r="K214" s="4"/>
      <c r="L214" s="9">
        <v>28.568200000000001</v>
      </c>
      <c r="M214" s="9">
        <v>11.6745</v>
      </c>
      <c r="N214" s="9">
        <v>4.7850000000000001</v>
      </c>
      <c r="O214" s="9">
        <v>0.36249999999999999</v>
      </c>
      <c r="P214" s="9">
        <v>1.1798</v>
      </c>
      <c r="Q214" s="9">
        <v>29.874600000000001</v>
      </c>
      <c r="R214" s="9"/>
      <c r="S214" s="11"/>
    </row>
    <row r="215" spans="1:19" ht="15.75">
      <c r="A215" s="13">
        <v>48396</v>
      </c>
      <c r="B215" s="8">
        <f>CHOOSE( CONTROL!$C$32, 6.1623, 6.1578) * CHOOSE(CONTROL!$C$15, $D$11, 100%, $F$11)</f>
        <v>6.1623000000000001</v>
      </c>
      <c r="C215" s="8">
        <f>CHOOSE( CONTROL!$C$32, 6.1727, 6.1681) * CHOOSE(CONTROL!$C$15, $D$11, 100%, $F$11)</f>
        <v>6.1726999999999999</v>
      </c>
      <c r="D215" s="8">
        <f>CHOOSE( CONTROL!$C$32, 6.1835, 6.179) * CHOOSE( CONTROL!$C$15, $D$11, 100%, $F$11)</f>
        <v>6.1835000000000004</v>
      </c>
      <c r="E215" s="12">
        <f>CHOOSE( CONTROL!$C$32, 6.178, 6.1735) * CHOOSE( CONTROL!$C$15, $D$11, 100%, $F$11)</f>
        <v>6.1779999999999999</v>
      </c>
      <c r="F215" s="4">
        <f>CHOOSE( CONTROL!$C$32, 6.8506, 6.8461) * CHOOSE(CONTROL!$C$15, $D$11, 100%, $F$11)</f>
        <v>6.8506</v>
      </c>
      <c r="G215" s="8">
        <f>CHOOSE( CONTROL!$C$32, 6.0351, 6.0306) * CHOOSE( CONTROL!$C$15, $D$11, 100%, $F$11)</f>
        <v>6.0350999999999999</v>
      </c>
      <c r="H215" s="4">
        <f>CHOOSE( CONTROL!$C$32, 6.9683, 6.9639) * CHOOSE(CONTROL!$C$15, $D$11, 100%, $F$11)</f>
        <v>6.9683000000000002</v>
      </c>
      <c r="I215" s="8">
        <f>CHOOSE( CONTROL!$C$32, 6.0039, 5.9996) * CHOOSE(CONTROL!$C$15, $D$11, 100%, $F$11)</f>
        <v>6.0038999999999998</v>
      </c>
      <c r="J215" s="4">
        <f>CHOOSE( CONTROL!$C$32, 5.9345, 5.9301) * CHOOSE(CONTROL!$C$15, $D$11, 100%, $F$11)</f>
        <v>5.9344999999999999</v>
      </c>
      <c r="K215" s="4"/>
      <c r="L215" s="9">
        <v>29.520499999999998</v>
      </c>
      <c r="M215" s="9">
        <v>12.063700000000001</v>
      </c>
      <c r="N215" s="9">
        <v>4.9444999999999997</v>
      </c>
      <c r="O215" s="9">
        <v>0.37459999999999999</v>
      </c>
      <c r="P215" s="9">
        <v>1.2192000000000001</v>
      </c>
      <c r="Q215" s="9">
        <v>30.8704</v>
      </c>
      <c r="R215" s="9"/>
      <c r="S215" s="11"/>
    </row>
    <row r="216" spans="1:19" ht="15.75">
      <c r="A216" s="13">
        <v>48427</v>
      </c>
      <c r="B216" s="8">
        <f>CHOOSE( CONTROL!$C$32, 5.689, 5.6845) * CHOOSE(CONTROL!$C$15, $D$11, 100%, $F$11)</f>
        <v>5.6890000000000001</v>
      </c>
      <c r="C216" s="8">
        <f>CHOOSE( CONTROL!$C$32, 5.6993, 5.6948) * CHOOSE(CONTROL!$C$15, $D$11, 100%, $F$11)</f>
        <v>5.6993</v>
      </c>
      <c r="D216" s="8">
        <f>CHOOSE( CONTROL!$C$32, 5.7105, 5.706) * CHOOSE( CONTROL!$C$15, $D$11, 100%, $F$11)</f>
        <v>5.7104999999999997</v>
      </c>
      <c r="E216" s="12">
        <f>CHOOSE( CONTROL!$C$32, 5.7049, 5.7004) * CHOOSE( CONTROL!$C$15, $D$11, 100%, $F$11)</f>
        <v>5.7049000000000003</v>
      </c>
      <c r="F216" s="4">
        <f>CHOOSE( CONTROL!$C$32, 6.3773, 6.3728) * CHOOSE(CONTROL!$C$15, $D$11, 100%, $F$11)</f>
        <v>6.3773</v>
      </c>
      <c r="G216" s="8">
        <f>CHOOSE( CONTROL!$C$32, 5.5698, 5.5654) * CHOOSE( CONTROL!$C$15, $D$11, 100%, $F$11)</f>
        <v>5.5697999999999999</v>
      </c>
      <c r="H216" s="4">
        <f>CHOOSE( CONTROL!$C$32, 6.5026, 6.4982) * CHOOSE(CONTROL!$C$15, $D$11, 100%, $F$11)</f>
        <v>6.5026000000000002</v>
      </c>
      <c r="I216" s="8">
        <f>CHOOSE( CONTROL!$C$32, 5.5474, 5.543) * CHOOSE(CONTROL!$C$15, $D$11, 100%, $F$11)</f>
        <v>5.5473999999999997</v>
      </c>
      <c r="J216" s="4">
        <f>CHOOSE( CONTROL!$C$32, 5.4767, 5.4723) * CHOOSE(CONTROL!$C$15, $D$11, 100%, $F$11)</f>
        <v>5.4767000000000001</v>
      </c>
      <c r="K216" s="4"/>
      <c r="L216" s="9">
        <v>29.520499999999998</v>
      </c>
      <c r="M216" s="9">
        <v>12.063700000000001</v>
      </c>
      <c r="N216" s="9">
        <v>4.9444999999999997</v>
      </c>
      <c r="O216" s="9">
        <v>0.37459999999999999</v>
      </c>
      <c r="P216" s="9">
        <v>1.2192000000000001</v>
      </c>
      <c r="Q216" s="9">
        <v>30.8704</v>
      </c>
      <c r="R216" s="9"/>
      <c r="S216" s="11"/>
    </row>
    <row r="217" spans="1:19" ht="15.75">
      <c r="A217" s="13">
        <v>48458</v>
      </c>
      <c r="B217" s="8">
        <f>CHOOSE( CONTROL!$C$32, 5.5705, 5.5659) * CHOOSE(CONTROL!$C$15, $D$11, 100%, $F$11)</f>
        <v>5.5705</v>
      </c>
      <c r="C217" s="8">
        <f>CHOOSE( CONTROL!$C$32, 5.5808, 5.5763) * CHOOSE(CONTROL!$C$15, $D$11, 100%, $F$11)</f>
        <v>5.5808</v>
      </c>
      <c r="D217" s="8">
        <f>CHOOSE( CONTROL!$C$32, 5.5921, 5.5875) * CHOOSE( CONTROL!$C$15, $D$11, 100%, $F$11)</f>
        <v>5.5921000000000003</v>
      </c>
      <c r="E217" s="12">
        <f>CHOOSE( CONTROL!$C$32, 5.5864, 5.5819) * CHOOSE( CONTROL!$C$15, $D$11, 100%, $F$11)</f>
        <v>5.5864000000000003</v>
      </c>
      <c r="F217" s="4">
        <f>CHOOSE( CONTROL!$C$32, 6.2588, 6.2542) * CHOOSE(CONTROL!$C$15, $D$11, 100%, $F$11)</f>
        <v>6.2587999999999999</v>
      </c>
      <c r="G217" s="8">
        <f>CHOOSE( CONTROL!$C$32, 5.4534, 5.4489) * CHOOSE( CONTROL!$C$15, $D$11, 100%, $F$11)</f>
        <v>5.4534000000000002</v>
      </c>
      <c r="H217" s="4">
        <f>CHOOSE( CONTROL!$C$32, 6.386, 6.3816) * CHOOSE(CONTROL!$C$15, $D$11, 100%, $F$11)</f>
        <v>6.3860000000000001</v>
      </c>
      <c r="I217" s="8">
        <f>CHOOSE( CONTROL!$C$32, 5.4331, 5.4287) * CHOOSE(CONTROL!$C$15, $D$11, 100%, $F$11)</f>
        <v>5.4330999999999996</v>
      </c>
      <c r="J217" s="4">
        <f>CHOOSE( CONTROL!$C$32, 5.3621, 5.3577) * CHOOSE(CONTROL!$C$15, $D$11, 100%, $F$11)</f>
        <v>5.3620999999999999</v>
      </c>
      <c r="K217" s="4"/>
      <c r="L217" s="9">
        <v>28.568200000000001</v>
      </c>
      <c r="M217" s="9">
        <v>11.6745</v>
      </c>
      <c r="N217" s="9">
        <v>4.7850000000000001</v>
      </c>
      <c r="O217" s="9">
        <v>0.36249999999999999</v>
      </c>
      <c r="P217" s="9">
        <v>1.1798</v>
      </c>
      <c r="Q217" s="9">
        <v>29.874600000000001</v>
      </c>
      <c r="R217" s="9"/>
      <c r="S217" s="11"/>
    </row>
    <row r="218" spans="1:19" ht="15.75">
      <c r="A218" s="13">
        <v>48488</v>
      </c>
      <c r="B218" s="8">
        <f>5.8121 * CHOOSE(CONTROL!$C$15, $D$11, 100%, $F$11)</f>
        <v>5.8121</v>
      </c>
      <c r="C218" s="8">
        <f>5.8224 * CHOOSE(CONTROL!$C$15, $D$11, 100%, $F$11)</f>
        <v>5.8224</v>
      </c>
      <c r="D218" s="8">
        <f>5.8348 * CHOOSE( CONTROL!$C$15, $D$11, 100%, $F$11)</f>
        <v>5.8348000000000004</v>
      </c>
      <c r="E218" s="12">
        <f>5.8296 * CHOOSE( CONTROL!$C$15, $D$11, 100%, $F$11)</f>
        <v>5.8296000000000001</v>
      </c>
      <c r="F218" s="4">
        <f>6.5003 * CHOOSE(CONTROL!$C$15, $D$11, 100%, $F$11)</f>
        <v>6.5003000000000002</v>
      </c>
      <c r="G218" s="8">
        <f>5.6905 * CHOOSE( CONTROL!$C$15, $D$11, 100%, $F$11)</f>
        <v>5.6905000000000001</v>
      </c>
      <c r="H218" s="4">
        <f>6.6237 * CHOOSE(CONTROL!$C$15, $D$11, 100%, $F$11)</f>
        <v>6.6237000000000004</v>
      </c>
      <c r="I218" s="8">
        <f>5.6681 * CHOOSE(CONTROL!$C$15, $D$11, 100%, $F$11)</f>
        <v>5.6680999999999999</v>
      </c>
      <c r="J218" s="4">
        <f>5.5957 * CHOOSE(CONTROL!$C$15, $D$11, 100%, $F$11)</f>
        <v>5.5956999999999999</v>
      </c>
      <c r="K218" s="4"/>
      <c r="L218" s="9">
        <v>28.921800000000001</v>
      </c>
      <c r="M218" s="9">
        <v>12.063700000000001</v>
      </c>
      <c r="N218" s="9">
        <v>4.9444999999999997</v>
      </c>
      <c r="O218" s="9">
        <v>0.37459999999999999</v>
      </c>
      <c r="P218" s="9">
        <v>1.2192000000000001</v>
      </c>
      <c r="Q218" s="9">
        <v>30.8704</v>
      </c>
      <c r="R218" s="9"/>
      <c r="S218" s="11"/>
    </row>
    <row r="219" spans="1:19" ht="15.75">
      <c r="A219" s="13">
        <v>48519</v>
      </c>
      <c r="B219" s="8">
        <f>6.2663 * CHOOSE(CONTROL!$C$15, $D$11, 100%, $F$11)</f>
        <v>6.2663000000000002</v>
      </c>
      <c r="C219" s="8">
        <f>6.2767 * CHOOSE(CONTROL!$C$15, $D$11, 100%, $F$11)</f>
        <v>6.2766999999999999</v>
      </c>
      <c r="D219" s="8">
        <f>6.2627 * CHOOSE( CONTROL!$C$15, $D$11, 100%, $F$11)</f>
        <v>6.2626999999999997</v>
      </c>
      <c r="E219" s="12">
        <f>6.2667 * CHOOSE( CONTROL!$C$15, $D$11, 100%, $F$11)</f>
        <v>6.2667000000000002</v>
      </c>
      <c r="F219" s="4">
        <f>6.9206 * CHOOSE(CONTROL!$C$15, $D$11, 100%, $F$11)</f>
        <v>6.9206000000000003</v>
      </c>
      <c r="G219" s="8">
        <f>6.1546 * CHOOSE( CONTROL!$C$15, $D$11, 100%, $F$11)</f>
        <v>6.1546000000000003</v>
      </c>
      <c r="H219" s="4">
        <f>7.0371 * CHOOSE(CONTROL!$C$15, $D$11, 100%, $F$11)</f>
        <v>7.0370999999999997</v>
      </c>
      <c r="I219" s="8">
        <f>6.1407 * CHOOSE(CONTROL!$C$15, $D$11, 100%, $F$11)</f>
        <v>6.1406999999999998</v>
      </c>
      <c r="J219" s="4">
        <f>6.035 * CHOOSE(CONTROL!$C$15, $D$11, 100%, $F$11)</f>
        <v>6.0350000000000001</v>
      </c>
      <c r="K219" s="4"/>
      <c r="L219" s="9">
        <v>26.515499999999999</v>
      </c>
      <c r="M219" s="9">
        <v>11.6745</v>
      </c>
      <c r="N219" s="9">
        <v>4.7850000000000001</v>
      </c>
      <c r="O219" s="9">
        <v>0.36249999999999999</v>
      </c>
      <c r="P219" s="9">
        <v>1.2522</v>
      </c>
      <c r="Q219" s="9">
        <v>29.874600000000001</v>
      </c>
      <c r="R219" s="9"/>
      <c r="S219" s="11"/>
    </row>
    <row r="220" spans="1:19" ht="15.75">
      <c r="A220" s="13">
        <v>48549</v>
      </c>
      <c r="B220" s="8">
        <f>6.255 * CHOOSE(CONTROL!$C$15, $D$11, 100%, $F$11)</f>
        <v>6.2549999999999999</v>
      </c>
      <c r="C220" s="8">
        <f>6.2653 * CHOOSE(CONTROL!$C$15, $D$11, 100%, $F$11)</f>
        <v>6.2652999999999999</v>
      </c>
      <c r="D220" s="8">
        <f>6.2538 * CHOOSE( CONTROL!$C$15, $D$11, 100%, $F$11)</f>
        <v>6.2538</v>
      </c>
      <c r="E220" s="12">
        <f>6.2569 * CHOOSE( CONTROL!$C$15, $D$11, 100%, $F$11)</f>
        <v>6.2568999999999999</v>
      </c>
      <c r="F220" s="4">
        <f>6.9092 * CHOOSE(CONTROL!$C$15, $D$11, 100%, $F$11)</f>
        <v>6.9092000000000002</v>
      </c>
      <c r="G220" s="8">
        <f>6.1452 * CHOOSE( CONTROL!$C$15, $D$11, 100%, $F$11)</f>
        <v>6.1452</v>
      </c>
      <c r="H220" s="4">
        <f>7.026 * CHOOSE(CONTROL!$C$15, $D$11, 100%, $F$11)</f>
        <v>7.0259999999999998</v>
      </c>
      <c r="I220" s="8">
        <f>6.1377 * CHOOSE(CONTROL!$C$15, $D$11, 100%, $F$11)</f>
        <v>6.1376999999999997</v>
      </c>
      <c r="J220" s="4">
        <f>6.0241 * CHOOSE(CONTROL!$C$15, $D$11, 100%, $F$11)</f>
        <v>6.0240999999999998</v>
      </c>
      <c r="K220" s="4"/>
      <c r="L220" s="9">
        <v>27.3993</v>
      </c>
      <c r="M220" s="9">
        <v>12.063700000000001</v>
      </c>
      <c r="N220" s="9">
        <v>4.9444999999999997</v>
      </c>
      <c r="O220" s="9">
        <v>0.37459999999999999</v>
      </c>
      <c r="P220" s="9">
        <v>1.2939000000000001</v>
      </c>
      <c r="Q220" s="9">
        <v>30.8704</v>
      </c>
      <c r="R220" s="9"/>
      <c r="S220" s="11"/>
    </row>
    <row r="221" spans="1:19" ht="15.75">
      <c r="A221" s="13">
        <v>48580</v>
      </c>
      <c r="B221" s="8">
        <f>6.4135 * CHOOSE(CONTROL!$C$15, $D$11, 100%, $F$11)</f>
        <v>6.4135</v>
      </c>
      <c r="C221" s="8">
        <f>6.4238 * CHOOSE(CONTROL!$C$15, $D$11, 100%, $F$11)</f>
        <v>6.4238</v>
      </c>
      <c r="D221" s="8">
        <f>6.4222 * CHOOSE( CONTROL!$C$15, $D$11, 100%, $F$11)</f>
        <v>6.4222000000000001</v>
      </c>
      <c r="E221" s="12">
        <f>6.4217 * CHOOSE( CONTROL!$C$15, $D$11, 100%, $F$11)</f>
        <v>6.4217000000000004</v>
      </c>
      <c r="F221" s="4">
        <f>7.0962 * CHOOSE(CONTROL!$C$15, $D$11, 100%, $F$11)</f>
        <v>7.0961999999999996</v>
      </c>
      <c r="G221" s="8">
        <f>6.3115 * CHOOSE( CONTROL!$C$15, $D$11, 100%, $F$11)</f>
        <v>6.3114999999999997</v>
      </c>
      <c r="H221" s="4">
        <f>7.2099 * CHOOSE(CONTROL!$C$15, $D$11, 100%, $F$11)</f>
        <v>7.2099000000000002</v>
      </c>
      <c r="I221" s="8">
        <f>6.289 * CHOOSE(CONTROL!$C$15, $D$11, 100%, $F$11)</f>
        <v>6.2889999999999997</v>
      </c>
      <c r="J221" s="4">
        <f>6.1774 * CHOOSE(CONTROL!$C$15, $D$11, 100%, $F$11)</f>
        <v>6.1773999999999996</v>
      </c>
      <c r="K221" s="4"/>
      <c r="L221" s="9">
        <v>27.3993</v>
      </c>
      <c r="M221" s="9">
        <v>12.063700000000001</v>
      </c>
      <c r="N221" s="9">
        <v>4.9444999999999997</v>
      </c>
      <c r="O221" s="9">
        <v>0.37459999999999999</v>
      </c>
      <c r="P221" s="9">
        <v>1.2939000000000001</v>
      </c>
      <c r="Q221" s="9">
        <v>30.773700000000002</v>
      </c>
      <c r="R221" s="9"/>
      <c r="S221" s="11"/>
    </row>
    <row r="222" spans="1:19" ht="15.75">
      <c r="A222" s="13">
        <v>48611</v>
      </c>
      <c r="B222" s="8">
        <f>6.0005 * CHOOSE(CONTROL!$C$15, $D$11, 100%, $F$11)</f>
        <v>6.0004999999999997</v>
      </c>
      <c r="C222" s="8">
        <f>6.0109 * CHOOSE(CONTROL!$C$15, $D$11, 100%, $F$11)</f>
        <v>6.0109000000000004</v>
      </c>
      <c r="D222" s="8">
        <f>6.0114 * CHOOSE( CONTROL!$C$15, $D$11, 100%, $F$11)</f>
        <v>6.0114000000000001</v>
      </c>
      <c r="E222" s="12">
        <f>6.0101 * CHOOSE( CONTROL!$C$15, $D$11, 100%, $F$11)</f>
        <v>6.0101000000000004</v>
      </c>
      <c r="F222" s="4">
        <f>6.6755 * CHOOSE(CONTROL!$C$15, $D$11, 100%, $F$11)</f>
        <v>6.6755000000000004</v>
      </c>
      <c r="G222" s="8">
        <f>5.905 * CHOOSE( CONTROL!$C$15, $D$11, 100%, $F$11)</f>
        <v>5.9050000000000002</v>
      </c>
      <c r="H222" s="4">
        <f>6.796 * CHOOSE(CONTROL!$C$15, $D$11, 100%, $F$11)</f>
        <v>6.7960000000000003</v>
      </c>
      <c r="I222" s="8">
        <f>5.8786 * CHOOSE(CONTROL!$C$15, $D$11, 100%, $F$11)</f>
        <v>5.8785999999999996</v>
      </c>
      <c r="J222" s="4">
        <f>5.778 * CHOOSE(CONTROL!$C$15, $D$11, 100%, $F$11)</f>
        <v>5.7779999999999996</v>
      </c>
      <c r="K222" s="4"/>
      <c r="L222" s="9">
        <v>24.747800000000002</v>
      </c>
      <c r="M222" s="9">
        <v>10.8962</v>
      </c>
      <c r="N222" s="9">
        <v>4.4660000000000002</v>
      </c>
      <c r="O222" s="9">
        <v>0.33829999999999999</v>
      </c>
      <c r="P222" s="9">
        <v>1.1687000000000001</v>
      </c>
      <c r="Q222" s="9">
        <v>27.7956</v>
      </c>
      <c r="R222" s="9"/>
      <c r="S222" s="11"/>
    </row>
    <row r="223" spans="1:19" ht="15.75">
      <c r="A223" s="13">
        <v>48639</v>
      </c>
      <c r="B223" s="8">
        <f>5.8734 * CHOOSE(CONTROL!$C$15, $D$11, 100%, $F$11)</f>
        <v>5.8734000000000002</v>
      </c>
      <c r="C223" s="8">
        <f>5.8837 * CHOOSE(CONTROL!$C$15, $D$11, 100%, $F$11)</f>
        <v>5.8837000000000002</v>
      </c>
      <c r="D223" s="8">
        <f>5.8638 * CHOOSE( CONTROL!$C$15, $D$11, 100%, $F$11)</f>
        <v>5.8638000000000003</v>
      </c>
      <c r="E223" s="12">
        <f>5.87 * CHOOSE( CONTROL!$C$15, $D$11, 100%, $F$11)</f>
        <v>5.87</v>
      </c>
      <c r="F223" s="4">
        <f>6.5323 * CHOOSE(CONTROL!$C$15, $D$11, 100%, $F$11)</f>
        <v>6.5323000000000002</v>
      </c>
      <c r="G223" s="8">
        <f>5.7591 * CHOOSE( CONTROL!$C$15, $D$11, 100%, $F$11)</f>
        <v>5.7591000000000001</v>
      </c>
      <c r="H223" s="4">
        <f>6.6551 * CHOOSE(CONTROL!$C$15, $D$11, 100%, $F$11)</f>
        <v>6.6551</v>
      </c>
      <c r="I223" s="8">
        <f>5.716 * CHOOSE(CONTROL!$C$15, $D$11, 100%, $F$11)</f>
        <v>5.7160000000000002</v>
      </c>
      <c r="J223" s="4">
        <f>5.655 * CHOOSE(CONTROL!$C$15, $D$11, 100%, $F$11)</f>
        <v>5.6550000000000002</v>
      </c>
      <c r="K223" s="4"/>
      <c r="L223" s="9">
        <v>27.3993</v>
      </c>
      <c r="M223" s="9">
        <v>12.063700000000001</v>
      </c>
      <c r="N223" s="9">
        <v>4.9444999999999997</v>
      </c>
      <c r="O223" s="9">
        <v>0.37459999999999999</v>
      </c>
      <c r="P223" s="9">
        <v>1.2939000000000001</v>
      </c>
      <c r="Q223" s="9">
        <v>30.773700000000002</v>
      </c>
      <c r="R223" s="9"/>
      <c r="S223" s="11"/>
    </row>
    <row r="224" spans="1:19" ht="15.75">
      <c r="A224" s="13">
        <v>48670</v>
      </c>
      <c r="B224" s="8">
        <f>5.9622 * CHOOSE(CONTROL!$C$15, $D$11, 100%, $F$11)</f>
        <v>5.9622000000000002</v>
      </c>
      <c r="C224" s="8">
        <f>5.9726 * CHOOSE(CONTROL!$C$15, $D$11, 100%, $F$11)</f>
        <v>5.9725999999999999</v>
      </c>
      <c r="D224" s="8">
        <f>5.9641 * CHOOSE( CONTROL!$C$15, $D$11, 100%, $F$11)</f>
        <v>5.9641000000000002</v>
      </c>
      <c r="E224" s="12">
        <f>5.9657 * CHOOSE( CONTROL!$C$15, $D$11, 100%, $F$11)</f>
        <v>5.9657</v>
      </c>
      <c r="F224" s="4">
        <f>6.6113 * CHOOSE(CONTROL!$C$15, $D$11, 100%, $F$11)</f>
        <v>6.6113</v>
      </c>
      <c r="G224" s="8">
        <f>5.8314 * CHOOSE( CONTROL!$C$15, $D$11, 100%, $F$11)</f>
        <v>5.8314000000000004</v>
      </c>
      <c r="H224" s="4">
        <f>6.7329 * CHOOSE(CONTROL!$C$15, $D$11, 100%, $F$11)</f>
        <v>6.7328999999999999</v>
      </c>
      <c r="I224" s="8">
        <f>5.7988 * CHOOSE(CONTROL!$C$15, $D$11, 100%, $F$11)</f>
        <v>5.7988</v>
      </c>
      <c r="J224" s="4">
        <f>5.741 * CHOOSE(CONTROL!$C$15, $D$11, 100%, $F$11)</f>
        <v>5.7409999999999997</v>
      </c>
      <c r="K224" s="4"/>
      <c r="L224" s="9">
        <v>27.988800000000001</v>
      </c>
      <c r="M224" s="9">
        <v>11.6745</v>
      </c>
      <c r="N224" s="9">
        <v>4.7850000000000001</v>
      </c>
      <c r="O224" s="9">
        <v>0.36249999999999999</v>
      </c>
      <c r="P224" s="9">
        <v>1.1798</v>
      </c>
      <c r="Q224" s="9">
        <v>29.780999999999999</v>
      </c>
      <c r="R224" s="9"/>
      <c r="S224" s="11"/>
    </row>
    <row r="225" spans="1:19" ht="15.75">
      <c r="A225" s="13">
        <v>48700</v>
      </c>
      <c r="B225" s="8">
        <f>CHOOSE( CONTROL!$C$32, 6.1249, 6.1204) * CHOOSE(CONTROL!$C$15, $D$11, 100%, $F$11)</f>
        <v>6.1249000000000002</v>
      </c>
      <c r="C225" s="8">
        <f>CHOOSE( CONTROL!$C$32, 6.1353, 6.1307) * CHOOSE(CONTROL!$C$15, $D$11, 100%, $F$11)</f>
        <v>6.1353</v>
      </c>
      <c r="D225" s="8">
        <f>CHOOSE( CONTROL!$C$32, 6.145, 6.1404) * CHOOSE( CONTROL!$C$15, $D$11, 100%, $F$11)</f>
        <v>6.1449999999999996</v>
      </c>
      <c r="E225" s="12">
        <f>CHOOSE( CONTROL!$C$32, 6.1399, 6.1353) * CHOOSE( CONTROL!$C$15, $D$11, 100%, $F$11)</f>
        <v>6.1398999999999999</v>
      </c>
      <c r="F225" s="4">
        <f>CHOOSE( CONTROL!$C$32, 6.8132, 6.8087) * CHOOSE(CONTROL!$C$15, $D$11, 100%, $F$11)</f>
        <v>6.8132000000000001</v>
      </c>
      <c r="G225" s="8">
        <f>CHOOSE( CONTROL!$C$32, 5.9965, 5.992) * CHOOSE( CONTROL!$C$15, $D$11, 100%, $F$11)</f>
        <v>5.9965000000000002</v>
      </c>
      <c r="H225" s="4">
        <f>CHOOSE( CONTROL!$C$32, 6.9315, 6.9271) * CHOOSE(CONTROL!$C$15, $D$11, 100%, $F$11)</f>
        <v>6.9314999999999998</v>
      </c>
      <c r="I225" s="8">
        <f>CHOOSE( CONTROL!$C$32, 5.9621, 5.9577) * CHOOSE(CONTROL!$C$15, $D$11, 100%, $F$11)</f>
        <v>5.9621000000000004</v>
      </c>
      <c r="J225" s="4">
        <f>CHOOSE( CONTROL!$C$32, 5.8983, 5.8939) * CHOOSE(CONTROL!$C$15, $D$11, 100%, $F$11)</f>
        <v>5.8982999999999999</v>
      </c>
      <c r="K225" s="4"/>
      <c r="L225" s="9">
        <v>29.520499999999998</v>
      </c>
      <c r="M225" s="9">
        <v>12.063700000000001</v>
      </c>
      <c r="N225" s="9">
        <v>4.9444999999999997</v>
      </c>
      <c r="O225" s="9">
        <v>0.37459999999999999</v>
      </c>
      <c r="P225" s="9">
        <v>1.2192000000000001</v>
      </c>
      <c r="Q225" s="9">
        <v>30.773700000000002</v>
      </c>
      <c r="R225" s="9"/>
      <c r="S225" s="11"/>
    </row>
    <row r="226" spans="1:19" ht="15.75">
      <c r="A226" s="13">
        <v>48731</v>
      </c>
      <c r="B226" s="8">
        <f>CHOOSE( CONTROL!$C$32, 6.0269, 6.0224) * CHOOSE(CONTROL!$C$15, $D$11, 100%, $F$11)</f>
        <v>6.0269000000000004</v>
      </c>
      <c r="C226" s="8">
        <f>CHOOSE( CONTROL!$C$32, 6.0373, 6.0328) * CHOOSE(CONTROL!$C$15, $D$11, 100%, $F$11)</f>
        <v>6.0373000000000001</v>
      </c>
      <c r="D226" s="8">
        <f>CHOOSE( CONTROL!$C$32, 6.0476, 6.0431) * CHOOSE( CONTROL!$C$15, $D$11, 100%, $F$11)</f>
        <v>6.0476000000000001</v>
      </c>
      <c r="E226" s="12">
        <f>CHOOSE( CONTROL!$C$32, 6.0423, 6.0378) * CHOOSE( CONTROL!$C$15, $D$11, 100%, $F$11)</f>
        <v>6.0423</v>
      </c>
      <c r="F226" s="4">
        <f>CHOOSE( CONTROL!$C$32, 6.7152, 6.7107) * CHOOSE(CONTROL!$C$15, $D$11, 100%, $F$11)</f>
        <v>6.7152000000000003</v>
      </c>
      <c r="G226" s="8">
        <f>CHOOSE( CONTROL!$C$32, 5.901, 5.8966) * CHOOSE( CONTROL!$C$15, $D$11, 100%, $F$11)</f>
        <v>5.9009999999999998</v>
      </c>
      <c r="H226" s="4">
        <f>CHOOSE( CONTROL!$C$32, 6.8351, 6.8307) * CHOOSE(CONTROL!$C$15, $D$11, 100%, $F$11)</f>
        <v>6.8350999999999997</v>
      </c>
      <c r="I226" s="8">
        <f>CHOOSE( CONTROL!$C$32, 5.8702, 5.8659) * CHOOSE(CONTROL!$C$15, $D$11, 100%, $F$11)</f>
        <v>5.8701999999999996</v>
      </c>
      <c r="J226" s="4">
        <f>CHOOSE( CONTROL!$C$32, 5.8035, 5.7992) * CHOOSE(CONTROL!$C$15, $D$11, 100%, $F$11)</f>
        <v>5.8034999999999997</v>
      </c>
      <c r="K226" s="4"/>
      <c r="L226" s="9">
        <v>28.568200000000001</v>
      </c>
      <c r="M226" s="9">
        <v>11.6745</v>
      </c>
      <c r="N226" s="9">
        <v>4.7850000000000001</v>
      </c>
      <c r="O226" s="9">
        <v>0.36249999999999999</v>
      </c>
      <c r="P226" s="9">
        <v>1.1798</v>
      </c>
      <c r="Q226" s="9">
        <v>29.780999999999999</v>
      </c>
      <c r="R226" s="9"/>
      <c r="S226" s="11"/>
    </row>
    <row r="227" spans="1:19" ht="15.75">
      <c r="A227" s="13">
        <v>48761</v>
      </c>
      <c r="B227" s="8">
        <f>CHOOSE( CONTROL!$C$32, 6.285, 6.2804) * CHOOSE(CONTROL!$C$15, $D$11, 100%, $F$11)</f>
        <v>6.2850000000000001</v>
      </c>
      <c r="C227" s="8">
        <f>CHOOSE( CONTROL!$C$32, 6.2953, 6.2908) * CHOOSE(CONTROL!$C$15, $D$11, 100%, $F$11)</f>
        <v>6.2953000000000001</v>
      </c>
      <c r="D227" s="8">
        <f>CHOOSE( CONTROL!$C$32, 6.3062, 6.3017) * CHOOSE( CONTROL!$C$15, $D$11, 100%, $F$11)</f>
        <v>6.3061999999999996</v>
      </c>
      <c r="E227" s="12">
        <f>CHOOSE( CONTROL!$C$32, 6.3007, 6.2962) * CHOOSE( CONTROL!$C$15, $D$11, 100%, $F$11)</f>
        <v>6.3007</v>
      </c>
      <c r="F227" s="4">
        <f>CHOOSE( CONTROL!$C$32, 6.9733, 6.9687) * CHOOSE(CONTROL!$C$15, $D$11, 100%, $F$11)</f>
        <v>6.9733000000000001</v>
      </c>
      <c r="G227" s="8">
        <f>CHOOSE( CONTROL!$C$32, 6.1557, 6.1513) * CHOOSE( CONTROL!$C$15, $D$11, 100%, $F$11)</f>
        <v>6.1557000000000004</v>
      </c>
      <c r="H227" s="4">
        <f>CHOOSE( CONTROL!$C$32, 7.089, 7.0845) * CHOOSE(CONTROL!$C$15, $D$11, 100%, $F$11)</f>
        <v>7.0890000000000004</v>
      </c>
      <c r="I227" s="8">
        <f>CHOOSE( CONTROL!$C$32, 6.1226, 6.1182) * CHOOSE(CONTROL!$C$15, $D$11, 100%, $F$11)</f>
        <v>6.1226000000000003</v>
      </c>
      <c r="J227" s="4">
        <f>CHOOSE( CONTROL!$C$32, 6.0531, 6.0487) * CHOOSE(CONTROL!$C$15, $D$11, 100%, $F$11)</f>
        <v>6.0530999999999997</v>
      </c>
      <c r="K227" s="4"/>
      <c r="L227" s="9">
        <v>29.520499999999998</v>
      </c>
      <c r="M227" s="9">
        <v>12.063700000000001</v>
      </c>
      <c r="N227" s="9">
        <v>4.9444999999999997</v>
      </c>
      <c r="O227" s="9">
        <v>0.37459999999999999</v>
      </c>
      <c r="P227" s="9">
        <v>1.2192000000000001</v>
      </c>
      <c r="Q227" s="9">
        <v>30.773700000000002</v>
      </c>
      <c r="R227" s="9"/>
      <c r="S227" s="11"/>
    </row>
    <row r="228" spans="1:19" ht="15.75">
      <c r="A228" s="13">
        <v>48792</v>
      </c>
      <c r="B228" s="8">
        <f>CHOOSE( CONTROL!$C$32, 5.8022, 5.7976) * CHOOSE(CONTROL!$C$15, $D$11, 100%, $F$11)</f>
        <v>5.8022</v>
      </c>
      <c r="C228" s="8">
        <f>CHOOSE( CONTROL!$C$32, 5.8125, 5.808) * CHOOSE(CONTROL!$C$15, $D$11, 100%, $F$11)</f>
        <v>5.8125</v>
      </c>
      <c r="D228" s="8">
        <f>CHOOSE( CONTROL!$C$32, 5.8237, 5.8192) * CHOOSE( CONTROL!$C$15, $D$11, 100%, $F$11)</f>
        <v>5.8236999999999997</v>
      </c>
      <c r="E228" s="12">
        <f>CHOOSE( CONTROL!$C$32, 5.8181, 5.8136) * CHOOSE( CONTROL!$C$15, $D$11, 100%, $F$11)</f>
        <v>5.8181000000000003</v>
      </c>
      <c r="F228" s="4">
        <f>CHOOSE( CONTROL!$C$32, 6.4905, 6.4859) * CHOOSE(CONTROL!$C$15, $D$11, 100%, $F$11)</f>
        <v>6.4904999999999999</v>
      </c>
      <c r="G228" s="8">
        <f>CHOOSE( CONTROL!$C$32, 5.6812, 5.6767) * CHOOSE( CONTROL!$C$15, $D$11, 100%, $F$11)</f>
        <v>5.6811999999999996</v>
      </c>
      <c r="H228" s="4">
        <f>CHOOSE( CONTROL!$C$32, 6.614, 6.6095) * CHOOSE(CONTROL!$C$15, $D$11, 100%, $F$11)</f>
        <v>6.6139999999999999</v>
      </c>
      <c r="I228" s="8">
        <f>CHOOSE( CONTROL!$C$32, 5.6569, 5.6525) * CHOOSE(CONTROL!$C$15, $D$11, 100%, $F$11)</f>
        <v>5.6569000000000003</v>
      </c>
      <c r="J228" s="4">
        <f>CHOOSE( CONTROL!$C$32, 5.5862, 5.5818) * CHOOSE(CONTROL!$C$15, $D$11, 100%, $F$11)</f>
        <v>5.5861999999999998</v>
      </c>
      <c r="K228" s="4"/>
      <c r="L228" s="9">
        <v>29.520499999999998</v>
      </c>
      <c r="M228" s="9">
        <v>12.063700000000001</v>
      </c>
      <c r="N228" s="9">
        <v>4.9444999999999997</v>
      </c>
      <c r="O228" s="9">
        <v>0.37459999999999999</v>
      </c>
      <c r="P228" s="9">
        <v>1.2192000000000001</v>
      </c>
      <c r="Q228" s="9">
        <v>30.773700000000002</v>
      </c>
      <c r="R228" s="9"/>
      <c r="S228" s="11"/>
    </row>
    <row r="229" spans="1:19" ht="15.75">
      <c r="A229" s="13">
        <v>48823</v>
      </c>
      <c r="B229" s="8">
        <f>CHOOSE( CONTROL!$C$32, 5.6813, 5.6767) * CHOOSE(CONTROL!$C$15, $D$11, 100%, $F$11)</f>
        <v>5.6813000000000002</v>
      </c>
      <c r="C229" s="8">
        <f>CHOOSE( CONTROL!$C$32, 5.6916, 5.6871) * CHOOSE(CONTROL!$C$15, $D$11, 100%, $F$11)</f>
        <v>5.6916000000000002</v>
      </c>
      <c r="D229" s="8">
        <f>CHOOSE( CONTROL!$C$32, 5.7029, 5.6983) * CHOOSE( CONTROL!$C$15, $D$11, 100%, $F$11)</f>
        <v>5.7028999999999996</v>
      </c>
      <c r="E229" s="12">
        <f>CHOOSE( CONTROL!$C$32, 5.6972, 5.6927) * CHOOSE( CONTROL!$C$15, $D$11, 100%, $F$11)</f>
        <v>5.6971999999999996</v>
      </c>
      <c r="F229" s="4">
        <f>CHOOSE( CONTROL!$C$32, 6.3696, 6.365) * CHOOSE(CONTROL!$C$15, $D$11, 100%, $F$11)</f>
        <v>6.3696000000000002</v>
      </c>
      <c r="G229" s="8">
        <f>CHOOSE( CONTROL!$C$32, 5.5624, 5.5579) * CHOOSE( CONTROL!$C$15, $D$11, 100%, $F$11)</f>
        <v>5.5624000000000002</v>
      </c>
      <c r="H229" s="4">
        <f>CHOOSE( CONTROL!$C$32, 6.495, 6.4906) * CHOOSE(CONTROL!$C$15, $D$11, 100%, $F$11)</f>
        <v>6.4950000000000001</v>
      </c>
      <c r="I229" s="8">
        <f>CHOOSE( CONTROL!$C$32, 5.5403, 5.5359) * CHOOSE(CONTROL!$C$15, $D$11, 100%, $F$11)</f>
        <v>5.5403000000000002</v>
      </c>
      <c r="J229" s="4">
        <f>CHOOSE( CONTROL!$C$32, 5.4692, 5.4649) * CHOOSE(CONTROL!$C$15, $D$11, 100%, $F$11)</f>
        <v>5.4691999999999998</v>
      </c>
      <c r="K229" s="4"/>
      <c r="L229" s="9">
        <v>28.568200000000001</v>
      </c>
      <c r="M229" s="9">
        <v>11.6745</v>
      </c>
      <c r="N229" s="9">
        <v>4.7850000000000001</v>
      </c>
      <c r="O229" s="9">
        <v>0.36249999999999999</v>
      </c>
      <c r="P229" s="9">
        <v>1.1798</v>
      </c>
      <c r="Q229" s="9">
        <v>29.780999999999999</v>
      </c>
      <c r="R229" s="9"/>
      <c r="S229" s="11"/>
    </row>
    <row r="230" spans="1:19" ht="15.75">
      <c r="A230" s="13">
        <v>48853</v>
      </c>
      <c r="B230" s="8">
        <f>5.9278 * CHOOSE(CONTROL!$C$15, $D$11, 100%, $F$11)</f>
        <v>5.9278000000000004</v>
      </c>
      <c r="C230" s="8">
        <f>5.9381 * CHOOSE(CONTROL!$C$15, $D$11, 100%, $F$11)</f>
        <v>5.9381000000000004</v>
      </c>
      <c r="D230" s="8">
        <f>5.9505 * CHOOSE( CONTROL!$C$15, $D$11, 100%, $F$11)</f>
        <v>5.9504999999999999</v>
      </c>
      <c r="E230" s="12">
        <f>5.9453 * CHOOSE( CONTROL!$C$15, $D$11, 100%, $F$11)</f>
        <v>5.9452999999999996</v>
      </c>
      <c r="F230" s="4">
        <f>6.6161 * CHOOSE(CONTROL!$C$15, $D$11, 100%, $F$11)</f>
        <v>6.6161000000000003</v>
      </c>
      <c r="G230" s="8">
        <f>5.8043 * CHOOSE( CONTROL!$C$15, $D$11, 100%, $F$11)</f>
        <v>5.8042999999999996</v>
      </c>
      <c r="H230" s="4">
        <f>6.7376 * CHOOSE(CONTROL!$C$15, $D$11, 100%, $F$11)</f>
        <v>6.7375999999999996</v>
      </c>
      <c r="I230" s="8">
        <f>5.7801 * CHOOSE(CONTROL!$C$15, $D$11, 100%, $F$11)</f>
        <v>5.7801</v>
      </c>
      <c r="J230" s="4">
        <f>5.7076 * CHOOSE(CONTROL!$C$15, $D$11, 100%, $F$11)</f>
        <v>5.7076000000000002</v>
      </c>
      <c r="K230" s="4"/>
      <c r="L230" s="9">
        <v>28.921800000000001</v>
      </c>
      <c r="M230" s="9">
        <v>12.063700000000001</v>
      </c>
      <c r="N230" s="9">
        <v>4.9444999999999997</v>
      </c>
      <c r="O230" s="9">
        <v>0.37459999999999999</v>
      </c>
      <c r="P230" s="9">
        <v>1.2192000000000001</v>
      </c>
      <c r="Q230" s="9">
        <v>30.773700000000002</v>
      </c>
      <c r="R230" s="9"/>
      <c r="S230" s="11"/>
    </row>
    <row r="231" spans="1:19" ht="15.75">
      <c r="A231" s="13">
        <v>48884</v>
      </c>
      <c r="B231" s="8">
        <f>6.3911 * CHOOSE(CONTROL!$C$15, $D$11, 100%, $F$11)</f>
        <v>6.3910999999999998</v>
      </c>
      <c r="C231" s="8">
        <f>6.4015 * CHOOSE(CONTROL!$C$15, $D$11, 100%, $F$11)</f>
        <v>6.4015000000000004</v>
      </c>
      <c r="D231" s="8">
        <f>6.3875 * CHOOSE( CONTROL!$C$15, $D$11, 100%, $F$11)</f>
        <v>6.3875000000000002</v>
      </c>
      <c r="E231" s="12">
        <f>6.3915 * CHOOSE( CONTROL!$C$15, $D$11, 100%, $F$11)</f>
        <v>6.3914999999999997</v>
      </c>
      <c r="F231" s="4">
        <f>7.0454 * CHOOSE(CONTROL!$C$15, $D$11, 100%, $F$11)</f>
        <v>7.0453999999999999</v>
      </c>
      <c r="G231" s="8">
        <f>6.2774 * CHOOSE( CONTROL!$C$15, $D$11, 100%, $F$11)</f>
        <v>6.2774000000000001</v>
      </c>
      <c r="H231" s="4">
        <f>7.1599 * CHOOSE(CONTROL!$C$15, $D$11, 100%, $F$11)</f>
        <v>7.1599000000000004</v>
      </c>
      <c r="I231" s="8">
        <f>6.2615 * CHOOSE(CONTROL!$C$15, $D$11, 100%, $F$11)</f>
        <v>6.2614999999999998</v>
      </c>
      <c r="J231" s="4">
        <f>6.1557 * CHOOSE(CONTROL!$C$15, $D$11, 100%, $F$11)</f>
        <v>6.1557000000000004</v>
      </c>
      <c r="K231" s="4"/>
      <c r="L231" s="9">
        <v>26.515499999999999</v>
      </c>
      <c r="M231" s="9">
        <v>11.6745</v>
      </c>
      <c r="N231" s="9">
        <v>4.7850000000000001</v>
      </c>
      <c r="O231" s="9">
        <v>0.36249999999999999</v>
      </c>
      <c r="P231" s="9">
        <v>1.2522</v>
      </c>
      <c r="Q231" s="9">
        <v>29.780999999999999</v>
      </c>
      <c r="R231" s="9"/>
      <c r="S231" s="11"/>
    </row>
    <row r="232" spans="1:19" ht="15.75">
      <c r="A232" s="13">
        <v>48914</v>
      </c>
      <c r="B232" s="8">
        <f>6.3795 * CHOOSE(CONTROL!$C$15, $D$11, 100%, $F$11)</f>
        <v>6.3795000000000002</v>
      </c>
      <c r="C232" s="8">
        <f>6.3899 * CHOOSE(CONTROL!$C$15, $D$11, 100%, $F$11)</f>
        <v>6.3898999999999999</v>
      </c>
      <c r="D232" s="8">
        <f>6.3784 * CHOOSE( CONTROL!$C$15, $D$11, 100%, $F$11)</f>
        <v>6.3784000000000001</v>
      </c>
      <c r="E232" s="12">
        <f>6.3815 * CHOOSE( CONTROL!$C$15, $D$11, 100%, $F$11)</f>
        <v>6.3815</v>
      </c>
      <c r="F232" s="4">
        <f>7.0338 * CHOOSE(CONTROL!$C$15, $D$11, 100%, $F$11)</f>
        <v>7.0338000000000003</v>
      </c>
      <c r="G232" s="8">
        <f>6.2678 * CHOOSE( CONTROL!$C$15, $D$11, 100%, $F$11)</f>
        <v>6.2678000000000003</v>
      </c>
      <c r="H232" s="4">
        <f>7.1485 * CHOOSE(CONTROL!$C$15, $D$11, 100%, $F$11)</f>
        <v>7.1485000000000003</v>
      </c>
      <c r="I232" s="8">
        <f>6.2582 * CHOOSE(CONTROL!$C$15, $D$11, 100%, $F$11)</f>
        <v>6.2582000000000004</v>
      </c>
      <c r="J232" s="4">
        <f>6.1446 * CHOOSE(CONTROL!$C$15, $D$11, 100%, $F$11)</f>
        <v>6.1445999999999996</v>
      </c>
      <c r="K232" s="4"/>
      <c r="L232" s="9">
        <v>27.3993</v>
      </c>
      <c r="M232" s="9">
        <v>12.063700000000001</v>
      </c>
      <c r="N232" s="9">
        <v>4.9444999999999997</v>
      </c>
      <c r="O232" s="9">
        <v>0.37459999999999999</v>
      </c>
      <c r="P232" s="9">
        <v>1.2939000000000001</v>
      </c>
      <c r="Q232" s="9">
        <v>30.773700000000002</v>
      </c>
      <c r="R232" s="9"/>
      <c r="S232" s="11"/>
    </row>
    <row r="233" spans="1:19" ht="15.75">
      <c r="A233" s="13">
        <v>48945</v>
      </c>
      <c r="B233" s="8">
        <f>6.5412 * CHOOSE(CONTROL!$C$15, $D$11, 100%, $F$11)</f>
        <v>6.5411999999999999</v>
      </c>
      <c r="C233" s="8">
        <f>6.5516 * CHOOSE(CONTROL!$C$15, $D$11, 100%, $F$11)</f>
        <v>6.5515999999999996</v>
      </c>
      <c r="D233" s="8">
        <f>6.55 * CHOOSE( CONTROL!$C$15, $D$11, 100%, $F$11)</f>
        <v>6.55</v>
      </c>
      <c r="E233" s="12">
        <f>6.5495 * CHOOSE( CONTROL!$C$15, $D$11, 100%, $F$11)</f>
        <v>6.5495000000000001</v>
      </c>
      <c r="F233" s="4">
        <f>7.2239 * CHOOSE(CONTROL!$C$15, $D$11, 100%, $F$11)</f>
        <v>7.2239000000000004</v>
      </c>
      <c r="G233" s="8">
        <f>6.4372 * CHOOSE( CONTROL!$C$15, $D$11, 100%, $F$11)</f>
        <v>6.4371999999999998</v>
      </c>
      <c r="H233" s="4">
        <f>7.3356 * CHOOSE(CONTROL!$C$15, $D$11, 100%, $F$11)</f>
        <v>7.3356000000000003</v>
      </c>
      <c r="I233" s="8">
        <f>6.4127 * CHOOSE(CONTROL!$C$15, $D$11, 100%, $F$11)</f>
        <v>6.4127000000000001</v>
      </c>
      <c r="J233" s="4">
        <f>6.3009 * CHOOSE(CONTROL!$C$15, $D$11, 100%, $F$11)</f>
        <v>6.3009000000000004</v>
      </c>
      <c r="K233" s="4"/>
      <c r="L233" s="9">
        <v>27.3993</v>
      </c>
      <c r="M233" s="9">
        <v>12.063700000000001</v>
      </c>
      <c r="N233" s="9">
        <v>4.9444999999999997</v>
      </c>
      <c r="O233" s="9">
        <v>0.37459999999999999</v>
      </c>
      <c r="P233" s="9">
        <v>1.2939000000000001</v>
      </c>
      <c r="Q233" s="9">
        <v>30.7105</v>
      </c>
      <c r="R233" s="9"/>
      <c r="S233" s="11"/>
    </row>
    <row r="234" spans="1:19" ht="15.75">
      <c r="A234" s="13">
        <v>48976</v>
      </c>
      <c r="B234" s="8">
        <f>6.12 * CHOOSE(CONTROL!$C$15, $D$11, 100%, $F$11)</f>
        <v>6.12</v>
      </c>
      <c r="C234" s="8">
        <f>6.1304 * CHOOSE(CONTROL!$C$15, $D$11, 100%, $F$11)</f>
        <v>6.1303999999999998</v>
      </c>
      <c r="D234" s="8">
        <f>6.1309 * CHOOSE( CONTROL!$C$15, $D$11, 100%, $F$11)</f>
        <v>6.1308999999999996</v>
      </c>
      <c r="E234" s="12">
        <f>6.1296 * CHOOSE( CONTROL!$C$15, $D$11, 100%, $F$11)</f>
        <v>6.1295999999999999</v>
      </c>
      <c r="F234" s="4">
        <f>6.795 * CHOOSE(CONTROL!$C$15, $D$11, 100%, $F$11)</f>
        <v>6.7949999999999999</v>
      </c>
      <c r="G234" s="8">
        <f>6.0225 * CHOOSE( CONTROL!$C$15, $D$11, 100%, $F$11)</f>
        <v>6.0225</v>
      </c>
      <c r="H234" s="4">
        <f>6.9136 * CHOOSE(CONTROL!$C$15, $D$11, 100%, $F$11)</f>
        <v>6.9135999999999997</v>
      </c>
      <c r="I234" s="8">
        <f>5.9942 * CHOOSE(CONTROL!$C$15, $D$11, 100%, $F$11)</f>
        <v>5.9942000000000002</v>
      </c>
      <c r="J234" s="4">
        <f>5.8936 * CHOOSE(CONTROL!$C$15, $D$11, 100%, $F$11)</f>
        <v>5.8936000000000002</v>
      </c>
      <c r="K234" s="4"/>
      <c r="L234" s="9">
        <v>24.747800000000002</v>
      </c>
      <c r="M234" s="9">
        <v>10.8962</v>
      </c>
      <c r="N234" s="9">
        <v>4.4660000000000002</v>
      </c>
      <c r="O234" s="9">
        <v>0.33829999999999999</v>
      </c>
      <c r="P234" s="9">
        <v>1.1687000000000001</v>
      </c>
      <c r="Q234" s="9">
        <v>27.738499999999998</v>
      </c>
      <c r="R234" s="9"/>
      <c r="S234" s="11"/>
    </row>
    <row r="235" spans="1:19" ht="15.75">
      <c r="A235" s="13">
        <v>49004</v>
      </c>
      <c r="B235" s="8">
        <f>5.9903 * CHOOSE(CONTROL!$C$15, $D$11, 100%, $F$11)</f>
        <v>5.9903000000000004</v>
      </c>
      <c r="C235" s="8">
        <f>6.0006 * CHOOSE(CONTROL!$C$15, $D$11, 100%, $F$11)</f>
        <v>6.0006000000000004</v>
      </c>
      <c r="D235" s="8">
        <f>5.9807 * CHOOSE( CONTROL!$C$15, $D$11, 100%, $F$11)</f>
        <v>5.9806999999999997</v>
      </c>
      <c r="E235" s="12">
        <f>5.9869 * CHOOSE( CONTROL!$C$15, $D$11, 100%, $F$11)</f>
        <v>5.9869000000000003</v>
      </c>
      <c r="F235" s="4">
        <f>6.6492 * CHOOSE(CONTROL!$C$15, $D$11, 100%, $F$11)</f>
        <v>6.6492000000000004</v>
      </c>
      <c r="G235" s="8">
        <f>5.8742 * CHOOSE( CONTROL!$C$15, $D$11, 100%, $F$11)</f>
        <v>5.8742000000000001</v>
      </c>
      <c r="H235" s="4">
        <f>6.7702 * CHOOSE(CONTROL!$C$15, $D$11, 100%, $F$11)</f>
        <v>6.7702</v>
      </c>
      <c r="I235" s="8">
        <f>5.8291 * CHOOSE(CONTROL!$C$15, $D$11, 100%, $F$11)</f>
        <v>5.8291000000000004</v>
      </c>
      <c r="J235" s="4">
        <f>5.7681 * CHOOSE(CONTROL!$C$15, $D$11, 100%, $F$11)</f>
        <v>5.7680999999999996</v>
      </c>
      <c r="K235" s="4"/>
      <c r="L235" s="9">
        <v>27.3993</v>
      </c>
      <c r="M235" s="9">
        <v>12.063700000000001</v>
      </c>
      <c r="N235" s="9">
        <v>4.9444999999999997</v>
      </c>
      <c r="O235" s="9">
        <v>0.37459999999999999</v>
      </c>
      <c r="P235" s="9">
        <v>1.2939000000000001</v>
      </c>
      <c r="Q235" s="9">
        <v>30.7105</v>
      </c>
      <c r="R235" s="9"/>
      <c r="S235" s="11"/>
    </row>
    <row r="236" spans="1:19" ht="15.75">
      <c r="A236" s="13">
        <v>49035</v>
      </c>
      <c r="B236" s="8">
        <f>6.081 * CHOOSE(CONTROL!$C$15, $D$11, 100%, $F$11)</f>
        <v>6.0810000000000004</v>
      </c>
      <c r="C236" s="8">
        <f>6.0913 * CHOOSE(CONTROL!$C$15, $D$11, 100%, $F$11)</f>
        <v>6.0913000000000004</v>
      </c>
      <c r="D236" s="8">
        <f>6.0828 * CHOOSE( CONTROL!$C$15, $D$11, 100%, $F$11)</f>
        <v>6.0827999999999998</v>
      </c>
      <c r="E236" s="12">
        <f>6.0844 * CHOOSE( CONTROL!$C$15, $D$11, 100%, $F$11)</f>
        <v>6.0843999999999996</v>
      </c>
      <c r="F236" s="4">
        <f>6.73 * CHOOSE(CONTROL!$C$15, $D$11, 100%, $F$11)</f>
        <v>6.73</v>
      </c>
      <c r="G236" s="8">
        <f>5.9482 * CHOOSE( CONTROL!$C$15, $D$11, 100%, $F$11)</f>
        <v>5.9481999999999999</v>
      </c>
      <c r="H236" s="4">
        <f>6.8497 * CHOOSE(CONTROL!$C$15, $D$11, 100%, $F$11)</f>
        <v>6.8497000000000003</v>
      </c>
      <c r="I236" s="8">
        <f>5.9137 * CHOOSE(CONTROL!$C$15, $D$11, 100%, $F$11)</f>
        <v>5.9137000000000004</v>
      </c>
      <c r="J236" s="4">
        <f>5.8558 * CHOOSE(CONTROL!$C$15, $D$11, 100%, $F$11)</f>
        <v>5.8558000000000003</v>
      </c>
      <c r="K236" s="4"/>
      <c r="L236" s="9">
        <v>27.988800000000001</v>
      </c>
      <c r="M236" s="9">
        <v>11.6745</v>
      </c>
      <c r="N236" s="9">
        <v>4.7850000000000001</v>
      </c>
      <c r="O236" s="9">
        <v>0.36249999999999999</v>
      </c>
      <c r="P236" s="9">
        <v>1.1798</v>
      </c>
      <c r="Q236" s="9">
        <v>29.719799999999999</v>
      </c>
      <c r="R236" s="9"/>
      <c r="S236" s="11"/>
    </row>
    <row r="237" spans="1:19" ht="15.75">
      <c r="A237" s="13">
        <v>49065</v>
      </c>
      <c r="B237" s="8">
        <f>CHOOSE( CONTROL!$C$32, 6.2468, 6.2423) * CHOOSE(CONTROL!$C$15, $D$11, 100%, $F$11)</f>
        <v>6.2468000000000004</v>
      </c>
      <c r="C237" s="8">
        <f>CHOOSE( CONTROL!$C$32, 6.2572, 6.2526) * CHOOSE(CONTROL!$C$15, $D$11, 100%, $F$11)</f>
        <v>6.2572000000000001</v>
      </c>
      <c r="D237" s="8">
        <f>CHOOSE( CONTROL!$C$32, 6.2668, 6.2623) * CHOOSE( CONTROL!$C$15, $D$11, 100%, $F$11)</f>
        <v>6.2667999999999999</v>
      </c>
      <c r="E237" s="12">
        <f>CHOOSE( CONTROL!$C$32, 6.2617, 6.2572) * CHOOSE( CONTROL!$C$15, $D$11, 100%, $F$11)</f>
        <v>6.2617000000000003</v>
      </c>
      <c r="F237" s="4">
        <f>CHOOSE( CONTROL!$C$32, 6.9351, 6.9306) * CHOOSE(CONTROL!$C$15, $D$11, 100%, $F$11)</f>
        <v>6.9351000000000003</v>
      </c>
      <c r="G237" s="8">
        <f>CHOOSE( CONTROL!$C$32, 6.1164, 6.112) * CHOOSE( CONTROL!$C$15, $D$11, 100%, $F$11)</f>
        <v>6.1163999999999996</v>
      </c>
      <c r="H237" s="4">
        <f>CHOOSE( CONTROL!$C$32, 7.0514, 7.047) * CHOOSE(CONTROL!$C$15, $D$11, 100%, $F$11)</f>
        <v>7.0514000000000001</v>
      </c>
      <c r="I237" s="8">
        <f>CHOOSE( CONTROL!$C$32, 6.08, 6.0756) * CHOOSE(CONTROL!$C$15, $D$11, 100%, $F$11)</f>
        <v>6.08</v>
      </c>
      <c r="J237" s="4">
        <f>CHOOSE( CONTROL!$C$32, 6.0162, 6.0118) * CHOOSE(CONTROL!$C$15, $D$11, 100%, $F$11)</f>
        <v>6.0162000000000004</v>
      </c>
      <c r="K237" s="4"/>
      <c r="L237" s="9">
        <v>29.520499999999998</v>
      </c>
      <c r="M237" s="9">
        <v>12.063700000000001</v>
      </c>
      <c r="N237" s="9">
        <v>4.9444999999999997</v>
      </c>
      <c r="O237" s="9">
        <v>0.37459999999999999</v>
      </c>
      <c r="P237" s="9">
        <v>1.2192000000000001</v>
      </c>
      <c r="Q237" s="9">
        <v>30.7105</v>
      </c>
      <c r="R237" s="9"/>
      <c r="S237" s="11"/>
    </row>
    <row r="238" spans="1:19" ht="15.75">
      <c r="A238" s="13">
        <v>49096</v>
      </c>
      <c r="B238" s="8">
        <f>CHOOSE( CONTROL!$C$32, 6.1469, 6.1423) * CHOOSE(CONTROL!$C$15, $D$11, 100%, $F$11)</f>
        <v>6.1468999999999996</v>
      </c>
      <c r="C238" s="8">
        <f>CHOOSE( CONTROL!$C$32, 6.1572, 6.1527) * CHOOSE(CONTROL!$C$15, $D$11, 100%, $F$11)</f>
        <v>6.1571999999999996</v>
      </c>
      <c r="D238" s="8">
        <f>CHOOSE( CONTROL!$C$32, 6.1675, 6.163) * CHOOSE( CONTROL!$C$15, $D$11, 100%, $F$11)</f>
        <v>6.1675000000000004</v>
      </c>
      <c r="E238" s="12">
        <f>CHOOSE( CONTROL!$C$32, 6.1622, 6.1577) * CHOOSE( CONTROL!$C$15, $D$11, 100%, $F$11)</f>
        <v>6.1622000000000003</v>
      </c>
      <c r="F238" s="4">
        <f>CHOOSE( CONTROL!$C$32, 6.8352, 6.8306) * CHOOSE(CONTROL!$C$15, $D$11, 100%, $F$11)</f>
        <v>6.8352000000000004</v>
      </c>
      <c r="G238" s="8">
        <f>CHOOSE( CONTROL!$C$32, 6.019, 6.0146) * CHOOSE( CONTROL!$C$15, $D$11, 100%, $F$11)</f>
        <v>6.0190000000000001</v>
      </c>
      <c r="H238" s="4">
        <f>CHOOSE( CONTROL!$C$32, 6.9531, 6.9487) * CHOOSE(CONTROL!$C$15, $D$11, 100%, $F$11)</f>
        <v>6.9531000000000001</v>
      </c>
      <c r="I238" s="8">
        <f>CHOOSE( CONTROL!$C$32, 5.9863, 5.9819) * CHOOSE(CONTROL!$C$15, $D$11, 100%, $F$11)</f>
        <v>5.9863</v>
      </c>
      <c r="J238" s="4">
        <f>CHOOSE( CONTROL!$C$32, 5.9195, 5.9152) * CHOOSE(CONTROL!$C$15, $D$11, 100%, $F$11)</f>
        <v>5.9195000000000002</v>
      </c>
      <c r="K238" s="4"/>
      <c r="L238" s="9">
        <v>28.568200000000001</v>
      </c>
      <c r="M238" s="9">
        <v>11.6745</v>
      </c>
      <c r="N238" s="9">
        <v>4.7850000000000001</v>
      </c>
      <c r="O238" s="9">
        <v>0.36249999999999999</v>
      </c>
      <c r="P238" s="9">
        <v>1.1798</v>
      </c>
      <c r="Q238" s="9">
        <v>29.719799999999999</v>
      </c>
      <c r="R238" s="9"/>
      <c r="S238" s="11"/>
    </row>
    <row r="239" spans="1:19" ht="15.75">
      <c r="A239" s="13">
        <v>49126</v>
      </c>
      <c r="B239" s="8">
        <f>CHOOSE( CONTROL!$C$32, 6.4101, 6.4055) * CHOOSE(CONTROL!$C$15, $D$11, 100%, $F$11)</f>
        <v>6.4100999999999999</v>
      </c>
      <c r="C239" s="8">
        <f>CHOOSE( CONTROL!$C$32, 6.4204, 6.4159) * CHOOSE(CONTROL!$C$15, $D$11, 100%, $F$11)</f>
        <v>6.4203999999999999</v>
      </c>
      <c r="D239" s="8">
        <f>CHOOSE( CONTROL!$C$32, 6.4313, 6.4268) * CHOOSE( CONTROL!$C$15, $D$11, 100%, $F$11)</f>
        <v>6.4313000000000002</v>
      </c>
      <c r="E239" s="12">
        <f>CHOOSE( CONTROL!$C$32, 6.4258, 6.4213) * CHOOSE( CONTROL!$C$15, $D$11, 100%, $F$11)</f>
        <v>6.4257999999999997</v>
      </c>
      <c r="F239" s="4">
        <f>CHOOSE( CONTROL!$C$32, 7.0984, 7.0938) * CHOOSE(CONTROL!$C$15, $D$11, 100%, $F$11)</f>
        <v>7.0983999999999998</v>
      </c>
      <c r="G239" s="8">
        <f>CHOOSE( CONTROL!$C$32, 6.2788, 6.2743) * CHOOSE( CONTROL!$C$15, $D$11, 100%, $F$11)</f>
        <v>6.2788000000000004</v>
      </c>
      <c r="H239" s="4">
        <f>CHOOSE( CONTROL!$C$32, 7.212, 7.2076) * CHOOSE(CONTROL!$C$15, $D$11, 100%, $F$11)</f>
        <v>7.2119999999999997</v>
      </c>
      <c r="I239" s="8">
        <f>CHOOSE( CONTROL!$C$32, 6.2436, 6.2393) * CHOOSE(CONTROL!$C$15, $D$11, 100%, $F$11)</f>
        <v>6.2435999999999998</v>
      </c>
      <c r="J239" s="4">
        <f>CHOOSE( CONTROL!$C$32, 6.1741, 6.1697) * CHOOSE(CONTROL!$C$15, $D$11, 100%, $F$11)</f>
        <v>6.1741000000000001</v>
      </c>
      <c r="K239" s="4"/>
      <c r="L239" s="9">
        <v>29.520499999999998</v>
      </c>
      <c r="M239" s="9">
        <v>12.063700000000001</v>
      </c>
      <c r="N239" s="9">
        <v>4.9444999999999997</v>
      </c>
      <c r="O239" s="9">
        <v>0.37459999999999999</v>
      </c>
      <c r="P239" s="9">
        <v>1.2192000000000001</v>
      </c>
      <c r="Q239" s="9">
        <v>30.7105</v>
      </c>
      <c r="R239" s="9"/>
      <c r="S239" s="11"/>
    </row>
    <row r="240" spans="1:19" ht="15.75">
      <c r="A240" s="13">
        <v>49157</v>
      </c>
      <c r="B240" s="8">
        <f>CHOOSE( CONTROL!$C$32, 5.9176, 5.9131) * CHOOSE(CONTROL!$C$15, $D$11, 100%, $F$11)</f>
        <v>5.9176000000000002</v>
      </c>
      <c r="C240" s="8">
        <f>CHOOSE( CONTROL!$C$32, 5.9279, 5.9234) * CHOOSE(CONTROL!$C$15, $D$11, 100%, $F$11)</f>
        <v>5.9279000000000002</v>
      </c>
      <c r="D240" s="8">
        <f>CHOOSE( CONTROL!$C$32, 5.9391, 5.9346) * CHOOSE( CONTROL!$C$15, $D$11, 100%, $F$11)</f>
        <v>5.9390999999999998</v>
      </c>
      <c r="E240" s="12">
        <f>CHOOSE( CONTROL!$C$32, 5.9335, 5.929) * CHOOSE( CONTROL!$C$15, $D$11, 100%, $F$11)</f>
        <v>5.9335000000000004</v>
      </c>
      <c r="F240" s="4">
        <f>CHOOSE( CONTROL!$C$32, 6.6059, 6.6014) * CHOOSE(CONTROL!$C$15, $D$11, 100%, $F$11)</f>
        <v>6.6059000000000001</v>
      </c>
      <c r="G240" s="8">
        <f>CHOOSE( CONTROL!$C$32, 5.7947, 5.7903) * CHOOSE( CONTROL!$C$15, $D$11, 100%, $F$11)</f>
        <v>5.7946999999999997</v>
      </c>
      <c r="H240" s="4">
        <f>CHOOSE( CONTROL!$C$32, 6.7276, 6.7231) * CHOOSE(CONTROL!$C$15, $D$11, 100%, $F$11)</f>
        <v>6.7275999999999998</v>
      </c>
      <c r="I240" s="8">
        <f>CHOOSE( CONTROL!$C$32, 5.7686, 5.7642) * CHOOSE(CONTROL!$C$15, $D$11, 100%, $F$11)</f>
        <v>5.7686000000000002</v>
      </c>
      <c r="J240" s="4">
        <f>CHOOSE( CONTROL!$C$32, 5.6978, 5.6934) * CHOOSE(CONTROL!$C$15, $D$11, 100%, $F$11)</f>
        <v>5.6978</v>
      </c>
      <c r="K240" s="4"/>
      <c r="L240" s="9">
        <v>29.520499999999998</v>
      </c>
      <c r="M240" s="9">
        <v>12.063700000000001</v>
      </c>
      <c r="N240" s="9">
        <v>4.9444999999999997</v>
      </c>
      <c r="O240" s="9">
        <v>0.37459999999999999</v>
      </c>
      <c r="P240" s="9">
        <v>1.2192000000000001</v>
      </c>
      <c r="Q240" s="9">
        <v>30.7105</v>
      </c>
      <c r="R240" s="9"/>
      <c r="S240" s="11"/>
    </row>
    <row r="241" spans="1:19" ht="15.75">
      <c r="A241" s="13">
        <v>49188</v>
      </c>
      <c r="B241" s="8">
        <f>CHOOSE( CONTROL!$C$32, 5.7943, 5.7898) * CHOOSE(CONTROL!$C$15, $D$11, 100%, $F$11)</f>
        <v>5.7942999999999998</v>
      </c>
      <c r="C241" s="8">
        <f>CHOOSE( CONTROL!$C$32, 5.8046, 5.8001) * CHOOSE(CONTROL!$C$15, $D$11, 100%, $F$11)</f>
        <v>5.8045999999999998</v>
      </c>
      <c r="D241" s="8">
        <f>CHOOSE( CONTROL!$C$32, 5.8159, 5.8114) * CHOOSE( CONTROL!$C$15, $D$11, 100%, $F$11)</f>
        <v>5.8159000000000001</v>
      </c>
      <c r="E241" s="12">
        <f>CHOOSE( CONTROL!$C$32, 5.8102, 5.8057) * CHOOSE( CONTROL!$C$15, $D$11, 100%, $F$11)</f>
        <v>5.8102</v>
      </c>
      <c r="F241" s="4">
        <f>CHOOSE( CONTROL!$C$32, 6.4826, 6.4781) * CHOOSE(CONTROL!$C$15, $D$11, 100%, $F$11)</f>
        <v>6.4825999999999997</v>
      </c>
      <c r="G241" s="8">
        <f>CHOOSE( CONTROL!$C$32, 5.6735, 5.6691) * CHOOSE( CONTROL!$C$15, $D$11, 100%, $F$11)</f>
        <v>5.6734999999999998</v>
      </c>
      <c r="H241" s="4">
        <f>CHOOSE( CONTROL!$C$32, 6.6062, 6.6018) * CHOOSE(CONTROL!$C$15, $D$11, 100%, $F$11)</f>
        <v>6.6062000000000003</v>
      </c>
      <c r="I241" s="8">
        <f>CHOOSE( CONTROL!$C$32, 5.6497, 5.6453) * CHOOSE(CONTROL!$C$15, $D$11, 100%, $F$11)</f>
        <v>5.6497000000000002</v>
      </c>
      <c r="J241" s="4">
        <f>CHOOSE( CONTROL!$C$32, 5.5785, 5.5742) * CHOOSE(CONTROL!$C$15, $D$11, 100%, $F$11)</f>
        <v>5.5785</v>
      </c>
      <c r="K241" s="4"/>
      <c r="L241" s="9">
        <v>28.568200000000001</v>
      </c>
      <c r="M241" s="9">
        <v>11.6745</v>
      </c>
      <c r="N241" s="9">
        <v>4.7850000000000001</v>
      </c>
      <c r="O241" s="9">
        <v>0.36249999999999999</v>
      </c>
      <c r="P241" s="9">
        <v>1.1798</v>
      </c>
      <c r="Q241" s="9">
        <v>29.719799999999999</v>
      </c>
      <c r="R241" s="9"/>
      <c r="S241" s="11"/>
    </row>
    <row r="242" spans="1:19" ht="15.75">
      <c r="A242" s="13">
        <v>49218</v>
      </c>
      <c r="B242" s="8">
        <f>6.0458 * CHOOSE(CONTROL!$C$15, $D$11, 100%, $F$11)</f>
        <v>6.0457999999999998</v>
      </c>
      <c r="C242" s="8">
        <f>6.0562 * CHOOSE(CONTROL!$C$15, $D$11, 100%, $F$11)</f>
        <v>6.0561999999999996</v>
      </c>
      <c r="D242" s="8">
        <f>6.0686 * CHOOSE( CONTROL!$C$15, $D$11, 100%, $F$11)</f>
        <v>6.0686</v>
      </c>
      <c r="E242" s="12">
        <f>6.0634 * CHOOSE( CONTROL!$C$15, $D$11, 100%, $F$11)</f>
        <v>6.0633999999999997</v>
      </c>
      <c r="F242" s="4">
        <f>6.7341 * CHOOSE(CONTROL!$C$15, $D$11, 100%, $F$11)</f>
        <v>6.7340999999999998</v>
      </c>
      <c r="G242" s="8">
        <f>5.9205 * CHOOSE( CONTROL!$C$15, $D$11, 100%, $F$11)</f>
        <v>5.9204999999999997</v>
      </c>
      <c r="H242" s="4">
        <f>6.8537 * CHOOSE(CONTROL!$C$15, $D$11, 100%, $F$11)</f>
        <v>6.8536999999999999</v>
      </c>
      <c r="I242" s="8">
        <f>5.8943 * CHOOSE(CONTROL!$C$15, $D$11, 100%, $F$11)</f>
        <v>5.8943000000000003</v>
      </c>
      <c r="J242" s="4">
        <f>5.8218 * CHOOSE(CONTROL!$C$15, $D$11, 100%, $F$11)</f>
        <v>5.8217999999999996</v>
      </c>
      <c r="K242" s="4"/>
      <c r="L242" s="9">
        <v>28.921800000000001</v>
      </c>
      <c r="M242" s="9">
        <v>12.063700000000001</v>
      </c>
      <c r="N242" s="9">
        <v>4.9444999999999997</v>
      </c>
      <c r="O242" s="9">
        <v>0.37459999999999999</v>
      </c>
      <c r="P242" s="9">
        <v>1.2192000000000001</v>
      </c>
      <c r="Q242" s="9">
        <v>30.7105</v>
      </c>
      <c r="R242" s="9"/>
      <c r="S242" s="11"/>
    </row>
    <row r="243" spans="1:19" ht="15.75">
      <c r="A243" s="13">
        <v>49249</v>
      </c>
      <c r="B243" s="8">
        <f>6.5184 * CHOOSE(CONTROL!$C$15, $D$11, 100%, $F$11)</f>
        <v>6.5183999999999997</v>
      </c>
      <c r="C243" s="8">
        <f>6.5288 * CHOOSE(CONTROL!$C$15, $D$11, 100%, $F$11)</f>
        <v>6.5288000000000004</v>
      </c>
      <c r="D243" s="8">
        <f>6.5148 * CHOOSE( CONTROL!$C$15, $D$11, 100%, $F$11)</f>
        <v>6.5148000000000001</v>
      </c>
      <c r="E243" s="12">
        <f>6.5188 * CHOOSE( CONTROL!$C$15, $D$11, 100%, $F$11)</f>
        <v>6.5187999999999997</v>
      </c>
      <c r="F243" s="4">
        <f>7.1727 * CHOOSE(CONTROL!$C$15, $D$11, 100%, $F$11)</f>
        <v>7.1726999999999999</v>
      </c>
      <c r="G243" s="8">
        <f>6.4026 * CHOOSE( CONTROL!$C$15, $D$11, 100%, $F$11)</f>
        <v>6.4025999999999996</v>
      </c>
      <c r="H243" s="4">
        <f>7.2852 * CHOOSE(CONTROL!$C$15, $D$11, 100%, $F$11)</f>
        <v>7.2851999999999997</v>
      </c>
      <c r="I243" s="8">
        <f>6.3846 * CHOOSE(CONTROL!$C$15, $D$11, 100%, $F$11)</f>
        <v>6.3845999999999998</v>
      </c>
      <c r="J243" s="4">
        <f>6.2789 * CHOOSE(CONTROL!$C$15, $D$11, 100%, $F$11)</f>
        <v>6.2789000000000001</v>
      </c>
      <c r="K243" s="4"/>
      <c r="L243" s="9">
        <v>26.515499999999999</v>
      </c>
      <c r="M243" s="9">
        <v>11.6745</v>
      </c>
      <c r="N243" s="9">
        <v>4.7850000000000001</v>
      </c>
      <c r="O243" s="9">
        <v>0.36249999999999999</v>
      </c>
      <c r="P243" s="9">
        <v>1.2522</v>
      </c>
      <c r="Q243" s="9">
        <v>29.719799999999999</v>
      </c>
      <c r="R243" s="9"/>
      <c r="S243" s="11"/>
    </row>
    <row r="244" spans="1:19" ht="15.75">
      <c r="A244" s="13">
        <v>49279</v>
      </c>
      <c r="B244" s="8">
        <f>6.5066 * CHOOSE(CONTROL!$C$15, $D$11, 100%, $F$11)</f>
        <v>6.5065999999999997</v>
      </c>
      <c r="C244" s="8">
        <f>6.517 * CHOOSE(CONTROL!$C$15, $D$11, 100%, $F$11)</f>
        <v>6.5170000000000003</v>
      </c>
      <c r="D244" s="8">
        <f>6.5055 * CHOOSE( CONTROL!$C$15, $D$11, 100%, $F$11)</f>
        <v>6.5054999999999996</v>
      </c>
      <c r="E244" s="12">
        <f>6.5086 * CHOOSE( CONTROL!$C$15, $D$11, 100%, $F$11)</f>
        <v>6.5086000000000004</v>
      </c>
      <c r="F244" s="4">
        <f>7.1609 * CHOOSE(CONTROL!$C$15, $D$11, 100%, $F$11)</f>
        <v>7.1608999999999998</v>
      </c>
      <c r="G244" s="8">
        <f>6.3928 * CHOOSE( CONTROL!$C$15, $D$11, 100%, $F$11)</f>
        <v>6.3928000000000003</v>
      </c>
      <c r="H244" s="4">
        <f>7.2736 * CHOOSE(CONTROL!$C$15, $D$11, 100%, $F$11)</f>
        <v>7.2736000000000001</v>
      </c>
      <c r="I244" s="8">
        <f>6.3812 * CHOOSE(CONTROL!$C$15, $D$11, 100%, $F$11)</f>
        <v>6.3811999999999998</v>
      </c>
      <c r="J244" s="4">
        <f>6.2674 * CHOOSE(CONTROL!$C$15, $D$11, 100%, $F$11)</f>
        <v>6.2674000000000003</v>
      </c>
      <c r="K244" s="4"/>
      <c r="L244" s="9">
        <v>27.3993</v>
      </c>
      <c r="M244" s="9">
        <v>12.063700000000001</v>
      </c>
      <c r="N244" s="9">
        <v>4.9444999999999997</v>
      </c>
      <c r="O244" s="9">
        <v>0.37459999999999999</v>
      </c>
      <c r="P244" s="9">
        <v>1.2939000000000001</v>
      </c>
      <c r="Q244" s="9">
        <v>30.7105</v>
      </c>
      <c r="R244" s="9"/>
      <c r="S244" s="11"/>
    </row>
    <row r="245" spans="1:19" ht="15.75">
      <c r="A245" s="13">
        <v>49310</v>
      </c>
      <c r="B245" s="8">
        <f>6.6715 * CHOOSE(CONTROL!$C$15, $D$11, 100%, $F$11)</f>
        <v>6.6715</v>
      </c>
      <c r="C245" s="8">
        <f>6.6819 * CHOOSE(CONTROL!$C$15, $D$11, 100%, $F$11)</f>
        <v>6.6818999999999997</v>
      </c>
      <c r="D245" s="8">
        <f>6.6803 * CHOOSE( CONTROL!$C$15, $D$11, 100%, $F$11)</f>
        <v>6.6802999999999999</v>
      </c>
      <c r="E245" s="12">
        <f>6.6798 * CHOOSE( CONTROL!$C$15, $D$11, 100%, $F$11)</f>
        <v>6.6798000000000002</v>
      </c>
      <c r="F245" s="4">
        <f>7.3542 * CHOOSE(CONTROL!$C$15, $D$11, 100%, $F$11)</f>
        <v>7.3541999999999996</v>
      </c>
      <c r="G245" s="8">
        <f>6.5654 * CHOOSE( CONTROL!$C$15, $D$11, 100%, $F$11)</f>
        <v>6.5654000000000003</v>
      </c>
      <c r="H245" s="4">
        <f>7.4638 * CHOOSE(CONTROL!$C$15, $D$11, 100%, $F$11)</f>
        <v>7.4638</v>
      </c>
      <c r="I245" s="8">
        <f>6.5387 * CHOOSE(CONTROL!$C$15, $D$11, 100%, $F$11)</f>
        <v>6.5387000000000004</v>
      </c>
      <c r="J245" s="4">
        <f>6.4269 * CHOOSE(CONTROL!$C$15, $D$11, 100%, $F$11)</f>
        <v>6.4268999999999998</v>
      </c>
      <c r="K245" s="4"/>
      <c r="L245" s="9">
        <v>27.3993</v>
      </c>
      <c r="M245" s="9">
        <v>12.063700000000001</v>
      </c>
      <c r="N245" s="9">
        <v>4.9444999999999997</v>
      </c>
      <c r="O245" s="9">
        <v>0.37459999999999999</v>
      </c>
      <c r="P245" s="9">
        <v>1.2939000000000001</v>
      </c>
      <c r="Q245" s="9">
        <v>30.645399999999999</v>
      </c>
      <c r="R245" s="9"/>
      <c r="S245" s="11"/>
    </row>
    <row r="246" spans="1:19" ht="15.75">
      <c r="A246" s="13">
        <v>49341</v>
      </c>
      <c r="B246" s="8">
        <f>6.2419 * CHOOSE(CONTROL!$C$15, $D$11, 100%, $F$11)</f>
        <v>6.2419000000000002</v>
      </c>
      <c r="C246" s="8">
        <f>6.2522 * CHOOSE(CONTROL!$C$15, $D$11, 100%, $F$11)</f>
        <v>6.2522000000000002</v>
      </c>
      <c r="D246" s="8">
        <f>6.2528 * CHOOSE( CONTROL!$C$15, $D$11, 100%, $F$11)</f>
        <v>6.2527999999999997</v>
      </c>
      <c r="E246" s="12">
        <f>6.2515 * CHOOSE( CONTROL!$C$15, $D$11, 100%, $F$11)</f>
        <v>6.2515000000000001</v>
      </c>
      <c r="F246" s="4">
        <f>6.9168 * CHOOSE(CONTROL!$C$15, $D$11, 100%, $F$11)</f>
        <v>6.9168000000000003</v>
      </c>
      <c r="G246" s="8">
        <f>6.1425 * CHOOSE( CONTROL!$C$15, $D$11, 100%, $F$11)</f>
        <v>6.1425000000000001</v>
      </c>
      <c r="H246" s="4">
        <f>7.0335 * CHOOSE(CONTROL!$C$15, $D$11, 100%, $F$11)</f>
        <v>7.0335000000000001</v>
      </c>
      <c r="I246" s="8">
        <f>6.1121 * CHOOSE(CONTROL!$C$15, $D$11, 100%, $F$11)</f>
        <v>6.1120999999999999</v>
      </c>
      <c r="J246" s="4">
        <f>6.0114 * CHOOSE(CONTROL!$C$15, $D$11, 100%, $F$11)</f>
        <v>6.0114000000000001</v>
      </c>
      <c r="K246" s="4"/>
      <c r="L246" s="9">
        <v>24.747800000000002</v>
      </c>
      <c r="M246" s="9">
        <v>10.8962</v>
      </c>
      <c r="N246" s="9">
        <v>4.4660000000000002</v>
      </c>
      <c r="O246" s="9">
        <v>0.33829999999999999</v>
      </c>
      <c r="P246" s="9">
        <v>1.1687000000000001</v>
      </c>
      <c r="Q246" s="9">
        <v>27.6797</v>
      </c>
      <c r="R246" s="9"/>
      <c r="S246" s="11"/>
    </row>
    <row r="247" spans="1:19" ht="15.75">
      <c r="A247" s="13">
        <v>49369</v>
      </c>
      <c r="B247" s="8">
        <f>6.1096 * CHOOSE(CONTROL!$C$15, $D$11, 100%, $F$11)</f>
        <v>6.1096000000000004</v>
      </c>
      <c r="C247" s="8">
        <f>6.1199 * CHOOSE(CONTROL!$C$15, $D$11, 100%, $F$11)</f>
        <v>6.1199000000000003</v>
      </c>
      <c r="D247" s="8">
        <f>6.1 * CHOOSE( CONTROL!$C$15, $D$11, 100%, $F$11)</f>
        <v>6.1</v>
      </c>
      <c r="E247" s="12">
        <f>6.1062 * CHOOSE( CONTROL!$C$15, $D$11, 100%, $F$11)</f>
        <v>6.1062000000000003</v>
      </c>
      <c r="F247" s="4">
        <f>6.7685 * CHOOSE(CONTROL!$C$15, $D$11, 100%, $F$11)</f>
        <v>6.7685000000000004</v>
      </c>
      <c r="G247" s="8">
        <f>5.9915 * CHOOSE( CONTROL!$C$15, $D$11, 100%, $F$11)</f>
        <v>5.9915000000000003</v>
      </c>
      <c r="H247" s="4">
        <f>6.8875 * CHOOSE(CONTROL!$C$15, $D$11, 100%, $F$11)</f>
        <v>6.8875000000000002</v>
      </c>
      <c r="I247" s="8">
        <f>5.9446 * CHOOSE(CONTROL!$C$15, $D$11, 100%, $F$11)</f>
        <v>5.9446000000000003</v>
      </c>
      <c r="J247" s="4">
        <f>5.8835 * CHOOSE(CONTROL!$C$15, $D$11, 100%, $F$11)</f>
        <v>5.8834999999999997</v>
      </c>
      <c r="K247" s="4"/>
      <c r="L247" s="9">
        <v>27.3993</v>
      </c>
      <c r="M247" s="9">
        <v>12.063700000000001</v>
      </c>
      <c r="N247" s="9">
        <v>4.9444999999999997</v>
      </c>
      <c r="O247" s="9">
        <v>0.37459999999999999</v>
      </c>
      <c r="P247" s="9">
        <v>1.2939000000000001</v>
      </c>
      <c r="Q247" s="9">
        <v>30.645399999999999</v>
      </c>
      <c r="R247" s="9"/>
      <c r="S247" s="11"/>
    </row>
    <row r="248" spans="1:19" ht="15.75">
      <c r="A248" s="13">
        <v>49400</v>
      </c>
      <c r="B248" s="8">
        <f>6.2021 * CHOOSE(CONTROL!$C$15, $D$11, 100%, $F$11)</f>
        <v>6.2020999999999997</v>
      </c>
      <c r="C248" s="8">
        <f>6.2124 * CHOOSE(CONTROL!$C$15, $D$11, 100%, $F$11)</f>
        <v>6.2123999999999997</v>
      </c>
      <c r="D248" s="8">
        <f>6.2039 * CHOOSE( CONTROL!$C$15, $D$11, 100%, $F$11)</f>
        <v>6.2039</v>
      </c>
      <c r="E248" s="12">
        <f>6.2055 * CHOOSE( CONTROL!$C$15, $D$11, 100%, $F$11)</f>
        <v>6.2054999999999998</v>
      </c>
      <c r="F248" s="4">
        <f>6.8511 * CHOOSE(CONTROL!$C$15, $D$11, 100%, $F$11)</f>
        <v>6.8510999999999997</v>
      </c>
      <c r="G248" s="8">
        <f>6.0673 * CHOOSE( CONTROL!$C$15, $D$11, 100%, $F$11)</f>
        <v>6.0673000000000004</v>
      </c>
      <c r="H248" s="4">
        <f>6.9688 * CHOOSE(CONTROL!$C$15, $D$11, 100%, $F$11)</f>
        <v>6.9687999999999999</v>
      </c>
      <c r="I248" s="8">
        <f>6.0308 * CHOOSE(CONTROL!$C$15, $D$11, 100%, $F$11)</f>
        <v>6.0308000000000002</v>
      </c>
      <c r="J248" s="4">
        <f>5.9729 * CHOOSE(CONTROL!$C$15, $D$11, 100%, $F$11)</f>
        <v>5.9729000000000001</v>
      </c>
      <c r="K248" s="4"/>
      <c r="L248" s="9">
        <v>27.988800000000001</v>
      </c>
      <c r="M248" s="9">
        <v>11.6745</v>
      </c>
      <c r="N248" s="9">
        <v>4.7850000000000001</v>
      </c>
      <c r="O248" s="9">
        <v>0.36249999999999999</v>
      </c>
      <c r="P248" s="9">
        <v>1.1798</v>
      </c>
      <c r="Q248" s="9">
        <v>29.6568</v>
      </c>
      <c r="R248" s="9"/>
      <c r="S248" s="11"/>
    </row>
    <row r="249" spans="1:19" ht="15.75">
      <c r="A249" s="13">
        <v>49430</v>
      </c>
      <c r="B249" s="8">
        <f>CHOOSE( CONTROL!$C$32, 6.3711, 6.3666) * CHOOSE(CONTROL!$C$15, $D$11, 100%, $F$11)</f>
        <v>6.3711000000000002</v>
      </c>
      <c r="C249" s="8">
        <f>CHOOSE( CONTROL!$C$32, 6.3815, 6.377) * CHOOSE(CONTROL!$C$15, $D$11, 100%, $F$11)</f>
        <v>6.3815</v>
      </c>
      <c r="D249" s="8">
        <f>CHOOSE( CONTROL!$C$32, 6.3912, 6.3867) * CHOOSE( CONTROL!$C$15, $D$11, 100%, $F$11)</f>
        <v>6.3912000000000004</v>
      </c>
      <c r="E249" s="12">
        <f>CHOOSE( CONTROL!$C$32, 6.3861, 6.3816) * CHOOSE( CONTROL!$C$15, $D$11, 100%, $F$11)</f>
        <v>6.3860999999999999</v>
      </c>
      <c r="F249" s="4">
        <f>CHOOSE( CONTROL!$C$32, 7.0594, 7.0549) * CHOOSE(CONTROL!$C$15, $D$11, 100%, $F$11)</f>
        <v>7.0594000000000001</v>
      </c>
      <c r="G249" s="8">
        <f>CHOOSE( CONTROL!$C$32, 6.2387, 6.2343) * CHOOSE( CONTROL!$C$15, $D$11, 100%, $F$11)</f>
        <v>6.2386999999999997</v>
      </c>
      <c r="H249" s="4">
        <f>CHOOSE( CONTROL!$C$32, 7.1738, 7.1693) * CHOOSE(CONTROL!$C$15, $D$11, 100%, $F$11)</f>
        <v>7.1738</v>
      </c>
      <c r="I249" s="8">
        <f>CHOOSE( CONTROL!$C$32, 6.2003, 6.1959) * CHOOSE(CONTROL!$C$15, $D$11, 100%, $F$11)</f>
        <v>6.2003000000000004</v>
      </c>
      <c r="J249" s="4">
        <f>CHOOSE( CONTROL!$C$32, 6.1364, 6.132) * CHOOSE(CONTROL!$C$15, $D$11, 100%, $F$11)</f>
        <v>6.1364000000000001</v>
      </c>
      <c r="K249" s="4"/>
      <c r="L249" s="9">
        <v>29.520499999999998</v>
      </c>
      <c r="M249" s="9">
        <v>12.063700000000001</v>
      </c>
      <c r="N249" s="9">
        <v>4.9444999999999997</v>
      </c>
      <c r="O249" s="9">
        <v>0.37459999999999999</v>
      </c>
      <c r="P249" s="9">
        <v>1.2192000000000001</v>
      </c>
      <c r="Q249" s="9">
        <v>30.645399999999999</v>
      </c>
      <c r="R249" s="9"/>
      <c r="S249" s="11"/>
    </row>
    <row r="250" spans="1:19" ht="15.75">
      <c r="A250" s="14">
        <v>49461</v>
      </c>
      <c r="B250" s="8">
        <f>CHOOSE( CONTROL!$C$32, 6.2692, 6.2647) * CHOOSE(CONTROL!$C$15, $D$11, 100%, $F$11)</f>
        <v>6.2691999999999997</v>
      </c>
      <c r="C250" s="8">
        <f>CHOOSE( CONTROL!$C$32, 6.2795, 6.275) * CHOOSE(CONTROL!$C$15, $D$11, 100%, $F$11)</f>
        <v>6.2794999999999996</v>
      </c>
      <c r="D250" s="8">
        <f>CHOOSE( CONTROL!$C$32, 6.2898, 6.2853) * CHOOSE( CONTROL!$C$15, $D$11, 100%, $F$11)</f>
        <v>6.2897999999999996</v>
      </c>
      <c r="E250" s="12">
        <f>CHOOSE( CONTROL!$C$32, 6.2845, 6.28) * CHOOSE( CONTROL!$C$15, $D$11, 100%, $F$11)</f>
        <v>6.2845000000000004</v>
      </c>
      <c r="F250" s="4">
        <f>CHOOSE( CONTROL!$C$32, 6.9575, 6.953) * CHOOSE(CONTROL!$C$15, $D$11, 100%, $F$11)</f>
        <v>6.9574999999999996</v>
      </c>
      <c r="G250" s="8">
        <f>CHOOSE( CONTROL!$C$32, 6.1394, 6.1349) * CHOOSE( CONTROL!$C$15, $D$11, 100%, $F$11)</f>
        <v>6.1394000000000002</v>
      </c>
      <c r="H250" s="4">
        <f>CHOOSE( CONTROL!$C$32, 7.0735, 7.069) * CHOOSE(CONTROL!$C$15, $D$11, 100%, $F$11)</f>
        <v>7.0735000000000001</v>
      </c>
      <c r="I250" s="8">
        <f>CHOOSE( CONTROL!$C$32, 6.1046, 6.1003) * CHOOSE(CONTROL!$C$15, $D$11, 100%, $F$11)</f>
        <v>6.1045999999999996</v>
      </c>
      <c r="J250" s="4">
        <f>CHOOSE( CONTROL!$C$32, 6.0378, 6.0335) * CHOOSE(CONTROL!$C$15, $D$11, 100%, $F$11)</f>
        <v>6.0377999999999998</v>
      </c>
      <c r="K250" s="4"/>
      <c r="L250" s="9">
        <v>28.568200000000001</v>
      </c>
      <c r="M250" s="9">
        <v>11.6745</v>
      </c>
      <c r="N250" s="9">
        <v>4.7850000000000001</v>
      </c>
      <c r="O250" s="9">
        <v>0.36249999999999999</v>
      </c>
      <c r="P250" s="9">
        <v>1.1798</v>
      </c>
      <c r="Q250" s="9">
        <v>29.6568</v>
      </c>
      <c r="R250" s="9"/>
      <c r="S250" s="11"/>
    </row>
    <row r="251" spans="1:19" ht="15.75">
      <c r="A251" s="14">
        <v>49491</v>
      </c>
      <c r="B251" s="8">
        <f>CHOOSE( CONTROL!$C$32, 6.5376, 6.5331) * CHOOSE(CONTROL!$C$15, $D$11, 100%, $F$11)</f>
        <v>6.5376000000000003</v>
      </c>
      <c r="C251" s="8">
        <f>CHOOSE( CONTROL!$C$32, 6.548, 6.5435) * CHOOSE(CONTROL!$C$15, $D$11, 100%, $F$11)</f>
        <v>6.548</v>
      </c>
      <c r="D251" s="8">
        <f>CHOOSE( CONTROL!$C$32, 6.5589, 6.5543) * CHOOSE( CONTROL!$C$15, $D$11, 100%, $F$11)</f>
        <v>6.5589000000000004</v>
      </c>
      <c r="E251" s="12">
        <f>CHOOSE( CONTROL!$C$32, 6.5534, 6.5488) * CHOOSE( CONTROL!$C$15, $D$11, 100%, $F$11)</f>
        <v>6.5533999999999999</v>
      </c>
      <c r="F251" s="4">
        <f>CHOOSE( CONTROL!$C$32, 7.2259, 7.2214) * CHOOSE(CONTROL!$C$15, $D$11, 100%, $F$11)</f>
        <v>7.2259000000000002</v>
      </c>
      <c r="G251" s="8">
        <f>CHOOSE( CONTROL!$C$32, 6.4043, 6.3999) * CHOOSE( CONTROL!$C$15, $D$11, 100%, $F$11)</f>
        <v>6.4043000000000001</v>
      </c>
      <c r="H251" s="4">
        <f>CHOOSE( CONTROL!$C$32, 7.3376, 7.3331) * CHOOSE(CONTROL!$C$15, $D$11, 100%, $F$11)</f>
        <v>7.3376000000000001</v>
      </c>
      <c r="I251" s="8">
        <f>CHOOSE( CONTROL!$C$32, 6.3671, 6.3627) * CHOOSE(CONTROL!$C$15, $D$11, 100%, $F$11)</f>
        <v>6.3670999999999998</v>
      </c>
      <c r="J251" s="4">
        <f>CHOOSE( CONTROL!$C$32, 6.2975, 6.2931) * CHOOSE(CONTROL!$C$15, $D$11, 100%, $F$11)</f>
        <v>6.2975000000000003</v>
      </c>
      <c r="K251" s="4"/>
      <c r="L251" s="9">
        <v>29.520499999999998</v>
      </c>
      <c r="M251" s="9">
        <v>12.063700000000001</v>
      </c>
      <c r="N251" s="9">
        <v>4.9444999999999997</v>
      </c>
      <c r="O251" s="9">
        <v>0.37459999999999999</v>
      </c>
      <c r="P251" s="9">
        <v>1.2192000000000001</v>
      </c>
      <c r="Q251" s="9">
        <v>30.645399999999999</v>
      </c>
      <c r="R251" s="9"/>
      <c r="S251" s="11"/>
    </row>
    <row r="252" spans="1:19" ht="15.75">
      <c r="A252" s="14">
        <v>49522</v>
      </c>
      <c r="B252" s="8">
        <f>CHOOSE( CONTROL!$C$32, 6.0353, 6.0308) * CHOOSE(CONTROL!$C$15, $D$11, 100%, $F$11)</f>
        <v>6.0353000000000003</v>
      </c>
      <c r="C252" s="8">
        <f>CHOOSE( CONTROL!$C$32, 6.0457, 6.0412) * CHOOSE(CONTROL!$C$15, $D$11, 100%, $F$11)</f>
        <v>6.0457000000000001</v>
      </c>
      <c r="D252" s="8">
        <f>CHOOSE( CONTROL!$C$32, 6.0569, 6.0523) * CHOOSE( CONTROL!$C$15, $D$11, 100%, $F$11)</f>
        <v>6.0568999999999997</v>
      </c>
      <c r="E252" s="12">
        <f>CHOOSE( CONTROL!$C$32, 6.0513, 6.0467) * CHOOSE( CONTROL!$C$15, $D$11, 100%, $F$11)</f>
        <v>6.0513000000000003</v>
      </c>
      <c r="F252" s="4">
        <f>CHOOSE( CONTROL!$C$32, 6.7236, 6.7191) * CHOOSE(CONTROL!$C$15, $D$11, 100%, $F$11)</f>
        <v>6.7236000000000002</v>
      </c>
      <c r="G252" s="8">
        <f>CHOOSE( CONTROL!$C$32, 5.9106, 5.9061) * CHOOSE( CONTROL!$C$15, $D$11, 100%, $F$11)</f>
        <v>5.9105999999999996</v>
      </c>
      <c r="H252" s="4">
        <f>CHOOSE( CONTROL!$C$32, 6.8434, 6.8389) * CHOOSE(CONTROL!$C$15, $D$11, 100%, $F$11)</f>
        <v>6.8433999999999999</v>
      </c>
      <c r="I252" s="8">
        <f>CHOOSE( CONTROL!$C$32, 5.8825, 5.8781) * CHOOSE(CONTROL!$C$15, $D$11, 100%, $F$11)</f>
        <v>5.8825000000000003</v>
      </c>
      <c r="J252" s="4">
        <f>CHOOSE( CONTROL!$C$32, 5.8117, 5.8073) * CHOOSE(CONTROL!$C$15, $D$11, 100%, $F$11)</f>
        <v>5.8117000000000001</v>
      </c>
      <c r="K252" s="4"/>
      <c r="L252" s="9">
        <v>29.520499999999998</v>
      </c>
      <c r="M252" s="9">
        <v>12.063700000000001</v>
      </c>
      <c r="N252" s="9">
        <v>4.9444999999999997</v>
      </c>
      <c r="O252" s="9">
        <v>0.37459999999999999</v>
      </c>
      <c r="P252" s="9">
        <v>1.2192000000000001</v>
      </c>
      <c r="Q252" s="9">
        <v>30.645399999999999</v>
      </c>
      <c r="R252" s="9"/>
      <c r="S252" s="11"/>
    </row>
    <row r="253" spans="1:19" ht="15.75">
      <c r="A253" s="14">
        <v>49553</v>
      </c>
      <c r="B253" s="8">
        <f>CHOOSE( CONTROL!$C$32, 5.9096, 5.905) * CHOOSE(CONTROL!$C$15, $D$11, 100%, $F$11)</f>
        <v>5.9096000000000002</v>
      </c>
      <c r="C253" s="8">
        <f>CHOOSE( CONTROL!$C$32, 5.9199, 5.9154) * CHOOSE(CONTROL!$C$15, $D$11, 100%, $F$11)</f>
        <v>5.9199000000000002</v>
      </c>
      <c r="D253" s="8">
        <f>CHOOSE( CONTROL!$C$32, 5.9312, 5.9266) * CHOOSE( CONTROL!$C$15, $D$11, 100%, $F$11)</f>
        <v>5.9311999999999996</v>
      </c>
      <c r="E253" s="12">
        <f>CHOOSE( CONTROL!$C$32, 5.9255, 5.921) * CHOOSE( CONTROL!$C$15, $D$11, 100%, $F$11)</f>
        <v>5.9255000000000004</v>
      </c>
      <c r="F253" s="4">
        <f>CHOOSE( CONTROL!$C$32, 6.5979, 6.5933) * CHOOSE(CONTROL!$C$15, $D$11, 100%, $F$11)</f>
        <v>6.5979000000000001</v>
      </c>
      <c r="G253" s="8">
        <f>CHOOSE( CONTROL!$C$32, 5.787, 5.7825) * CHOOSE( CONTROL!$C$15, $D$11, 100%, $F$11)</f>
        <v>5.7869999999999999</v>
      </c>
      <c r="H253" s="4">
        <f>CHOOSE( CONTROL!$C$32, 6.7196, 6.7152) * CHOOSE(CONTROL!$C$15, $D$11, 100%, $F$11)</f>
        <v>6.7195999999999998</v>
      </c>
      <c r="I253" s="8">
        <f>CHOOSE( CONTROL!$C$32, 5.7612, 5.7568) * CHOOSE(CONTROL!$C$15, $D$11, 100%, $F$11)</f>
        <v>5.7611999999999997</v>
      </c>
      <c r="J253" s="4">
        <f>CHOOSE( CONTROL!$C$32, 5.69, 5.6857) * CHOOSE(CONTROL!$C$15, $D$11, 100%, $F$11)</f>
        <v>5.69</v>
      </c>
      <c r="K253" s="4"/>
      <c r="L253" s="9">
        <v>28.568200000000001</v>
      </c>
      <c r="M253" s="9">
        <v>11.6745</v>
      </c>
      <c r="N253" s="9">
        <v>4.7850000000000001</v>
      </c>
      <c r="O253" s="9">
        <v>0.36249999999999999</v>
      </c>
      <c r="P253" s="9">
        <v>1.1798</v>
      </c>
      <c r="Q253" s="9">
        <v>29.6568</v>
      </c>
      <c r="R253" s="9"/>
      <c r="S253" s="11"/>
    </row>
    <row r="254" spans="1:19" ht="15.75">
      <c r="A254" s="14">
        <v>49583</v>
      </c>
      <c r="B254" s="8">
        <f>6.1662 * CHOOSE(CONTROL!$C$15, $D$11, 100%, $F$11)</f>
        <v>6.1661999999999999</v>
      </c>
      <c r="C254" s="8">
        <f>6.1765 * CHOOSE(CONTROL!$C$15, $D$11, 100%, $F$11)</f>
        <v>6.1764999999999999</v>
      </c>
      <c r="D254" s="8">
        <f>6.189 * CHOOSE( CONTROL!$C$15, $D$11, 100%, $F$11)</f>
        <v>6.1890000000000001</v>
      </c>
      <c r="E254" s="12">
        <f>6.1838 * CHOOSE( CONTROL!$C$15, $D$11, 100%, $F$11)</f>
        <v>6.1837999999999997</v>
      </c>
      <c r="F254" s="4">
        <f>6.8545 * CHOOSE(CONTROL!$C$15, $D$11, 100%, $F$11)</f>
        <v>6.8544999999999998</v>
      </c>
      <c r="G254" s="8">
        <f>6.0389 * CHOOSE( CONTROL!$C$15, $D$11, 100%, $F$11)</f>
        <v>6.0388999999999999</v>
      </c>
      <c r="H254" s="4">
        <f>6.9721 * CHOOSE(CONTROL!$C$15, $D$11, 100%, $F$11)</f>
        <v>6.9721000000000002</v>
      </c>
      <c r="I254" s="8">
        <f>6.0108 * CHOOSE(CONTROL!$C$15, $D$11, 100%, $F$11)</f>
        <v>6.0107999999999997</v>
      </c>
      <c r="J254" s="4">
        <f>5.9382 * CHOOSE(CONTROL!$C$15, $D$11, 100%, $F$11)</f>
        <v>5.9382000000000001</v>
      </c>
      <c r="K254" s="4"/>
      <c r="L254" s="9">
        <v>28.921800000000001</v>
      </c>
      <c r="M254" s="9">
        <v>12.063700000000001</v>
      </c>
      <c r="N254" s="9">
        <v>4.9444999999999997</v>
      </c>
      <c r="O254" s="9">
        <v>0.37459999999999999</v>
      </c>
      <c r="P254" s="9">
        <v>1.2192000000000001</v>
      </c>
      <c r="Q254" s="9">
        <v>30.645399999999999</v>
      </c>
      <c r="R254" s="9"/>
      <c r="S254" s="11"/>
    </row>
    <row r="255" spans="1:19" ht="15.75">
      <c r="A255" s="14">
        <v>49614</v>
      </c>
      <c r="B255" s="8">
        <f>6.6483 * CHOOSE(CONTROL!$C$15, $D$11, 100%, $F$11)</f>
        <v>6.6482999999999999</v>
      </c>
      <c r="C255" s="8">
        <f>6.6586 * CHOOSE(CONTROL!$C$15, $D$11, 100%, $F$11)</f>
        <v>6.6585999999999999</v>
      </c>
      <c r="D255" s="8">
        <f>6.6447 * CHOOSE( CONTROL!$C$15, $D$11, 100%, $F$11)</f>
        <v>6.6447000000000003</v>
      </c>
      <c r="E255" s="12">
        <f>6.6487 * CHOOSE( CONTROL!$C$15, $D$11, 100%, $F$11)</f>
        <v>6.6486999999999998</v>
      </c>
      <c r="F255" s="4">
        <f>7.3025 * CHOOSE(CONTROL!$C$15, $D$11, 100%, $F$11)</f>
        <v>7.3025000000000002</v>
      </c>
      <c r="G255" s="8">
        <f>6.5304 * CHOOSE( CONTROL!$C$15, $D$11, 100%, $F$11)</f>
        <v>6.5304000000000002</v>
      </c>
      <c r="H255" s="4">
        <f>7.4129 * CHOOSE(CONTROL!$C$15, $D$11, 100%, $F$11)</f>
        <v>7.4128999999999996</v>
      </c>
      <c r="I255" s="8">
        <f>6.5103 * CHOOSE(CONTROL!$C$15, $D$11, 100%, $F$11)</f>
        <v>6.5103</v>
      </c>
      <c r="J255" s="4">
        <f>6.4044 * CHOOSE(CONTROL!$C$15, $D$11, 100%, $F$11)</f>
        <v>6.4043999999999999</v>
      </c>
      <c r="K255" s="4"/>
      <c r="L255" s="9">
        <v>26.515499999999999</v>
      </c>
      <c r="M255" s="9">
        <v>11.6745</v>
      </c>
      <c r="N255" s="9">
        <v>4.7850000000000001</v>
      </c>
      <c r="O255" s="9">
        <v>0.36249999999999999</v>
      </c>
      <c r="P255" s="9">
        <v>1.2522</v>
      </c>
      <c r="Q255" s="9">
        <v>29.6568</v>
      </c>
      <c r="R255" s="9"/>
      <c r="S255" s="11"/>
    </row>
    <row r="256" spans="1:19" ht="15.75">
      <c r="A256" s="14">
        <v>49644</v>
      </c>
      <c r="B256" s="8">
        <f>6.6362 * CHOOSE(CONTROL!$C$15, $D$11, 100%, $F$11)</f>
        <v>6.6361999999999997</v>
      </c>
      <c r="C256" s="8">
        <f>6.6466 * CHOOSE(CONTROL!$C$15, $D$11, 100%, $F$11)</f>
        <v>6.6466000000000003</v>
      </c>
      <c r="D256" s="8">
        <f>6.6351 * CHOOSE( CONTROL!$C$15, $D$11, 100%, $F$11)</f>
        <v>6.6351000000000004</v>
      </c>
      <c r="E256" s="12">
        <f>6.6382 * CHOOSE( CONTROL!$C$15, $D$11, 100%, $F$11)</f>
        <v>6.6382000000000003</v>
      </c>
      <c r="F256" s="4">
        <f>7.2905 * CHOOSE(CONTROL!$C$15, $D$11, 100%, $F$11)</f>
        <v>7.2904999999999998</v>
      </c>
      <c r="G256" s="8">
        <f>6.5203 * CHOOSE( CONTROL!$C$15, $D$11, 100%, $F$11)</f>
        <v>6.5202999999999998</v>
      </c>
      <c r="H256" s="4">
        <f>7.4011 * CHOOSE(CONTROL!$C$15, $D$11, 100%, $F$11)</f>
        <v>7.4010999999999996</v>
      </c>
      <c r="I256" s="8">
        <f>6.5066 * CHOOSE(CONTROL!$C$15, $D$11, 100%, $F$11)</f>
        <v>6.5065999999999997</v>
      </c>
      <c r="J256" s="4">
        <f>6.3928 * CHOOSE(CONTROL!$C$15, $D$11, 100%, $F$11)</f>
        <v>6.3928000000000003</v>
      </c>
      <c r="K256" s="4"/>
      <c r="L256" s="9">
        <v>27.3993</v>
      </c>
      <c r="M256" s="9">
        <v>12.063700000000001</v>
      </c>
      <c r="N256" s="9">
        <v>4.9444999999999997</v>
      </c>
      <c r="O256" s="9">
        <v>0.37459999999999999</v>
      </c>
      <c r="P256" s="9">
        <v>1.2939000000000001</v>
      </c>
      <c r="Q256" s="9">
        <v>30.645399999999999</v>
      </c>
      <c r="R256" s="9"/>
      <c r="S256" s="11"/>
    </row>
    <row r="257" spans="1:19" ht="15.75">
      <c r="A257" s="14">
        <v>49675</v>
      </c>
      <c r="B257" s="8">
        <f>6.8889 * CHOOSE(CONTROL!$C$15, $D$11, 100%, $F$11)</f>
        <v>6.8888999999999996</v>
      </c>
      <c r="C257" s="8">
        <f>6.8992 * CHOOSE(CONTROL!$C$15, $D$11, 100%, $F$11)</f>
        <v>6.8992000000000004</v>
      </c>
      <c r="D257" s="8">
        <f>6.8976 * CHOOSE( CONTROL!$C$15, $D$11, 100%, $F$11)</f>
        <v>6.8975999999999997</v>
      </c>
      <c r="E257" s="12">
        <f>6.8971 * CHOOSE( CONTROL!$C$15, $D$11, 100%, $F$11)</f>
        <v>6.8971</v>
      </c>
      <c r="F257" s="4">
        <f>7.5716 * CHOOSE(CONTROL!$C$15, $D$11, 100%, $F$11)</f>
        <v>7.5716000000000001</v>
      </c>
      <c r="G257" s="8">
        <f>6.7792 * CHOOSE( CONTROL!$C$15, $D$11, 100%, $F$11)</f>
        <v>6.7792000000000003</v>
      </c>
      <c r="H257" s="4">
        <f>7.6776 * CHOOSE(CONTROL!$C$15, $D$11, 100%, $F$11)</f>
        <v>7.6776</v>
      </c>
      <c r="I257" s="8">
        <f>6.749 * CHOOSE(CONTROL!$C$15, $D$11, 100%, $F$11)</f>
        <v>6.7489999999999997</v>
      </c>
      <c r="J257" s="4">
        <f>6.6371 * CHOOSE(CONTROL!$C$15, $D$11, 100%, $F$11)</f>
        <v>6.6371000000000002</v>
      </c>
      <c r="K257" s="4"/>
      <c r="L257" s="9">
        <v>27.3993</v>
      </c>
      <c r="M257" s="9">
        <v>12.063700000000001</v>
      </c>
      <c r="N257" s="9">
        <v>4.9444999999999997</v>
      </c>
      <c r="O257" s="9">
        <v>0.37459999999999999</v>
      </c>
      <c r="P257" s="9">
        <v>1.2939000000000001</v>
      </c>
      <c r="Q257" s="9">
        <v>30.580300000000001</v>
      </c>
      <c r="R257" s="9"/>
      <c r="S257" s="11"/>
    </row>
    <row r="258" spans="1:19" ht="15.75">
      <c r="A258" s="14">
        <v>49706</v>
      </c>
      <c r="B258" s="8">
        <f>6.4452 * CHOOSE(CONTROL!$C$15, $D$11, 100%, $F$11)</f>
        <v>6.4451999999999998</v>
      </c>
      <c r="C258" s="8">
        <f>6.4555 * CHOOSE(CONTROL!$C$15, $D$11, 100%, $F$11)</f>
        <v>6.4554999999999998</v>
      </c>
      <c r="D258" s="8">
        <f>6.4561 * CHOOSE( CONTROL!$C$15, $D$11, 100%, $F$11)</f>
        <v>6.4561000000000002</v>
      </c>
      <c r="E258" s="12">
        <f>6.4548 * CHOOSE( CONTROL!$C$15, $D$11, 100%, $F$11)</f>
        <v>6.4547999999999996</v>
      </c>
      <c r="F258" s="4">
        <f>7.1201 * CHOOSE(CONTROL!$C$15, $D$11, 100%, $F$11)</f>
        <v>7.1200999999999999</v>
      </c>
      <c r="G258" s="8">
        <f>6.3424 * CHOOSE( CONTROL!$C$15, $D$11, 100%, $F$11)</f>
        <v>6.3423999999999996</v>
      </c>
      <c r="H258" s="4">
        <f>7.2335 * CHOOSE(CONTROL!$C$15, $D$11, 100%, $F$11)</f>
        <v>7.2335000000000003</v>
      </c>
      <c r="I258" s="8">
        <f>6.3088 * CHOOSE(CONTROL!$C$15, $D$11, 100%, $F$11)</f>
        <v>6.3087999999999997</v>
      </c>
      <c r="J258" s="4">
        <f>6.208 * CHOOSE(CONTROL!$C$15, $D$11, 100%, $F$11)</f>
        <v>6.2080000000000002</v>
      </c>
      <c r="K258" s="4"/>
      <c r="L258" s="9">
        <v>25.631599999999999</v>
      </c>
      <c r="M258" s="9">
        <v>11.285299999999999</v>
      </c>
      <c r="N258" s="9">
        <v>4.6254999999999997</v>
      </c>
      <c r="O258" s="9">
        <v>0.35039999999999999</v>
      </c>
      <c r="P258" s="9">
        <v>1.2104999999999999</v>
      </c>
      <c r="Q258" s="9">
        <v>28.607299999999999</v>
      </c>
      <c r="R258" s="9"/>
      <c r="S258" s="11"/>
    </row>
    <row r="259" spans="1:19" ht="15.75">
      <c r="A259" s="14">
        <v>49735</v>
      </c>
      <c r="B259" s="8">
        <f>6.3085 * CHOOSE(CONTROL!$C$15, $D$11, 100%, $F$11)</f>
        <v>6.3085000000000004</v>
      </c>
      <c r="C259" s="8">
        <f>6.3189 * CHOOSE(CONTROL!$C$15, $D$11, 100%, $F$11)</f>
        <v>6.3189000000000002</v>
      </c>
      <c r="D259" s="8">
        <f>6.299 * CHOOSE( CONTROL!$C$15, $D$11, 100%, $F$11)</f>
        <v>6.2990000000000004</v>
      </c>
      <c r="E259" s="12">
        <f>6.3052 * CHOOSE( CONTROL!$C$15, $D$11, 100%, $F$11)</f>
        <v>6.3052000000000001</v>
      </c>
      <c r="F259" s="4">
        <f>6.9675 * CHOOSE(CONTROL!$C$15, $D$11, 100%, $F$11)</f>
        <v>6.9675000000000002</v>
      </c>
      <c r="G259" s="8">
        <f>6.1873 * CHOOSE( CONTROL!$C$15, $D$11, 100%, $F$11)</f>
        <v>6.1872999999999996</v>
      </c>
      <c r="H259" s="4">
        <f>7.0833 * CHOOSE(CONTROL!$C$15, $D$11, 100%, $F$11)</f>
        <v>7.0833000000000004</v>
      </c>
      <c r="I259" s="8">
        <f>6.1371 * CHOOSE(CONTROL!$C$15, $D$11, 100%, $F$11)</f>
        <v>6.1371000000000002</v>
      </c>
      <c r="J259" s="4">
        <f>6.0759 * CHOOSE(CONTROL!$C$15, $D$11, 100%, $F$11)</f>
        <v>6.0758999999999999</v>
      </c>
      <c r="K259" s="4"/>
      <c r="L259" s="9">
        <v>27.3993</v>
      </c>
      <c r="M259" s="9">
        <v>12.063700000000001</v>
      </c>
      <c r="N259" s="9">
        <v>4.9444999999999997</v>
      </c>
      <c r="O259" s="9">
        <v>0.37459999999999999</v>
      </c>
      <c r="P259" s="9">
        <v>1.2939000000000001</v>
      </c>
      <c r="Q259" s="9">
        <v>30.580300000000001</v>
      </c>
      <c r="R259" s="9"/>
      <c r="S259" s="11"/>
    </row>
    <row r="260" spans="1:19" ht="15.75">
      <c r="A260" s="14">
        <v>49766</v>
      </c>
      <c r="B260" s="8">
        <f>6.404 * CHOOSE(CONTROL!$C$15, $D$11, 100%, $F$11)</f>
        <v>6.4039999999999999</v>
      </c>
      <c r="C260" s="8">
        <f>6.4144 * CHOOSE(CONTROL!$C$15, $D$11, 100%, $F$11)</f>
        <v>6.4143999999999997</v>
      </c>
      <c r="D260" s="8">
        <f>6.4059 * CHOOSE( CONTROL!$C$15, $D$11, 100%, $F$11)</f>
        <v>6.4058999999999999</v>
      </c>
      <c r="E260" s="12">
        <f>6.4075 * CHOOSE( CONTROL!$C$15, $D$11, 100%, $F$11)</f>
        <v>6.4074999999999998</v>
      </c>
      <c r="F260" s="4">
        <f>7.0531 * CHOOSE(CONTROL!$C$15, $D$11, 100%, $F$11)</f>
        <v>7.0530999999999997</v>
      </c>
      <c r="G260" s="8">
        <f>6.266 * CHOOSE( CONTROL!$C$15, $D$11, 100%, $F$11)</f>
        <v>6.266</v>
      </c>
      <c r="H260" s="4">
        <f>7.1675 * CHOOSE(CONTROL!$C$15, $D$11, 100%, $F$11)</f>
        <v>7.1675000000000004</v>
      </c>
      <c r="I260" s="8">
        <f>6.2263 * CHOOSE(CONTROL!$C$15, $D$11, 100%, $F$11)</f>
        <v>6.2263000000000002</v>
      </c>
      <c r="J260" s="4">
        <f>6.1682 * CHOOSE(CONTROL!$C$15, $D$11, 100%, $F$11)</f>
        <v>6.1681999999999997</v>
      </c>
      <c r="K260" s="4"/>
      <c r="L260" s="9">
        <v>27.988800000000001</v>
      </c>
      <c r="M260" s="9">
        <v>11.6745</v>
      </c>
      <c r="N260" s="9">
        <v>4.7850000000000001</v>
      </c>
      <c r="O260" s="9">
        <v>0.36249999999999999</v>
      </c>
      <c r="P260" s="9">
        <v>1.1798</v>
      </c>
      <c r="Q260" s="9">
        <v>29.593800000000002</v>
      </c>
      <c r="R260" s="9"/>
      <c r="S260" s="11"/>
    </row>
    <row r="261" spans="1:19" ht="15.75">
      <c r="A261" s="14">
        <v>49796</v>
      </c>
      <c r="B261" s="8">
        <f>CHOOSE( CONTROL!$C$32, 6.5785, 6.574) * CHOOSE(CONTROL!$C$15, $D$11, 100%, $F$11)</f>
        <v>6.5785</v>
      </c>
      <c r="C261" s="8">
        <f>CHOOSE( CONTROL!$C$32, 6.5888, 6.5843) * CHOOSE(CONTROL!$C$15, $D$11, 100%, $F$11)</f>
        <v>6.5888</v>
      </c>
      <c r="D261" s="8">
        <f>CHOOSE( CONTROL!$C$32, 6.5985, 6.594) * CHOOSE( CONTROL!$C$15, $D$11, 100%, $F$11)</f>
        <v>6.5984999999999996</v>
      </c>
      <c r="E261" s="12">
        <f>CHOOSE( CONTROL!$C$32, 6.5934, 6.5889) * CHOOSE( CONTROL!$C$15, $D$11, 100%, $F$11)</f>
        <v>6.5933999999999999</v>
      </c>
      <c r="F261" s="4">
        <f>CHOOSE( CONTROL!$C$32, 7.2668, 7.2623) * CHOOSE(CONTROL!$C$15, $D$11, 100%, $F$11)</f>
        <v>7.2667999999999999</v>
      </c>
      <c r="G261" s="8">
        <f>CHOOSE( CONTROL!$C$32, 6.4427, 6.4383) * CHOOSE( CONTROL!$C$15, $D$11, 100%, $F$11)</f>
        <v>6.4427000000000003</v>
      </c>
      <c r="H261" s="4">
        <f>CHOOSE( CONTROL!$C$32, 7.3778, 7.3733) * CHOOSE(CONTROL!$C$15, $D$11, 100%, $F$11)</f>
        <v>7.3777999999999997</v>
      </c>
      <c r="I261" s="8">
        <f>CHOOSE( CONTROL!$C$32, 6.401, 6.3966) * CHOOSE(CONTROL!$C$15, $D$11, 100%, $F$11)</f>
        <v>6.4009999999999998</v>
      </c>
      <c r="J261" s="4">
        <f>CHOOSE( CONTROL!$C$32, 6.337, 6.3326) * CHOOSE(CONTROL!$C$15, $D$11, 100%, $F$11)</f>
        <v>6.3369999999999997</v>
      </c>
      <c r="K261" s="4"/>
      <c r="L261" s="9">
        <v>29.520499999999998</v>
      </c>
      <c r="M261" s="9">
        <v>12.063700000000001</v>
      </c>
      <c r="N261" s="9">
        <v>4.9444999999999997</v>
      </c>
      <c r="O261" s="9">
        <v>0.37459999999999999</v>
      </c>
      <c r="P261" s="9">
        <v>1.2192000000000001</v>
      </c>
      <c r="Q261" s="9">
        <v>30.580300000000001</v>
      </c>
      <c r="R261" s="9"/>
      <c r="S261" s="11"/>
    </row>
    <row r="262" spans="1:19" ht="15.75">
      <c r="A262" s="14">
        <v>49827</v>
      </c>
      <c r="B262" s="8">
        <f>CHOOSE( CONTROL!$C$32, 6.4732, 6.4687) * CHOOSE(CONTROL!$C$15, $D$11, 100%, $F$11)</f>
        <v>6.4732000000000003</v>
      </c>
      <c r="C262" s="8">
        <f>CHOOSE( CONTROL!$C$32, 6.4836, 6.479) * CHOOSE(CONTROL!$C$15, $D$11, 100%, $F$11)</f>
        <v>6.4836</v>
      </c>
      <c r="D262" s="8">
        <f>CHOOSE( CONTROL!$C$32, 6.4939, 6.4894) * CHOOSE( CONTROL!$C$15, $D$11, 100%, $F$11)</f>
        <v>6.4939</v>
      </c>
      <c r="E262" s="12">
        <f>CHOOSE( CONTROL!$C$32, 6.4886, 6.4841) * CHOOSE( CONTROL!$C$15, $D$11, 100%, $F$11)</f>
        <v>6.4885999999999999</v>
      </c>
      <c r="F262" s="4">
        <f>CHOOSE( CONTROL!$C$32, 7.1615, 7.157) * CHOOSE(CONTROL!$C$15, $D$11, 100%, $F$11)</f>
        <v>7.1615000000000002</v>
      </c>
      <c r="G262" s="8">
        <f>CHOOSE( CONTROL!$C$32, 6.3401, 6.3356) * CHOOSE( CONTROL!$C$15, $D$11, 100%, $F$11)</f>
        <v>6.3400999999999996</v>
      </c>
      <c r="H262" s="4">
        <f>CHOOSE( CONTROL!$C$32, 7.2742, 7.2697) * CHOOSE(CONTROL!$C$15, $D$11, 100%, $F$11)</f>
        <v>7.2742000000000004</v>
      </c>
      <c r="I262" s="8">
        <f>CHOOSE( CONTROL!$C$32, 6.3021, 6.2977) * CHOOSE(CONTROL!$C$15, $D$11, 100%, $F$11)</f>
        <v>6.3021000000000003</v>
      </c>
      <c r="J262" s="4">
        <f>CHOOSE( CONTROL!$C$32, 6.2352, 6.2308) * CHOOSE(CONTROL!$C$15, $D$11, 100%, $F$11)</f>
        <v>6.2351999999999999</v>
      </c>
      <c r="K262" s="4"/>
      <c r="L262" s="9">
        <v>28.568200000000001</v>
      </c>
      <c r="M262" s="9">
        <v>11.6745</v>
      </c>
      <c r="N262" s="9">
        <v>4.7850000000000001</v>
      </c>
      <c r="O262" s="9">
        <v>0.36249999999999999</v>
      </c>
      <c r="P262" s="9">
        <v>1.1798</v>
      </c>
      <c r="Q262" s="9">
        <v>29.593800000000002</v>
      </c>
      <c r="R262" s="9"/>
      <c r="S262" s="11"/>
    </row>
    <row r="263" spans="1:19" ht="15.75">
      <c r="A263" s="14">
        <v>49857</v>
      </c>
      <c r="B263" s="8">
        <f>CHOOSE( CONTROL!$C$32, 6.7505, 6.7459) * CHOOSE(CONTROL!$C$15, $D$11, 100%, $F$11)</f>
        <v>6.7504999999999997</v>
      </c>
      <c r="C263" s="8">
        <f>CHOOSE( CONTROL!$C$32, 6.7608, 6.7563) * CHOOSE(CONTROL!$C$15, $D$11, 100%, $F$11)</f>
        <v>6.7607999999999997</v>
      </c>
      <c r="D263" s="8">
        <f>CHOOSE( CONTROL!$C$32, 6.7717, 6.7672) * CHOOSE( CONTROL!$C$15, $D$11, 100%, $F$11)</f>
        <v>6.7717000000000001</v>
      </c>
      <c r="E263" s="12">
        <f>CHOOSE( CONTROL!$C$32, 6.7662, 6.7617) * CHOOSE( CONTROL!$C$15, $D$11, 100%, $F$11)</f>
        <v>6.7662000000000004</v>
      </c>
      <c r="F263" s="4">
        <f>CHOOSE( CONTROL!$C$32, 7.4388, 7.4342) * CHOOSE(CONTROL!$C$15, $D$11, 100%, $F$11)</f>
        <v>7.4387999999999996</v>
      </c>
      <c r="G263" s="8">
        <f>CHOOSE( CONTROL!$C$32, 6.6137, 6.6092) * CHOOSE( CONTROL!$C$15, $D$11, 100%, $F$11)</f>
        <v>6.6136999999999997</v>
      </c>
      <c r="H263" s="4">
        <f>CHOOSE( CONTROL!$C$32, 7.5469, 7.5425) * CHOOSE(CONTROL!$C$15, $D$11, 100%, $F$11)</f>
        <v>7.5468999999999999</v>
      </c>
      <c r="I263" s="8">
        <f>CHOOSE( CONTROL!$C$32, 6.573, 6.5686) * CHOOSE(CONTROL!$C$15, $D$11, 100%, $F$11)</f>
        <v>6.5730000000000004</v>
      </c>
      <c r="J263" s="4">
        <f>CHOOSE( CONTROL!$C$32, 6.5033, 6.4989) * CHOOSE(CONTROL!$C$15, $D$11, 100%, $F$11)</f>
        <v>6.5033000000000003</v>
      </c>
      <c r="K263" s="4"/>
      <c r="L263" s="9">
        <v>29.520499999999998</v>
      </c>
      <c r="M263" s="9">
        <v>12.063700000000001</v>
      </c>
      <c r="N263" s="9">
        <v>4.9444999999999997</v>
      </c>
      <c r="O263" s="9">
        <v>0.37459999999999999</v>
      </c>
      <c r="P263" s="9">
        <v>1.2192000000000001</v>
      </c>
      <c r="Q263" s="9">
        <v>30.580300000000001</v>
      </c>
      <c r="R263" s="9"/>
      <c r="S263" s="11"/>
    </row>
    <row r="264" spans="1:19" ht="15.75">
      <c r="A264" s="14">
        <v>49888</v>
      </c>
      <c r="B264" s="8">
        <f>CHOOSE( CONTROL!$C$32, 6.2317, 6.2272) * CHOOSE(CONTROL!$C$15, $D$11, 100%, $F$11)</f>
        <v>6.2317</v>
      </c>
      <c r="C264" s="8">
        <f>CHOOSE( CONTROL!$C$32, 6.2421, 6.2375) * CHOOSE(CONTROL!$C$15, $D$11, 100%, $F$11)</f>
        <v>6.2420999999999998</v>
      </c>
      <c r="D264" s="8">
        <f>CHOOSE( CONTROL!$C$32, 6.2532, 6.2487) * CHOOSE( CONTROL!$C$15, $D$11, 100%, $F$11)</f>
        <v>6.2531999999999996</v>
      </c>
      <c r="E264" s="12">
        <f>CHOOSE( CONTROL!$C$32, 6.2476, 6.2431) * CHOOSE( CONTROL!$C$15, $D$11, 100%, $F$11)</f>
        <v>6.2476000000000003</v>
      </c>
      <c r="F264" s="4">
        <f>CHOOSE( CONTROL!$C$32, 6.92, 6.9155) * CHOOSE(CONTROL!$C$15, $D$11, 100%, $F$11)</f>
        <v>6.92</v>
      </c>
      <c r="G264" s="8">
        <f>CHOOSE( CONTROL!$C$32, 6.1038, 6.0993) * CHOOSE( CONTROL!$C$15, $D$11, 100%, $F$11)</f>
        <v>6.1037999999999997</v>
      </c>
      <c r="H264" s="4">
        <f>CHOOSE( CONTROL!$C$32, 7.0366, 7.0321) * CHOOSE(CONTROL!$C$15, $D$11, 100%, $F$11)</f>
        <v>7.0366</v>
      </c>
      <c r="I264" s="8">
        <f>CHOOSE( CONTROL!$C$32, 6.0725, 6.0681) * CHOOSE(CONTROL!$C$15, $D$11, 100%, $F$11)</f>
        <v>6.0724999999999998</v>
      </c>
      <c r="J264" s="4">
        <f>CHOOSE( CONTROL!$C$32, 6.0016, 5.9972) * CHOOSE(CONTROL!$C$15, $D$11, 100%, $F$11)</f>
        <v>6.0015999999999998</v>
      </c>
      <c r="K264" s="4"/>
      <c r="L264" s="9">
        <v>29.520499999999998</v>
      </c>
      <c r="M264" s="9">
        <v>12.063700000000001</v>
      </c>
      <c r="N264" s="9">
        <v>4.9444999999999997</v>
      </c>
      <c r="O264" s="9">
        <v>0.37459999999999999</v>
      </c>
      <c r="P264" s="9">
        <v>1.2192000000000001</v>
      </c>
      <c r="Q264" s="9">
        <v>30.580300000000001</v>
      </c>
      <c r="R264" s="9"/>
      <c r="S264" s="11"/>
    </row>
    <row r="265" spans="1:19" ht="15.75">
      <c r="A265" s="14">
        <v>49919</v>
      </c>
      <c r="B265" s="8">
        <f>CHOOSE( CONTROL!$C$32, 6.1018, 6.0973) * CHOOSE(CONTROL!$C$15, $D$11, 100%, $F$11)</f>
        <v>6.1017999999999999</v>
      </c>
      <c r="C265" s="8">
        <f>CHOOSE( CONTROL!$C$32, 6.1122, 6.1076) * CHOOSE(CONTROL!$C$15, $D$11, 100%, $F$11)</f>
        <v>6.1121999999999996</v>
      </c>
      <c r="D265" s="8">
        <f>CHOOSE( CONTROL!$C$32, 6.1234, 6.1189) * CHOOSE( CONTROL!$C$15, $D$11, 100%, $F$11)</f>
        <v>6.1234000000000002</v>
      </c>
      <c r="E265" s="12">
        <f>CHOOSE( CONTROL!$C$32, 6.1178, 6.1132) * CHOOSE( CONTROL!$C$15, $D$11, 100%, $F$11)</f>
        <v>6.1177999999999999</v>
      </c>
      <c r="F265" s="4">
        <f>CHOOSE( CONTROL!$C$32, 6.7901, 6.7856) * CHOOSE(CONTROL!$C$15, $D$11, 100%, $F$11)</f>
        <v>6.7900999999999998</v>
      </c>
      <c r="G265" s="8">
        <f>CHOOSE( CONTROL!$C$32, 5.9761, 5.9717) * CHOOSE( CONTROL!$C$15, $D$11, 100%, $F$11)</f>
        <v>5.9760999999999997</v>
      </c>
      <c r="H265" s="4">
        <f>CHOOSE( CONTROL!$C$32, 6.9088, 6.9043) * CHOOSE(CONTROL!$C$15, $D$11, 100%, $F$11)</f>
        <v>6.9088000000000003</v>
      </c>
      <c r="I265" s="8">
        <f>CHOOSE( CONTROL!$C$32, 5.9473, 5.9429) * CHOOSE(CONTROL!$C$15, $D$11, 100%, $F$11)</f>
        <v>5.9473000000000003</v>
      </c>
      <c r="J265" s="4">
        <f>CHOOSE( CONTROL!$C$32, 5.876, 5.8716) * CHOOSE(CONTROL!$C$15, $D$11, 100%, $F$11)</f>
        <v>5.8760000000000003</v>
      </c>
      <c r="K265" s="4"/>
      <c r="L265" s="9">
        <v>28.568200000000001</v>
      </c>
      <c r="M265" s="9">
        <v>11.6745</v>
      </c>
      <c r="N265" s="9">
        <v>4.7850000000000001</v>
      </c>
      <c r="O265" s="9">
        <v>0.36249999999999999</v>
      </c>
      <c r="P265" s="9">
        <v>1.1798</v>
      </c>
      <c r="Q265" s="9">
        <v>29.593800000000002</v>
      </c>
      <c r="R265" s="9"/>
      <c r="S265" s="11"/>
    </row>
    <row r="266" spans="1:19" ht="15.75">
      <c r="A266" s="14">
        <v>49949</v>
      </c>
      <c r="B266" s="8">
        <f>6.367 * CHOOSE(CONTROL!$C$15, $D$11, 100%, $F$11)</f>
        <v>6.367</v>
      </c>
      <c r="C266" s="8">
        <f>6.3774 * CHOOSE(CONTROL!$C$15, $D$11, 100%, $F$11)</f>
        <v>6.3773999999999997</v>
      </c>
      <c r="D266" s="8">
        <f>6.3898 * CHOOSE( CONTROL!$C$15, $D$11, 100%, $F$11)</f>
        <v>6.3898000000000001</v>
      </c>
      <c r="E266" s="12">
        <f>6.3846 * CHOOSE( CONTROL!$C$15, $D$11, 100%, $F$11)</f>
        <v>6.3845999999999998</v>
      </c>
      <c r="F266" s="4">
        <f>7.0553 * CHOOSE(CONTROL!$C$15, $D$11, 100%, $F$11)</f>
        <v>7.0552999999999999</v>
      </c>
      <c r="G266" s="8">
        <f>6.2365 * CHOOSE( CONTROL!$C$15, $D$11, 100%, $F$11)</f>
        <v>6.2365000000000004</v>
      </c>
      <c r="H266" s="4">
        <f>7.1697 * CHOOSE(CONTROL!$C$15, $D$11, 100%, $F$11)</f>
        <v>7.1696999999999997</v>
      </c>
      <c r="I266" s="8">
        <f>6.2051 * CHOOSE(CONTROL!$C$15, $D$11, 100%, $F$11)</f>
        <v>6.2050999999999998</v>
      </c>
      <c r="J266" s="4">
        <f>6.1324 * CHOOSE(CONTROL!$C$15, $D$11, 100%, $F$11)</f>
        <v>6.1323999999999996</v>
      </c>
      <c r="K266" s="4"/>
      <c r="L266" s="9">
        <v>28.921800000000001</v>
      </c>
      <c r="M266" s="9">
        <v>12.063700000000001</v>
      </c>
      <c r="N266" s="9">
        <v>4.9444999999999997</v>
      </c>
      <c r="O266" s="9">
        <v>0.37459999999999999</v>
      </c>
      <c r="P266" s="9">
        <v>1.2192000000000001</v>
      </c>
      <c r="Q266" s="9">
        <v>30.580300000000001</v>
      </c>
      <c r="R266" s="9"/>
      <c r="S266" s="11"/>
    </row>
    <row r="267" spans="1:19" ht="15.75">
      <c r="A267" s="14">
        <v>49980</v>
      </c>
      <c r="B267" s="8">
        <f>6.8648 * CHOOSE(CONTROL!$C$15, $D$11, 100%, $F$11)</f>
        <v>6.8647999999999998</v>
      </c>
      <c r="C267" s="8">
        <f>6.8752 * CHOOSE(CONTROL!$C$15, $D$11, 100%, $F$11)</f>
        <v>6.8752000000000004</v>
      </c>
      <c r="D267" s="8">
        <f>6.8612 * CHOOSE( CONTROL!$C$15, $D$11, 100%, $F$11)</f>
        <v>6.8612000000000002</v>
      </c>
      <c r="E267" s="12">
        <f>6.8652 * CHOOSE( CONTROL!$C$15, $D$11, 100%, $F$11)</f>
        <v>6.8651999999999997</v>
      </c>
      <c r="F267" s="4">
        <f>7.5191 * CHOOSE(CONTROL!$C$15, $D$11, 100%, $F$11)</f>
        <v>7.5190999999999999</v>
      </c>
      <c r="G267" s="8">
        <f>6.7434 * CHOOSE( CONTROL!$C$15, $D$11, 100%, $F$11)</f>
        <v>6.7434000000000003</v>
      </c>
      <c r="H267" s="4">
        <f>7.626 * CHOOSE(CONTROL!$C$15, $D$11, 100%, $F$11)</f>
        <v>7.6260000000000003</v>
      </c>
      <c r="I267" s="8">
        <f>6.7198 * CHOOSE(CONTROL!$C$15, $D$11, 100%, $F$11)</f>
        <v>6.7198000000000002</v>
      </c>
      <c r="J267" s="4">
        <f>6.6139 * CHOOSE(CONTROL!$C$15, $D$11, 100%, $F$11)</f>
        <v>6.6139000000000001</v>
      </c>
      <c r="K267" s="4"/>
      <c r="L267" s="9">
        <v>26.515499999999999</v>
      </c>
      <c r="M267" s="9">
        <v>11.6745</v>
      </c>
      <c r="N267" s="9">
        <v>4.7850000000000001</v>
      </c>
      <c r="O267" s="9">
        <v>0.36249999999999999</v>
      </c>
      <c r="P267" s="9">
        <v>1.2522</v>
      </c>
      <c r="Q267" s="9">
        <v>29.593800000000002</v>
      </c>
      <c r="R267" s="9"/>
      <c r="S267" s="11"/>
    </row>
    <row r="268" spans="1:19" ht="15.75">
      <c r="A268" s="14">
        <v>50010</v>
      </c>
      <c r="B268" s="8">
        <f>6.8524 * CHOOSE(CONTROL!$C$15, $D$11, 100%, $F$11)</f>
        <v>6.8524000000000003</v>
      </c>
      <c r="C268" s="8">
        <f>6.8627 * CHOOSE(CONTROL!$C$15, $D$11, 100%, $F$11)</f>
        <v>6.8627000000000002</v>
      </c>
      <c r="D268" s="8">
        <f>6.8513 * CHOOSE( CONTROL!$C$15, $D$11, 100%, $F$11)</f>
        <v>6.8513000000000002</v>
      </c>
      <c r="E268" s="12">
        <f>6.8544 * CHOOSE( CONTROL!$C$15, $D$11, 100%, $F$11)</f>
        <v>6.8544</v>
      </c>
      <c r="F268" s="4">
        <f>7.5067 * CHOOSE(CONTROL!$C$15, $D$11, 100%, $F$11)</f>
        <v>7.5067000000000004</v>
      </c>
      <c r="G268" s="8">
        <f>6.733 * CHOOSE( CONTROL!$C$15, $D$11, 100%, $F$11)</f>
        <v>6.7329999999999997</v>
      </c>
      <c r="H268" s="4">
        <f>7.6138 * CHOOSE(CONTROL!$C$15, $D$11, 100%, $F$11)</f>
        <v>7.6138000000000003</v>
      </c>
      <c r="I268" s="8">
        <f>6.7158 * CHOOSE(CONTROL!$C$15, $D$11, 100%, $F$11)</f>
        <v>6.7157999999999998</v>
      </c>
      <c r="J268" s="4">
        <f>6.6019 * CHOOSE(CONTROL!$C$15, $D$11, 100%, $F$11)</f>
        <v>6.6018999999999997</v>
      </c>
      <c r="K268" s="4"/>
      <c r="L268" s="9">
        <v>27.3993</v>
      </c>
      <c r="M268" s="9">
        <v>12.063700000000001</v>
      </c>
      <c r="N268" s="9">
        <v>4.9444999999999997</v>
      </c>
      <c r="O268" s="9">
        <v>0.37459999999999999</v>
      </c>
      <c r="P268" s="9">
        <v>1.2939000000000001</v>
      </c>
      <c r="Q268" s="9">
        <v>30.580300000000001</v>
      </c>
      <c r="R268" s="9"/>
      <c r="S268" s="11"/>
    </row>
    <row r="269" spans="1:19" ht="15.75">
      <c r="A269" s="14">
        <v>50041</v>
      </c>
      <c r="B269" s="8">
        <f>7.1133 * CHOOSE(CONTROL!$C$15, $D$11, 100%, $F$11)</f>
        <v>7.1132999999999997</v>
      </c>
      <c r="C269" s="8">
        <f>7.1237 * CHOOSE(CONTROL!$C$15, $D$11, 100%, $F$11)</f>
        <v>7.1237000000000004</v>
      </c>
      <c r="D269" s="8">
        <f>7.1221 * CHOOSE( CONTROL!$C$15, $D$11, 100%, $F$11)</f>
        <v>7.1220999999999997</v>
      </c>
      <c r="E269" s="12">
        <f>7.1216 * CHOOSE( CONTROL!$C$15, $D$11, 100%, $F$11)</f>
        <v>7.1215999999999999</v>
      </c>
      <c r="F269" s="4">
        <f>7.796 * CHOOSE(CONTROL!$C$15, $D$11, 100%, $F$11)</f>
        <v>7.7960000000000003</v>
      </c>
      <c r="G269" s="8">
        <f>7 * CHOOSE( CONTROL!$C$15, $D$11, 100%, $F$11)</f>
        <v>7</v>
      </c>
      <c r="H269" s="4">
        <f>7.8984 * CHOOSE(CONTROL!$C$15, $D$11, 100%, $F$11)</f>
        <v>7.8983999999999996</v>
      </c>
      <c r="I269" s="8">
        <f>6.9662 * CHOOSE(CONTROL!$C$15, $D$11, 100%, $F$11)</f>
        <v>6.9661999999999997</v>
      </c>
      <c r="J269" s="4">
        <f>6.8542 * CHOOSE(CONTROL!$C$15, $D$11, 100%, $F$11)</f>
        <v>6.8541999999999996</v>
      </c>
      <c r="K269" s="4"/>
      <c r="L269" s="9">
        <v>27.3993</v>
      </c>
      <c r="M269" s="9">
        <v>12.063700000000001</v>
      </c>
      <c r="N269" s="9">
        <v>4.9444999999999997</v>
      </c>
      <c r="O269" s="9">
        <v>0.37459999999999999</v>
      </c>
      <c r="P269" s="9">
        <v>1.2939000000000001</v>
      </c>
      <c r="Q269" s="9">
        <v>30.5152</v>
      </c>
      <c r="R269" s="9"/>
      <c r="S269" s="11"/>
    </row>
    <row r="270" spans="1:19" ht="15.75">
      <c r="A270" s="14">
        <v>50072</v>
      </c>
      <c r="B270" s="8">
        <f>6.6551 * CHOOSE(CONTROL!$C$15, $D$11, 100%, $F$11)</f>
        <v>6.6551</v>
      </c>
      <c r="C270" s="8">
        <f>6.6655 * CHOOSE(CONTROL!$C$15, $D$11, 100%, $F$11)</f>
        <v>6.6654999999999998</v>
      </c>
      <c r="D270" s="8">
        <f>6.666 * CHOOSE( CONTROL!$C$15, $D$11, 100%, $F$11)</f>
        <v>6.6660000000000004</v>
      </c>
      <c r="E270" s="12">
        <f>6.6647 * CHOOSE( CONTROL!$C$15, $D$11, 100%, $F$11)</f>
        <v>6.6646999999999998</v>
      </c>
      <c r="F270" s="4">
        <f>7.3301 * CHOOSE(CONTROL!$C$15, $D$11, 100%, $F$11)</f>
        <v>7.3300999999999998</v>
      </c>
      <c r="G270" s="8">
        <f>6.549 * CHOOSE( CONTROL!$C$15, $D$11, 100%, $F$11)</f>
        <v>6.5490000000000004</v>
      </c>
      <c r="H270" s="4">
        <f>7.44 * CHOOSE(CONTROL!$C$15, $D$11, 100%, $F$11)</f>
        <v>7.44</v>
      </c>
      <c r="I270" s="8">
        <f>6.5119 * CHOOSE(CONTROL!$C$15, $D$11, 100%, $F$11)</f>
        <v>6.5118999999999998</v>
      </c>
      <c r="J270" s="4">
        <f>6.4111 * CHOOSE(CONTROL!$C$15, $D$11, 100%, $F$11)</f>
        <v>6.4111000000000002</v>
      </c>
      <c r="K270" s="4"/>
      <c r="L270" s="9">
        <v>24.747800000000002</v>
      </c>
      <c r="M270" s="9">
        <v>10.8962</v>
      </c>
      <c r="N270" s="9">
        <v>4.4660000000000002</v>
      </c>
      <c r="O270" s="9">
        <v>0.33829999999999999</v>
      </c>
      <c r="P270" s="9">
        <v>1.1687000000000001</v>
      </c>
      <c r="Q270" s="9">
        <v>27.562100000000001</v>
      </c>
      <c r="R270" s="9"/>
      <c r="S270" s="11"/>
    </row>
    <row r="271" spans="1:19" ht="15.75">
      <c r="A271" s="14">
        <v>50100</v>
      </c>
      <c r="B271" s="8">
        <f>6.514 * CHOOSE(CONTROL!$C$15, $D$11, 100%, $F$11)</f>
        <v>6.5140000000000002</v>
      </c>
      <c r="C271" s="8">
        <f>6.5243 * CHOOSE(CONTROL!$C$15, $D$11, 100%, $F$11)</f>
        <v>6.5243000000000002</v>
      </c>
      <c r="D271" s="8">
        <f>6.5044 * CHOOSE( CONTROL!$C$15, $D$11, 100%, $F$11)</f>
        <v>6.5044000000000004</v>
      </c>
      <c r="E271" s="12">
        <f>6.5106 * CHOOSE( CONTROL!$C$15, $D$11, 100%, $F$11)</f>
        <v>6.5106000000000002</v>
      </c>
      <c r="F271" s="4">
        <f>7.1729 * CHOOSE(CONTROL!$C$15, $D$11, 100%, $F$11)</f>
        <v>7.1729000000000003</v>
      </c>
      <c r="G271" s="8">
        <f>6.3894 * CHOOSE( CONTROL!$C$15, $D$11, 100%, $F$11)</f>
        <v>6.3894000000000002</v>
      </c>
      <c r="H271" s="4">
        <f>7.2854 * CHOOSE(CONTROL!$C$15, $D$11, 100%, $F$11)</f>
        <v>7.2854000000000001</v>
      </c>
      <c r="I271" s="8">
        <f>6.3359 * CHOOSE(CONTROL!$C$15, $D$11, 100%, $F$11)</f>
        <v>6.3358999999999996</v>
      </c>
      <c r="J271" s="4">
        <f>6.2746 * CHOOSE(CONTROL!$C$15, $D$11, 100%, $F$11)</f>
        <v>6.2746000000000004</v>
      </c>
      <c r="K271" s="4"/>
      <c r="L271" s="9">
        <v>27.3993</v>
      </c>
      <c r="M271" s="9">
        <v>12.063700000000001</v>
      </c>
      <c r="N271" s="9">
        <v>4.9444999999999997</v>
      </c>
      <c r="O271" s="9">
        <v>0.37459999999999999</v>
      </c>
      <c r="P271" s="9">
        <v>1.2939000000000001</v>
      </c>
      <c r="Q271" s="9">
        <v>30.5152</v>
      </c>
      <c r="R271" s="9"/>
      <c r="S271" s="11"/>
    </row>
    <row r="272" spans="1:19" ht="15.75">
      <c r="A272" s="14">
        <v>50131</v>
      </c>
      <c r="B272" s="8">
        <f>6.6126 * CHOOSE(CONTROL!$C$15, $D$11, 100%, $F$11)</f>
        <v>6.6125999999999996</v>
      </c>
      <c r="C272" s="8">
        <f>6.623 * CHOOSE(CONTROL!$C$15, $D$11, 100%, $F$11)</f>
        <v>6.6230000000000002</v>
      </c>
      <c r="D272" s="8">
        <f>6.6145 * CHOOSE( CONTROL!$C$15, $D$11, 100%, $F$11)</f>
        <v>6.6144999999999996</v>
      </c>
      <c r="E272" s="12">
        <f>6.6161 * CHOOSE( CONTROL!$C$15, $D$11, 100%, $F$11)</f>
        <v>6.6161000000000003</v>
      </c>
      <c r="F272" s="4">
        <f>7.2617 * CHOOSE(CONTROL!$C$15, $D$11, 100%, $F$11)</f>
        <v>7.2617000000000003</v>
      </c>
      <c r="G272" s="8">
        <f>6.4712 * CHOOSE( CONTROL!$C$15, $D$11, 100%, $F$11)</f>
        <v>6.4711999999999996</v>
      </c>
      <c r="H272" s="4">
        <f>7.3728 * CHOOSE(CONTROL!$C$15, $D$11, 100%, $F$11)</f>
        <v>7.3727999999999998</v>
      </c>
      <c r="I272" s="8">
        <f>6.4281 * CHOOSE(CONTROL!$C$15, $D$11, 100%, $F$11)</f>
        <v>6.4280999999999997</v>
      </c>
      <c r="J272" s="4">
        <f>6.37 * CHOOSE(CONTROL!$C$15, $D$11, 100%, $F$11)</f>
        <v>6.37</v>
      </c>
      <c r="K272" s="4"/>
      <c r="L272" s="9">
        <v>27.988800000000001</v>
      </c>
      <c r="M272" s="9">
        <v>11.6745</v>
      </c>
      <c r="N272" s="9">
        <v>4.7850000000000001</v>
      </c>
      <c r="O272" s="9">
        <v>0.36249999999999999</v>
      </c>
      <c r="P272" s="9">
        <v>1.1798</v>
      </c>
      <c r="Q272" s="9">
        <v>29.530799999999999</v>
      </c>
      <c r="R272" s="9"/>
      <c r="S272" s="11"/>
    </row>
    <row r="273" spans="1:19" ht="15.75">
      <c r="A273" s="14">
        <v>50161</v>
      </c>
      <c r="B273" s="8">
        <f>CHOOSE( CONTROL!$C$32, 6.7926, 6.7881) * CHOOSE(CONTROL!$C$15, $D$11, 100%, $F$11)</f>
        <v>6.7926000000000002</v>
      </c>
      <c r="C273" s="8">
        <f>CHOOSE( CONTROL!$C$32, 6.803, 6.7985) * CHOOSE(CONTROL!$C$15, $D$11, 100%, $F$11)</f>
        <v>6.8029999999999999</v>
      </c>
      <c r="D273" s="8">
        <f>CHOOSE( CONTROL!$C$32, 6.8127, 6.8082) * CHOOSE( CONTROL!$C$15, $D$11, 100%, $F$11)</f>
        <v>6.8127000000000004</v>
      </c>
      <c r="E273" s="12">
        <f>CHOOSE( CONTROL!$C$32, 6.8076, 6.8031) * CHOOSE( CONTROL!$C$15, $D$11, 100%, $F$11)</f>
        <v>6.8075999999999999</v>
      </c>
      <c r="F273" s="4">
        <f>CHOOSE( CONTROL!$C$32, 7.4809, 7.4764) * CHOOSE(CONTROL!$C$15, $D$11, 100%, $F$11)</f>
        <v>7.4809000000000001</v>
      </c>
      <c r="G273" s="8">
        <f>CHOOSE( CONTROL!$C$32, 6.6534, 6.649) * CHOOSE( CONTROL!$C$15, $D$11, 100%, $F$11)</f>
        <v>6.6534000000000004</v>
      </c>
      <c r="H273" s="4">
        <f>CHOOSE( CONTROL!$C$32, 7.5884, 7.584) * CHOOSE(CONTROL!$C$15, $D$11, 100%, $F$11)</f>
        <v>7.5884</v>
      </c>
      <c r="I273" s="8">
        <f>CHOOSE( CONTROL!$C$32, 6.6082, 6.6038) * CHOOSE(CONTROL!$C$15, $D$11, 100%, $F$11)</f>
        <v>6.6082000000000001</v>
      </c>
      <c r="J273" s="4">
        <f>CHOOSE( CONTROL!$C$32, 6.5441, 6.5397) * CHOOSE(CONTROL!$C$15, $D$11, 100%, $F$11)</f>
        <v>6.5441000000000003</v>
      </c>
      <c r="K273" s="4"/>
      <c r="L273" s="9">
        <v>29.520499999999998</v>
      </c>
      <c r="M273" s="9">
        <v>12.063700000000001</v>
      </c>
      <c r="N273" s="9">
        <v>4.9444999999999997</v>
      </c>
      <c r="O273" s="9">
        <v>0.37459999999999999</v>
      </c>
      <c r="P273" s="9">
        <v>1.2192000000000001</v>
      </c>
      <c r="Q273" s="9">
        <v>30.5152</v>
      </c>
      <c r="R273" s="9"/>
      <c r="S273" s="11"/>
    </row>
    <row r="274" spans="1:19" ht="15.75">
      <c r="A274" s="14">
        <v>50192</v>
      </c>
      <c r="B274" s="8">
        <f>CHOOSE( CONTROL!$C$32, 6.6839, 6.6794) * CHOOSE(CONTROL!$C$15, $D$11, 100%, $F$11)</f>
        <v>6.6839000000000004</v>
      </c>
      <c r="C274" s="8">
        <f>CHOOSE( CONTROL!$C$32, 6.6943, 6.6897) * CHOOSE(CONTROL!$C$15, $D$11, 100%, $F$11)</f>
        <v>6.6943000000000001</v>
      </c>
      <c r="D274" s="8">
        <f>CHOOSE( CONTROL!$C$32, 6.7046, 6.7001) * CHOOSE( CONTROL!$C$15, $D$11, 100%, $F$11)</f>
        <v>6.7046000000000001</v>
      </c>
      <c r="E274" s="12">
        <f>CHOOSE( CONTROL!$C$32, 6.6993, 6.6948) * CHOOSE( CONTROL!$C$15, $D$11, 100%, $F$11)</f>
        <v>6.6993</v>
      </c>
      <c r="F274" s="4">
        <f>CHOOSE( CONTROL!$C$32, 7.3722, 7.3677) * CHOOSE(CONTROL!$C$15, $D$11, 100%, $F$11)</f>
        <v>7.3722000000000003</v>
      </c>
      <c r="G274" s="8">
        <f>CHOOSE( CONTROL!$C$32, 6.5474, 6.5429) * CHOOSE( CONTROL!$C$15, $D$11, 100%, $F$11)</f>
        <v>6.5473999999999997</v>
      </c>
      <c r="H274" s="4">
        <f>CHOOSE( CONTROL!$C$32, 7.4815, 7.477) * CHOOSE(CONTROL!$C$15, $D$11, 100%, $F$11)</f>
        <v>7.4814999999999996</v>
      </c>
      <c r="I274" s="8">
        <f>CHOOSE( CONTROL!$C$32, 6.5059, 6.5016) * CHOOSE(CONTROL!$C$15, $D$11, 100%, $F$11)</f>
        <v>6.5058999999999996</v>
      </c>
      <c r="J274" s="4">
        <f>CHOOSE( CONTROL!$C$32, 6.4389, 6.4345) * CHOOSE(CONTROL!$C$15, $D$11, 100%, $F$11)</f>
        <v>6.4389000000000003</v>
      </c>
      <c r="K274" s="4"/>
      <c r="L274" s="9">
        <v>28.568200000000001</v>
      </c>
      <c r="M274" s="9">
        <v>11.6745</v>
      </c>
      <c r="N274" s="9">
        <v>4.7850000000000001</v>
      </c>
      <c r="O274" s="9">
        <v>0.36249999999999999</v>
      </c>
      <c r="P274" s="9">
        <v>1.1798</v>
      </c>
      <c r="Q274" s="9">
        <v>29.530799999999999</v>
      </c>
      <c r="R274" s="9"/>
      <c r="S274" s="11"/>
    </row>
    <row r="275" spans="1:19" ht="15.75">
      <c r="A275" s="14">
        <v>50222</v>
      </c>
      <c r="B275" s="8">
        <f>CHOOSE( CONTROL!$C$32, 6.9702, 6.9657) * CHOOSE(CONTROL!$C$15, $D$11, 100%, $F$11)</f>
        <v>6.9702000000000002</v>
      </c>
      <c r="C275" s="8">
        <f>CHOOSE( CONTROL!$C$32, 6.9806, 6.976) * CHOOSE(CONTROL!$C$15, $D$11, 100%, $F$11)</f>
        <v>6.9805999999999999</v>
      </c>
      <c r="D275" s="8">
        <f>CHOOSE( CONTROL!$C$32, 6.9914, 6.9869) * CHOOSE( CONTROL!$C$15, $D$11, 100%, $F$11)</f>
        <v>6.9913999999999996</v>
      </c>
      <c r="E275" s="12">
        <f>CHOOSE( CONTROL!$C$32, 6.9859, 6.9814) * CHOOSE( CONTROL!$C$15, $D$11, 100%, $F$11)</f>
        <v>6.9859</v>
      </c>
      <c r="F275" s="4">
        <f>CHOOSE( CONTROL!$C$32, 7.6585, 7.654) * CHOOSE(CONTROL!$C$15, $D$11, 100%, $F$11)</f>
        <v>7.6585000000000001</v>
      </c>
      <c r="G275" s="8">
        <f>CHOOSE( CONTROL!$C$32, 6.8299, 6.8254) * CHOOSE( CONTROL!$C$15, $D$11, 100%, $F$11)</f>
        <v>6.8299000000000003</v>
      </c>
      <c r="H275" s="4">
        <f>CHOOSE( CONTROL!$C$32, 7.7632, 7.7587) * CHOOSE(CONTROL!$C$15, $D$11, 100%, $F$11)</f>
        <v>7.7632000000000003</v>
      </c>
      <c r="I275" s="8">
        <f>CHOOSE( CONTROL!$C$32, 6.7857, 6.7813) * CHOOSE(CONTROL!$C$15, $D$11, 100%, $F$11)</f>
        <v>6.7857000000000003</v>
      </c>
      <c r="J275" s="4">
        <f>CHOOSE( CONTROL!$C$32, 6.7158, 6.7114) * CHOOSE(CONTROL!$C$15, $D$11, 100%, $F$11)</f>
        <v>6.7157999999999998</v>
      </c>
      <c r="K275" s="4"/>
      <c r="L275" s="9">
        <v>29.520499999999998</v>
      </c>
      <c r="M275" s="9">
        <v>12.063700000000001</v>
      </c>
      <c r="N275" s="9">
        <v>4.9444999999999997</v>
      </c>
      <c r="O275" s="9">
        <v>0.37459999999999999</v>
      </c>
      <c r="P275" s="9">
        <v>1.2192000000000001</v>
      </c>
      <c r="Q275" s="9">
        <v>30.5152</v>
      </c>
      <c r="R275" s="9"/>
      <c r="S275" s="11"/>
    </row>
    <row r="276" spans="1:19" ht="15.75">
      <c r="A276" s="14">
        <v>50253</v>
      </c>
      <c r="B276" s="8">
        <f>CHOOSE( CONTROL!$C$32, 6.4345, 6.43) * CHOOSE(CONTROL!$C$15, $D$11, 100%, $F$11)</f>
        <v>6.4344999999999999</v>
      </c>
      <c r="C276" s="8">
        <f>CHOOSE( CONTROL!$C$32, 6.4449, 6.4403) * CHOOSE(CONTROL!$C$15, $D$11, 100%, $F$11)</f>
        <v>6.4448999999999996</v>
      </c>
      <c r="D276" s="8">
        <f>CHOOSE( CONTROL!$C$32, 6.456, 6.4515) * CHOOSE( CONTROL!$C$15, $D$11, 100%, $F$11)</f>
        <v>6.4560000000000004</v>
      </c>
      <c r="E276" s="12">
        <f>CHOOSE( CONTROL!$C$32, 6.4504, 6.4459) * CHOOSE( CONTROL!$C$15, $D$11, 100%, $F$11)</f>
        <v>6.4504000000000001</v>
      </c>
      <c r="F276" s="4">
        <f>CHOOSE( CONTROL!$C$32, 7.1228, 7.1183) * CHOOSE(CONTROL!$C$15, $D$11, 100%, $F$11)</f>
        <v>7.1227999999999998</v>
      </c>
      <c r="G276" s="8">
        <f>CHOOSE( CONTROL!$C$32, 6.3033, 6.2989) * CHOOSE( CONTROL!$C$15, $D$11, 100%, $F$11)</f>
        <v>6.3033000000000001</v>
      </c>
      <c r="H276" s="4">
        <f>CHOOSE( CONTROL!$C$32, 7.2361, 7.2317) * CHOOSE(CONTROL!$C$15, $D$11, 100%, $F$11)</f>
        <v>7.2361000000000004</v>
      </c>
      <c r="I276" s="8">
        <f>CHOOSE( CONTROL!$C$32, 6.2687, 6.2644) * CHOOSE(CONTROL!$C$15, $D$11, 100%, $F$11)</f>
        <v>6.2686999999999999</v>
      </c>
      <c r="J276" s="4">
        <f>CHOOSE( CONTROL!$C$32, 6.1977, 6.1934) * CHOOSE(CONTROL!$C$15, $D$11, 100%, $F$11)</f>
        <v>6.1977000000000002</v>
      </c>
      <c r="K276" s="4"/>
      <c r="L276" s="9">
        <v>29.520499999999998</v>
      </c>
      <c r="M276" s="9">
        <v>12.063700000000001</v>
      </c>
      <c r="N276" s="9">
        <v>4.9444999999999997</v>
      </c>
      <c r="O276" s="9">
        <v>0.37459999999999999</v>
      </c>
      <c r="P276" s="9">
        <v>1.2192000000000001</v>
      </c>
      <c r="Q276" s="9">
        <v>30.5152</v>
      </c>
      <c r="R276" s="9"/>
      <c r="S276" s="11"/>
    </row>
    <row r="277" spans="1:19" ht="15.75">
      <c r="A277" s="14">
        <v>50284</v>
      </c>
      <c r="B277" s="8">
        <f>CHOOSE( CONTROL!$C$32, 6.3004, 6.2959) * CHOOSE(CONTROL!$C$15, $D$11, 100%, $F$11)</f>
        <v>6.3003999999999998</v>
      </c>
      <c r="C277" s="8">
        <f>CHOOSE( CONTROL!$C$32, 6.3107, 6.3062) * CHOOSE(CONTROL!$C$15, $D$11, 100%, $F$11)</f>
        <v>6.3106999999999998</v>
      </c>
      <c r="D277" s="8">
        <f>CHOOSE( CONTROL!$C$32, 6.322, 6.3175) * CHOOSE( CONTROL!$C$15, $D$11, 100%, $F$11)</f>
        <v>6.3220000000000001</v>
      </c>
      <c r="E277" s="12">
        <f>CHOOSE( CONTROL!$C$32, 6.3163, 6.3118) * CHOOSE( CONTROL!$C$15, $D$11, 100%, $F$11)</f>
        <v>6.3163</v>
      </c>
      <c r="F277" s="4">
        <f>CHOOSE( CONTROL!$C$32, 6.9887, 6.9842) * CHOOSE(CONTROL!$C$15, $D$11, 100%, $F$11)</f>
        <v>6.9886999999999997</v>
      </c>
      <c r="G277" s="8">
        <f>CHOOSE( CONTROL!$C$32, 6.1715, 6.167) * CHOOSE( CONTROL!$C$15, $D$11, 100%, $F$11)</f>
        <v>6.1715</v>
      </c>
      <c r="H277" s="4">
        <f>CHOOSE( CONTROL!$C$32, 7.1041, 7.0997) * CHOOSE(CONTROL!$C$15, $D$11, 100%, $F$11)</f>
        <v>7.1040999999999999</v>
      </c>
      <c r="I277" s="8">
        <f>CHOOSE( CONTROL!$C$32, 6.1394, 6.135) * CHOOSE(CONTROL!$C$15, $D$11, 100%, $F$11)</f>
        <v>6.1394000000000002</v>
      </c>
      <c r="J277" s="4">
        <f>CHOOSE( CONTROL!$C$32, 6.068, 6.0636) * CHOOSE(CONTROL!$C$15, $D$11, 100%, $F$11)</f>
        <v>6.0679999999999996</v>
      </c>
      <c r="K277" s="4"/>
      <c r="L277" s="9">
        <v>28.568200000000001</v>
      </c>
      <c r="M277" s="9">
        <v>11.6745</v>
      </c>
      <c r="N277" s="9">
        <v>4.7850000000000001</v>
      </c>
      <c r="O277" s="9">
        <v>0.36249999999999999</v>
      </c>
      <c r="P277" s="9">
        <v>1.1798</v>
      </c>
      <c r="Q277" s="9">
        <v>29.530799999999999</v>
      </c>
      <c r="R277" s="9"/>
      <c r="S277" s="11"/>
    </row>
    <row r="278" spans="1:19" ht="15.75">
      <c r="A278" s="14">
        <v>50314</v>
      </c>
      <c r="B278" s="8">
        <f>6.5744 * CHOOSE(CONTROL!$C$15, $D$11, 100%, $F$11)</f>
        <v>6.5743999999999998</v>
      </c>
      <c r="C278" s="8">
        <f>6.5847 * CHOOSE(CONTROL!$C$15, $D$11, 100%, $F$11)</f>
        <v>6.5846999999999998</v>
      </c>
      <c r="D278" s="8">
        <f>6.5971 * CHOOSE( CONTROL!$C$15, $D$11, 100%, $F$11)</f>
        <v>6.5971000000000002</v>
      </c>
      <c r="E278" s="12">
        <f>6.5919 * CHOOSE( CONTROL!$C$15, $D$11, 100%, $F$11)</f>
        <v>6.5918999999999999</v>
      </c>
      <c r="F278" s="4">
        <f>7.2627 * CHOOSE(CONTROL!$C$15, $D$11, 100%, $F$11)</f>
        <v>7.2626999999999997</v>
      </c>
      <c r="G278" s="8">
        <f>6.4405 * CHOOSE( CONTROL!$C$15, $D$11, 100%, $F$11)</f>
        <v>6.4405000000000001</v>
      </c>
      <c r="H278" s="4">
        <f>7.3737 * CHOOSE(CONTROL!$C$15, $D$11, 100%, $F$11)</f>
        <v>7.3737000000000004</v>
      </c>
      <c r="I278" s="8">
        <f>6.4058 * CHOOSE(CONTROL!$C$15, $D$11, 100%, $F$11)</f>
        <v>6.4058000000000002</v>
      </c>
      <c r="J278" s="4">
        <f>6.333 * CHOOSE(CONTROL!$C$15, $D$11, 100%, $F$11)</f>
        <v>6.3330000000000002</v>
      </c>
      <c r="K278" s="4"/>
      <c r="L278" s="9">
        <v>28.921800000000001</v>
      </c>
      <c r="M278" s="9">
        <v>12.063700000000001</v>
      </c>
      <c r="N278" s="9">
        <v>4.9444999999999997</v>
      </c>
      <c r="O278" s="9">
        <v>0.37459999999999999</v>
      </c>
      <c r="P278" s="9">
        <v>1.2192000000000001</v>
      </c>
      <c r="Q278" s="9">
        <v>30.5152</v>
      </c>
      <c r="R278" s="9"/>
      <c r="S278" s="11"/>
    </row>
    <row r="279" spans="1:19" ht="15.75">
      <c r="A279" s="14">
        <v>50345</v>
      </c>
      <c r="B279" s="8">
        <f>7.0885 * CHOOSE(CONTROL!$C$15, $D$11, 100%, $F$11)</f>
        <v>7.0884999999999998</v>
      </c>
      <c r="C279" s="8">
        <f>7.0988 * CHOOSE(CONTROL!$C$15, $D$11, 100%, $F$11)</f>
        <v>7.0987999999999998</v>
      </c>
      <c r="D279" s="8">
        <f>7.0849 * CHOOSE( CONTROL!$C$15, $D$11, 100%, $F$11)</f>
        <v>7.0849000000000002</v>
      </c>
      <c r="E279" s="12">
        <f>7.0889 * CHOOSE( CONTROL!$C$15, $D$11, 100%, $F$11)</f>
        <v>7.0888999999999998</v>
      </c>
      <c r="F279" s="4">
        <f>7.7428 * CHOOSE(CONTROL!$C$15, $D$11, 100%, $F$11)</f>
        <v>7.7427999999999999</v>
      </c>
      <c r="G279" s="8">
        <f>6.9635 * CHOOSE( CONTROL!$C$15, $D$11, 100%, $F$11)</f>
        <v>6.9634999999999998</v>
      </c>
      <c r="H279" s="4">
        <f>7.846 * CHOOSE(CONTROL!$C$15, $D$11, 100%, $F$11)</f>
        <v>7.8460000000000001</v>
      </c>
      <c r="I279" s="8">
        <f>6.9362 * CHOOSE(CONTROL!$C$15, $D$11, 100%, $F$11)</f>
        <v>6.9362000000000004</v>
      </c>
      <c r="J279" s="4">
        <f>6.8302 * CHOOSE(CONTROL!$C$15, $D$11, 100%, $F$11)</f>
        <v>6.8301999999999996</v>
      </c>
      <c r="K279" s="4"/>
      <c r="L279" s="9">
        <v>26.515499999999999</v>
      </c>
      <c r="M279" s="9">
        <v>11.6745</v>
      </c>
      <c r="N279" s="9">
        <v>4.7850000000000001</v>
      </c>
      <c r="O279" s="9">
        <v>0.36249999999999999</v>
      </c>
      <c r="P279" s="9">
        <v>1.2522</v>
      </c>
      <c r="Q279" s="9">
        <v>29.530799999999999</v>
      </c>
      <c r="R279" s="9"/>
      <c r="S279" s="11"/>
    </row>
    <row r="280" spans="1:19" ht="15.75">
      <c r="A280" s="14">
        <v>50375</v>
      </c>
      <c r="B280" s="8">
        <f>7.0757 * CHOOSE(CONTROL!$C$15, $D$11, 100%, $F$11)</f>
        <v>7.0757000000000003</v>
      </c>
      <c r="C280" s="8">
        <f>7.086 * CHOOSE(CONTROL!$C$15, $D$11, 100%, $F$11)</f>
        <v>7.0860000000000003</v>
      </c>
      <c r="D280" s="8">
        <f>7.0745 * CHOOSE( CONTROL!$C$15, $D$11, 100%, $F$11)</f>
        <v>7.0744999999999996</v>
      </c>
      <c r="E280" s="12">
        <f>7.0776 * CHOOSE( CONTROL!$C$15, $D$11, 100%, $F$11)</f>
        <v>7.0776000000000003</v>
      </c>
      <c r="F280" s="4">
        <f>7.7299 * CHOOSE(CONTROL!$C$15, $D$11, 100%, $F$11)</f>
        <v>7.7298999999999998</v>
      </c>
      <c r="G280" s="8">
        <f>6.9527 * CHOOSE( CONTROL!$C$15, $D$11, 100%, $F$11)</f>
        <v>6.9527000000000001</v>
      </c>
      <c r="H280" s="4">
        <f>7.8334 * CHOOSE(CONTROL!$C$15, $D$11, 100%, $F$11)</f>
        <v>7.8334000000000001</v>
      </c>
      <c r="I280" s="8">
        <f>6.9318 * CHOOSE(CONTROL!$C$15, $D$11, 100%, $F$11)</f>
        <v>6.9318</v>
      </c>
      <c r="J280" s="4">
        <f>6.8178 * CHOOSE(CONTROL!$C$15, $D$11, 100%, $F$11)</f>
        <v>6.8178000000000001</v>
      </c>
      <c r="K280" s="4"/>
      <c r="L280" s="9">
        <v>27.3993</v>
      </c>
      <c r="M280" s="9">
        <v>12.063700000000001</v>
      </c>
      <c r="N280" s="9">
        <v>4.9444999999999997</v>
      </c>
      <c r="O280" s="9">
        <v>0.37459999999999999</v>
      </c>
      <c r="P280" s="9">
        <v>1.2939000000000001</v>
      </c>
      <c r="Q280" s="9">
        <v>30.5152</v>
      </c>
      <c r="R280" s="9"/>
      <c r="S280" s="11"/>
    </row>
    <row r="281" spans="1:19" ht="15.75">
      <c r="A281" s="13">
        <v>50436</v>
      </c>
      <c r="B281" s="8">
        <f>7.3451 * CHOOSE(CONTROL!$C$15, $D$11, 100%, $F$11)</f>
        <v>7.3451000000000004</v>
      </c>
      <c r="C281" s="8">
        <f>7.3554 * CHOOSE(CONTROL!$C$15, $D$11, 100%, $F$11)</f>
        <v>7.3554000000000004</v>
      </c>
      <c r="D281" s="8">
        <f>7.3539 * CHOOSE( CONTROL!$C$15, $D$11, 100%, $F$11)</f>
        <v>7.3539000000000003</v>
      </c>
      <c r="E281" s="12">
        <f>7.3534 * CHOOSE( CONTROL!$C$15, $D$11, 100%, $F$11)</f>
        <v>7.3533999999999997</v>
      </c>
      <c r="F281" s="4">
        <f>8.0278 * CHOOSE(CONTROL!$C$15, $D$11, 100%, $F$11)</f>
        <v>8.0277999999999992</v>
      </c>
      <c r="G281" s="8">
        <f>7.228 * CHOOSE( CONTROL!$C$15, $D$11, 100%, $F$11)</f>
        <v>7.2279999999999998</v>
      </c>
      <c r="H281" s="4">
        <f>8.1264 * CHOOSE(CONTROL!$C$15, $D$11, 100%, $F$11)</f>
        <v>8.1264000000000003</v>
      </c>
      <c r="I281" s="8">
        <f>7.1905 * CHOOSE(CONTROL!$C$15, $D$11, 100%, $F$11)</f>
        <v>7.1905000000000001</v>
      </c>
      <c r="J281" s="4">
        <f>7.0783 * CHOOSE(CONTROL!$C$15, $D$11, 100%, $F$11)</f>
        <v>7.0782999999999996</v>
      </c>
      <c r="K281" s="4"/>
      <c r="L281" s="9">
        <v>27.3993</v>
      </c>
      <c r="M281" s="9">
        <v>12.063700000000001</v>
      </c>
      <c r="N281" s="9">
        <v>4.9444999999999997</v>
      </c>
      <c r="O281" s="9">
        <v>0.37459999999999999</v>
      </c>
      <c r="P281" s="9">
        <v>1.2939000000000001</v>
      </c>
      <c r="Q281" s="9">
        <v>30.451899999999998</v>
      </c>
      <c r="R281" s="9"/>
      <c r="S281" s="11"/>
    </row>
    <row r="282" spans="1:19" ht="15.75">
      <c r="A282" s="13">
        <v>50464</v>
      </c>
      <c r="B282" s="8">
        <f>6.8719 * CHOOSE(CONTROL!$C$15, $D$11, 100%, $F$11)</f>
        <v>6.8719000000000001</v>
      </c>
      <c r="C282" s="8">
        <f>6.8823 * CHOOSE(CONTROL!$C$15, $D$11, 100%, $F$11)</f>
        <v>6.8822999999999999</v>
      </c>
      <c r="D282" s="8">
        <f>6.8828 * CHOOSE( CONTROL!$C$15, $D$11, 100%, $F$11)</f>
        <v>6.8827999999999996</v>
      </c>
      <c r="E282" s="12">
        <f>6.8815 * CHOOSE( CONTROL!$C$15, $D$11, 100%, $F$11)</f>
        <v>6.8815</v>
      </c>
      <c r="F282" s="4">
        <f>7.5469 * CHOOSE(CONTROL!$C$15, $D$11, 100%, $F$11)</f>
        <v>7.5468999999999999</v>
      </c>
      <c r="G282" s="8">
        <f>6.7623 * CHOOSE( CONTROL!$C$15, $D$11, 100%, $F$11)</f>
        <v>6.7622999999999998</v>
      </c>
      <c r="H282" s="4">
        <f>7.6533 * CHOOSE(CONTROL!$C$15, $D$11, 100%, $F$11)</f>
        <v>7.6532999999999998</v>
      </c>
      <c r="I282" s="8">
        <f>6.7217 * CHOOSE(CONTROL!$C$15, $D$11, 100%, $F$11)</f>
        <v>6.7217000000000002</v>
      </c>
      <c r="J282" s="4">
        <f>6.6207 * CHOOSE(CONTROL!$C$15, $D$11, 100%, $F$11)</f>
        <v>6.6207000000000003</v>
      </c>
      <c r="K282" s="4"/>
      <c r="L282" s="9">
        <v>24.747800000000002</v>
      </c>
      <c r="M282" s="9">
        <v>10.8962</v>
      </c>
      <c r="N282" s="9">
        <v>4.4660000000000002</v>
      </c>
      <c r="O282" s="9">
        <v>0.33829999999999999</v>
      </c>
      <c r="P282" s="9">
        <v>1.1687000000000001</v>
      </c>
      <c r="Q282" s="9">
        <v>27.504999999999999</v>
      </c>
      <c r="R282" s="9"/>
      <c r="S282" s="11"/>
    </row>
    <row r="283" spans="1:19" ht="15.75">
      <c r="A283" s="13">
        <v>50495</v>
      </c>
      <c r="B283" s="8">
        <f>6.7262 * CHOOSE(CONTROL!$C$15, $D$11, 100%, $F$11)</f>
        <v>6.7262000000000004</v>
      </c>
      <c r="C283" s="8">
        <f>6.7365 * CHOOSE(CONTROL!$C$15, $D$11, 100%, $F$11)</f>
        <v>6.7365000000000004</v>
      </c>
      <c r="D283" s="8">
        <f>6.7166 * CHOOSE( CONTROL!$C$15, $D$11, 100%, $F$11)</f>
        <v>6.7165999999999997</v>
      </c>
      <c r="E283" s="12">
        <f>6.7228 * CHOOSE( CONTROL!$C$15, $D$11, 100%, $F$11)</f>
        <v>6.7228000000000003</v>
      </c>
      <c r="F283" s="4">
        <f>7.3851 * CHOOSE(CONTROL!$C$15, $D$11, 100%, $F$11)</f>
        <v>7.3851000000000004</v>
      </c>
      <c r="G283" s="8">
        <f>6.5982 * CHOOSE( CONTROL!$C$15, $D$11, 100%, $F$11)</f>
        <v>6.5982000000000003</v>
      </c>
      <c r="H283" s="4">
        <f>7.4942 * CHOOSE(CONTROL!$C$15, $D$11, 100%, $F$11)</f>
        <v>7.4942000000000002</v>
      </c>
      <c r="I283" s="8">
        <f>6.5412 * CHOOSE(CONTROL!$C$15, $D$11, 100%, $F$11)</f>
        <v>6.5411999999999999</v>
      </c>
      <c r="J283" s="4">
        <f>6.4798 * CHOOSE(CONTROL!$C$15, $D$11, 100%, $F$11)</f>
        <v>6.4798</v>
      </c>
      <c r="K283" s="4"/>
      <c r="L283" s="9">
        <v>27.3993</v>
      </c>
      <c r="M283" s="9">
        <v>12.063700000000001</v>
      </c>
      <c r="N283" s="9">
        <v>4.9444999999999997</v>
      </c>
      <c r="O283" s="9">
        <v>0.37459999999999999</v>
      </c>
      <c r="P283" s="9">
        <v>1.2939000000000001</v>
      </c>
      <c r="Q283" s="9">
        <v>30.451899999999998</v>
      </c>
      <c r="R283" s="9"/>
      <c r="S283" s="11"/>
    </row>
    <row r="284" spans="1:19" ht="15.75">
      <c r="A284" s="13">
        <v>50525</v>
      </c>
      <c r="B284" s="8">
        <f>6.828 * CHOOSE(CONTROL!$C$15, $D$11, 100%, $F$11)</f>
        <v>6.8280000000000003</v>
      </c>
      <c r="C284" s="8">
        <f>6.8384 * CHOOSE(CONTROL!$C$15, $D$11, 100%, $F$11)</f>
        <v>6.8384</v>
      </c>
      <c r="D284" s="8">
        <f>6.8299 * CHOOSE( CONTROL!$C$15, $D$11, 100%, $F$11)</f>
        <v>6.8299000000000003</v>
      </c>
      <c r="E284" s="12">
        <f>6.8315 * CHOOSE( CONTROL!$C$15, $D$11, 100%, $F$11)</f>
        <v>6.8315000000000001</v>
      </c>
      <c r="F284" s="4">
        <f>7.4771 * CHOOSE(CONTROL!$C$15, $D$11, 100%, $F$11)</f>
        <v>7.4771000000000001</v>
      </c>
      <c r="G284" s="8">
        <f>6.6832 * CHOOSE( CONTROL!$C$15, $D$11, 100%, $F$11)</f>
        <v>6.6832000000000003</v>
      </c>
      <c r="H284" s="4">
        <f>7.5847 * CHOOSE(CONTROL!$C$15, $D$11, 100%, $F$11)</f>
        <v>7.5846999999999998</v>
      </c>
      <c r="I284" s="8">
        <f>6.6365 * CHOOSE(CONTROL!$C$15, $D$11, 100%, $F$11)</f>
        <v>6.6364999999999998</v>
      </c>
      <c r="J284" s="4">
        <f>6.5783 * CHOOSE(CONTROL!$C$15, $D$11, 100%, $F$11)</f>
        <v>6.5782999999999996</v>
      </c>
      <c r="K284" s="4"/>
      <c r="L284" s="9">
        <v>27.988800000000001</v>
      </c>
      <c r="M284" s="9">
        <v>11.6745</v>
      </c>
      <c r="N284" s="9">
        <v>4.7850000000000001</v>
      </c>
      <c r="O284" s="9">
        <v>0.36249999999999999</v>
      </c>
      <c r="P284" s="9">
        <v>1.1798</v>
      </c>
      <c r="Q284" s="9">
        <v>29.4696</v>
      </c>
      <c r="R284" s="9"/>
      <c r="S284" s="11"/>
    </row>
    <row r="285" spans="1:19" ht="15.75">
      <c r="A285" s="13">
        <v>50556</v>
      </c>
      <c r="B285" s="8">
        <f>CHOOSE( CONTROL!$C$32, 7.0138, 7.0093) * CHOOSE(CONTROL!$C$15, $D$11, 100%, $F$11)</f>
        <v>7.0137999999999998</v>
      </c>
      <c r="C285" s="8">
        <f>CHOOSE( CONTROL!$C$32, 7.0241, 7.0196) * CHOOSE(CONTROL!$C$15, $D$11, 100%, $F$11)</f>
        <v>7.0240999999999998</v>
      </c>
      <c r="D285" s="8">
        <f>CHOOSE( CONTROL!$C$32, 7.0338, 7.0293) * CHOOSE( CONTROL!$C$15, $D$11, 100%, $F$11)</f>
        <v>7.0338000000000003</v>
      </c>
      <c r="E285" s="12">
        <f>CHOOSE( CONTROL!$C$32, 7.0287, 7.0242) * CHOOSE( CONTROL!$C$15, $D$11, 100%, $F$11)</f>
        <v>7.0286999999999997</v>
      </c>
      <c r="F285" s="4">
        <f>CHOOSE( CONTROL!$C$32, 7.7021, 7.6976) * CHOOSE(CONTROL!$C$15, $D$11, 100%, $F$11)</f>
        <v>7.7020999999999997</v>
      </c>
      <c r="G285" s="8">
        <f>CHOOSE( CONTROL!$C$32, 6.871, 6.8665) * CHOOSE( CONTROL!$C$15, $D$11, 100%, $F$11)</f>
        <v>6.8710000000000004</v>
      </c>
      <c r="H285" s="4">
        <f>CHOOSE( CONTROL!$C$32, 7.806, 7.8016) * CHOOSE(CONTROL!$C$15, $D$11, 100%, $F$11)</f>
        <v>7.806</v>
      </c>
      <c r="I285" s="8">
        <f>CHOOSE( CONTROL!$C$32, 6.8221, 6.8178) * CHOOSE(CONTROL!$C$15, $D$11, 100%, $F$11)</f>
        <v>6.8220999999999998</v>
      </c>
      <c r="J285" s="4">
        <f>CHOOSE( CONTROL!$C$32, 6.7579, 6.7536) * CHOOSE(CONTROL!$C$15, $D$11, 100%, $F$11)</f>
        <v>6.7579000000000002</v>
      </c>
      <c r="K285" s="4"/>
      <c r="L285" s="9">
        <v>29.520499999999998</v>
      </c>
      <c r="M285" s="9">
        <v>12.063700000000001</v>
      </c>
      <c r="N285" s="9">
        <v>4.9444999999999997</v>
      </c>
      <c r="O285" s="9">
        <v>0.37459999999999999</v>
      </c>
      <c r="P285" s="9">
        <v>1.2192000000000001</v>
      </c>
      <c r="Q285" s="9">
        <v>30.451899999999998</v>
      </c>
      <c r="R285" s="9"/>
      <c r="S285" s="11"/>
    </row>
    <row r="286" spans="1:19" ht="15.75">
      <c r="A286" s="13">
        <v>50586</v>
      </c>
      <c r="B286" s="8">
        <f>CHOOSE( CONTROL!$C$32, 6.9015, 6.897) * CHOOSE(CONTROL!$C$15, $D$11, 100%, $F$11)</f>
        <v>6.9015000000000004</v>
      </c>
      <c r="C286" s="8">
        <f>CHOOSE( CONTROL!$C$32, 6.9119, 6.9073) * CHOOSE(CONTROL!$C$15, $D$11, 100%, $F$11)</f>
        <v>6.9119000000000002</v>
      </c>
      <c r="D286" s="8">
        <f>CHOOSE( CONTROL!$C$32, 6.9222, 6.9176) * CHOOSE( CONTROL!$C$15, $D$11, 100%, $F$11)</f>
        <v>6.9222000000000001</v>
      </c>
      <c r="E286" s="12">
        <f>CHOOSE( CONTROL!$C$32, 6.9169, 6.9123) * CHOOSE( CONTROL!$C$15, $D$11, 100%, $F$11)</f>
        <v>6.9169</v>
      </c>
      <c r="F286" s="4">
        <f>CHOOSE( CONTROL!$C$32, 7.5898, 7.5853) * CHOOSE(CONTROL!$C$15, $D$11, 100%, $F$11)</f>
        <v>7.5898000000000003</v>
      </c>
      <c r="G286" s="8">
        <f>CHOOSE( CONTROL!$C$32, 6.7615, 6.757) * CHOOSE( CONTROL!$C$15, $D$11, 100%, $F$11)</f>
        <v>6.7614999999999998</v>
      </c>
      <c r="H286" s="4">
        <f>CHOOSE( CONTROL!$C$32, 7.6956, 7.6911) * CHOOSE(CONTROL!$C$15, $D$11, 100%, $F$11)</f>
        <v>7.6955999999999998</v>
      </c>
      <c r="I286" s="8">
        <f>CHOOSE( CONTROL!$C$32, 6.7165, 6.7121) * CHOOSE(CONTROL!$C$15, $D$11, 100%, $F$11)</f>
        <v>6.7164999999999999</v>
      </c>
      <c r="J286" s="4">
        <f>CHOOSE( CONTROL!$C$32, 6.6494, 6.645) * CHOOSE(CONTROL!$C$15, $D$11, 100%, $F$11)</f>
        <v>6.6494</v>
      </c>
      <c r="K286" s="4"/>
      <c r="L286" s="9">
        <v>28.568200000000001</v>
      </c>
      <c r="M286" s="9">
        <v>11.6745</v>
      </c>
      <c r="N286" s="9">
        <v>4.7850000000000001</v>
      </c>
      <c r="O286" s="9">
        <v>0.36249999999999999</v>
      </c>
      <c r="P286" s="9">
        <v>1.1798</v>
      </c>
      <c r="Q286" s="9">
        <v>29.4696</v>
      </c>
      <c r="R286" s="9"/>
      <c r="S286" s="11"/>
    </row>
    <row r="287" spans="1:19" ht="15.75">
      <c r="A287" s="13">
        <v>50617</v>
      </c>
      <c r="B287" s="8">
        <f>CHOOSE( CONTROL!$C$32, 7.1972, 7.1927) * CHOOSE(CONTROL!$C$15, $D$11, 100%, $F$11)</f>
        <v>7.1971999999999996</v>
      </c>
      <c r="C287" s="8">
        <f>CHOOSE( CONTROL!$C$32, 7.2075, 7.203) * CHOOSE(CONTROL!$C$15, $D$11, 100%, $F$11)</f>
        <v>7.2074999999999996</v>
      </c>
      <c r="D287" s="8">
        <f>CHOOSE( CONTROL!$C$32, 7.2184, 7.2139) * CHOOSE( CONTROL!$C$15, $D$11, 100%, $F$11)</f>
        <v>7.2183999999999999</v>
      </c>
      <c r="E287" s="12">
        <f>CHOOSE( CONTROL!$C$32, 7.2129, 7.2084) * CHOOSE( CONTROL!$C$15, $D$11, 100%, $F$11)</f>
        <v>7.2129000000000003</v>
      </c>
      <c r="F287" s="4">
        <f>CHOOSE( CONTROL!$C$32, 7.8855, 7.881) * CHOOSE(CONTROL!$C$15, $D$11, 100%, $F$11)</f>
        <v>7.8855000000000004</v>
      </c>
      <c r="G287" s="8">
        <f>CHOOSE( CONTROL!$C$32, 7.0532, 7.0487) * CHOOSE( CONTROL!$C$15, $D$11, 100%, $F$11)</f>
        <v>7.0532000000000004</v>
      </c>
      <c r="H287" s="4">
        <f>CHOOSE( CONTROL!$C$32, 7.9864, 7.982) * CHOOSE(CONTROL!$C$15, $D$11, 100%, $F$11)</f>
        <v>7.9863999999999997</v>
      </c>
      <c r="I287" s="8">
        <f>CHOOSE( CONTROL!$C$32, 7.0053, 7.0009) * CHOOSE(CONTROL!$C$15, $D$11, 100%, $F$11)</f>
        <v>7.0053000000000001</v>
      </c>
      <c r="J287" s="4">
        <f>CHOOSE( CONTROL!$C$32, 6.9353, 6.9309) * CHOOSE(CONTROL!$C$15, $D$11, 100%, $F$11)</f>
        <v>6.9352999999999998</v>
      </c>
      <c r="K287" s="4"/>
      <c r="L287" s="9">
        <v>29.520499999999998</v>
      </c>
      <c r="M287" s="9">
        <v>12.063700000000001</v>
      </c>
      <c r="N287" s="9">
        <v>4.9444999999999997</v>
      </c>
      <c r="O287" s="9">
        <v>0.37459999999999999</v>
      </c>
      <c r="P287" s="9">
        <v>1.2192000000000001</v>
      </c>
      <c r="Q287" s="9">
        <v>30.451899999999998</v>
      </c>
      <c r="R287" s="9"/>
      <c r="S287" s="11"/>
    </row>
    <row r="288" spans="1:19" ht="15.75">
      <c r="A288" s="13">
        <v>50648</v>
      </c>
      <c r="B288" s="8">
        <f>CHOOSE( CONTROL!$C$32, 6.644, 6.6394) * CHOOSE(CONTROL!$C$15, $D$11, 100%, $F$11)</f>
        <v>6.6440000000000001</v>
      </c>
      <c r="C288" s="8">
        <f>CHOOSE( CONTROL!$C$32, 6.6543, 6.6498) * CHOOSE(CONTROL!$C$15, $D$11, 100%, $F$11)</f>
        <v>6.6543000000000001</v>
      </c>
      <c r="D288" s="8">
        <f>CHOOSE( CONTROL!$C$32, 6.6655, 6.661) * CHOOSE( CONTROL!$C$15, $D$11, 100%, $F$11)</f>
        <v>6.6654999999999998</v>
      </c>
      <c r="E288" s="12">
        <f>CHOOSE( CONTROL!$C$32, 6.6599, 6.6554) * CHOOSE( CONTROL!$C$15, $D$11, 100%, $F$11)</f>
        <v>6.6599000000000004</v>
      </c>
      <c r="F288" s="4">
        <f>CHOOSE( CONTROL!$C$32, 7.3323, 7.3277) * CHOOSE(CONTROL!$C$15, $D$11, 100%, $F$11)</f>
        <v>7.3323</v>
      </c>
      <c r="G288" s="8">
        <f>CHOOSE( CONTROL!$C$32, 6.5094, 6.5049) * CHOOSE( CONTROL!$C$15, $D$11, 100%, $F$11)</f>
        <v>6.5094000000000003</v>
      </c>
      <c r="H288" s="4">
        <f>CHOOSE( CONTROL!$C$32, 7.4422, 7.4377) * CHOOSE(CONTROL!$C$15, $D$11, 100%, $F$11)</f>
        <v>7.4421999999999997</v>
      </c>
      <c r="I288" s="8">
        <f>CHOOSE( CONTROL!$C$32, 6.4714, 6.467) * CHOOSE(CONTROL!$C$15, $D$11, 100%, $F$11)</f>
        <v>6.4714</v>
      </c>
      <c r="J288" s="4">
        <f>CHOOSE( CONTROL!$C$32, 6.4003, 6.3959) * CHOOSE(CONTROL!$C$15, $D$11, 100%, $F$11)</f>
        <v>6.4002999999999997</v>
      </c>
      <c r="K288" s="4"/>
      <c r="L288" s="9">
        <v>29.520499999999998</v>
      </c>
      <c r="M288" s="9">
        <v>12.063700000000001</v>
      </c>
      <c r="N288" s="9">
        <v>4.9444999999999997</v>
      </c>
      <c r="O288" s="9">
        <v>0.37459999999999999</v>
      </c>
      <c r="P288" s="9">
        <v>1.2192000000000001</v>
      </c>
      <c r="Q288" s="9">
        <v>30.451899999999998</v>
      </c>
      <c r="R288" s="9"/>
      <c r="S288" s="11"/>
    </row>
    <row r="289" spans="1:19" ht="15.75">
      <c r="A289" s="13">
        <v>50678</v>
      </c>
      <c r="B289" s="8">
        <f>CHOOSE( CONTROL!$C$32, 6.5054, 6.5009) * CHOOSE(CONTROL!$C$15, $D$11, 100%, $F$11)</f>
        <v>6.5053999999999998</v>
      </c>
      <c r="C289" s="8">
        <f>CHOOSE( CONTROL!$C$32, 6.5158, 6.5113) * CHOOSE(CONTROL!$C$15, $D$11, 100%, $F$11)</f>
        <v>6.5157999999999996</v>
      </c>
      <c r="D289" s="8">
        <f>CHOOSE( CONTROL!$C$32, 6.527, 6.5225) * CHOOSE( CONTROL!$C$15, $D$11, 100%, $F$11)</f>
        <v>6.5270000000000001</v>
      </c>
      <c r="E289" s="12">
        <f>CHOOSE( CONTROL!$C$32, 6.5214, 6.5169) * CHOOSE( CONTROL!$C$15, $D$11, 100%, $F$11)</f>
        <v>6.5213999999999999</v>
      </c>
      <c r="F289" s="4">
        <f>CHOOSE( CONTROL!$C$32, 7.1937, 7.1892) * CHOOSE(CONTROL!$C$15, $D$11, 100%, $F$11)</f>
        <v>7.1936999999999998</v>
      </c>
      <c r="G289" s="8">
        <f>CHOOSE( CONTROL!$C$32, 6.3732, 6.3687) * CHOOSE( CONTROL!$C$15, $D$11, 100%, $F$11)</f>
        <v>6.3731999999999998</v>
      </c>
      <c r="H289" s="4">
        <f>CHOOSE( CONTROL!$C$32, 7.3059, 7.3014) * CHOOSE(CONTROL!$C$15, $D$11, 100%, $F$11)</f>
        <v>7.3059000000000003</v>
      </c>
      <c r="I289" s="8">
        <f>CHOOSE( CONTROL!$C$32, 6.3378, 6.3334) * CHOOSE(CONTROL!$C$15, $D$11, 100%, $F$11)</f>
        <v>6.3377999999999997</v>
      </c>
      <c r="J289" s="4">
        <f>CHOOSE( CONTROL!$C$32, 6.2663, 6.2619) * CHOOSE(CONTROL!$C$15, $D$11, 100%, $F$11)</f>
        <v>6.2663000000000002</v>
      </c>
      <c r="K289" s="4"/>
      <c r="L289" s="9">
        <v>28.568200000000001</v>
      </c>
      <c r="M289" s="9">
        <v>11.6745</v>
      </c>
      <c r="N289" s="9">
        <v>4.7850000000000001</v>
      </c>
      <c r="O289" s="9">
        <v>0.36249999999999999</v>
      </c>
      <c r="P289" s="9">
        <v>1.1798</v>
      </c>
      <c r="Q289" s="9">
        <v>29.4696</v>
      </c>
      <c r="R289" s="9"/>
      <c r="S289" s="11"/>
    </row>
    <row r="290" spans="1:19" ht="15.75">
      <c r="A290" s="13">
        <v>50709</v>
      </c>
      <c r="B290" s="8">
        <f>6.7885 * CHOOSE(CONTROL!$C$15, $D$11, 100%, $F$11)</f>
        <v>6.7885</v>
      </c>
      <c r="C290" s="8">
        <f>6.7989 * CHOOSE(CONTROL!$C$15, $D$11, 100%, $F$11)</f>
        <v>6.7988999999999997</v>
      </c>
      <c r="D290" s="8">
        <f>6.8113 * CHOOSE( CONTROL!$C$15, $D$11, 100%, $F$11)</f>
        <v>6.8113000000000001</v>
      </c>
      <c r="E290" s="12">
        <f>6.8061 * CHOOSE( CONTROL!$C$15, $D$11, 100%, $F$11)</f>
        <v>6.8060999999999998</v>
      </c>
      <c r="F290" s="4">
        <f>7.4768 * CHOOSE(CONTROL!$C$15, $D$11, 100%, $F$11)</f>
        <v>7.4767999999999999</v>
      </c>
      <c r="G290" s="8">
        <f>6.6512 * CHOOSE( CONTROL!$C$15, $D$11, 100%, $F$11)</f>
        <v>6.6512000000000002</v>
      </c>
      <c r="H290" s="4">
        <f>7.5844 * CHOOSE(CONTROL!$C$15, $D$11, 100%, $F$11)</f>
        <v>7.5843999999999996</v>
      </c>
      <c r="I290" s="8">
        <f>6.613 * CHOOSE(CONTROL!$C$15, $D$11, 100%, $F$11)</f>
        <v>6.6130000000000004</v>
      </c>
      <c r="J290" s="4">
        <f>6.5401 * CHOOSE(CONTROL!$C$15, $D$11, 100%, $F$11)</f>
        <v>6.5400999999999998</v>
      </c>
      <c r="K290" s="4"/>
      <c r="L290" s="9">
        <v>28.921800000000001</v>
      </c>
      <c r="M290" s="9">
        <v>12.063700000000001</v>
      </c>
      <c r="N290" s="9">
        <v>4.9444999999999997</v>
      </c>
      <c r="O290" s="9">
        <v>0.37459999999999999</v>
      </c>
      <c r="P290" s="9">
        <v>1.2192000000000001</v>
      </c>
      <c r="Q290" s="9">
        <v>30.451899999999998</v>
      </c>
      <c r="R290" s="9"/>
      <c r="S290" s="11"/>
    </row>
    <row r="291" spans="1:19" ht="15.75">
      <c r="A291" s="13">
        <v>50739</v>
      </c>
      <c r="B291" s="8">
        <f>7.3195 * CHOOSE(CONTROL!$C$15, $D$11, 100%, $F$11)</f>
        <v>7.3194999999999997</v>
      </c>
      <c r="C291" s="8">
        <f>7.3298 * CHOOSE(CONTROL!$C$15, $D$11, 100%, $F$11)</f>
        <v>7.3297999999999996</v>
      </c>
      <c r="D291" s="8">
        <f>7.3159 * CHOOSE( CONTROL!$C$15, $D$11, 100%, $F$11)</f>
        <v>7.3159000000000001</v>
      </c>
      <c r="E291" s="12">
        <f>7.3199 * CHOOSE( CONTROL!$C$15, $D$11, 100%, $F$11)</f>
        <v>7.3198999999999996</v>
      </c>
      <c r="F291" s="4">
        <f>7.9737 * CHOOSE(CONTROL!$C$15, $D$11, 100%, $F$11)</f>
        <v>7.9737</v>
      </c>
      <c r="G291" s="8">
        <f>7.1907 * CHOOSE( CONTROL!$C$15, $D$11, 100%, $F$11)</f>
        <v>7.1906999999999996</v>
      </c>
      <c r="H291" s="4">
        <f>8.0733 * CHOOSE(CONTROL!$C$15, $D$11, 100%, $F$11)</f>
        <v>8.0732999999999997</v>
      </c>
      <c r="I291" s="8">
        <f>7.1597 * CHOOSE(CONTROL!$C$15, $D$11, 100%, $F$11)</f>
        <v>7.1597</v>
      </c>
      <c r="J291" s="4">
        <f>7.0536 * CHOOSE(CONTROL!$C$15, $D$11, 100%, $F$11)</f>
        <v>7.0536000000000003</v>
      </c>
      <c r="K291" s="4"/>
      <c r="L291" s="9">
        <v>26.515499999999999</v>
      </c>
      <c r="M291" s="9">
        <v>11.6745</v>
      </c>
      <c r="N291" s="9">
        <v>4.7850000000000001</v>
      </c>
      <c r="O291" s="9">
        <v>0.36249999999999999</v>
      </c>
      <c r="P291" s="9">
        <v>1.2522</v>
      </c>
      <c r="Q291" s="9">
        <v>29.4696</v>
      </c>
      <c r="R291" s="9"/>
      <c r="S291" s="11"/>
    </row>
    <row r="292" spans="1:19" ht="15.75">
      <c r="A292" s="13">
        <v>50770</v>
      </c>
      <c r="B292" s="8">
        <f>7.3062 * CHOOSE(CONTROL!$C$15, $D$11, 100%, $F$11)</f>
        <v>7.3061999999999996</v>
      </c>
      <c r="C292" s="8">
        <f>7.3166 * CHOOSE(CONTROL!$C$15, $D$11, 100%, $F$11)</f>
        <v>7.3166000000000002</v>
      </c>
      <c r="D292" s="8">
        <f>7.3051 * CHOOSE( CONTROL!$C$15, $D$11, 100%, $F$11)</f>
        <v>7.3051000000000004</v>
      </c>
      <c r="E292" s="12">
        <f>7.3082 * CHOOSE( CONTROL!$C$15, $D$11, 100%, $F$11)</f>
        <v>7.3082000000000003</v>
      </c>
      <c r="F292" s="4">
        <f>7.9605 * CHOOSE(CONTROL!$C$15, $D$11, 100%, $F$11)</f>
        <v>7.9604999999999997</v>
      </c>
      <c r="G292" s="8">
        <f>7.1795 * CHOOSE( CONTROL!$C$15, $D$11, 100%, $F$11)</f>
        <v>7.1795</v>
      </c>
      <c r="H292" s="4">
        <f>8.0602 * CHOOSE(CONTROL!$C$15, $D$11, 100%, $F$11)</f>
        <v>8.0602</v>
      </c>
      <c r="I292" s="8">
        <f>7.1549 * CHOOSE(CONTROL!$C$15, $D$11, 100%, $F$11)</f>
        <v>7.1548999999999996</v>
      </c>
      <c r="J292" s="4">
        <f>7.0407 * CHOOSE(CONTROL!$C$15, $D$11, 100%, $F$11)</f>
        <v>7.0407000000000002</v>
      </c>
      <c r="K292" s="4"/>
      <c r="L292" s="9">
        <v>27.3993</v>
      </c>
      <c r="M292" s="9">
        <v>12.063700000000001</v>
      </c>
      <c r="N292" s="9">
        <v>4.9444999999999997</v>
      </c>
      <c r="O292" s="9">
        <v>0.37459999999999999</v>
      </c>
      <c r="P292" s="9">
        <v>1.2939000000000001</v>
      </c>
      <c r="Q292" s="9">
        <v>30.451899999999998</v>
      </c>
      <c r="R292" s="9"/>
      <c r="S292" s="11"/>
    </row>
    <row r="293" spans="1:19" ht="15.75">
      <c r="A293" s="13">
        <v>50801</v>
      </c>
      <c r="B293" s="8">
        <f>7.5845 * CHOOSE(CONTROL!$C$15, $D$11, 100%, $F$11)</f>
        <v>7.5845000000000002</v>
      </c>
      <c r="C293" s="8">
        <f>7.5948 * CHOOSE(CONTROL!$C$15, $D$11, 100%, $F$11)</f>
        <v>7.5948000000000002</v>
      </c>
      <c r="D293" s="8">
        <f>7.5932 * CHOOSE( CONTROL!$C$15, $D$11, 100%, $F$11)</f>
        <v>7.5932000000000004</v>
      </c>
      <c r="E293" s="12">
        <f>7.5927 * CHOOSE( CONTROL!$C$15, $D$11, 100%, $F$11)</f>
        <v>7.5926999999999998</v>
      </c>
      <c r="F293" s="4">
        <f>8.2671 * CHOOSE(CONTROL!$C$15, $D$11, 100%, $F$11)</f>
        <v>8.2670999999999992</v>
      </c>
      <c r="G293" s="8">
        <f>7.4635 * CHOOSE( CONTROL!$C$15, $D$11, 100%, $F$11)</f>
        <v>7.4634999999999998</v>
      </c>
      <c r="H293" s="4">
        <f>8.3619 * CHOOSE(CONTROL!$C$15, $D$11, 100%, $F$11)</f>
        <v>8.3619000000000003</v>
      </c>
      <c r="I293" s="8">
        <f>7.4221 * CHOOSE(CONTROL!$C$15, $D$11, 100%, $F$11)</f>
        <v>7.4221000000000004</v>
      </c>
      <c r="J293" s="4">
        <f>7.3098 * CHOOSE(CONTROL!$C$15, $D$11, 100%, $F$11)</f>
        <v>7.3098000000000001</v>
      </c>
      <c r="K293" s="4"/>
      <c r="L293" s="9">
        <v>27.3993</v>
      </c>
      <c r="M293" s="9">
        <v>12.063700000000001</v>
      </c>
      <c r="N293" s="9">
        <v>4.9444999999999997</v>
      </c>
      <c r="O293" s="9">
        <v>0.37459999999999999</v>
      </c>
      <c r="P293" s="9">
        <v>1.2939000000000001</v>
      </c>
      <c r="Q293" s="9">
        <v>30.386800000000001</v>
      </c>
      <c r="R293" s="9"/>
      <c r="S293" s="11"/>
    </row>
    <row r="294" spans="1:19" ht="15.75">
      <c r="A294" s="13">
        <v>50829</v>
      </c>
      <c r="B294" s="8">
        <f>7.0958 * CHOOSE(CONTROL!$C$15, $D$11, 100%, $F$11)</f>
        <v>7.0957999999999997</v>
      </c>
      <c r="C294" s="8">
        <f>7.1062 * CHOOSE(CONTROL!$C$15, $D$11, 100%, $F$11)</f>
        <v>7.1062000000000003</v>
      </c>
      <c r="D294" s="8">
        <f>7.1067 * CHOOSE( CONTROL!$C$15, $D$11, 100%, $F$11)</f>
        <v>7.1067</v>
      </c>
      <c r="E294" s="12">
        <f>7.1054 * CHOOSE( CONTROL!$C$15, $D$11, 100%, $F$11)</f>
        <v>7.1054000000000004</v>
      </c>
      <c r="F294" s="4">
        <f>7.7707 * CHOOSE(CONTROL!$C$15, $D$11, 100%, $F$11)</f>
        <v>7.7706999999999997</v>
      </c>
      <c r="G294" s="8">
        <f>6.9825 * CHOOSE( CONTROL!$C$15, $D$11, 100%, $F$11)</f>
        <v>6.9824999999999999</v>
      </c>
      <c r="H294" s="4">
        <f>7.8736 * CHOOSE(CONTROL!$C$15, $D$11, 100%, $F$11)</f>
        <v>7.8735999999999997</v>
      </c>
      <c r="I294" s="8">
        <f>6.9383 * CHOOSE(CONTROL!$C$15, $D$11, 100%, $F$11)</f>
        <v>6.9382999999999999</v>
      </c>
      <c r="J294" s="4">
        <f>6.8373 * CHOOSE(CONTROL!$C$15, $D$11, 100%, $F$11)</f>
        <v>6.8372999999999999</v>
      </c>
      <c r="K294" s="4"/>
      <c r="L294" s="9">
        <v>24.747800000000002</v>
      </c>
      <c r="M294" s="9">
        <v>10.8962</v>
      </c>
      <c r="N294" s="9">
        <v>4.4660000000000002</v>
      </c>
      <c r="O294" s="9">
        <v>0.33829999999999999</v>
      </c>
      <c r="P294" s="9">
        <v>1.1687000000000001</v>
      </c>
      <c r="Q294" s="9">
        <v>27.446200000000001</v>
      </c>
      <c r="R294" s="9"/>
      <c r="S294" s="11"/>
    </row>
    <row r="295" spans="1:19" ht="15.75">
      <c r="A295" s="13">
        <v>50860</v>
      </c>
      <c r="B295" s="8">
        <f>6.9453 * CHOOSE(CONTROL!$C$15, $D$11, 100%, $F$11)</f>
        <v>6.9452999999999996</v>
      </c>
      <c r="C295" s="8">
        <f>6.9557 * CHOOSE(CONTROL!$C$15, $D$11, 100%, $F$11)</f>
        <v>6.9557000000000002</v>
      </c>
      <c r="D295" s="8">
        <f>6.9357 * CHOOSE( CONTROL!$C$15, $D$11, 100%, $F$11)</f>
        <v>6.9356999999999998</v>
      </c>
      <c r="E295" s="12">
        <f>6.9419 * CHOOSE( CONTROL!$C$15, $D$11, 100%, $F$11)</f>
        <v>6.9419000000000004</v>
      </c>
      <c r="F295" s="4">
        <f>7.6042 * CHOOSE(CONTROL!$C$15, $D$11, 100%, $F$11)</f>
        <v>7.6041999999999996</v>
      </c>
      <c r="G295" s="8">
        <f>6.8137 * CHOOSE( CONTROL!$C$15, $D$11, 100%, $F$11)</f>
        <v>6.8136999999999999</v>
      </c>
      <c r="H295" s="4">
        <f>7.7097 * CHOOSE(CONTROL!$C$15, $D$11, 100%, $F$11)</f>
        <v>7.7096999999999998</v>
      </c>
      <c r="I295" s="8">
        <f>6.7532 * CHOOSE(CONTROL!$C$15, $D$11, 100%, $F$11)</f>
        <v>6.7531999999999996</v>
      </c>
      <c r="J295" s="4">
        <f>6.6917 * CHOOSE(CONTROL!$C$15, $D$11, 100%, $F$11)</f>
        <v>6.6917</v>
      </c>
      <c r="K295" s="4"/>
      <c r="L295" s="9">
        <v>27.3993</v>
      </c>
      <c r="M295" s="9">
        <v>12.063700000000001</v>
      </c>
      <c r="N295" s="9">
        <v>4.9444999999999997</v>
      </c>
      <c r="O295" s="9">
        <v>0.37459999999999999</v>
      </c>
      <c r="P295" s="9">
        <v>1.2939000000000001</v>
      </c>
      <c r="Q295" s="9">
        <v>30.386800000000001</v>
      </c>
      <c r="R295" s="9"/>
      <c r="S295" s="11"/>
    </row>
    <row r="296" spans="1:19" ht="15.75">
      <c r="A296" s="13">
        <v>50890</v>
      </c>
      <c r="B296" s="8">
        <f>7.0505 * CHOOSE(CONTROL!$C$15, $D$11, 100%, $F$11)</f>
        <v>7.0505000000000004</v>
      </c>
      <c r="C296" s="8">
        <f>7.0608 * CHOOSE(CONTROL!$C$15, $D$11, 100%, $F$11)</f>
        <v>7.0608000000000004</v>
      </c>
      <c r="D296" s="8">
        <f>7.0523 * CHOOSE( CONTROL!$C$15, $D$11, 100%, $F$11)</f>
        <v>7.0522999999999998</v>
      </c>
      <c r="E296" s="12">
        <f>7.0539 * CHOOSE( CONTROL!$C$15, $D$11, 100%, $F$11)</f>
        <v>7.0538999999999996</v>
      </c>
      <c r="F296" s="4">
        <f>7.6996 * CHOOSE(CONTROL!$C$15, $D$11, 100%, $F$11)</f>
        <v>7.6996000000000002</v>
      </c>
      <c r="G296" s="8">
        <f>6.902 * CHOOSE( CONTROL!$C$15, $D$11, 100%, $F$11)</f>
        <v>6.9020000000000001</v>
      </c>
      <c r="H296" s="4">
        <f>7.8035 * CHOOSE(CONTROL!$C$15, $D$11, 100%, $F$11)</f>
        <v>7.8034999999999997</v>
      </c>
      <c r="I296" s="8">
        <f>6.8518 * CHOOSE(CONTROL!$C$15, $D$11, 100%, $F$11)</f>
        <v>6.8517999999999999</v>
      </c>
      <c r="J296" s="4">
        <f>6.7934 * CHOOSE(CONTROL!$C$15, $D$11, 100%, $F$11)</f>
        <v>6.7934000000000001</v>
      </c>
      <c r="K296" s="4"/>
      <c r="L296" s="9">
        <v>27.988800000000001</v>
      </c>
      <c r="M296" s="9">
        <v>11.6745</v>
      </c>
      <c r="N296" s="9">
        <v>4.7850000000000001</v>
      </c>
      <c r="O296" s="9">
        <v>0.36249999999999999</v>
      </c>
      <c r="P296" s="9">
        <v>1.1798</v>
      </c>
      <c r="Q296" s="9">
        <v>29.406600000000001</v>
      </c>
      <c r="R296" s="9"/>
      <c r="S296" s="11"/>
    </row>
    <row r="297" spans="1:19" ht="15.75">
      <c r="A297" s="13">
        <v>50921</v>
      </c>
      <c r="B297" s="8">
        <f>CHOOSE( CONTROL!$C$32, 7.2422, 7.2377) * CHOOSE(CONTROL!$C$15, $D$11, 100%, $F$11)</f>
        <v>7.2422000000000004</v>
      </c>
      <c r="C297" s="8">
        <f>CHOOSE( CONTROL!$C$32, 7.2525, 7.248) * CHOOSE(CONTROL!$C$15, $D$11, 100%, $F$11)</f>
        <v>7.2525000000000004</v>
      </c>
      <c r="D297" s="8">
        <f>CHOOSE( CONTROL!$C$32, 7.2622, 7.2577) * CHOOSE( CONTROL!$C$15, $D$11, 100%, $F$11)</f>
        <v>7.2622</v>
      </c>
      <c r="E297" s="12">
        <f>CHOOSE( CONTROL!$C$32, 7.2571, 7.2526) * CHOOSE( CONTROL!$C$15, $D$11, 100%, $F$11)</f>
        <v>7.2571000000000003</v>
      </c>
      <c r="F297" s="4">
        <f>CHOOSE( CONTROL!$C$32, 7.9305, 7.9259) * CHOOSE(CONTROL!$C$15, $D$11, 100%, $F$11)</f>
        <v>7.9305000000000003</v>
      </c>
      <c r="G297" s="8">
        <f>CHOOSE( CONTROL!$C$32, 7.0957, 7.0912) * CHOOSE( CONTROL!$C$15, $D$11, 100%, $F$11)</f>
        <v>7.0956999999999999</v>
      </c>
      <c r="H297" s="4">
        <f>CHOOSE( CONTROL!$C$32, 8.0307, 8.0263) * CHOOSE(CONTROL!$C$15, $D$11, 100%, $F$11)</f>
        <v>8.0306999999999995</v>
      </c>
      <c r="I297" s="8">
        <f>CHOOSE( CONTROL!$C$32, 7.0431, 7.0387) * CHOOSE(CONTROL!$C$15, $D$11, 100%, $F$11)</f>
        <v>7.0430999999999999</v>
      </c>
      <c r="J297" s="4">
        <f>CHOOSE( CONTROL!$C$32, 6.9788, 6.9744) * CHOOSE(CONTROL!$C$15, $D$11, 100%, $F$11)</f>
        <v>6.9787999999999997</v>
      </c>
      <c r="K297" s="4"/>
      <c r="L297" s="9">
        <v>29.520499999999998</v>
      </c>
      <c r="M297" s="9">
        <v>12.063700000000001</v>
      </c>
      <c r="N297" s="9">
        <v>4.9444999999999997</v>
      </c>
      <c r="O297" s="9">
        <v>0.37459999999999999</v>
      </c>
      <c r="P297" s="9">
        <v>1.2192000000000001</v>
      </c>
      <c r="Q297" s="9">
        <v>30.386800000000001</v>
      </c>
      <c r="R297" s="9"/>
      <c r="S297" s="11"/>
    </row>
    <row r="298" spans="1:19" ht="15.75">
      <c r="A298" s="13">
        <v>50951</v>
      </c>
      <c r="B298" s="8">
        <f>CHOOSE( CONTROL!$C$32, 7.1262, 7.1217) * CHOOSE(CONTROL!$C$15, $D$11, 100%, $F$11)</f>
        <v>7.1261999999999999</v>
      </c>
      <c r="C298" s="8">
        <f>CHOOSE( CONTROL!$C$32, 7.1366, 7.132) * CHOOSE(CONTROL!$C$15, $D$11, 100%, $F$11)</f>
        <v>7.1365999999999996</v>
      </c>
      <c r="D298" s="8">
        <f>CHOOSE( CONTROL!$C$32, 7.1469, 7.1424) * CHOOSE( CONTROL!$C$15, $D$11, 100%, $F$11)</f>
        <v>7.1468999999999996</v>
      </c>
      <c r="E298" s="12">
        <f>CHOOSE( CONTROL!$C$32, 7.1416, 7.1371) * CHOOSE( CONTROL!$C$15, $D$11, 100%, $F$11)</f>
        <v>7.1416000000000004</v>
      </c>
      <c r="F298" s="4">
        <f>CHOOSE( CONTROL!$C$32, 7.8145, 7.81) * CHOOSE(CONTROL!$C$15, $D$11, 100%, $F$11)</f>
        <v>7.8144999999999998</v>
      </c>
      <c r="G298" s="8">
        <f>CHOOSE( CONTROL!$C$32, 6.9825, 6.9781) * CHOOSE( CONTROL!$C$15, $D$11, 100%, $F$11)</f>
        <v>6.9824999999999999</v>
      </c>
      <c r="H298" s="4">
        <f>CHOOSE( CONTROL!$C$32, 7.9166, 7.9122) * CHOOSE(CONTROL!$C$15, $D$11, 100%, $F$11)</f>
        <v>7.9165999999999999</v>
      </c>
      <c r="I298" s="8">
        <f>CHOOSE( CONTROL!$C$32, 6.9339, 6.9295) * CHOOSE(CONTROL!$C$15, $D$11, 100%, $F$11)</f>
        <v>6.9339000000000004</v>
      </c>
      <c r="J298" s="4">
        <f>CHOOSE( CONTROL!$C$32, 6.8667, 6.8623) * CHOOSE(CONTROL!$C$15, $D$11, 100%, $F$11)</f>
        <v>6.8666999999999998</v>
      </c>
      <c r="K298" s="4"/>
      <c r="L298" s="9">
        <v>28.568200000000001</v>
      </c>
      <c r="M298" s="9">
        <v>11.6745</v>
      </c>
      <c r="N298" s="9">
        <v>4.7850000000000001</v>
      </c>
      <c r="O298" s="9">
        <v>0.36249999999999999</v>
      </c>
      <c r="P298" s="9">
        <v>1.1798</v>
      </c>
      <c r="Q298" s="9">
        <v>29.406600000000001</v>
      </c>
      <c r="R298" s="9"/>
      <c r="S298" s="11"/>
    </row>
    <row r="299" spans="1:19" ht="15.75">
      <c r="A299" s="13">
        <v>50982</v>
      </c>
      <c r="B299" s="8">
        <f>CHOOSE( CONTROL!$C$32, 7.4316, 7.427) * CHOOSE(CONTROL!$C$15, $D$11, 100%, $F$11)</f>
        <v>7.4316000000000004</v>
      </c>
      <c r="C299" s="8">
        <f>CHOOSE( CONTROL!$C$32, 7.4419, 7.4374) * CHOOSE(CONTROL!$C$15, $D$11, 100%, $F$11)</f>
        <v>7.4419000000000004</v>
      </c>
      <c r="D299" s="8">
        <f>CHOOSE( CONTROL!$C$32, 7.4528, 7.4483) * CHOOSE( CONTROL!$C$15, $D$11, 100%, $F$11)</f>
        <v>7.4527999999999999</v>
      </c>
      <c r="E299" s="12">
        <f>CHOOSE( CONTROL!$C$32, 7.4473, 7.4428) * CHOOSE( CONTROL!$C$15, $D$11, 100%, $F$11)</f>
        <v>7.4473000000000003</v>
      </c>
      <c r="F299" s="4">
        <f>CHOOSE( CONTROL!$C$32, 8.1199, 8.1153) * CHOOSE(CONTROL!$C$15, $D$11, 100%, $F$11)</f>
        <v>8.1198999999999995</v>
      </c>
      <c r="G299" s="8">
        <f>CHOOSE( CONTROL!$C$32, 7.2838, 7.2793) * CHOOSE( CONTROL!$C$15, $D$11, 100%, $F$11)</f>
        <v>7.2838000000000003</v>
      </c>
      <c r="H299" s="4">
        <f>CHOOSE( CONTROL!$C$32, 8.217, 8.2126) * CHOOSE(CONTROL!$C$15, $D$11, 100%, $F$11)</f>
        <v>8.2170000000000005</v>
      </c>
      <c r="I299" s="8">
        <f>CHOOSE( CONTROL!$C$32, 7.232, 7.2277) * CHOOSE(CONTROL!$C$15, $D$11, 100%, $F$11)</f>
        <v>7.2320000000000002</v>
      </c>
      <c r="J299" s="4">
        <f>CHOOSE( CONTROL!$C$32, 7.162, 7.1576) * CHOOSE(CONTROL!$C$15, $D$11, 100%, $F$11)</f>
        <v>7.1619999999999999</v>
      </c>
      <c r="K299" s="4"/>
      <c r="L299" s="9">
        <v>29.520499999999998</v>
      </c>
      <c r="M299" s="9">
        <v>12.063700000000001</v>
      </c>
      <c r="N299" s="9">
        <v>4.9444999999999997</v>
      </c>
      <c r="O299" s="9">
        <v>0.37459999999999999</v>
      </c>
      <c r="P299" s="9">
        <v>1.2192000000000001</v>
      </c>
      <c r="Q299" s="9">
        <v>30.386800000000001</v>
      </c>
      <c r="R299" s="9"/>
      <c r="S299" s="11"/>
    </row>
    <row r="300" spans="1:19" ht="15.75">
      <c r="A300" s="13">
        <v>51013</v>
      </c>
      <c r="B300" s="8">
        <f>CHOOSE( CONTROL!$C$32, 6.8603, 6.8557) * CHOOSE(CONTROL!$C$15, $D$11, 100%, $F$11)</f>
        <v>6.8602999999999996</v>
      </c>
      <c r="C300" s="8">
        <f>CHOOSE( CONTROL!$C$32, 6.8706, 6.8661) * CHOOSE(CONTROL!$C$15, $D$11, 100%, $F$11)</f>
        <v>6.8705999999999996</v>
      </c>
      <c r="D300" s="8">
        <f>CHOOSE( CONTROL!$C$32, 6.8818, 6.8772) * CHOOSE( CONTROL!$C$15, $D$11, 100%, $F$11)</f>
        <v>6.8818000000000001</v>
      </c>
      <c r="E300" s="12">
        <f>CHOOSE( CONTROL!$C$32, 6.8762, 6.8716) * CHOOSE( CONTROL!$C$15, $D$11, 100%, $F$11)</f>
        <v>6.8761999999999999</v>
      </c>
      <c r="F300" s="4">
        <f>CHOOSE( CONTROL!$C$32, 7.5485, 7.544) * CHOOSE(CONTROL!$C$15, $D$11, 100%, $F$11)</f>
        <v>7.5484999999999998</v>
      </c>
      <c r="G300" s="8">
        <f>CHOOSE( CONTROL!$C$32, 6.7221, 6.7177) * CHOOSE( CONTROL!$C$15, $D$11, 100%, $F$11)</f>
        <v>6.7221000000000002</v>
      </c>
      <c r="H300" s="4">
        <f>CHOOSE( CONTROL!$C$32, 7.655, 7.6505) * CHOOSE(CONTROL!$C$15, $D$11, 100%, $F$11)</f>
        <v>7.6550000000000002</v>
      </c>
      <c r="I300" s="8">
        <f>CHOOSE( CONTROL!$C$32, 6.6807, 6.6763) * CHOOSE(CONTROL!$C$15, $D$11, 100%, $F$11)</f>
        <v>6.6806999999999999</v>
      </c>
      <c r="J300" s="4">
        <f>CHOOSE( CONTROL!$C$32, 6.6094, 6.6051) * CHOOSE(CONTROL!$C$15, $D$11, 100%, $F$11)</f>
        <v>6.6093999999999999</v>
      </c>
      <c r="K300" s="4"/>
      <c r="L300" s="9">
        <v>29.520499999999998</v>
      </c>
      <c r="M300" s="9">
        <v>12.063700000000001</v>
      </c>
      <c r="N300" s="9">
        <v>4.9444999999999997</v>
      </c>
      <c r="O300" s="9">
        <v>0.37459999999999999</v>
      </c>
      <c r="P300" s="9">
        <v>1.2192000000000001</v>
      </c>
      <c r="Q300" s="9">
        <v>30.386800000000001</v>
      </c>
      <c r="R300" s="9"/>
      <c r="S300" s="11"/>
    </row>
    <row r="301" spans="1:19" ht="15.75">
      <c r="A301" s="13">
        <v>51043</v>
      </c>
      <c r="B301" s="8">
        <f>CHOOSE( CONTROL!$C$32, 6.7172, 6.7127) * CHOOSE(CONTROL!$C$15, $D$11, 100%, $F$11)</f>
        <v>6.7172000000000001</v>
      </c>
      <c r="C301" s="8">
        <f>CHOOSE( CONTROL!$C$32, 6.7275, 6.723) * CHOOSE(CONTROL!$C$15, $D$11, 100%, $F$11)</f>
        <v>6.7275</v>
      </c>
      <c r="D301" s="8">
        <f>CHOOSE( CONTROL!$C$32, 6.7388, 6.7343) * CHOOSE( CONTROL!$C$15, $D$11, 100%, $F$11)</f>
        <v>6.7388000000000003</v>
      </c>
      <c r="E301" s="12">
        <f>CHOOSE( CONTROL!$C$32, 6.7331, 6.7286) * CHOOSE( CONTROL!$C$15, $D$11, 100%, $F$11)</f>
        <v>6.7331000000000003</v>
      </c>
      <c r="F301" s="4">
        <f>CHOOSE( CONTROL!$C$32, 7.4055, 7.401) * CHOOSE(CONTROL!$C$15, $D$11, 100%, $F$11)</f>
        <v>7.4055</v>
      </c>
      <c r="G301" s="8">
        <f>CHOOSE( CONTROL!$C$32, 6.5815, 6.5771) * CHOOSE( CONTROL!$C$15, $D$11, 100%, $F$11)</f>
        <v>6.5815000000000001</v>
      </c>
      <c r="H301" s="4">
        <f>CHOOSE( CONTROL!$C$32, 7.5142, 7.5098) * CHOOSE(CONTROL!$C$15, $D$11, 100%, $F$11)</f>
        <v>7.5141999999999998</v>
      </c>
      <c r="I301" s="8">
        <f>CHOOSE( CONTROL!$C$32, 6.5427, 6.5383) * CHOOSE(CONTROL!$C$15, $D$11, 100%, $F$11)</f>
        <v>6.5427</v>
      </c>
      <c r="J301" s="4">
        <f>CHOOSE( CONTROL!$C$32, 6.4711, 6.4667) * CHOOSE(CONTROL!$C$15, $D$11, 100%, $F$11)</f>
        <v>6.4710999999999999</v>
      </c>
      <c r="K301" s="4"/>
      <c r="L301" s="9">
        <v>28.568200000000001</v>
      </c>
      <c r="M301" s="9">
        <v>11.6745</v>
      </c>
      <c r="N301" s="9">
        <v>4.7850000000000001</v>
      </c>
      <c r="O301" s="9">
        <v>0.36249999999999999</v>
      </c>
      <c r="P301" s="9">
        <v>1.1798</v>
      </c>
      <c r="Q301" s="9">
        <v>29.406600000000001</v>
      </c>
      <c r="R301" s="9"/>
      <c r="S301" s="11"/>
    </row>
    <row r="302" spans="1:19" ht="15.75">
      <c r="A302" s="13">
        <v>51074</v>
      </c>
      <c r="B302" s="8">
        <f>7.0097 * CHOOSE(CONTROL!$C$15, $D$11, 100%, $F$11)</f>
        <v>7.0096999999999996</v>
      </c>
      <c r="C302" s="8">
        <f>7.0201 * CHOOSE(CONTROL!$C$15, $D$11, 100%, $F$11)</f>
        <v>7.0201000000000002</v>
      </c>
      <c r="D302" s="8">
        <f>7.0325 * CHOOSE( CONTROL!$C$15, $D$11, 100%, $F$11)</f>
        <v>7.0324999999999998</v>
      </c>
      <c r="E302" s="12">
        <f>7.0273 * CHOOSE( CONTROL!$C$15, $D$11, 100%, $F$11)</f>
        <v>7.0273000000000003</v>
      </c>
      <c r="F302" s="4">
        <f>7.698 * CHOOSE(CONTROL!$C$15, $D$11, 100%, $F$11)</f>
        <v>7.6980000000000004</v>
      </c>
      <c r="G302" s="8">
        <f>6.8688 * CHOOSE( CONTROL!$C$15, $D$11, 100%, $F$11)</f>
        <v>6.8688000000000002</v>
      </c>
      <c r="H302" s="4">
        <f>7.802 * CHOOSE(CONTROL!$C$15, $D$11, 100%, $F$11)</f>
        <v>7.8019999999999996</v>
      </c>
      <c r="I302" s="8">
        <f>6.827 * CHOOSE(CONTROL!$C$15, $D$11, 100%, $F$11)</f>
        <v>6.827</v>
      </c>
      <c r="J302" s="4">
        <f>6.754 * CHOOSE(CONTROL!$C$15, $D$11, 100%, $F$11)</f>
        <v>6.7539999999999996</v>
      </c>
      <c r="K302" s="4"/>
      <c r="L302" s="9">
        <v>28.921800000000001</v>
      </c>
      <c r="M302" s="9">
        <v>12.063700000000001</v>
      </c>
      <c r="N302" s="9">
        <v>4.9444999999999997</v>
      </c>
      <c r="O302" s="9">
        <v>0.37459999999999999</v>
      </c>
      <c r="P302" s="9">
        <v>1.2192000000000001</v>
      </c>
      <c r="Q302" s="9">
        <v>30.386800000000001</v>
      </c>
      <c r="R302" s="9"/>
      <c r="S302" s="11"/>
    </row>
    <row r="303" spans="1:19" ht="15.75">
      <c r="A303" s="13">
        <v>51104</v>
      </c>
      <c r="B303" s="8">
        <f>7.558 * CHOOSE(CONTROL!$C$15, $D$11, 100%, $F$11)</f>
        <v>7.5579999999999998</v>
      </c>
      <c r="C303" s="8">
        <f>7.5683 * CHOOSE(CONTROL!$C$15, $D$11, 100%, $F$11)</f>
        <v>7.5682999999999998</v>
      </c>
      <c r="D303" s="8">
        <f>7.5544 * CHOOSE( CONTROL!$C$15, $D$11, 100%, $F$11)</f>
        <v>7.5544000000000002</v>
      </c>
      <c r="E303" s="12">
        <f>7.5584 * CHOOSE( CONTROL!$C$15, $D$11, 100%, $F$11)</f>
        <v>7.5583999999999998</v>
      </c>
      <c r="F303" s="4">
        <f>8.2123 * CHOOSE(CONTROL!$C$15, $D$11, 100%, $F$11)</f>
        <v>8.2123000000000008</v>
      </c>
      <c r="G303" s="8">
        <f>7.4254 * CHOOSE( CONTROL!$C$15, $D$11, 100%, $F$11)</f>
        <v>7.4253999999999998</v>
      </c>
      <c r="H303" s="4">
        <f>8.3079 * CHOOSE(CONTROL!$C$15, $D$11, 100%, $F$11)</f>
        <v>8.3079000000000001</v>
      </c>
      <c r="I303" s="8">
        <f>7.3905 * CHOOSE(CONTROL!$C$15, $D$11, 100%, $F$11)</f>
        <v>7.3905000000000003</v>
      </c>
      <c r="J303" s="4">
        <f>7.2842 * CHOOSE(CONTROL!$C$15, $D$11, 100%, $F$11)</f>
        <v>7.2842000000000002</v>
      </c>
      <c r="K303" s="4"/>
      <c r="L303" s="9">
        <v>26.515499999999999</v>
      </c>
      <c r="M303" s="9">
        <v>11.6745</v>
      </c>
      <c r="N303" s="9">
        <v>4.7850000000000001</v>
      </c>
      <c r="O303" s="9">
        <v>0.36249999999999999</v>
      </c>
      <c r="P303" s="9">
        <v>1.2522</v>
      </c>
      <c r="Q303" s="9">
        <v>29.406600000000001</v>
      </c>
      <c r="R303" s="9"/>
      <c r="S303" s="11"/>
    </row>
    <row r="304" spans="1:19" ht="15.75">
      <c r="A304" s="13">
        <v>51135</v>
      </c>
      <c r="B304" s="8">
        <f>7.5443 * CHOOSE(CONTROL!$C$15, $D$11, 100%, $F$11)</f>
        <v>7.5442999999999998</v>
      </c>
      <c r="C304" s="8">
        <f>7.5546 * CHOOSE(CONTROL!$C$15, $D$11, 100%, $F$11)</f>
        <v>7.5545999999999998</v>
      </c>
      <c r="D304" s="8">
        <f>7.5432 * CHOOSE( CONTROL!$C$15, $D$11, 100%, $F$11)</f>
        <v>7.5431999999999997</v>
      </c>
      <c r="E304" s="12">
        <f>7.5463 * CHOOSE( CONTROL!$C$15, $D$11, 100%, $F$11)</f>
        <v>7.5462999999999996</v>
      </c>
      <c r="F304" s="4">
        <f>8.1986 * CHOOSE(CONTROL!$C$15, $D$11, 100%, $F$11)</f>
        <v>8.1986000000000008</v>
      </c>
      <c r="G304" s="8">
        <f>7.4137 * CHOOSE( CONTROL!$C$15, $D$11, 100%, $F$11)</f>
        <v>7.4137000000000004</v>
      </c>
      <c r="H304" s="4">
        <f>8.2945 * CHOOSE(CONTROL!$C$15, $D$11, 100%, $F$11)</f>
        <v>8.2944999999999993</v>
      </c>
      <c r="I304" s="8">
        <f>7.3852 * CHOOSE(CONTROL!$C$15, $D$11, 100%, $F$11)</f>
        <v>7.3852000000000002</v>
      </c>
      <c r="J304" s="4">
        <f>7.271 * CHOOSE(CONTROL!$C$15, $D$11, 100%, $F$11)</f>
        <v>7.2709999999999999</v>
      </c>
      <c r="K304" s="4"/>
      <c r="L304" s="9">
        <v>27.3993</v>
      </c>
      <c r="M304" s="9">
        <v>12.063700000000001</v>
      </c>
      <c r="N304" s="9">
        <v>4.9444999999999997</v>
      </c>
      <c r="O304" s="9">
        <v>0.37459999999999999</v>
      </c>
      <c r="P304" s="9">
        <v>1.2939000000000001</v>
      </c>
      <c r="Q304" s="9">
        <v>30.386800000000001</v>
      </c>
      <c r="R304" s="9"/>
      <c r="S304" s="11"/>
    </row>
    <row r="305" spans="1:19" ht="15.75">
      <c r="A305" s="13">
        <v>51166</v>
      </c>
      <c r="B305" s="8">
        <f>7.8316 * CHOOSE(CONTROL!$C$15, $D$11, 100%, $F$11)</f>
        <v>7.8315999999999999</v>
      </c>
      <c r="C305" s="8">
        <f>7.842 * CHOOSE(CONTROL!$C$15, $D$11, 100%, $F$11)</f>
        <v>7.8419999999999996</v>
      </c>
      <c r="D305" s="8">
        <f>7.8404 * CHOOSE( CONTROL!$C$15, $D$11, 100%, $F$11)</f>
        <v>7.8403999999999998</v>
      </c>
      <c r="E305" s="12">
        <f>7.8399 * CHOOSE( CONTROL!$C$15, $D$11, 100%, $F$11)</f>
        <v>7.8399000000000001</v>
      </c>
      <c r="F305" s="4">
        <f>8.5143 * CHOOSE(CONTROL!$C$15, $D$11, 100%, $F$11)</f>
        <v>8.5143000000000004</v>
      </c>
      <c r="G305" s="8">
        <f>7.7067 * CHOOSE( CONTROL!$C$15, $D$11, 100%, $F$11)</f>
        <v>7.7066999999999997</v>
      </c>
      <c r="H305" s="4">
        <f>8.6051 * CHOOSE(CONTROL!$C$15, $D$11, 100%, $F$11)</f>
        <v>8.6051000000000002</v>
      </c>
      <c r="I305" s="8">
        <f>7.6612 * CHOOSE(CONTROL!$C$15, $D$11, 100%, $F$11)</f>
        <v>7.6612</v>
      </c>
      <c r="J305" s="4">
        <f>7.5489 * CHOOSE(CONTROL!$C$15, $D$11, 100%, $F$11)</f>
        <v>7.5488999999999997</v>
      </c>
      <c r="K305" s="4"/>
      <c r="L305" s="9">
        <v>27.3993</v>
      </c>
      <c r="M305" s="9">
        <v>12.063700000000001</v>
      </c>
      <c r="N305" s="9">
        <v>4.9444999999999997</v>
      </c>
      <c r="O305" s="9">
        <v>0.37459999999999999</v>
      </c>
      <c r="P305" s="9">
        <v>1.2939000000000001</v>
      </c>
      <c r="Q305" s="9">
        <v>30.3217</v>
      </c>
      <c r="R305" s="9"/>
      <c r="S305" s="11"/>
    </row>
    <row r="306" spans="1:19" ht="15.75">
      <c r="A306" s="13">
        <v>51194</v>
      </c>
      <c r="B306" s="8">
        <f>7.327 * CHOOSE(CONTROL!$C$15, $D$11, 100%, $F$11)</f>
        <v>7.327</v>
      </c>
      <c r="C306" s="8">
        <f>7.3374 * CHOOSE(CONTROL!$C$15, $D$11, 100%, $F$11)</f>
        <v>7.3373999999999997</v>
      </c>
      <c r="D306" s="8">
        <f>7.3379 * CHOOSE( CONTROL!$C$15, $D$11, 100%, $F$11)</f>
        <v>7.3379000000000003</v>
      </c>
      <c r="E306" s="12">
        <f>7.3366 * CHOOSE( CONTROL!$C$15, $D$11, 100%, $F$11)</f>
        <v>7.3365999999999998</v>
      </c>
      <c r="F306" s="4">
        <f>8.002 * CHOOSE(CONTROL!$C$15, $D$11, 100%, $F$11)</f>
        <v>8.0020000000000007</v>
      </c>
      <c r="G306" s="8">
        <f>7.21 * CHOOSE( CONTROL!$C$15, $D$11, 100%, $F$11)</f>
        <v>7.21</v>
      </c>
      <c r="H306" s="4">
        <f>8.101 * CHOOSE(CONTROL!$C$15, $D$11, 100%, $F$11)</f>
        <v>8.1010000000000009</v>
      </c>
      <c r="I306" s="8">
        <f>7.162 * CHOOSE(CONTROL!$C$15, $D$11, 100%, $F$11)</f>
        <v>7.1619999999999999</v>
      </c>
      <c r="J306" s="4">
        <f>7.0609 * CHOOSE(CONTROL!$C$15, $D$11, 100%, $F$11)</f>
        <v>7.0609000000000002</v>
      </c>
      <c r="K306" s="4"/>
      <c r="L306" s="9">
        <v>25.631599999999999</v>
      </c>
      <c r="M306" s="9">
        <v>11.285299999999999</v>
      </c>
      <c r="N306" s="9">
        <v>4.6254999999999997</v>
      </c>
      <c r="O306" s="9">
        <v>0.35039999999999999</v>
      </c>
      <c r="P306" s="9">
        <v>1.2104999999999999</v>
      </c>
      <c r="Q306" s="9">
        <v>28.365500000000001</v>
      </c>
      <c r="R306" s="9"/>
      <c r="S306" s="11"/>
    </row>
    <row r="307" spans="1:19" ht="15.75">
      <c r="A307" s="13">
        <v>51226</v>
      </c>
      <c r="B307" s="8">
        <f>7.1716 * CHOOSE(CONTROL!$C$15, $D$11, 100%, $F$11)</f>
        <v>7.1715999999999998</v>
      </c>
      <c r="C307" s="8">
        <f>7.1819 * CHOOSE(CONTROL!$C$15, $D$11, 100%, $F$11)</f>
        <v>7.1818999999999997</v>
      </c>
      <c r="D307" s="8">
        <f>7.162 * CHOOSE( CONTROL!$C$15, $D$11, 100%, $F$11)</f>
        <v>7.1619999999999999</v>
      </c>
      <c r="E307" s="12">
        <f>7.1682 * CHOOSE( CONTROL!$C$15, $D$11, 100%, $F$11)</f>
        <v>7.1681999999999997</v>
      </c>
      <c r="F307" s="4">
        <f>7.8305 * CHOOSE(CONTROL!$C$15, $D$11, 100%, $F$11)</f>
        <v>7.8304999999999998</v>
      </c>
      <c r="G307" s="8">
        <f>7.0364 * CHOOSE( CONTROL!$C$15, $D$11, 100%, $F$11)</f>
        <v>7.0364000000000004</v>
      </c>
      <c r="H307" s="4">
        <f>7.9324 * CHOOSE(CONTROL!$C$15, $D$11, 100%, $F$11)</f>
        <v>7.9324000000000003</v>
      </c>
      <c r="I307" s="8">
        <f>6.9721 * CHOOSE(CONTROL!$C$15, $D$11, 100%, $F$11)</f>
        <v>6.9721000000000002</v>
      </c>
      <c r="J307" s="4">
        <f>6.9105 * CHOOSE(CONTROL!$C$15, $D$11, 100%, $F$11)</f>
        <v>6.9104999999999999</v>
      </c>
      <c r="K307" s="4"/>
      <c r="L307" s="9">
        <v>27.3993</v>
      </c>
      <c r="M307" s="9">
        <v>12.063700000000001</v>
      </c>
      <c r="N307" s="9">
        <v>4.9444999999999997</v>
      </c>
      <c r="O307" s="9">
        <v>0.37459999999999999</v>
      </c>
      <c r="P307" s="9">
        <v>1.2939000000000001</v>
      </c>
      <c r="Q307" s="9">
        <v>30.3217</v>
      </c>
      <c r="R307" s="9"/>
      <c r="S307" s="11"/>
    </row>
    <row r="308" spans="1:19" ht="15.75">
      <c r="A308" s="13">
        <v>51256</v>
      </c>
      <c r="B308" s="8">
        <f>7.2802 * CHOOSE(CONTROL!$C$15, $D$11, 100%, $F$11)</f>
        <v>7.2801999999999998</v>
      </c>
      <c r="C308" s="8">
        <f>7.2905 * CHOOSE(CONTROL!$C$15, $D$11, 100%, $F$11)</f>
        <v>7.2904999999999998</v>
      </c>
      <c r="D308" s="8">
        <f>7.2821 * CHOOSE( CONTROL!$C$15, $D$11, 100%, $F$11)</f>
        <v>7.2820999999999998</v>
      </c>
      <c r="E308" s="12">
        <f>7.2837 * CHOOSE( CONTROL!$C$15, $D$11, 100%, $F$11)</f>
        <v>7.2836999999999996</v>
      </c>
      <c r="F308" s="4">
        <f>7.9293 * CHOOSE(CONTROL!$C$15, $D$11, 100%, $F$11)</f>
        <v>7.9292999999999996</v>
      </c>
      <c r="G308" s="8">
        <f>7.128 * CHOOSE( CONTROL!$C$15, $D$11, 100%, $F$11)</f>
        <v>7.1280000000000001</v>
      </c>
      <c r="H308" s="4">
        <f>8.0295 * CHOOSE(CONTROL!$C$15, $D$11, 100%, $F$11)</f>
        <v>8.0295000000000005</v>
      </c>
      <c r="I308" s="8">
        <f>7.0741 * CHOOSE(CONTROL!$C$15, $D$11, 100%, $F$11)</f>
        <v>7.0740999999999996</v>
      </c>
      <c r="J308" s="4">
        <f>7.0156 * CHOOSE(CONTROL!$C$15, $D$11, 100%, $F$11)</f>
        <v>7.0156000000000001</v>
      </c>
      <c r="K308" s="4"/>
      <c r="L308" s="9">
        <v>27.988800000000001</v>
      </c>
      <c r="M308" s="9">
        <v>11.6745</v>
      </c>
      <c r="N308" s="9">
        <v>4.7850000000000001</v>
      </c>
      <c r="O308" s="9">
        <v>0.36249999999999999</v>
      </c>
      <c r="P308" s="9">
        <v>1.1798</v>
      </c>
      <c r="Q308" s="9">
        <v>29.343599999999999</v>
      </c>
      <c r="R308" s="9"/>
      <c r="S308" s="11"/>
    </row>
    <row r="309" spans="1:19" ht="15.75">
      <c r="A309" s="13">
        <v>51287</v>
      </c>
      <c r="B309" s="8">
        <f>CHOOSE( CONTROL!$C$32, 7.478, 7.4735) * CHOOSE(CONTROL!$C$15, $D$11, 100%, $F$11)</f>
        <v>7.4779999999999998</v>
      </c>
      <c r="C309" s="8">
        <f>CHOOSE( CONTROL!$C$32, 7.4884, 7.4838) * CHOOSE(CONTROL!$C$15, $D$11, 100%, $F$11)</f>
        <v>7.4884000000000004</v>
      </c>
      <c r="D309" s="8">
        <f>CHOOSE( CONTROL!$C$32, 7.4981, 7.4935) * CHOOSE( CONTROL!$C$15, $D$11, 100%, $F$11)</f>
        <v>7.4981</v>
      </c>
      <c r="E309" s="12">
        <f>CHOOSE( CONTROL!$C$32, 7.493, 7.4884) * CHOOSE( CONTROL!$C$15, $D$11, 100%, $F$11)</f>
        <v>7.4930000000000003</v>
      </c>
      <c r="F309" s="4">
        <f>CHOOSE( CONTROL!$C$32, 8.1663, 8.1618) * CHOOSE(CONTROL!$C$15, $D$11, 100%, $F$11)</f>
        <v>8.1662999999999997</v>
      </c>
      <c r="G309" s="8">
        <f>CHOOSE( CONTROL!$C$32, 7.3277, 7.3233) * CHOOSE( CONTROL!$C$15, $D$11, 100%, $F$11)</f>
        <v>7.3277000000000001</v>
      </c>
      <c r="H309" s="4">
        <f>CHOOSE( CONTROL!$C$32, 8.2627, 8.2583) * CHOOSE(CONTROL!$C$15, $D$11, 100%, $F$11)</f>
        <v>8.2627000000000006</v>
      </c>
      <c r="I309" s="8">
        <f>CHOOSE( CONTROL!$C$32, 7.2713, 7.2669) * CHOOSE(CONTROL!$C$15, $D$11, 100%, $F$11)</f>
        <v>7.2713000000000001</v>
      </c>
      <c r="J309" s="4">
        <f>CHOOSE( CONTROL!$C$32, 7.2069, 7.2025) * CHOOSE(CONTROL!$C$15, $D$11, 100%, $F$11)</f>
        <v>7.2069000000000001</v>
      </c>
      <c r="K309" s="4"/>
      <c r="L309" s="9">
        <v>29.520499999999998</v>
      </c>
      <c r="M309" s="9">
        <v>12.063700000000001</v>
      </c>
      <c r="N309" s="9">
        <v>4.9444999999999997</v>
      </c>
      <c r="O309" s="9">
        <v>0.37459999999999999</v>
      </c>
      <c r="P309" s="9">
        <v>1.2192000000000001</v>
      </c>
      <c r="Q309" s="9">
        <v>30.3217</v>
      </c>
      <c r="R309" s="9"/>
      <c r="S309" s="11"/>
    </row>
    <row r="310" spans="1:19" ht="15.75">
      <c r="A310" s="13">
        <v>51317</v>
      </c>
      <c r="B310" s="8">
        <f>CHOOSE( CONTROL!$C$32, 7.3583, 7.3538) * CHOOSE(CONTROL!$C$15, $D$11, 100%, $F$11)</f>
        <v>7.3582999999999998</v>
      </c>
      <c r="C310" s="8">
        <f>CHOOSE( CONTROL!$C$32, 7.3686, 7.3641) * CHOOSE(CONTROL!$C$15, $D$11, 100%, $F$11)</f>
        <v>7.3685999999999998</v>
      </c>
      <c r="D310" s="8">
        <f>CHOOSE( CONTROL!$C$32, 7.3789, 7.3744) * CHOOSE( CONTROL!$C$15, $D$11, 100%, $F$11)</f>
        <v>7.3788999999999998</v>
      </c>
      <c r="E310" s="12">
        <f>CHOOSE( CONTROL!$C$32, 7.3736, 7.3691) * CHOOSE( CONTROL!$C$15, $D$11, 100%, $F$11)</f>
        <v>7.3735999999999997</v>
      </c>
      <c r="F310" s="4">
        <f>CHOOSE( CONTROL!$C$32, 8.0466, 8.0421) * CHOOSE(CONTROL!$C$15, $D$11, 100%, $F$11)</f>
        <v>8.0465999999999998</v>
      </c>
      <c r="G310" s="8">
        <f>CHOOSE( CONTROL!$C$32, 7.2108, 7.2064) * CHOOSE( CONTROL!$C$15, $D$11, 100%, $F$11)</f>
        <v>7.2107999999999999</v>
      </c>
      <c r="H310" s="4">
        <f>CHOOSE( CONTROL!$C$32, 8.1449, 8.1405) * CHOOSE(CONTROL!$C$15, $D$11, 100%, $F$11)</f>
        <v>8.1448999999999998</v>
      </c>
      <c r="I310" s="8">
        <f>CHOOSE( CONTROL!$C$32, 7.1584, 7.154) * CHOOSE(CONTROL!$C$15, $D$11, 100%, $F$11)</f>
        <v>7.1584000000000003</v>
      </c>
      <c r="J310" s="4">
        <f>CHOOSE( CONTROL!$C$32, 7.0911, 7.0867) * CHOOSE(CONTROL!$C$15, $D$11, 100%, $F$11)</f>
        <v>7.0911</v>
      </c>
      <c r="K310" s="4"/>
      <c r="L310" s="9">
        <v>28.568200000000001</v>
      </c>
      <c r="M310" s="9">
        <v>11.6745</v>
      </c>
      <c r="N310" s="9">
        <v>4.7850000000000001</v>
      </c>
      <c r="O310" s="9">
        <v>0.36249999999999999</v>
      </c>
      <c r="P310" s="9">
        <v>1.1798</v>
      </c>
      <c r="Q310" s="9">
        <v>29.343599999999999</v>
      </c>
      <c r="R310" s="9"/>
      <c r="S310" s="11"/>
    </row>
    <row r="311" spans="1:19" ht="15.75">
      <c r="A311" s="13">
        <v>51348</v>
      </c>
      <c r="B311" s="8">
        <f>CHOOSE( CONTROL!$C$32, 7.6736, 7.6691) * CHOOSE(CONTROL!$C$15, $D$11, 100%, $F$11)</f>
        <v>7.6736000000000004</v>
      </c>
      <c r="C311" s="8">
        <f>CHOOSE( CONTROL!$C$32, 7.6839, 7.6794) * CHOOSE(CONTROL!$C$15, $D$11, 100%, $F$11)</f>
        <v>7.6839000000000004</v>
      </c>
      <c r="D311" s="8">
        <f>CHOOSE( CONTROL!$C$32, 7.6948, 7.6903) * CHOOSE( CONTROL!$C$15, $D$11, 100%, $F$11)</f>
        <v>7.6947999999999999</v>
      </c>
      <c r="E311" s="12">
        <f>CHOOSE( CONTROL!$C$32, 7.6893, 7.6848) * CHOOSE( CONTROL!$C$15, $D$11, 100%, $F$11)</f>
        <v>7.6893000000000002</v>
      </c>
      <c r="F311" s="4">
        <f>CHOOSE( CONTROL!$C$32, 8.3619, 8.3574) * CHOOSE(CONTROL!$C$15, $D$11, 100%, $F$11)</f>
        <v>8.3619000000000003</v>
      </c>
      <c r="G311" s="8">
        <f>CHOOSE( CONTROL!$C$32, 7.5219, 7.5174) * CHOOSE( CONTROL!$C$15, $D$11, 100%, $F$11)</f>
        <v>7.5218999999999996</v>
      </c>
      <c r="H311" s="4">
        <f>CHOOSE( CONTROL!$C$32, 8.4551, 8.4507) * CHOOSE(CONTROL!$C$15, $D$11, 100%, $F$11)</f>
        <v>8.4550999999999998</v>
      </c>
      <c r="I311" s="8">
        <f>CHOOSE( CONTROL!$C$32, 7.4662, 7.4619) * CHOOSE(CONTROL!$C$15, $D$11, 100%, $F$11)</f>
        <v>7.4661999999999997</v>
      </c>
      <c r="J311" s="4">
        <f>CHOOSE( CONTROL!$C$32, 7.396, 7.3917) * CHOOSE(CONTROL!$C$15, $D$11, 100%, $F$11)</f>
        <v>7.3959999999999999</v>
      </c>
      <c r="K311" s="4"/>
      <c r="L311" s="9">
        <v>29.520499999999998</v>
      </c>
      <c r="M311" s="9">
        <v>12.063700000000001</v>
      </c>
      <c r="N311" s="9">
        <v>4.9444999999999997</v>
      </c>
      <c r="O311" s="9">
        <v>0.37459999999999999</v>
      </c>
      <c r="P311" s="9">
        <v>1.2192000000000001</v>
      </c>
      <c r="Q311" s="9">
        <v>30.3217</v>
      </c>
      <c r="R311" s="9"/>
      <c r="S311" s="11"/>
    </row>
    <row r="312" spans="1:19" ht="15.75">
      <c r="A312" s="13">
        <v>51379</v>
      </c>
      <c r="B312" s="8">
        <f>CHOOSE( CONTROL!$C$32, 7.0836, 7.0791) * CHOOSE(CONTROL!$C$15, $D$11, 100%, $F$11)</f>
        <v>7.0835999999999997</v>
      </c>
      <c r="C312" s="8">
        <f>CHOOSE( CONTROL!$C$32, 7.0939, 7.0894) * CHOOSE(CONTROL!$C$15, $D$11, 100%, $F$11)</f>
        <v>7.0938999999999997</v>
      </c>
      <c r="D312" s="8">
        <f>CHOOSE( CONTROL!$C$32, 7.1051, 7.1006) * CHOOSE( CONTROL!$C$15, $D$11, 100%, $F$11)</f>
        <v>7.1051000000000002</v>
      </c>
      <c r="E312" s="12">
        <f>CHOOSE( CONTROL!$C$32, 7.0995, 7.095) * CHOOSE( CONTROL!$C$15, $D$11, 100%, $F$11)</f>
        <v>7.0994999999999999</v>
      </c>
      <c r="F312" s="4">
        <f>CHOOSE( CONTROL!$C$32, 7.7719, 7.7674) * CHOOSE(CONTROL!$C$15, $D$11, 100%, $F$11)</f>
        <v>7.7718999999999996</v>
      </c>
      <c r="G312" s="8">
        <f>CHOOSE( CONTROL!$C$32, 6.9419, 6.9374) * CHOOSE( CONTROL!$C$15, $D$11, 100%, $F$11)</f>
        <v>6.9419000000000004</v>
      </c>
      <c r="H312" s="4">
        <f>CHOOSE( CONTROL!$C$32, 7.8747, 7.8702) * CHOOSE(CONTROL!$C$15, $D$11, 100%, $F$11)</f>
        <v>7.8746999999999998</v>
      </c>
      <c r="I312" s="8">
        <f>CHOOSE( CONTROL!$C$32, 6.8968, 6.8924) * CHOOSE(CONTROL!$C$15, $D$11, 100%, $F$11)</f>
        <v>6.8967999999999998</v>
      </c>
      <c r="J312" s="4">
        <f>CHOOSE( CONTROL!$C$32, 6.8255, 6.8211) * CHOOSE(CONTROL!$C$15, $D$11, 100%, $F$11)</f>
        <v>6.8254999999999999</v>
      </c>
      <c r="K312" s="4"/>
      <c r="L312" s="9">
        <v>29.520499999999998</v>
      </c>
      <c r="M312" s="9">
        <v>12.063700000000001</v>
      </c>
      <c r="N312" s="9">
        <v>4.9444999999999997</v>
      </c>
      <c r="O312" s="9">
        <v>0.37459999999999999</v>
      </c>
      <c r="P312" s="9">
        <v>1.2192000000000001</v>
      </c>
      <c r="Q312" s="9">
        <v>30.3217</v>
      </c>
      <c r="R312" s="9"/>
      <c r="S312" s="11"/>
    </row>
    <row r="313" spans="1:19" ht="15.75">
      <c r="A313" s="13">
        <v>51409</v>
      </c>
      <c r="B313" s="8">
        <f>CHOOSE( CONTROL!$C$32, 6.9359, 6.9313) * CHOOSE(CONTROL!$C$15, $D$11, 100%, $F$11)</f>
        <v>6.9359000000000002</v>
      </c>
      <c r="C313" s="8">
        <f>CHOOSE( CONTROL!$C$32, 6.9462, 6.9417) * CHOOSE(CONTROL!$C$15, $D$11, 100%, $F$11)</f>
        <v>6.9462000000000002</v>
      </c>
      <c r="D313" s="8">
        <f>CHOOSE( CONTROL!$C$32, 6.9575, 6.9529) * CHOOSE( CONTROL!$C$15, $D$11, 100%, $F$11)</f>
        <v>6.9574999999999996</v>
      </c>
      <c r="E313" s="12">
        <f>CHOOSE( CONTROL!$C$32, 6.9518, 6.9473) * CHOOSE( CONTROL!$C$15, $D$11, 100%, $F$11)</f>
        <v>6.9518000000000004</v>
      </c>
      <c r="F313" s="4">
        <f>CHOOSE( CONTROL!$C$32, 7.6242, 7.6196) * CHOOSE(CONTROL!$C$15, $D$11, 100%, $F$11)</f>
        <v>7.6242000000000001</v>
      </c>
      <c r="G313" s="8">
        <f>CHOOSE( CONTROL!$C$32, 6.7967, 6.7922) * CHOOSE( CONTROL!$C$15, $D$11, 100%, $F$11)</f>
        <v>6.7967000000000004</v>
      </c>
      <c r="H313" s="4">
        <f>CHOOSE( CONTROL!$C$32, 7.7293, 7.7249) * CHOOSE(CONTROL!$C$15, $D$11, 100%, $F$11)</f>
        <v>7.7293000000000003</v>
      </c>
      <c r="I313" s="8">
        <f>CHOOSE( CONTROL!$C$32, 6.7543, 6.7499) * CHOOSE(CONTROL!$C$15, $D$11, 100%, $F$11)</f>
        <v>6.7542999999999997</v>
      </c>
      <c r="J313" s="4">
        <f>CHOOSE( CONTROL!$C$32, 6.6826, 6.6782) * CHOOSE(CONTROL!$C$15, $D$11, 100%, $F$11)</f>
        <v>6.6825999999999999</v>
      </c>
      <c r="K313" s="4"/>
      <c r="L313" s="9">
        <v>28.568200000000001</v>
      </c>
      <c r="M313" s="9">
        <v>11.6745</v>
      </c>
      <c r="N313" s="9">
        <v>4.7850000000000001</v>
      </c>
      <c r="O313" s="9">
        <v>0.36249999999999999</v>
      </c>
      <c r="P313" s="9">
        <v>1.1798</v>
      </c>
      <c r="Q313" s="9">
        <v>29.343599999999999</v>
      </c>
      <c r="R313" s="9"/>
      <c r="S313" s="11"/>
    </row>
    <row r="314" spans="1:19" ht="15.75">
      <c r="A314" s="13">
        <v>51440</v>
      </c>
      <c r="B314" s="8">
        <f>7.2381 * CHOOSE(CONTROL!$C$15, $D$11, 100%, $F$11)</f>
        <v>7.2381000000000002</v>
      </c>
      <c r="C314" s="8">
        <f>7.2484 * CHOOSE(CONTROL!$C$15, $D$11, 100%, $F$11)</f>
        <v>7.2484000000000002</v>
      </c>
      <c r="D314" s="8">
        <f>7.2609 * CHOOSE( CONTROL!$C$15, $D$11, 100%, $F$11)</f>
        <v>7.2609000000000004</v>
      </c>
      <c r="E314" s="12">
        <f>7.2557 * CHOOSE( CONTROL!$C$15, $D$11, 100%, $F$11)</f>
        <v>7.2557</v>
      </c>
      <c r="F314" s="4">
        <f>7.9264 * CHOOSE(CONTROL!$C$15, $D$11, 100%, $F$11)</f>
        <v>7.9264000000000001</v>
      </c>
      <c r="G314" s="8">
        <f>7.0935 * CHOOSE( CONTROL!$C$15, $D$11, 100%, $F$11)</f>
        <v>7.0934999999999997</v>
      </c>
      <c r="H314" s="4">
        <f>8.0267 * CHOOSE(CONTROL!$C$15, $D$11, 100%, $F$11)</f>
        <v>8.0266999999999999</v>
      </c>
      <c r="I314" s="8">
        <f>7.048 * CHOOSE(CONTROL!$C$15, $D$11, 100%, $F$11)</f>
        <v>7.048</v>
      </c>
      <c r="J314" s="4">
        <f>6.9749 * CHOOSE(CONTROL!$C$15, $D$11, 100%, $F$11)</f>
        <v>6.9748999999999999</v>
      </c>
      <c r="K314" s="4"/>
      <c r="L314" s="9">
        <v>28.921800000000001</v>
      </c>
      <c r="M314" s="9">
        <v>12.063700000000001</v>
      </c>
      <c r="N314" s="9">
        <v>4.9444999999999997</v>
      </c>
      <c r="O314" s="9">
        <v>0.37459999999999999</v>
      </c>
      <c r="P314" s="9">
        <v>1.2192000000000001</v>
      </c>
      <c r="Q314" s="9">
        <v>30.3217</v>
      </c>
      <c r="R314" s="9"/>
      <c r="S314" s="11"/>
    </row>
    <row r="315" spans="1:19" ht="15.75">
      <c r="A315" s="13">
        <v>51470</v>
      </c>
      <c r="B315" s="8">
        <f>7.8043 * CHOOSE(CONTROL!$C$15, $D$11, 100%, $F$11)</f>
        <v>7.8042999999999996</v>
      </c>
      <c r="C315" s="8">
        <f>7.8147 * CHOOSE(CONTROL!$C$15, $D$11, 100%, $F$11)</f>
        <v>7.8147000000000002</v>
      </c>
      <c r="D315" s="8">
        <f>7.8007 * CHOOSE( CONTROL!$C$15, $D$11, 100%, $F$11)</f>
        <v>7.8007</v>
      </c>
      <c r="E315" s="12">
        <f>7.8047 * CHOOSE( CONTROL!$C$15, $D$11, 100%, $F$11)</f>
        <v>7.8047000000000004</v>
      </c>
      <c r="F315" s="4">
        <f>8.4586 * CHOOSE(CONTROL!$C$15, $D$11, 100%, $F$11)</f>
        <v>8.4586000000000006</v>
      </c>
      <c r="G315" s="8">
        <f>7.6677 * CHOOSE( CONTROL!$C$15, $D$11, 100%, $F$11)</f>
        <v>7.6677</v>
      </c>
      <c r="H315" s="4">
        <f>8.5503 * CHOOSE(CONTROL!$C$15, $D$11, 100%, $F$11)</f>
        <v>8.5503</v>
      </c>
      <c r="I315" s="8">
        <f>7.6289 * CHOOSE(CONTROL!$C$15, $D$11, 100%, $F$11)</f>
        <v>7.6288999999999998</v>
      </c>
      <c r="J315" s="4">
        <f>7.5225 * CHOOSE(CONTROL!$C$15, $D$11, 100%, $F$11)</f>
        <v>7.5225</v>
      </c>
      <c r="K315" s="4"/>
      <c r="L315" s="9">
        <v>26.515499999999999</v>
      </c>
      <c r="M315" s="9">
        <v>11.6745</v>
      </c>
      <c r="N315" s="9">
        <v>4.7850000000000001</v>
      </c>
      <c r="O315" s="9">
        <v>0.36249999999999999</v>
      </c>
      <c r="P315" s="9">
        <v>1.2522</v>
      </c>
      <c r="Q315" s="9">
        <v>29.343599999999999</v>
      </c>
      <c r="R315" s="9"/>
      <c r="S315" s="11"/>
    </row>
    <row r="316" spans="1:19" ht="15.75">
      <c r="A316" s="13">
        <v>51501</v>
      </c>
      <c r="B316" s="8">
        <f>7.7902 * CHOOSE(CONTROL!$C$15, $D$11, 100%, $F$11)</f>
        <v>7.7901999999999996</v>
      </c>
      <c r="C316" s="8">
        <f>7.8005 * CHOOSE(CONTROL!$C$15, $D$11, 100%, $F$11)</f>
        <v>7.8005000000000004</v>
      </c>
      <c r="D316" s="8">
        <f>7.789 * CHOOSE( CONTROL!$C$15, $D$11, 100%, $F$11)</f>
        <v>7.7889999999999997</v>
      </c>
      <c r="E316" s="12">
        <f>7.7921 * CHOOSE( CONTROL!$C$15, $D$11, 100%, $F$11)</f>
        <v>7.7920999999999996</v>
      </c>
      <c r="F316" s="4">
        <f>8.4444 * CHOOSE(CONTROL!$C$15, $D$11, 100%, $F$11)</f>
        <v>8.4443999999999999</v>
      </c>
      <c r="G316" s="8">
        <f>7.6556 * CHOOSE( CONTROL!$C$15, $D$11, 100%, $F$11)</f>
        <v>7.6555999999999997</v>
      </c>
      <c r="H316" s="4">
        <f>8.5364 * CHOOSE(CONTROL!$C$15, $D$11, 100%, $F$11)</f>
        <v>8.5364000000000004</v>
      </c>
      <c r="I316" s="8">
        <f>7.6231 * CHOOSE(CONTROL!$C$15, $D$11, 100%, $F$11)</f>
        <v>7.6231</v>
      </c>
      <c r="J316" s="4">
        <f>7.5088 * CHOOSE(CONTROL!$C$15, $D$11, 100%, $F$11)</f>
        <v>7.5087999999999999</v>
      </c>
      <c r="K316" s="4"/>
      <c r="L316" s="9">
        <v>27.3993</v>
      </c>
      <c r="M316" s="9">
        <v>12.063700000000001</v>
      </c>
      <c r="N316" s="9">
        <v>4.9444999999999997</v>
      </c>
      <c r="O316" s="9">
        <v>0.37459999999999999</v>
      </c>
      <c r="P316" s="9">
        <v>1.2939000000000001</v>
      </c>
      <c r="Q316" s="9">
        <v>30.3217</v>
      </c>
      <c r="R316" s="9"/>
      <c r="S316" s="11"/>
    </row>
    <row r="317" spans="1:19" ht="15.75">
      <c r="A317" s="13">
        <v>51532</v>
      </c>
      <c r="B317" s="8">
        <f>8.0869 * CHOOSE(CONTROL!$C$15, $D$11, 100%, $F$11)</f>
        <v>8.0869</v>
      </c>
      <c r="C317" s="8">
        <f>8.0973 * CHOOSE(CONTROL!$C$15, $D$11, 100%, $F$11)</f>
        <v>8.0973000000000006</v>
      </c>
      <c r="D317" s="8">
        <f>8.0957 * CHOOSE( CONTROL!$C$15, $D$11, 100%, $F$11)</f>
        <v>8.0957000000000008</v>
      </c>
      <c r="E317" s="12">
        <f>8.0952 * CHOOSE( CONTROL!$C$15, $D$11, 100%, $F$11)</f>
        <v>8.0952000000000002</v>
      </c>
      <c r="F317" s="4">
        <f>8.7696 * CHOOSE(CONTROL!$C$15, $D$11, 100%, $F$11)</f>
        <v>8.7696000000000005</v>
      </c>
      <c r="G317" s="8">
        <f>7.9579 * CHOOSE( CONTROL!$C$15, $D$11, 100%, $F$11)</f>
        <v>7.9579000000000004</v>
      </c>
      <c r="H317" s="4">
        <f>8.8563 * CHOOSE(CONTROL!$C$15, $D$11, 100%, $F$11)</f>
        <v>8.8562999999999992</v>
      </c>
      <c r="I317" s="8">
        <f>7.9082 * CHOOSE(CONTROL!$C$15, $D$11, 100%, $F$11)</f>
        <v>7.9081999999999999</v>
      </c>
      <c r="J317" s="4">
        <f>7.7958 * CHOOSE(CONTROL!$C$15, $D$11, 100%, $F$11)</f>
        <v>7.7957999999999998</v>
      </c>
      <c r="K317" s="4"/>
      <c r="L317" s="9">
        <v>27.3993</v>
      </c>
      <c r="M317" s="9">
        <v>12.063700000000001</v>
      </c>
      <c r="N317" s="9">
        <v>4.9444999999999997</v>
      </c>
      <c r="O317" s="9">
        <v>0.37459999999999999</v>
      </c>
      <c r="P317" s="9">
        <v>1.2939000000000001</v>
      </c>
      <c r="Q317" s="9">
        <v>30.258500000000002</v>
      </c>
      <c r="R317" s="9"/>
      <c r="S317" s="11"/>
    </row>
    <row r="318" spans="1:19" ht="15.75">
      <c r="A318" s="13">
        <v>51560</v>
      </c>
      <c r="B318" s="8">
        <f>7.5658 * CHOOSE(CONTROL!$C$15, $D$11, 100%, $F$11)</f>
        <v>7.5658000000000003</v>
      </c>
      <c r="C318" s="8">
        <f>7.5761 * CHOOSE(CONTROL!$C$15, $D$11, 100%, $F$11)</f>
        <v>7.5761000000000003</v>
      </c>
      <c r="D318" s="8">
        <f>7.5767 * CHOOSE( CONTROL!$C$15, $D$11, 100%, $F$11)</f>
        <v>7.5766999999999998</v>
      </c>
      <c r="E318" s="12">
        <f>7.5754 * CHOOSE( CONTROL!$C$15, $D$11, 100%, $F$11)</f>
        <v>7.5754000000000001</v>
      </c>
      <c r="F318" s="4">
        <f>8.2407 * CHOOSE(CONTROL!$C$15, $D$11, 100%, $F$11)</f>
        <v>8.2407000000000004</v>
      </c>
      <c r="G318" s="8">
        <f>7.4449 * CHOOSE( CONTROL!$C$15, $D$11, 100%, $F$11)</f>
        <v>7.4448999999999996</v>
      </c>
      <c r="H318" s="4">
        <f>8.3359 * CHOOSE(CONTROL!$C$15, $D$11, 100%, $F$11)</f>
        <v>8.3359000000000005</v>
      </c>
      <c r="I318" s="8">
        <f>7.3931 * CHOOSE(CONTROL!$C$15, $D$11, 100%, $F$11)</f>
        <v>7.3930999999999996</v>
      </c>
      <c r="J318" s="4">
        <f>7.2918 * CHOOSE(CONTROL!$C$15, $D$11, 100%, $F$11)</f>
        <v>7.2918000000000003</v>
      </c>
      <c r="K318" s="4"/>
      <c r="L318" s="9">
        <v>24.747800000000002</v>
      </c>
      <c r="M318" s="9">
        <v>10.8962</v>
      </c>
      <c r="N318" s="9">
        <v>4.4660000000000002</v>
      </c>
      <c r="O318" s="9">
        <v>0.33829999999999999</v>
      </c>
      <c r="P318" s="9">
        <v>1.1687000000000001</v>
      </c>
      <c r="Q318" s="9">
        <v>27.330200000000001</v>
      </c>
      <c r="R318" s="9"/>
      <c r="S318" s="11"/>
    </row>
    <row r="319" spans="1:19" ht="15.75">
      <c r="A319" s="13">
        <v>51591</v>
      </c>
      <c r="B319" s="8">
        <f>7.4053 * CHOOSE(CONTROL!$C$15, $D$11, 100%, $F$11)</f>
        <v>7.4053000000000004</v>
      </c>
      <c r="C319" s="8">
        <f>7.4156 * CHOOSE(CONTROL!$C$15, $D$11, 100%, $F$11)</f>
        <v>7.4156000000000004</v>
      </c>
      <c r="D319" s="8">
        <f>7.3957 * CHOOSE( CONTROL!$C$15, $D$11, 100%, $F$11)</f>
        <v>7.3956999999999997</v>
      </c>
      <c r="E319" s="12">
        <f>7.4019 * CHOOSE( CONTROL!$C$15, $D$11, 100%, $F$11)</f>
        <v>7.4019000000000004</v>
      </c>
      <c r="F319" s="4">
        <f>8.0642 * CHOOSE(CONTROL!$C$15, $D$11, 100%, $F$11)</f>
        <v>8.0641999999999996</v>
      </c>
      <c r="G319" s="8">
        <f>7.2663 * CHOOSE( CONTROL!$C$15, $D$11, 100%, $F$11)</f>
        <v>7.2663000000000002</v>
      </c>
      <c r="H319" s="4">
        <f>8.1623 * CHOOSE(CONTROL!$C$15, $D$11, 100%, $F$11)</f>
        <v>8.1623000000000001</v>
      </c>
      <c r="I319" s="8">
        <f>7.1983 * CHOOSE(CONTROL!$C$15, $D$11, 100%, $F$11)</f>
        <v>7.1982999999999997</v>
      </c>
      <c r="J319" s="4">
        <f>7.1366 * CHOOSE(CONTROL!$C$15, $D$11, 100%, $F$11)</f>
        <v>7.1365999999999996</v>
      </c>
      <c r="K319" s="4"/>
      <c r="L319" s="9">
        <v>27.3993</v>
      </c>
      <c r="M319" s="9">
        <v>12.063700000000001</v>
      </c>
      <c r="N319" s="9">
        <v>4.9444999999999997</v>
      </c>
      <c r="O319" s="9">
        <v>0.37459999999999999</v>
      </c>
      <c r="P319" s="9">
        <v>1.2939000000000001</v>
      </c>
      <c r="Q319" s="9">
        <v>30.258500000000002</v>
      </c>
      <c r="R319" s="9"/>
      <c r="S319" s="11"/>
    </row>
    <row r="320" spans="1:19" ht="15.75">
      <c r="A320" s="13">
        <v>51621</v>
      </c>
      <c r="B320" s="8">
        <f>7.5174 * CHOOSE(CONTROL!$C$15, $D$11, 100%, $F$11)</f>
        <v>7.5174000000000003</v>
      </c>
      <c r="C320" s="8">
        <f>7.5278 * CHOOSE(CONTROL!$C$15, $D$11, 100%, $F$11)</f>
        <v>7.5278</v>
      </c>
      <c r="D320" s="8">
        <f>7.5193 * CHOOSE( CONTROL!$C$15, $D$11, 100%, $F$11)</f>
        <v>7.5193000000000003</v>
      </c>
      <c r="E320" s="12">
        <f>7.5209 * CHOOSE( CONTROL!$C$15, $D$11, 100%, $F$11)</f>
        <v>7.5209000000000001</v>
      </c>
      <c r="F320" s="4">
        <f>8.1665 * CHOOSE(CONTROL!$C$15, $D$11, 100%, $F$11)</f>
        <v>8.1664999999999992</v>
      </c>
      <c r="G320" s="8">
        <f>7.3614 * CHOOSE( CONTROL!$C$15, $D$11, 100%, $F$11)</f>
        <v>7.3613999999999997</v>
      </c>
      <c r="H320" s="4">
        <f>8.2629 * CHOOSE(CONTROL!$C$15, $D$11, 100%, $F$11)</f>
        <v>8.2629000000000001</v>
      </c>
      <c r="I320" s="8">
        <f>7.3036 * CHOOSE(CONTROL!$C$15, $D$11, 100%, $F$11)</f>
        <v>7.3036000000000003</v>
      </c>
      <c r="J320" s="4">
        <f>7.245 * CHOOSE(CONTROL!$C$15, $D$11, 100%, $F$11)</f>
        <v>7.2450000000000001</v>
      </c>
      <c r="K320" s="4"/>
      <c r="L320" s="9">
        <v>27.988800000000001</v>
      </c>
      <c r="M320" s="9">
        <v>11.6745</v>
      </c>
      <c r="N320" s="9">
        <v>4.7850000000000001</v>
      </c>
      <c r="O320" s="9">
        <v>0.36249999999999999</v>
      </c>
      <c r="P320" s="9">
        <v>1.1798</v>
      </c>
      <c r="Q320" s="9">
        <v>29.282399999999999</v>
      </c>
      <c r="R320" s="9"/>
      <c r="S320" s="11"/>
    </row>
    <row r="321" spans="1:19" ht="15.75">
      <c r="A321" s="13">
        <v>51652</v>
      </c>
      <c r="B321" s="8">
        <f>CHOOSE( CONTROL!$C$32, 7.7216, 7.7171) * CHOOSE(CONTROL!$C$15, $D$11, 100%, $F$11)</f>
        <v>7.7215999999999996</v>
      </c>
      <c r="C321" s="8">
        <f>CHOOSE( CONTROL!$C$32, 7.7319, 7.7274) * CHOOSE(CONTROL!$C$15, $D$11, 100%, $F$11)</f>
        <v>7.7319000000000004</v>
      </c>
      <c r="D321" s="8">
        <f>CHOOSE( CONTROL!$C$32, 7.7416, 7.7371) * CHOOSE( CONTROL!$C$15, $D$11, 100%, $F$11)</f>
        <v>7.7416</v>
      </c>
      <c r="E321" s="12">
        <f>CHOOSE( CONTROL!$C$32, 7.7365, 7.732) * CHOOSE( CONTROL!$C$15, $D$11, 100%, $F$11)</f>
        <v>7.7365000000000004</v>
      </c>
      <c r="F321" s="4">
        <f>CHOOSE( CONTROL!$C$32, 8.4099, 8.4054) * CHOOSE(CONTROL!$C$15, $D$11, 100%, $F$11)</f>
        <v>8.4099000000000004</v>
      </c>
      <c r="G321" s="8">
        <f>CHOOSE( CONTROL!$C$32, 7.5673, 7.5629) * CHOOSE( CONTROL!$C$15, $D$11, 100%, $F$11)</f>
        <v>7.5673000000000004</v>
      </c>
      <c r="H321" s="4">
        <f>CHOOSE( CONTROL!$C$32, 8.5024, 8.4979) * CHOOSE(CONTROL!$C$15, $D$11, 100%, $F$11)</f>
        <v>8.5023999999999997</v>
      </c>
      <c r="I321" s="8">
        <f>CHOOSE( CONTROL!$C$32, 7.507, 7.5026) * CHOOSE(CONTROL!$C$15, $D$11, 100%, $F$11)</f>
        <v>7.5069999999999997</v>
      </c>
      <c r="J321" s="4">
        <f>CHOOSE( CONTROL!$C$32, 7.4424, 7.4381) * CHOOSE(CONTROL!$C$15, $D$11, 100%, $F$11)</f>
        <v>7.4424000000000001</v>
      </c>
      <c r="K321" s="4"/>
      <c r="L321" s="9">
        <v>29.520499999999998</v>
      </c>
      <c r="M321" s="9">
        <v>12.063700000000001</v>
      </c>
      <c r="N321" s="9">
        <v>4.9444999999999997</v>
      </c>
      <c r="O321" s="9">
        <v>0.37459999999999999</v>
      </c>
      <c r="P321" s="9">
        <v>1.2192000000000001</v>
      </c>
      <c r="Q321" s="9">
        <v>30.258500000000002</v>
      </c>
      <c r="R321" s="9"/>
      <c r="S321" s="11"/>
    </row>
    <row r="322" spans="1:19" ht="15.75">
      <c r="A322" s="13">
        <v>51682</v>
      </c>
      <c r="B322" s="8">
        <f>CHOOSE( CONTROL!$C$32, 7.5979, 7.5934) * CHOOSE(CONTROL!$C$15, $D$11, 100%, $F$11)</f>
        <v>7.5979000000000001</v>
      </c>
      <c r="C322" s="8">
        <f>CHOOSE( CONTROL!$C$32, 7.6083, 7.6037) * CHOOSE(CONTROL!$C$15, $D$11, 100%, $F$11)</f>
        <v>7.6082999999999998</v>
      </c>
      <c r="D322" s="8">
        <f>CHOOSE( CONTROL!$C$32, 7.6186, 7.6141) * CHOOSE( CONTROL!$C$15, $D$11, 100%, $F$11)</f>
        <v>7.6185999999999998</v>
      </c>
      <c r="E322" s="12">
        <f>CHOOSE( CONTROL!$C$32, 7.6133, 7.6088) * CHOOSE( CONTROL!$C$15, $D$11, 100%, $F$11)</f>
        <v>7.6132999999999997</v>
      </c>
      <c r="F322" s="4">
        <f>CHOOSE( CONTROL!$C$32, 8.2862, 8.2817) * CHOOSE(CONTROL!$C$15, $D$11, 100%, $F$11)</f>
        <v>8.2861999999999991</v>
      </c>
      <c r="G322" s="8">
        <f>CHOOSE( CONTROL!$C$32, 7.4466, 7.4422) * CHOOSE( CONTROL!$C$15, $D$11, 100%, $F$11)</f>
        <v>7.4466000000000001</v>
      </c>
      <c r="H322" s="4">
        <f>CHOOSE( CONTROL!$C$32, 8.3807, 8.3763) * CHOOSE(CONTROL!$C$15, $D$11, 100%, $F$11)</f>
        <v>8.3806999999999992</v>
      </c>
      <c r="I322" s="8">
        <f>CHOOSE( CONTROL!$C$32, 7.3903, 7.3859) * CHOOSE(CONTROL!$C$15, $D$11, 100%, $F$11)</f>
        <v>7.3902999999999999</v>
      </c>
      <c r="J322" s="4">
        <f>CHOOSE( CONTROL!$C$32, 7.3229, 7.3185) * CHOOSE(CONTROL!$C$15, $D$11, 100%, $F$11)</f>
        <v>7.3228999999999997</v>
      </c>
      <c r="K322" s="4"/>
      <c r="L322" s="9">
        <v>28.568200000000001</v>
      </c>
      <c r="M322" s="9">
        <v>11.6745</v>
      </c>
      <c r="N322" s="9">
        <v>4.7850000000000001</v>
      </c>
      <c r="O322" s="9">
        <v>0.36249999999999999</v>
      </c>
      <c r="P322" s="9">
        <v>1.1798</v>
      </c>
      <c r="Q322" s="9">
        <v>29.282399999999999</v>
      </c>
      <c r="R322" s="9"/>
      <c r="S322" s="11"/>
    </row>
    <row r="323" spans="1:19" ht="15.75">
      <c r="A323" s="13">
        <v>51713</v>
      </c>
      <c r="B323" s="8">
        <f>CHOOSE( CONTROL!$C$32, 7.9236, 7.919) * CHOOSE(CONTROL!$C$15, $D$11, 100%, $F$11)</f>
        <v>7.9236000000000004</v>
      </c>
      <c r="C323" s="8">
        <f>CHOOSE( CONTROL!$C$32, 7.9339, 7.9294) * CHOOSE(CONTROL!$C$15, $D$11, 100%, $F$11)</f>
        <v>7.9339000000000004</v>
      </c>
      <c r="D323" s="8">
        <f>CHOOSE( CONTROL!$C$32, 7.9448, 7.9403) * CHOOSE( CONTROL!$C$15, $D$11, 100%, $F$11)</f>
        <v>7.9447999999999999</v>
      </c>
      <c r="E323" s="12">
        <f>CHOOSE( CONTROL!$C$32, 7.9393, 7.9348) * CHOOSE( CONTROL!$C$15, $D$11, 100%, $F$11)</f>
        <v>7.9393000000000002</v>
      </c>
      <c r="F323" s="4">
        <f>CHOOSE( CONTROL!$C$32, 8.6119, 8.6073) * CHOOSE(CONTROL!$C$15, $D$11, 100%, $F$11)</f>
        <v>8.6119000000000003</v>
      </c>
      <c r="G323" s="8">
        <f>CHOOSE( CONTROL!$C$32, 7.7678, 7.7634) * CHOOSE( CONTROL!$C$15, $D$11, 100%, $F$11)</f>
        <v>7.7678000000000003</v>
      </c>
      <c r="H323" s="4">
        <f>CHOOSE( CONTROL!$C$32, 8.7011, 8.6966) * CHOOSE(CONTROL!$C$15, $D$11, 100%, $F$11)</f>
        <v>8.7011000000000003</v>
      </c>
      <c r="I323" s="8">
        <f>CHOOSE( CONTROL!$C$32, 7.7081, 7.7037) * CHOOSE(CONTROL!$C$15, $D$11, 100%, $F$11)</f>
        <v>7.7081</v>
      </c>
      <c r="J323" s="4">
        <f>CHOOSE( CONTROL!$C$32, 7.6378, 7.6334) * CHOOSE(CONTROL!$C$15, $D$11, 100%, $F$11)</f>
        <v>7.6378000000000004</v>
      </c>
      <c r="K323" s="4"/>
      <c r="L323" s="9">
        <v>29.520499999999998</v>
      </c>
      <c r="M323" s="9">
        <v>12.063700000000001</v>
      </c>
      <c r="N323" s="9">
        <v>4.9444999999999997</v>
      </c>
      <c r="O323" s="9">
        <v>0.37459999999999999</v>
      </c>
      <c r="P323" s="9">
        <v>1.2192000000000001</v>
      </c>
      <c r="Q323" s="9">
        <v>30.258500000000002</v>
      </c>
      <c r="R323" s="9"/>
      <c r="S323" s="11"/>
    </row>
    <row r="324" spans="1:19" ht="15.75">
      <c r="A324" s="13">
        <v>51744</v>
      </c>
      <c r="B324" s="8">
        <f>CHOOSE( CONTROL!$C$32, 7.3143, 7.3097) * CHOOSE(CONTROL!$C$15, $D$11, 100%, $F$11)</f>
        <v>7.3143000000000002</v>
      </c>
      <c r="C324" s="8">
        <f>CHOOSE( CONTROL!$C$32, 7.3246, 7.3201) * CHOOSE(CONTROL!$C$15, $D$11, 100%, $F$11)</f>
        <v>7.3246000000000002</v>
      </c>
      <c r="D324" s="8">
        <f>CHOOSE( CONTROL!$C$32, 7.3358, 7.3313) * CHOOSE( CONTROL!$C$15, $D$11, 100%, $F$11)</f>
        <v>7.3357999999999999</v>
      </c>
      <c r="E324" s="12">
        <f>CHOOSE( CONTROL!$C$32, 7.3302, 7.3257) * CHOOSE( CONTROL!$C$15, $D$11, 100%, $F$11)</f>
        <v>7.3301999999999996</v>
      </c>
      <c r="F324" s="4">
        <f>CHOOSE( CONTROL!$C$32, 8.0026, 7.998) * CHOOSE(CONTROL!$C$15, $D$11, 100%, $F$11)</f>
        <v>8.0025999999999993</v>
      </c>
      <c r="G324" s="8">
        <f>CHOOSE( CONTROL!$C$32, 7.1688, 7.1644) * CHOOSE( CONTROL!$C$15, $D$11, 100%, $F$11)</f>
        <v>7.1688000000000001</v>
      </c>
      <c r="H324" s="4">
        <f>CHOOSE( CONTROL!$C$32, 8.1016, 8.0972) * CHOOSE(CONTROL!$C$15, $D$11, 100%, $F$11)</f>
        <v>8.1015999999999995</v>
      </c>
      <c r="I324" s="8">
        <f>CHOOSE( CONTROL!$C$32, 7.12, 7.1156) * CHOOSE(CONTROL!$C$15, $D$11, 100%, $F$11)</f>
        <v>7.12</v>
      </c>
      <c r="J324" s="4">
        <f>CHOOSE( CONTROL!$C$32, 7.0485, 7.0442) * CHOOSE(CONTROL!$C$15, $D$11, 100%, $F$11)</f>
        <v>7.0484999999999998</v>
      </c>
      <c r="K324" s="4"/>
      <c r="L324" s="9">
        <v>29.520499999999998</v>
      </c>
      <c r="M324" s="9">
        <v>12.063700000000001</v>
      </c>
      <c r="N324" s="9">
        <v>4.9444999999999997</v>
      </c>
      <c r="O324" s="9">
        <v>0.37459999999999999</v>
      </c>
      <c r="P324" s="9">
        <v>1.2192000000000001</v>
      </c>
      <c r="Q324" s="9">
        <v>30.258500000000002</v>
      </c>
      <c r="R324" s="9"/>
      <c r="S324" s="11"/>
    </row>
    <row r="325" spans="1:19" ht="15.75">
      <c r="A325" s="13">
        <v>51774</v>
      </c>
      <c r="B325" s="8">
        <f>CHOOSE( CONTROL!$C$32, 7.1617, 7.1572) * CHOOSE(CONTROL!$C$15, $D$11, 100%, $F$11)</f>
        <v>7.1616999999999997</v>
      </c>
      <c r="C325" s="8">
        <f>CHOOSE( CONTROL!$C$32, 7.172, 7.1675) * CHOOSE(CONTROL!$C$15, $D$11, 100%, $F$11)</f>
        <v>7.1719999999999997</v>
      </c>
      <c r="D325" s="8">
        <f>CHOOSE( CONTROL!$C$32, 7.1833, 7.1788) * CHOOSE( CONTROL!$C$15, $D$11, 100%, $F$11)</f>
        <v>7.1833</v>
      </c>
      <c r="E325" s="12">
        <f>CHOOSE( CONTROL!$C$32, 7.1776, 7.1731) * CHOOSE( CONTROL!$C$15, $D$11, 100%, $F$11)</f>
        <v>7.1776</v>
      </c>
      <c r="F325" s="4">
        <f>CHOOSE( CONTROL!$C$32, 7.85, 7.8455) * CHOOSE(CONTROL!$C$15, $D$11, 100%, $F$11)</f>
        <v>7.85</v>
      </c>
      <c r="G325" s="8">
        <f>CHOOSE( CONTROL!$C$32, 7.0188, 7.0144) * CHOOSE( CONTROL!$C$15, $D$11, 100%, $F$11)</f>
        <v>7.0187999999999997</v>
      </c>
      <c r="H325" s="4">
        <f>CHOOSE( CONTROL!$C$32, 7.9515, 7.9471) * CHOOSE(CONTROL!$C$15, $D$11, 100%, $F$11)</f>
        <v>7.9515000000000002</v>
      </c>
      <c r="I325" s="8">
        <f>CHOOSE( CONTROL!$C$32, 6.9728, 6.9684) * CHOOSE(CONTROL!$C$15, $D$11, 100%, $F$11)</f>
        <v>6.9728000000000003</v>
      </c>
      <c r="J325" s="4">
        <f>CHOOSE( CONTROL!$C$32, 6.901, 6.8966) * CHOOSE(CONTROL!$C$15, $D$11, 100%, $F$11)</f>
        <v>6.9009999999999998</v>
      </c>
      <c r="K325" s="4"/>
      <c r="L325" s="9">
        <v>28.568200000000001</v>
      </c>
      <c r="M325" s="9">
        <v>11.6745</v>
      </c>
      <c r="N325" s="9">
        <v>4.7850000000000001</v>
      </c>
      <c r="O325" s="9">
        <v>0.36249999999999999</v>
      </c>
      <c r="P325" s="9">
        <v>1.1798</v>
      </c>
      <c r="Q325" s="9">
        <v>29.282399999999999</v>
      </c>
      <c r="R325" s="9"/>
      <c r="S325" s="11"/>
    </row>
    <row r="326" spans="1:19" ht="15.75">
      <c r="A326" s="13">
        <v>51805</v>
      </c>
      <c r="B326" s="8">
        <f>7.474 * CHOOSE(CONTROL!$C$15, $D$11, 100%, $F$11)</f>
        <v>7.4740000000000002</v>
      </c>
      <c r="C326" s="8">
        <f>7.4843 * CHOOSE(CONTROL!$C$15, $D$11, 100%, $F$11)</f>
        <v>7.4843000000000002</v>
      </c>
      <c r="D326" s="8">
        <f>7.4967 * CHOOSE( CONTROL!$C$15, $D$11, 100%, $F$11)</f>
        <v>7.4966999999999997</v>
      </c>
      <c r="E326" s="12">
        <f>7.4915 * CHOOSE( CONTROL!$C$15, $D$11, 100%, $F$11)</f>
        <v>7.4915000000000003</v>
      </c>
      <c r="F326" s="4">
        <f>8.1623 * CHOOSE(CONTROL!$C$15, $D$11, 100%, $F$11)</f>
        <v>8.1623000000000001</v>
      </c>
      <c r="G326" s="8">
        <f>7.3255 * CHOOSE( CONTROL!$C$15, $D$11, 100%, $F$11)</f>
        <v>7.3254999999999999</v>
      </c>
      <c r="H326" s="4">
        <f>8.2587 * CHOOSE(CONTROL!$C$15, $D$11, 100%, $F$11)</f>
        <v>8.2586999999999993</v>
      </c>
      <c r="I326" s="8">
        <f>7.2762 * CHOOSE(CONTROL!$C$15, $D$11, 100%, $F$11)</f>
        <v>7.2762000000000002</v>
      </c>
      <c r="J326" s="4">
        <f>7.203 * CHOOSE(CONTROL!$C$15, $D$11, 100%, $F$11)</f>
        <v>7.2030000000000003</v>
      </c>
      <c r="K326" s="4"/>
      <c r="L326" s="9">
        <v>28.921800000000001</v>
      </c>
      <c r="M326" s="9">
        <v>12.063700000000001</v>
      </c>
      <c r="N326" s="9">
        <v>4.9444999999999997</v>
      </c>
      <c r="O326" s="9">
        <v>0.37459999999999999</v>
      </c>
      <c r="P326" s="9">
        <v>1.2192000000000001</v>
      </c>
      <c r="Q326" s="9">
        <v>30.258500000000002</v>
      </c>
      <c r="R326" s="9"/>
      <c r="S326" s="11"/>
    </row>
    <row r="327" spans="1:19" ht="15.75">
      <c r="A327" s="13">
        <v>51835</v>
      </c>
      <c r="B327" s="8">
        <f>8.0587 * CHOOSE(CONTROL!$C$15, $D$11, 100%, $F$11)</f>
        <v>8.0587</v>
      </c>
      <c r="C327" s="8">
        <f>8.069 * CHOOSE(CONTROL!$C$15, $D$11, 100%, $F$11)</f>
        <v>8.0690000000000008</v>
      </c>
      <c r="D327" s="8">
        <f>8.0551 * CHOOSE( CONTROL!$C$15, $D$11, 100%, $F$11)</f>
        <v>8.0550999999999995</v>
      </c>
      <c r="E327" s="12">
        <f>8.0591 * CHOOSE( CONTROL!$C$15, $D$11, 100%, $F$11)</f>
        <v>8.0591000000000008</v>
      </c>
      <c r="F327" s="4">
        <f>8.713 * CHOOSE(CONTROL!$C$15, $D$11, 100%, $F$11)</f>
        <v>8.7129999999999992</v>
      </c>
      <c r="G327" s="8">
        <f>7.918 * CHOOSE( CONTROL!$C$15, $D$11, 100%, $F$11)</f>
        <v>7.9180000000000001</v>
      </c>
      <c r="H327" s="4">
        <f>8.8005 * CHOOSE(CONTROL!$C$15, $D$11, 100%, $F$11)</f>
        <v>8.8004999999999995</v>
      </c>
      <c r="I327" s="8">
        <f>7.875 * CHOOSE(CONTROL!$C$15, $D$11, 100%, $F$11)</f>
        <v>7.875</v>
      </c>
      <c r="J327" s="4">
        <f>7.7685 * CHOOSE(CONTROL!$C$15, $D$11, 100%, $F$11)</f>
        <v>7.7685000000000004</v>
      </c>
      <c r="K327" s="4"/>
      <c r="L327" s="9">
        <v>26.515499999999999</v>
      </c>
      <c r="M327" s="9">
        <v>11.6745</v>
      </c>
      <c r="N327" s="9">
        <v>4.7850000000000001</v>
      </c>
      <c r="O327" s="9">
        <v>0.36249999999999999</v>
      </c>
      <c r="P327" s="9">
        <v>1.2522</v>
      </c>
      <c r="Q327" s="9">
        <v>29.282399999999999</v>
      </c>
      <c r="R327" s="9"/>
      <c r="S327" s="11"/>
    </row>
    <row r="328" spans="1:19" ht="15.75">
      <c r="A328" s="13">
        <v>51866</v>
      </c>
      <c r="B328" s="8">
        <f>8.0441 * CHOOSE(CONTROL!$C$15, $D$11, 100%, $F$11)</f>
        <v>8.0441000000000003</v>
      </c>
      <c r="C328" s="8">
        <f>8.0544 * CHOOSE(CONTROL!$C$15, $D$11, 100%, $F$11)</f>
        <v>8.0543999999999993</v>
      </c>
      <c r="D328" s="8">
        <f>8.043 * CHOOSE( CONTROL!$C$15, $D$11, 100%, $F$11)</f>
        <v>8.0429999999999993</v>
      </c>
      <c r="E328" s="12">
        <f>8.0461 * CHOOSE( CONTROL!$C$15, $D$11, 100%, $F$11)</f>
        <v>8.0460999999999991</v>
      </c>
      <c r="F328" s="4">
        <f>8.6984 * CHOOSE(CONTROL!$C$15, $D$11, 100%, $F$11)</f>
        <v>8.6983999999999995</v>
      </c>
      <c r="G328" s="8">
        <f>7.9054 * CHOOSE( CONTROL!$C$15, $D$11, 100%, $F$11)</f>
        <v>7.9054000000000002</v>
      </c>
      <c r="H328" s="4">
        <f>8.7862 * CHOOSE(CONTROL!$C$15, $D$11, 100%, $F$11)</f>
        <v>8.7861999999999991</v>
      </c>
      <c r="I328" s="8">
        <f>7.8688 * CHOOSE(CONTROL!$C$15, $D$11, 100%, $F$11)</f>
        <v>7.8688000000000002</v>
      </c>
      <c r="J328" s="4">
        <f>7.7543 * CHOOSE(CONTROL!$C$15, $D$11, 100%, $F$11)</f>
        <v>7.7542999999999997</v>
      </c>
      <c r="K328" s="4"/>
      <c r="L328" s="9">
        <v>27.3993</v>
      </c>
      <c r="M328" s="9">
        <v>12.063700000000001</v>
      </c>
      <c r="N328" s="9">
        <v>4.9444999999999997</v>
      </c>
      <c r="O328" s="9">
        <v>0.37459999999999999</v>
      </c>
      <c r="P328" s="9">
        <v>1.2939000000000001</v>
      </c>
      <c r="Q328" s="9">
        <v>30.258500000000002</v>
      </c>
      <c r="R328" s="9"/>
      <c r="S328" s="11"/>
    </row>
    <row r="329" spans="1:19" ht="15.75">
      <c r="A329" s="13">
        <v>51897</v>
      </c>
      <c r="B329" s="8">
        <f>8.3505 * CHOOSE(CONTROL!$C$15, $D$11, 100%, $F$11)</f>
        <v>8.3505000000000003</v>
      </c>
      <c r="C329" s="8">
        <f>8.3609 * CHOOSE(CONTROL!$C$15, $D$11, 100%, $F$11)</f>
        <v>8.3609000000000009</v>
      </c>
      <c r="D329" s="8">
        <f>8.3593 * CHOOSE( CONTROL!$C$15, $D$11, 100%, $F$11)</f>
        <v>8.3592999999999993</v>
      </c>
      <c r="E329" s="12">
        <f>8.3588 * CHOOSE( CONTROL!$C$15, $D$11, 100%, $F$11)</f>
        <v>8.3588000000000005</v>
      </c>
      <c r="F329" s="4">
        <f>9.0332 * CHOOSE(CONTROL!$C$15, $D$11, 100%, $F$11)</f>
        <v>9.0332000000000008</v>
      </c>
      <c r="G329" s="8">
        <f>8.2172 * CHOOSE( CONTROL!$C$15, $D$11, 100%, $F$11)</f>
        <v>8.2172000000000001</v>
      </c>
      <c r="H329" s="4">
        <f>9.1156 * CHOOSE(CONTROL!$C$15, $D$11, 100%, $F$11)</f>
        <v>9.1156000000000006</v>
      </c>
      <c r="I329" s="8">
        <f>8.1633 * CHOOSE(CONTROL!$C$15, $D$11, 100%, $F$11)</f>
        <v>8.1632999999999996</v>
      </c>
      <c r="J329" s="4">
        <f>8.0507 * CHOOSE(CONTROL!$C$15, $D$11, 100%, $F$11)</f>
        <v>8.0507000000000009</v>
      </c>
      <c r="K329" s="4"/>
      <c r="L329" s="9">
        <v>27.3993</v>
      </c>
      <c r="M329" s="9">
        <v>12.063700000000001</v>
      </c>
      <c r="N329" s="9">
        <v>4.9444999999999997</v>
      </c>
      <c r="O329" s="9">
        <v>0.37459999999999999</v>
      </c>
      <c r="P329" s="9">
        <v>1.2939000000000001</v>
      </c>
      <c r="Q329" s="9">
        <v>20.593900000000001</v>
      </c>
      <c r="R329" s="9"/>
      <c r="S329" s="11"/>
    </row>
    <row r="330" spans="1:19" ht="15.75">
      <c r="A330" s="13">
        <v>51925</v>
      </c>
      <c r="B330" s="8">
        <f>7.8124 * CHOOSE(CONTROL!$C$15, $D$11, 100%, $F$11)</f>
        <v>7.8124000000000002</v>
      </c>
      <c r="C330" s="8">
        <f>7.8227 * CHOOSE(CONTROL!$C$15, $D$11, 100%, $F$11)</f>
        <v>7.8227000000000002</v>
      </c>
      <c r="D330" s="8">
        <f>7.8232 * CHOOSE( CONTROL!$C$15, $D$11, 100%, $F$11)</f>
        <v>7.8231999999999999</v>
      </c>
      <c r="E330" s="12">
        <f>7.8219 * CHOOSE( CONTROL!$C$15, $D$11, 100%, $F$11)</f>
        <v>7.8219000000000003</v>
      </c>
      <c r="F330" s="4">
        <f>8.4873 * CHOOSE(CONTROL!$C$15, $D$11, 100%, $F$11)</f>
        <v>8.4872999999999994</v>
      </c>
      <c r="G330" s="8">
        <f>7.6875 * CHOOSE( CONTROL!$C$15, $D$11, 100%, $F$11)</f>
        <v>7.6875</v>
      </c>
      <c r="H330" s="4">
        <f>8.5785 * CHOOSE(CONTROL!$C$15, $D$11, 100%, $F$11)</f>
        <v>8.5785</v>
      </c>
      <c r="I330" s="8">
        <f>7.6317 * CHOOSE(CONTROL!$C$15, $D$11, 100%, $F$11)</f>
        <v>7.6317000000000004</v>
      </c>
      <c r="J330" s="4">
        <f>7.5302 * CHOOSE(CONTROL!$C$15, $D$11, 100%, $F$11)</f>
        <v>7.5301999999999998</v>
      </c>
      <c r="K330" s="4"/>
      <c r="L330" s="9">
        <v>24.747800000000002</v>
      </c>
      <c r="M330" s="9">
        <v>10.8962</v>
      </c>
      <c r="N330" s="9">
        <v>4.4660000000000002</v>
      </c>
      <c r="O330" s="9">
        <v>0.33829999999999999</v>
      </c>
      <c r="P330" s="9">
        <v>1.1687000000000001</v>
      </c>
      <c r="Q330" s="9">
        <v>18.600999999999999</v>
      </c>
      <c r="R330" s="9"/>
      <c r="S330" s="11"/>
    </row>
    <row r="331" spans="1:19" ht="15.75">
      <c r="A331" s="13">
        <v>51956</v>
      </c>
      <c r="B331" s="8">
        <f>7.6466 * CHOOSE(CONTROL!$C$15, $D$11, 100%, $F$11)</f>
        <v>7.6466000000000003</v>
      </c>
      <c r="C331" s="8">
        <f>7.657 * CHOOSE(CONTROL!$C$15, $D$11, 100%, $F$11)</f>
        <v>7.657</v>
      </c>
      <c r="D331" s="8">
        <f>7.637 * CHOOSE( CONTROL!$C$15, $D$11, 100%, $F$11)</f>
        <v>7.6369999999999996</v>
      </c>
      <c r="E331" s="12">
        <f>7.6432 * CHOOSE( CONTROL!$C$15, $D$11, 100%, $F$11)</f>
        <v>7.6432000000000002</v>
      </c>
      <c r="F331" s="4">
        <f>8.3055 * CHOOSE(CONTROL!$C$15, $D$11, 100%, $F$11)</f>
        <v>8.3055000000000003</v>
      </c>
      <c r="G331" s="8">
        <f>7.5037 * CHOOSE( CONTROL!$C$15, $D$11, 100%, $F$11)</f>
        <v>7.5037000000000003</v>
      </c>
      <c r="H331" s="4">
        <f>8.3997 * CHOOSE(CONTROL!$C$15, $D$11, 100%, $F$11)</f>
        <v>8.3996999999999993</v>
      </c>
      <c r="I331" s="8">
        <f>7.4318 * CHOOSE(CONTROL!$C$15, $D$11, 100%, $F$11)</f>
        <v>7.4318</v>
      </c>
      <c r="J331" s="4">
        <f>7.3699 * CHOOSE(CONTROL!$C$15, $D$11, 100%, $F$11)</f>
        <v>7.3699000000000003</v>
      </c>
      <c r="K331" s="4"/>
      <c r="L331" s="9">
        <v>27.3993</v>
      </c>
      <c r="M331" s="9">
        <v>12.063700000000001</v>
      </c>
      <c r="N331" s="9">
        <v>4.9444999999999997</v>
      </c>
      <c r="O331" s="9">
        <v>0.37459999999999999</v>
      </c>
      <c r="P331" s="9">
        <v>1.2939000000000001</v>
      </c>
      <c r="Q331" s="9">
        <v>20.593900000000001</v>
      </c>
      <c r="R331" s="9"/>
      <c r="S331" s="11"/>
    </row>
    <row r="332" spans="1:19" ht="15.75">
      <c r="A332" s="13">
        <v>51986</v>
      </c>
      <c r="B332" s="8">
        <f>7.7624 * CHOOSE(CONTROL!$C$15, $D$11, 100%, $F$11)</f>
        <v>7.7624000000000004</v>
      </c>
      <c r="C332" s="8">
        <f>7.7728 * CHOOSE(CONTROL!$C$15, $D$11, 100%, $F$11)</f>
        <v>7.7728000000000002</v>
      </c>
      <c r="D332" s="8">
        <f>7.7643 * CHOOSE( CONTROL!$C$15, $D$11, 100%, $F$11)</f>
        <v>7.7643000000000004</v>
      </c>
      <c r="E332" s="12">
        <f>7.7659 * CHOOSE( CONTROL!$C$15, $D$11, 100%, $F$11)</f>
        <v>7.7659000000000002</v>
      </c>
      <c r="F332" s="4">
        <f>8.4115 * CHOOSE(CONTROL!$C$15, $D$11, 100%, $F$11)</f>
        <v>8.4115000000000002</v>
      </c>
      <c r="G332" s="8">
        <f>7.6025 * CHOOSE( CONTROL!$C$15, $D$11, 100%, $F$11)</f>
        <v>7.6025</v>
      </c>
      <c r="H332" s="4">
        <f>8.504 * CHOOSE(CONTROL!$C$15, $D$11, 100%, $F$11)</f>
        <v>8.5039999999999996</v>
      </c>
      <c r="I332" s="8">
        <f>7.5407 * CHOOSE(CONTROL!$C$15, $D$11, 100%, $F$11)</f>
        <v>7.5407000000000002</v>
      </c>
      <c r="J332" s="4">
        <f>7.482 * CHOOSE(CONTROL!$C$15, $D$11, 100%, $F$11)</f>
        <v>7.4820000000000002</v>
      </c>
      <c r="K332" s="4"/>
      <c r="L332" s="9">
        <v>27.988800000000001</v>
      </c>
      <c r="M332" s="9">
        <v>11.6745</v>
      </c>
      <c r="N332" s="9">
        <v>4.7850000000000001</v>
      </c>
      <c r="O332" s="9">
        <v>0.36249999999999999</v>
      </c>
      <c r="P332" s="9">
        <v>1.1798</v>
      </c>
      <c r="Q332" s="9">
        <v>19.929600000000001</v>
      </c>
      <c r="R332" s="9"/>
      <c r="S332" s="11"/>
    </row>
    <row r="333" spans="1:19" ht="15.75">
      <c r="A333" s="13">
        <v>52017</v>
      </c>
      <c r="B333" s="8">
        <f>CHOOSE( CONTROL!$C$32, 7.9731, 7.9686) * CHOOSE(CONTROL!$C$15, $D$11, 100%, $F$11)</f>
        <v>7.9730999999999996</v>
      </c>
      <c r="C333" s="8">
        <f>CHOOSE( CONTROL!$C$32, 7.9835, 7.9789) * CHOOSE(CONTROL!$C$15, $D$11, 100%, $F$11)</f>
        <v>7.9835000000000003</v>
      </c>
      <c r="D333" s="8">
        <f>CHOOSE( CONTROL!$C$32, 7.9931, 7.9886) * CHOOSE( CONTROL!$C$15, $D$11, 100%, $F$11)</f>
        <v>7.9931000000000001</v>
      </c>
      <c r="E333" s="12">
        <f>CHOOSE( CONTROL!$C$32, 7.988, 7.9835) * CHOOSE( CONTROL!$C$15, $D$11, 100%, $F$11)</f>
        <v>7.9880000000000004</v>
      </c>
      <c r="F333" s="4">
        <f>CHOOSE( CONTROL!$C$32, 8.6614, 8.6569) * CHOOSE(CONTROL!$C$15, $D$11, 100%, $F$11)</f>
        <v>8.6614000000000004</v>
      </c>
      <c r="G333" s="8">
        <f>CHOOSE( CONTROL!$C$32, 7.8148, 7.8103) * CHOOSE( CONTROL!$C$15, $D$11, 100%, $F$11)</f>
        <v>7.8148</v>
      </c>
      <c r="H333" s="4">
        <f>CHOOSE( CONTROL!$C$32, 8.7498, 8.7454) * CHOOSE(CONTROL!$C$15, $D$11, 100%, $F$11)</f>
        <v>8.7498000000000005</v>
      </c>
      <c r="I333" s="8">
        <f>CHOOSE( CONTROL!$C$32, 7.7504, 7.746) * CHOOSE(CONTROL!$C$15, $D$11, 100%, $F$11)</f>
        <v>7.7504</v>
      </c>
      <c r="J333" s="4">
        <f>CHOOSE( CONTROL!$C$32, 7.6857, 7.6813) * CHOOSE(CONTROL!$C$15, $D$11, 100%, $F$11)</f>
        <v>7.6856999999999998</v>
      </c>
      <c r="K333" s="4"/>
      <c r="L333" s="9">
        <v>29.520499999999998</v>
      </c>
      <c r="M333" s="9">
        <v>12.063700000000001</v>
      </c>
      <c r="N333" s="9">
        <v>4.9444999999999997</v>
      </c>
      <c r="O333" s="9">
        <v>0.37459999999999999</v>
      </c>
      <c r="P333" s="9">
        <v>1.2192000000000001</v>
      </c>
      <c r="Q333" s="9">
        <v>20.593900000000001</v>
      </c>
      <c r="R333" s="9"/>
      <c r="S333" s="11"/>
    </row>
    <row r="334" spans="1:19" ht="15.75">
      <c r="A334" s="13">
        <v>52047</v>
      </c>
      <c r="B334" s="8">
        <f>CHOOSE( CONTROL!$C$32, 7.8454, 7.8409) * CHOOSE(CONTROL!$C$15, $D$11, 100%, $F$11)</f>
        <v>7.8453999999999997</v>
      </c>
      <c r="C334" s="8">
        <f>CHOOSE( CONTROL!$C$32, 7.8558, 7.8512) * CHOOSE(CONTROL!$C$15, $D$11, 100%, $F$11)</f>
        <v>7.8558000000000003</v>
      </c>
      <c r="D334" s="8">
        <f>CHOOSE( CONTROL!$C$32, 7.8661, 7.8615) * CHOOSE( CONTROL!$C$15, $D$11, 100%, $F$11)</f>
        <v>7.8661000000000003</v>
      </c>
      <c r="E334" s="12">
        <f>CHOOSE( CONTROL!$C$32, 7.8608, 7.8562) * CHOOSE( CONTROL!$C$15, $D$11, 100%, $F$11)</f>
        <v>7.8608000000000002</v>
      </c>
      <c r="F334" s="4">
        <f>CHOOSE( CONTROL!$C$32, 8.5337, 8.5292) * CHOOSE(CONTROL!$C$15, $D$11, 100%, $F$11)</f>
        <v>8.5336999999999996</v>
      </c>
      <c r="G334" s="8">
        <f>CHOOSE( CONTROL!$C$32, 7.6901, 7.6856) * CHOOSE( CONTROL!$C$15, $D$11, 100%, $F$11)</f>
        <v>7.6901000000000002</v>
      </c>
      <c r="H334" s="4">
        <f>CHOOSE( CONTROL!$C$32, 8.6242, 8.6197) * CHOOSE(CONTROL!$C$15, $D$11, 100%, $F$11)</f>
        <v>8.6242000000000001</v>
      </c>
      <c r="I334" s="8">
        <f>CHOOSE( CONTROL!$C$32, 7.6298, 7.6254) * CHOOSE(CONTROL!$C$15, $D$11, 100%, $F$11)</f>
        <v>7.6298000000000004</v>
      </c>
      <c r="J334" s="4">
        <f>CHOOSE( CONTROL!$C$32, 7.5622, 7.5578) * CHOOSE(CONTROL!$C$15, $D$11, 100%, $F$11)</f>
        <v>7.5621999999999998</v>
      </c>
      <c r="K334" s="4"/>
      <c r="L334" s="9">
        <v>28.568200000000001</v>
      </c>
      <c r="M334" s="9">
        <v>11.6745</v>
      </c>
      <c r="N334" s="9">
        <v>4.7850000000000001</v>
      </c>
      <c r="O334" s="9">
        <v>0.36249999999999999</v>
      </c>
      <c r="P334" s="9">
        <v>1.1798</v>
      </c>
      <c r="Q334" s="9">
        <v>19.929600000000001</v>
      </c>
      <c r="R334" s="9"/>
      <c r="S334" s="11"/>
    </row>
    <row r="335" spans="1:19" ht="15.75">
      <c r="A335" s="13">
        <v>52078</v>
      </c>
      <c r="B335" s="8">
        <f>CHOOSE( CONTROL!$C$32, 8.1817, 8.1772) * CHOOSE(CONTROL!$C$15, $D$11, 100%, $F$11)</f>
        <v>8.1816999999999993</v>
      </c>
      <c r="C335" s="8">
        <f>CHOOSE( CONTROL!$C$32, 8.192, 8.1875) * CHOOSE(CONTROL!$C$15, $D$11, 100%, $F$11)</f>
        <v>8.1920000000000002</v>
      </c>
      <c r="D335" s="8">
        <f>CHOOSE( CONTROL!$C$32, 8.2029, 8.1984) * CHOOSE( CONTROL!$C$15, $D$11, 100%, $F$11)</f>
        <v>8.2028999999999996</v>
      </c>
      <c r="E335" s="12">
        <f>CHOOSE( CONTROL!$C$32, 8.1974, 8.1929) * CHOOSE( CONTROL!$C$15, $D$11, 100%, $F$11)</f>
        <v>8.1974</v>
      </c>
      <c r="F335" s="4">
        <f>CHOOSE( CONTROL!$C$32, 8.87, 8.8655) * CHOOSE(CONTROL!$C$15, $D$11, 100%, $F$11)</f>
        <v>8.8699999999999992</v>
      </c>
      <c r="G335" s="8">
        <f>CHOOSE( CONTROL!$C$32, 8.0218, 8.0173) * CHOOSE( CONTROL!$C$15, $D$11, 100%, $F$11)</f>
        <v>8.0218000000000007</v>
      </c>
      <c r="H335" s="4">
        <f>CHOOSE( CONTROL!$C$32, 8.955, 8.9506) * CHOOSE(CONTROL!$C$15, $D$11, 100%, $F$11)</f>
        <v>8.9550000000000001</v>
      </c>
      <c r="I335" s="8">
        <f>CHOOSE( CONTROL!$C$32, 7.9579, 7.9535) * CHOOSE(CONTROL!$C$15, $D$11, 100%, $F$11)</f>
        <v>7.9579000000000004</v>
      </c>
      <c r="J335" s="4">
        <f>CHOOSE( CONTROL!$C$32, 7.8874, 7.883) * CHOOSE(CONTROL!$C$15, $D$11, 100%, $F$11)</f>
        <v>7.8874000000000004</v>
      </c>
      <c r="K335" s="4"/>
      <c r="L335" s="9">
        <v>29.520499999999998</v>
      </c>
      <c r="M335" s="9">
        <v>12.063700000000001</v>
      </c>
      <c r="N335" s="9">
        <v>4.9444999999999997</v>
      </c>
      <c r="O335" s="9">
        <v>0.37459999999999999</v>
      </c>
      <c r="P335" s="9">
        <v>1.2192000000000001</v>
      </c>
      <c r="Q335" s="9">
        <v>20.593900000000001</v>
      </c>
      <c r="R335" s="9"/>
      <c r="S335" s="11"/>
    </row>
    <row r="336" spans="1:19" ht="15.75">
      <c r="A336" s="13">
        <v>52109</v>
      </c>
      <c r="B336" s="8">
        <f>CHOOSE( CONTROL!$C$32, 7.5525, 7.548) * CHOOSE(CONTROL!$C$15, $D$11, 100%, $F$11)</f>
        <v>7.5525000000000002</v>
      </c>
      <c r="C336" s="8">
        <f>CHOOSE( CONTROL!$C$32, 7.5628, 7.5583) * CHOOSE(CONTROL!$C$15, $D$11, 100%, $F$11)</f>
        <v>7.5628000000000002</v>
      </c>
      <c r="D336" s="8">
        <f>CHOOSE( CONTROL!$C$32, 7.574, 7.5695) * CHOOSE( CONTROL!$C$15, $D$11, 100%, $F$11)</f>
        <v>7.5739999999999998</v>
      </c>
      <c r="E336" s="12">
        <f>CHOOSE( CONTROL!$C$32, 7.5684, 7.5639) * CHOOSE( CONTROL!$C$15, $D$11, 100%, $F$11)</f>
        <v>7.5683999999999996</v>
      </c>
      <c r="F336" s="4">
        <f>CHOOSE( CONTROL!$C$32, 8.2408, 8.2362) * CHOOSE(CONTROL!$C$15, $D$11, 100%, $F$11)</f>
        <v>8.2408000000000001</v>
      </c>
      <c r="G336" s="8">
        <f>CHOOSE( CONTROL!$C$32, 7.4032, 7.3987) * CHOOSE( CONTROL!$C$15, $D$11, 100%, $F$11)</f>
        <v>7.4032</v>
      </c>
      <c r="H336" s="4">
        <f>CHOOSE( CONTROL!$C$32, 8.336, 8.3315) * CHOOSE(CONTROL!$C$15, $D$11, 100%, $F$11)</f>
        <v>8.3360000000000003</v>
      </c>
      <c r="I336" s="8">
        <f>CHOOSE( CONTROL!$C$32, 7.3504, 7.3461) * CHOOSE(CONTROL!$C$15, $D$11, 100%, $F$11)</f>
        <v>7.3503999999999996</v>
      </c>
      <c r="J336" s="4">
        <f>CHOOSE( CONTROL!$C$32, 7.2789, 7.2745) * CHOOSE(CONTROL!$C$15, $D$11, 100%, $F$11)</f>
        <v>7.2789000000000001</v>
      </c>
      <c r="K336" s="4"/>
      <c r="L336" s="9">
        <v>29.520499999999998</v>
      </c>
      <c r="M336" s="9">
        <v>12.063700000000001</v>
      </c>
      <c r="N336" s="9">
        <v>4.9444999999999997</v>
      </c>
      <c r="O336" s="9">
        <v>0.37459999999999999</v>
      </c>
      <c r="P336" s="9">
        <v>1.2192000000000001</v>
      </c>
      <c r="Q336" s="9">
        <v>20.593900000000001</v>
      </c>
      <c r="R336" s="9"/>
      <c r="S336" s="11"/>
    </row>
    <row r="337" spans="1:19" ht="15.75">
      <c r="A337" s="13">
        <v>52139</v>
      </c>
      <c r="B337" s="8">
        <f>CHOOSE( CONTROL!$C$32, 7.3949, 7.3904) * CHOOSE(CONTROL!$C$15, $D$11, 100%, $F$11)</f>
        <v>7.3948999999999998</v>
      </c>
      <c r="C337" s="8">
        <f>CHOOSE( CONTROL!$C$32, 7.4053, 7.4007) * CHOOSE(CONTROL!$C$15, $D$11, 100%, $F$11)</f>
        <v>7.4053000000000004</v>
      </c>
      <c r="D337" s="8">
        <f>CHOOSE( CONTROL!$C$32, 7.4165, 7.412) * CHOOSE( CONTROL!$C$15, $D$11, 100%, $F$11)</f>
        <v>7.4165000000000001</v>
      </c>
      <c r="E337" s="12">
        <f>CHOOSE( CONTROL!$C$32, 7.4109, 7.4063) * CHOOSE( CONTROL!$C$15, $D$11, 100%, $F$11)</f>
        <v>7.4108999999999998</v>
      </c>
      <c r="F337" s="4">
        <f>CHOOSE( CONTROL!$C$32, 8.0832, 8.0787) * CHOOSE(CONTROL!$C$15, $D$11, 100%, $F$11)</f>
        <v>8.0831999999999997</v>
      </c>
      <c r="G337" s="8">
        <f>CHOOSE( CONTROL!$C$32, 7.2483, 7.2438) * CHOOSE( CONTROL!$C$15, $D$11, 100%, $F$11)</f>
        <v>7.2483000000000004</v>
      </c>
      <c r="H337" s="4">
        <f>CHOOSE( CONTROL!$C$32, 8.181, 8.1765) * CHOOSE(CONTROL!$C$15, $D$11, 100%, $F$11)</f>
        <v>8.1809999999999992</v>
      </c>
      <c r="I337" s="8">
        <f>CHOOSE( CONTROL!$C$32, 7.1984, 7.194) * CHOOSE(CONTROL!$C$15, $D$11, 100%, $F$11)</f>
        <v>7.1984000000000004</v>
      </c>
      <c r="J337" s="4">
        <f>CHOOSE( CONTROL!$C$32, 7.1265, 7.1221) * CHOOSE(CONTROL!$C$15, $D$11, 100%, $F$11)</f>
        <v>7.1265000000000001</v>
      </c>
      <c r="K337" s="4"/>
      <c r="L337" s="9">
        <v>28.568200000000001</v>
      </c>
      <c r="M337" s="9">
        <v>11.6745</v>
      </c>
      <c r="N337" s="9">
        <v>4.7850000000000001</v>
      </c>
      <c r="O337" s="9">
        <v>0.36249999999999999</v>
      </c>
      <c r="P337" s="9">
        <v>1.1798</v>
      </c>
      <c r="Q337" s="9">
        <v>19.929600000000001</v>
      </c>
      <c r="R337" s="9"/>
      <c r="S337" s="11"/>
    </row>
    <row r="338" spans="1:19" ht="15.75">
      <c r="A338" s="13">
        <v>52170</v>
      </c>
      <c r="B338" s="8">
        <f>7.7175 * CHOOSE(CONTROL!$C$15, $D$11, 100%, $F$11)</f>
        <v>7.7175000000000002</v>
      </c>
      <c r="C338" s="8">
        <f>7.7279 * CHOOSE(CONTROL!$C$15, $D$11, 100%, $F$11)</f>
        <v>7.7279</v>
      </c>
      <c r="D338" s="8">
        <f>7.7403 * CHOOSE( CONTROL!$C$15, $D$11, 100%, $F$11)</f>
        <v>7.7403000000000004</v>
      </c>
      <c r="E338" s="12">
        <f>7.7351 * CHOOSE( CONTROL!$C$15, $D$11, 100%, $F$11)</f>
        <v>7.7351000000000001</v>
      </c>
      <c r="F338" s="4">
        <f>8.4058 * CHOOSE(CONTROL!$C$15, $D$11, 100%, $F$11)</f>
        <v>8.4057999999999993</v>
      </c>
      <c r="G338" s="8">
        <f>7.5652 * CHOOSE( CONTROL!$C$15, $D$11, 100%, $F$11)</f>
        <v>7.5651999999999999</v>
      </c>
      <c r="H338" s="4">
        <f>8.4984 * CHOOSE(CONTROL!$C$15, $D$11, 100%, $F$11)</f>
        <v>8.4984000000000002</v>
      </c>
      <c r="I338" s="8">
        <f>7.5119 * CHOOSE(CONTROL!$C$15, $D$11, 100%, $F$11)</f>
        <v>7.5118999999999998</v>
      </c>
      <c r="J338" s="4">
        <f>7.4385 * CHOOSE(CONTROL!$C$15, $D$11, 100%, $F$11)</f>
        <v>7.4385000000000003</v>
      </c>
      <c r="K338" s="4"/>
      <c r="L338" s="9">
        <v>28.921800000000001</v>
      </c>
      <c r="M338" s="9">
        <v>12.063700000000001</v>
      </c>
      <c r="N338" s="9">
        <v>4.9444999999999997</v>
      </c>
      <c r="O338" s="9">
        <v>0.37459999999999999</v>
      </c>
      <c r="P338" s="9">
        <v>1.2192000000000001</v>
      </c>
      <c r="Q338" s="9">
        <v>20.593900000000001</v>
      </c>
      <c r="R338" s="9"/>
      <c r="S338" s="11"/>
    </row>
    <row r="339" spans="1:19" ht="15.75">
      <c r="A339" s="13">
        <v>52200</v>
      </c>
      <c r="B339" s="8">
        <f>8.3214 * CHOOSE(CONTROL!$C$15, $D$11, 100%, $F$11)</f>
        <v>8.3214000000000006</v>
      </c>
      <c r="C339" s="8">
        <f>8.3317 * CHOOSE(CONTROL!$C$15, $D$11, 100%, $F$11)</f>
        <v>8.3316999999999997</v>
      </c>
      <c r="D339" s="8">
        <f>8.3178 * CHOOSE( CONTROL!$C$15, $D$11, 100%, $F$11)</f>
        <v>8.3178000000000001</v>
      </c>
      <c r="E339" s="12">
        <f>8.3218 * CHOOSE( CONTROL!$C$15, $D$11, 100%, $F$11)</f>
        <v>8.3217999999999996</v>
      </c>
      <c r="F339" s="4">
        <f>8.9757 * CHOOSE(CONTROL!$C$15, $D$11, 100%, $F$11)</f>
        <v>8.9756999999999998</v>
      </c>
      <c r="G339" s="8">
        <f>8.1764 * CHOOSE( CONTROL!$C$15, $D$11, 100%, $F$11)</f>
        <v>8.1763999999999992</v>
      </c>
      <c r="H339" s="4">
        <f>9.059 * CHOOSE(CONTROL!$C$15, $D$11, 100%, $F$11)</f>
        <v>9.0589999999999993</v>
      </c>
      <c r="I339" s="8">
        <f>8.1292 * CHOOSE(CONTROL!$C$15, $D$11, 100%, $F$11)</f>
        <v>8.1292000000000009</v>
      </c>
      <c r="J339" s="4">
        <f>8.0225 * CHOOSE(CONTROL!$C$15, $D$11, 100%, $F$11)</f>
        <v>8.0225000000000009</v>
      </c>
      <c r="K339" s="4"/>
      <c r="L339" s="9">
        <v>26.515499999999999</v>
      </c>
      <c r="M339" s="9">
        <v>11.6745</v>
      </c>
      <c r="N339" s="9">
        <v>4.7850000000000001</v>
      </c>
      <c r="O339" s="9">
        <v>0.36249999999999999</v>
      </c>
      <c r="P339" s="9">
        <v>1.2522</v>
      </c>
      <c r="Q339" s="9">
        <v>19.929600000000001</v>
      </c>
      <c r="R339" s="9"/>
      <c r="S339" s="11"/>
    </row>
    <row r="340" spans="1:19" ht="15.75">
      <c r="A340" s="13">
        <v>52231</v>
      </c>
      <c r="B340" s="8">
        <f>8.3063 * CHOOSE(CONTROL!$C$15, $D$11, 100%, $F$11)</f>
        <v>8.3063000000000002</v>
      </c>
      <c r="C340" s="8">
        <f>8.3167 * CHOOSE(CONTROL!$C$15, $D$11, 100%, $F$11)</f>
        <v>8.3167000000000009</v>
      </c>
      <c r="D340" s="8">
        <f>8.3052 * CHOOSE( CONTROL!$C$15, $D$11, 100%, $F$11)</f>
        <v>8.3051999999999992</v>
      </c>
      <c r="E340" s="12">
        <f>8.3083 * CHOOSE( CONTROL!$C$15, $D$11, 100%, $F$11)</f>
        <v>8.3082999999999991</v>
      </c>
      <c r="F340" s="4">
        <f>8.9606 * CHOOSE(CONTROL!$C$15, $D$11, 100%, $F$11)</f>
        <v>8.9605999999999995</v>
      </c>
      <c r="G340" s="8">
        <f>8.1634 * CHOOSE( CONTROL!$C$15, $D$11, 100%, $F$11)</f>
        <v>8.1633999999999993</v>
      </c>
      <c r="H340" s="4">
        <f>9.0441 * CHOOSE(CONTROL!$C$15, $D$11, 100%, $F$11)</f>
        <v>9.0441000000000003</v>
      </c>
      <c r="I340" s="8">
        <f>8.1225 * CHOOSE(CONTROL!$C$15, $D$11, 100%, $F$11)</f>
        <v>8.1225000000000005</v>
      </c>
      <c r="J340" s="4">
        <f>8.0079 * CHOOSE(CONTROL!$C$15, $D$11, 100%, $F$11)</f>
        <v>8.0078999999999994</v>
      </c>
      <c r="K340" s="4"/>
      <c r="L340" s="9">
        <v>27.3993</v>
      </c>
      <c r="M340" s="9">
        <v>12.063700000000001</v>
      </c>
      <c r="N340" s="9">
        <v>4.9444999999999997</v>
      </c>
      <c r="O340" s="9">
        <v>0.37459999999999999</v>
      </c>
      <c r="P340" s="9">
        <v>1.2939000000000001</v>
      </c>
      <c r="Q340" s="9">
        <v>20.593900000000001</v>
      </c>
      <c r="R340" s="9"/>
      <c r="S340" s="11"/>
    </row>
    <row r="341" spans="1:19" ht="15.75">
      <c r="A341" s="13">
        <v>52262</v>
      </c>
      <c r="B341" s="8">
        <f>8.6228 * CHOOSE(CONTROL!$C$15, $D$11, 100%, $F$11)</f>
        <v>8.6227999999999998</v>
      </c>
      <c r="C341" s="8">
        <f>8.6331 * CHOOSE(CONTROL!$C$15, $D$11, 100%, $F$11)</f>
        <v>8.6331000000000007</v>
      </c>
      <c r="D341" s="8">
        <f>8.6316 * CHOOSE( CONTROL!$C$15, $D$11, 100%, $F$11)</f>
        <v>8.6316000000000006</v>
      </c>
      <c r="E341" s="12">
        <f>8.6311 * CHOOSE( CONTROL!$C$15, $D$11, 100%, $F$11)</f>
        <v>8.6311</v>
      </c>
      <c r="F341" s="4">
        <f>9.3055 * CHOOSE(CONTROL!$C$15, $D$11, 100%, $F$11)</f>
        <v>9.3055000000000003</v>
      </c>
      <c r="G341" s="8">
        <f>8.4851 * CHOOSE( CONTROL!$C$15, $D$11, 100%, $F$11)</f>
        <v>8.4850999999999992</v>
      </c>
      <c r="H341" s="4">
        <f>9.3835 * CHOOSE(CONTROL!$C$15, $D$11, 100%, $F$11)</f>
        <v>9.3834999999999997</v>
      </c>
      <c r="I341" s="8">
        <f>8.4267 * CHOOSE(CONTROL!$C$15, $D$11, 100%, $F$11)</f>
        <v>8.4267000000000003</v>
      </c>
      <c r="J341" s="4">
        <f>8.314 * CHOOSE(CONTROL!$C$15, $D$11, 100%, $F$11)</f>
        <v>8.3140000000000001</v>
      </c>
      <c r="K341" s="4"/>
      <c r="L341" s="9">
        <v>27.3993</v>
      </c>
      <c r="M341" s="9">
        <v>12.063700000000001</v>
      </c>
      <c r="N341" s="9">
        <v>4.9444999999999997</v>
      </c>
      <c r="O341" s="9">
        <v>0.37459999999999999</v>
      </c>
      <c r="P341" s="9">
        <v>1.2939000000000001</v>
      </c>
      <c r="Q341" s="9">
        <v>20.5288</v>
      </c>
      <c r="R341" s="9"/>
      <c r="S341" s="11"/>
    </row>
    <row r="342" spans="1:19" ht="15.75">
      <c r="A342" s="13">
        <v>52290</v>
      </c>
      <c r="B342" s="8">
        <f>8.067 * CHOOSE(CONTROL!$C$15, $D$11, 100%, $F$11)</f>
        <v>8.0670000000000002</v>
      </c>
      <c r="C342" s="8">
        <f>8.0774 * CHOOSE(CONTROL!$C$15, $D$11, 100%, $F$11)</f>
        <v>8.0774000000000008</v>
      </c>
      <c r="D342" s="8">
        <f>8.0779 * CHOOSE( CONTROL!$C$15, $D$11, 100%, $F$11)</f>
        <v>8.0778999999999996</v>
      </c>
      <c r="E342" s="12">
        <f>8.0766 * CHOOSE( CONTROL!$C$15, $D$11, 100%, $F$11)</f>
        <v>8.0765999999999991</v>
      </c>
      <c r="F342" s="4">
        <f>8.742 * CHOOSE(CONTROL!$C$15, $D$11, 100%, $F$11)</f>
        <v>8.7420000000000009</v>
      </c>
      <c r="G342" s="8">
        <f>7.938 * CHOOSE( CONTROL!$C$15, $D$11, 100%, $F$11)</f>
        <v>7.9379999999999997</v>
      </c>
      <c r="H342" s="4">
        <f>8.8291 * CHOOSE(CONTROL!$C$15, $D$11, 100%, $F$11)</f>
        <v>8.8291000000000004</v>
      </c>
      <c r="I342" s="8">
        <f>7.878 * CHOOSE(CONTROL!$C$15, $D$11, 100%, $F$11)</f>
        <v>7.8780000000000001</v>
      </c>
      <c r="J342" s="4">
        <f>7.7765 * CHOOSE(CONTROL!$C$15, $D$11, 100%, $F$11)</f>
        <v>7.7765000000000004</v>
      </c>
      <c r="K342" s="4"/>
      <c r="L342" s="9">
        <v>24.747800000000002</v>
      </c>
      <c r="M342" s="9">
        <v>10.8962</v>
      </c>
      <c r="N342" s="9">
        <v>4.4660000000000002</v>
      </c>
      <c r="O342" s="9">
        <v>0.33829999999999999</v>
      </c>
      <c r="P342" s="9">
        <v>1.1687000000000001</v>
      </c>
      <c r="Q342" s="9">
        <v>18.542200000000001</v>
      </c>
      <c r="R342" s="9"/>
      <c r="S342" s="11"/>
    </row>
    <row r="343" spans="1:19" ht="15.75">
      <c r="A343" s="13">
        <v>52321</v>
      </c>
      <c r="B343" s="8">
        <f>7.8958 * CHOOSE(CONTROL!$C$15, $D$11, 100%, $F$11)</f>
        <v>7.8958000000000004</v>
      </c>
      <c r="C343" s="8">
        <f>7.9062 * CHOOSE(CONTROL!$C$15, $D$11, 100%, $F$11)</f>
        <v>7.9062000000000001</v>
      </c>
      <c r="D343" s="8">
        <f>7.8863 * CHOOSE( CONTROL!$C$15, $D$11, 100%, $F$11)</f>
        <v>7.8863000000000003</v>
      </c>
      <c r="E343" s="12">
        <f>7.8925 * CHOOSE( CONTROL!$C$15, $D$11, 100%, $F$11)</f>
        <v>7.8925000000000001</v>
      </c>
      <c r="F343" s="4">
        <f>8.5548 * CHOOSE(CONTROL!$C$15, $D$11, 100%, $F$11)</f>
        <v>8.5548000000000002</v>
      </c>
      <c r="G343" s="8">
        <f>7.7489 * CHOOSE( CONTROL!$C$15, $D$11, 100%, $F$11)</f>
        <v>7.7488999999999999</v>
      </c>
      <c r="H343" s="4">
        <f>8.6449 * CHOOSE(CONTROL!$C$15, $D$11, 100%, $F$11)</f>
        <v>8.6448999999999998</v>
      </c>
      <c r="I343" s="8">
        <f>7.6729 * CHOOSE(CONTROL!$C$15, $D$11, 100%, $F$11)</f>
        <v>7.6729000000000003</v>
      </c>
      <c r="J343" s="4">
        <f>7.611 * CHOOSE(CONTROL!$C$15, $D$11, 100%, $F$11)</f>
        <v>7.6109999999999998</v>
      </c>
      <c r="K343" s="4"/>
      <c r="L343" s="9">
        <v>27.3993</v>
      </c>
      <c r="M343" s="9">
        <v>12.063700000000001</v>
      </c>
      <c r="N343" s="9">
        <v>4.9444999999999997</v>
      </c>
      <c r="O343" s="9">
        <v>0.37459999999999999</v>
      </c>
      <c r="P343" s="9">
        <v>1.2939000000000001</v>
      </c>
      <c r="Q343" s="9">
        <v>20.5288</v>
      </c>
      <c r="R343" s="9"/>
      <c r="S343" s="11"/>
    </row>
    <row r="344" spans="1:19" ht="15.75">
      <c r="A344" s="13">
        <v>52351</v>
      </c>
      <c r="B344" s="8">
        <f>8.0155 * CHOOSE(CONTROL!$C$15, $D$11, 100%, $F$11)</f>
        <v>8.0154999999999994</v>
      </c>
      <c r="C344" s="8">
        <f>8.0258 * CHOOSE(CONTROL!$C$15, $D$11, 100%, $F$11)</f>
        <v>8.0258000000000003</v>
      </c>
      <c r="D344" s="8">
        <f>8.0173 * CHOOSE( CONTROL!$C$15, $D$11, 100%, $F$11)</f>
        <v>8.0173000000000005</v>
      </c>
      <c r="E344" s="12">
        <f>8.0189 * CHOOSE( CONTROL!$C$15, $D$11, 100%, $F$11)</f>
        <v>8.0189000000000004</v>
      </c>
      <c r="F344" s="4">
        <f>8.6645 * CHOOSE(CONTROL!$C$15, $D$11, 100%, $F$11)</f>
        <v>8.6645000000000003</v>
      </c>
      <c r="G344" s="8">
        <f>7.8514 * CHOOSE( CONTROL!$C$15, $D$11, 100%, $F$11)</f>
        <v>7.8513999999999999</v>
      </c>
      <c r="H344" s="4">
        <f>8.7529 * CHOOSE(CONTROL!$C$15, $D$11, 100%, $F$11)</f>
        <v>8.7529000000000003</v>
      </c>
      <c r="I344" s="8">
        <f>7.7855 * CHOOSE(CONTROL!$C$15, $D$11, 100%, $F$11)</f>
        <v>7.7854999999999999</v>
      </c>
      <c r="J344" s="4">
        <f>7.7266 * CHOOSE(CONTROL!$C$15, $D$11, 100%, $F$11)</f>
        <v>7.7266000000000004</v>
      </c>
      <c r="K344" s="4"/>
      <c r="L344" s="9">
        <v>27.988800000000001</v>
      </c>
      <c r="M344" s="9">
        <v>11.6745</v>
      </c>
      <c r="N344" s="9">
        <v>4.7850000000000001</v>
      </c>
      <c r="O344" s="9">
        <v>0.36249999999999999</v>
      </c>
      <c r="P344" s="9">
        <v>1.1798</v>
      </c>
      <c r="Q344" s="9">
        <v>19.866599999999998</v>
      </c>
      <c r="R344" s="9"/>
      <c r="S344" s="11"/>
    </row>
    <row r="345" spans="1:19" ht="15.75">
      <c r="A345" s="13">
        <v>52382</v>
      </c>
      <c r="B345" s="8">
        <f>CHOOSE( CONTROL!$C$32, 8.2329, 8.2283) * CHOOSE(CONTROL!$C$15, $D$11, 100%, $F$11)</f>
        <v>8.2329000000000008</v>
      </c>
      <c r="C345" s="8">
        <f>CHOOSE( CONTROL!$C$32, 8.2432, 8.2387) * CHOOSE(CONTROL!$C$15, $D$11, 100%, $F$11)</f>
        <v>8.2431999999999999</v>
      </c>
      <c r="D345" s="8">
        <f>CHOOSE( CONTROL!$C$32, 8.2529, 8.2484) * CHOOSE( CONTROL!$C$15, $D$11, 100%, $F$11)</f>
        <v>8.2529000000000003</v>
      </c>
      <c r="E345" s="12">
        <f>CHOOSE( CONTROL!$C$32, 8.2478, 8.2433) * CHOOSE( CONTROL!$C$15, $D$11, 100%, $F$11)</f>
        <v>8.2477999999999998</v>
      </c>
      <c r="F345" s="4">
        <f>CHOOSE( CONTROL!$C$32, 8.9212, 8.9166) * CHOOSE(CONTROL!$C$15, $D$11, 100%, $F$11)</f>
        <v>8.9212000000000007</v>
      </c>
      <c r="G345" s="8">
        <f>CHOOSE( CONTROL!$C$32, 8.0703, 8.0659) * CHOOSE( CONTROL!$C$15, $D$11, 100%, $F$11)</f>
        <v>8.0702999999999996</v>
      </c>
      <c r="H345" s="4">
        <f>CHOOSE( CONTROL!$C$32, 9.0054, 9.0009) * CHOOSE(CONTROL!$C$15, $D$11, 100%, $F$11)</f>
        <v>9.0053999999999998</v>
      </c>
      <c r="I345" s="8">
        <f>CHOOSE( CONTROL!$C$32, 8.0017, 7.9973) * CHOOSE(CONTROL!$C$15, $D$11, 100%, $F$11)</f>
        <v>8.0016999999999996</v>
      </c>
      <c r="J345" s="4">
        <f>CHOOSE( CONTROL!$C$32, 7.9369, 7.9325) * CHOOSE(CONTROL!$C$15, $D$11, 100%, $F$11)</f>
        <v>7.9368999999999996</v>
      </c>
      <c r="K345" s="4"/>
      <c r="L345" s="9">
        <v>29.520499999999998</v>
      </c>
      <c r="M345" s="9">
        <v>12.063700000000001</v>
      </c>
      <c r="N345" s="9">
        <v>4.9444999999999997</v>
      </c>
      <c r="O345" s="9">
        <v>0.37459999999999999</v>
      </c>
      <c r="P345" s="9">
        <v>1.2192000000000001</v>
      </c>
      <c r="Q345" s="9">
        <v>20.5288</v>
      </c>
      <c r="R345" s="9"/>
      <c r="S345" s="11"/>
    </row>
    <row r="346" spans="1:19" ht="15.75">
      <c r="A346" s="13">
        <v>52412</v>
      </c>
      <c r="B346" s="8">
        <f>CHOOSE( CONTROL!$C$32, 8.101, 8.0965) * CHOOSE(CONTROL!$C$15, $D$11, 100%, $F$11)</f>
        <v>8.1010000000000009</v>
      </c>
      <c r="C346" s="8">
        <f>CHOOSE( CONTROL!$C$32, 8.1113, 8.1068) * CHOOSE(CONTROL!$C$15, $D$11, 100%, $F$11)</f>
        <v>8.1113</v>
      </c>
      <c r="D346" s="8">
        <f>CHOOSE( CONTROL!$C$32, 8.1216, 8.1171) * CHOOSE( CONTROL!$C$15, $D$11, 100%, $F$11)</f>
        <v>8.1216000000000008</v>
      </c>
      <c r="E346" s="12">
        <f>CHOOSE( CONTROL!$C$32, 8.1163, 8.1118) * CHOOSE( CONTROL!$C$15, $D$11, 100%, $F$11)</f>
        <v>8.1163000000000007</v>
      </c>
      <c r="F346" s="4">
        <f>CHOOSE( CONTROL!$C$32, 8.7893, 8.7848) * CHOOSE(CONTROL!$C$15, $D$11, 100%, $F$11)</f>
        <v>8.7893000000000008</v>
      </c>
      <c r="G346" s="8">
        <f>CHOOSE( CONTROL!$C$32, 7.9415, 7.9371) * CHOOSE( CONTROL!$C$15, $D$11, 100%, $F$11)</f>
        <v>7.9414999999999996</v>
      </c>
      <c r="H346" s="4">
        <f>CHOOSE( CONTROL!$C$32, 8.8756, 8.8712) * CHOOSE(CONTROL!$C$15, $D$11, 100%, $F$11)</f>
        <v>8.8756000000000004</v>
      </c>
      <c r="I346" s="8">
        <f>CHOOSE( CONTROL!$C$32, 7.8771, 7.8727) * CHOOSE(CONTROL!$C$15, $D$11, 100%, $F$11)</f>
        <v>7.8771000000000004</v>
      </c>
      <c r="J346" s="4">
        <f>CHOOSE( CONTROL!$C$32, 7.8094, 7.805) * CHOOSE(CONTROL!$C$15, $D$11, 100%, $F$11)</f>
        <v>7.8094000000000001</v>
      </c>
      <c r="K346" s="4"/>
      <c r="L346" s="9">
        <v>28.568200000000001</v>
      </c>
      <c r="M346" s="9">
        <v>11.6745</v>
      </c>
      <c r="N346" s="9">
        <v>4.7850000000000001</v>
      </c>
      <c r="O346" s="9">
        <v>0.36249999999999999</v>
      </c>
      <c r="P346" s="9">
        <v>1.1798</v>
      </c>
      <c r="Q346" s="9">
        <v>19.866599999999998</v>
      </c>
      <c r="R346" s="9"/>
      <c r="S346" s="11"/>
    </row>
    <row r="347" spans="1:19" ht="15.75">
      <c r="A347" s="13">
        <v>52443</v>
      </c>
      <c r="B347" s="8">
        <f>CHOOSE( CONTROL!$C$32, 8.4483, 8.4437) * CHOOSE(CONTROL!$C$15, $D$11, 100%, $F$11)</f>
        <v>8.4482999999999997</v>
      </c>
      <c r="C347" s="8">
        <f>CHOOSE( CONTROL!$C$32, 8.4586, 8.4541) * CHOOSE(CONTROL!$C$15, $D$11, 100%, $F$11)</f>
        <v>8.4586000000000006</v>
      </c>
      <c r="D347" s="8">
        <f>CHOOSE( CONTROL!$C$32, 8.4695, 8.465) * CHOOSE( CONTROL!$C$15, $D$11, 100%, $F$11)</f>
        <v>8.4695</v>
      </c>
      <c r="E347" s="12">
        <f>CHOOSE( CONTROL!$C$32, 8.464, 8.4595) * CHOOSE( CONTROL!$C$15, $D$11, 100%, $F$11)</f>
        <v>8.4640000000000004</v>
      </c>
      <c r="F347" s="4">
        <f>CHOOSE( CONTROL!$C$32, 9.1366, 9.132) * CHOOSE(CONTROL!$C$15, $D$11, 100%, $F$11)</f>
        <v>9.1365999999999996</v>
      </c>
      <c r="G347" s="8">
        <f>CHOOSE( CONTROL!$C$32, 8.284, 8.2796) * CHOOSE( CONTROL!$C$15, $D$11, 100%, $F$11)</f>
        <v>8.2840000000000007</v>
      </c>
      <c r="H347" s="4">
        <f>CHOOSE( CONTROL!$C$32, 9.2173, 9.2128) * CHOOSE(CONTROL!$C$15, $D$11, 100%, $F$11)</f>
        <v>9.2172999999999998</v>
      </c>
      <c r="I347" s="8">
        <f>CHOOSE( CONTROL!$C$32, 8.2158, 8.2114) * CHOOSE(CONTROL!$C$15, $D$11, 100%, $F$11)</f>
        <v>8.2157999999999998</v>
      </c>
      <c r="J347" s="4">
        <f>CHOOSE( CONTROL!$C$32, 8.1452, 8.1408) * CHOOSE(CONTROL!$C$15, $D$11, 100%, $F$11)</f>
        <v>8.1452000000000009</v>
      </c>
      <c r="K347" s="4"/>
      <c r="L347" s="9">
        <v>29.520499999999998</v>
      </c>
      <c r="M347" s="9">
        <v>12.063700000000001</v>
      </c>
      <c r="N347" s="9">
        <v>4.9444999999999997</v>
      </c>
      <c r="O347" s="9">
        <v>0.37459999999999999</v>
      </c>
      <c r="P347" s="9">
        <v>1.2192000000000001</v>
      </c>
      <c r="Q347" s="9">
        <v>20.5288</v>
      </c>
      <c r="R347" s="9"/>
      <c r="S347" s="11"/>
    </row>
    <row r="348" spans="1:19" ht="15.75">
      <c r="A348" s="13">
        <v>52474</v>
      </c>
      <c r="B348" s="8">
        <f>CHOOSE( CONTROL!$C$32, 7.7985, 7.794) * CHOOSE(CONTROL!$C$15, $D$11, 100%, $F$11)</f>
        <v>7.7984999999999998</v>
      </c>
      <c r="C348" s="8">
        <f>CHOOSE( CONTROL!$C$32, 7.8088, 7.8043) * CHOOSE(CONTROL!$C$15, $D$11, 100%, $F$11)</f>
        <v>7.8087999999999997</v>
      </c>
      <c r="D348" s="8">
        <f>CHOOSE( CONTROL!$C$32, 7.82, 7.8155) * CHOOSE( CONTROL!$C$15, $D$11, 100%, $F$11)</f>
        <v>7.82</v>
      </c>
      <c r="E348" s="12">
        <f>CHOOSE( CONTROL!$C$32, 7.8144, 7.8099) * CHOOSE( CONTROL!$C$15, $D$11, 100%, $F$11)</f>
        <v>7.8144</v>
      </c>
      <c r="F348" s="4">
        <f>CHOOSE( CONTROL!$C$32, 8.4868, 8.4822) * CHOOSE(CONTROL!$C$15, $D$11, 100%, $F$11)</f>
        <v>8.4868000000000006</v>
      </c>
      <c r="G348" s="8">
        <f>CHOOSE( CONTROL!$C$32, 7.6452, 7.6407) * CHOOSE( CONTROL!$C$15, $D$11, 100%, $F$11)</f>
        <v>7.6452</v>
      </c>
      <c r="H348" s="4">
        <f>CHOOSE( CONTROL!$C$32, 8.578, 8.5736) * CHOOSE(CONTROL!$C$15, $D$11, 100%, $F$11)</f>
        <v>8.5779999999999994</v>
      </c>
      <c r="I348" s="8">
        <f>CHOOSE( CONTROL!$C$32, 7.5885, 7.5841) * CHOOSE(CONTROL!$C$15, $D$11, 100%, $F$11)</f>
        <v>7.5884999999999998</v>
      </c>
      <c r="J348" s="4">
        <f>CHOOSE( CONTROL!$C$32, 7.5168, 7.5124) * CHOOSE(CONTROL!$C$15, $D$11, 100%, $F$11)</f>
        <v>7.5167999999999999</v>
      </c>
      <c r="K348" s="4"/>
      <c r="L348" s="9">
        <v>29.520499999999998</v>
      </c>
      <c r="M348" s="9">
        <v>12.063700000000001</v>
      </c>
      <c r="N348" s="9">
        <v>4.9444999999999997</v>
      </c>
      <c r="O348" s="9">
        <v>0.37459999999999999</v>
      </c>
      <c r="P348" s="9">
        <v>1.2192000000000001</v>
      </c>
      <c r="Q348" s="9">
        <v>20.5288</v>
      </c>
      <c r="R348" s="9"/>
      <c r="S348" s="11"/>
    </row>
    <row r="349" spans="1:19" ht="15.75">
      <c r="A349" s="13">
        <v>52504</v>
      </c>
      <c r="B349" s="8">
        <f>CHOOSE( CONTROL!$C$32, 7.6358, 7.6312) * CHOOSE(CONTROL!$C$15, $D$11, 100%, $F$11)</f>
        <v>7.6357999999999997</v>
      </c>
      <c r="C349" s="8">
        <f>CHOOSE( CONTROL!$C$32, 7.6461, 7.6416) * CHOOSE(CONTROL!$C$15, $D$11, 100%, $F$11)</f>
        <v>7.6460999999999997</v>
      </c>
      <c r="D349" s="8">
        <f>CHOOSE( CONTROL!$C$32, 7.6574, 7.6528) * CHOOSE( CONTROL!$C$15, $D$11, 100%, $F$11)</f>
        <v>7.6574</v>
      </c>
      <c r="E349" s="12">
        <f>CHOOSE( CONTROL!$C$32, 7.6517, 7.6472) * CHOOSE( CONTROL!$C$15, $D$11, 100%, $F$11)</f>
        <v>7.6516999999999999</v>
      </c>
      <c r="F349" s="4">
        <f>CHOOSE( CONTROL!$C$32, 8.3241, 8.3195) * CHOOSE(CONTROL!$C$15, $D$11, 100%, $F$11)</f>
        <v>8.3240999999999996</v>
      </c>
      <c r="G349" s="8">
        <f>CHOOSE( CONTROL!$C$32, 7.4852, 7.4808) * CHOOSE( CONTROL!$C$15, $D$11, 100%, $F$11)</f>
        <v>7.4851999999999999</v>
      </c>
      <c r="H349" s="4">
        <f>CHOOSE( CONTROL!$C$32, 8.4179, 8.4135) * CHOOSE(CONTROL!$C$15, $D$11, 100%, $F$11)</f>
        <v>8.4178999999999995</v>
      </c>
      <c r="I349" s="8">
        <f>CHOOSE( CONTROL!$C$32, 7.4315, 7.4271) * CHOOSE(CONTROL!$C$15, $D$11, 100%, $F$11)</f>
        <v>7.4314999999999998</v>
      </c>
      <c r="J349" s="4">
        <f>CHOOSE( CONTROL!$C$32, 7.3594, 7.3551) * CHOOSE(CONTROL!$C$15, $D$11, 100%, $F$11)</f>
        <v>7.3593999999999999</v>
      </c>
      <c r="K349" s="4"/>
      <c r="L349" s="9">
        <v>28.568200000000001</v>
      </c>
      <c r="M349" s="9">
        <v>11.6745</v>
      </c>
      <c r="N349" s="9">
        <v>4.7850000000000001</v>
      </c>
      <c r="O349" s="9">
        <v>0.36249999999999999</v>
      </c>
      <c r="P349" s="9">
        <v>1.1798</v>
      </c>
      <c r="Q349" s="9">
        <v>19.866599999999998</v>
      </c>
      <c r="R349" s="9"/>
      <c r="S349" s="11"/>
    </row>
    <row r="350" spans="1:19" ht="15.75">
      <c r="A350" s="13">
        <v>52535</v>
      </c>
      <c r="B350" s="8">
        <f>7.9691 * CHOOSE(CONTROL!$C$15, $D$11, 100%, $F$11)</f>
        <v>7.9691000000000001</v>
      </c>
      <c r="C350" s="8">
        <f>7.9794 * CHOOSE(CONTROL!$C$15, $D$11, 100%, $F$11)</f>
        <v>7.9794</v>
      </c>
      <c r="D350" s="8">
        <f>7.9918 * CHOOSE( CONTROL!$C$15, $D$11, 100%, $F$11)</f>
        <v>7.9917999999999996</v>
      </c>
      <c r="E350" s="12">
        <f>7.9866 * CHOOSE( CONTROL!$C$15, $D$11, 100%, $F$11)</f>
        <v>7.9866000000000001</v>
      </c>
      <c r="F350" s="4">
        <f>8.6574 * CHOOSE(CONTROL!$C$15, $D$11, 100%, $F$11)</f>
        <v>8.6574000000000009</v>
      </c>
      <c r="G350" s="8">
        <f>7.8126 * CHOOSE( CONTROL!$C$15, $D$11, 100%, $F$11)</f>
        <v>7.8125999999999998</v>
      </c>
      <c r="H350" s="4">
        <f>8.7459 * CHOOSE(CONTROL!$C$15, $D$11, 100%, $F$11)</f>
        <v>8.7459000000000007</v>
      </c>
      <c r="I350" s="8">
        <f>7.7553 * CHOOSE(CONTROL!$C$15, $D$11, 100%, $F$11)</f>
        <v>7.7553000000000001</v>
      </c>
      <c r="J350" s="4">
        <f>7.6818 * CHOOSE(CONTROL!$C$15, $D$11, 100%, $F$11)</f>
        <v>7.6818</v>
      </c>
      <c r="K350" s="4"/>
      <c r="L350" s="9">
        <v>28.921800000000001</v>
      </c>
      <c r="M350" s="9">
        <v>12.063700000000001</v>
      </c>
      <c r="N350" s="9">
        <v>4.9444999999999997</v>
      </c>
      <c r="O350" s="9">
        <v>0.37459999999999999</v>
      </c>
      <c r="P350" s="9">
        <v>1.2192000000000001</v>
      </c>
      <c r="Q350" s="9">
        <v>20.5288</v>
      </c>
      <c r="R350" s="9"/>
      <c r="S350" s="11"/>
    </row>
    <row r="351" spans="1:19" ht="15.75">
      <c r="A351" s="13">
        <v>52565</v>
      </c>
      <c r="B351" s="8">
        <f>8.5927 * CHOOSE(CONTROL!$C$15, $D$11, 100%, $F$11)</f>
        <v>8.5927000000000007</v>
      </c>
      <c r="C351" s="8">
        <f>8.603 * CHOOSE(CONTROL!$C$15, $D$11, 100%, $F$11)</f>
        <v>8.6029999999999998</v>
      </c>
      <c r="D351" s="8">
        <f>8.5891 * CHOOSE( CONTROL!$C$15, $D$11, 100%, $F$11)</f>
        <v>8.5891000000000002</v>
      </c>
      <c r="E351" s="12">
        <f>8.5931 * CHOOSE( CONTROL!$C$15, $D$11, 100%, $F$11)</f>
        <v>8.5930999999999997</v>
      </c>
      <c r="F351" s="4">
        <f>9.247 * CHOOSE(CONTROL!$C$15, $D$11, 100%, $F$11)</f>
        <v>9.2469999999999999</v>
      </c>
      <c r="G351" s="8">
        <f>8.4433 * CHOOSE( CONTROL!$C$15, $D$11, 100%, $F$11)</f>
        <v>8.4433000000000007</v>
      </c>
      <c r="H351" s="4">
        <f>9.3259 * CHOOSE(CONTROL!$C$15, $D$11, 100%, $F$11)</f>
        <v>9.3259000000000007</v>
      </c>
      <c r="I351" s="8">
        <f>8.3917 * CHOOSE(CONTROL!$C$15, $D$11, 100%, $F$11)</f>
        <v>8.3917000000000002</v>
      </c>
      <c r="J351" s="4">
        <f>8.2849 * CHOOSE(CONTROL!$C$15, $D$11, 100%, $F$11)</f>
        <v>8.2849000000000004</v>
      </c>
      <c r="K351" s="4"/>
      <c r="L351" s="9">
        <v>26.515499999999999</v>
      </c>
      <c r="M351" s="9">
        <v>11.6745</v>
      </c>
      <c r="N351" s="9">
        <v>4.7850000000000001</v>
      </c>
      <c r="O351" s="9">
        <v>0.36249999999999999</v>
      </c>
      <c r="P351" s="9">
        <v>1.2522</v>
      </c>
      <c r="Q351" s="9">
        <v>19.866599999999998</v>
      </c>
      <c r="R351" s="9"/>
      <c r="S351" s="11"/>
    </row>
    <row r="352" spans="1:19" ht="15.75">
      <c r="A352" s="13">
        <v>52596</v>
      </c>
      <c r="B352" s="8">
        <f>8.5771 * CHOOSE(CONTROL!$C$15, $D$11, 100%, $F$11)</f>
        <v>8.5770999999999997</v>
      </c>
      <c r="C352" s="8">
        <f>8.5875 * CHOOSE(CONTROL!$C$15, $D$11, 100%, $F$11)</f>
        <v>8.5875000000000004</v>
      </c>
      <c r="D352" s="8">
        <f>8.576 * CHOOSE( CONTROL!$C$15, $D$11, 100%, $F$11)</f>
        <v>8.5760000000000005</v>
      </c>
      <c r="E352" s="12">
        <f>8.5791 * CHOOSE( CONTROL!$C$15, $D$11, 100%, $F$11)</f>
        <v>8.5791000000000004</v>
      </c>
      <c r="F352" s="4">
        <f>9.2314 * CHOOSE(CONTROL!$C$15, $D$11, 100%, $F$11)</f>
        <v>9.2314000000000007</v>
      </c>
      <c r="G352" s="8">
        <f>8.4298 * CHOOSE( CONTROL!$C$15, $D$11, 100%, $F$11)</f>
        <v>8.4298000000000002</v>
      </c>
      <c r="H352" s="4">
        <f>9.3106 * CHOOSE(CONTROL!$C$15, $D$11, 100%, $F$11)</f>
        <v>9.3106000000000009</v>
      </c>
      <c r="I352" s="8">
        <f>8.3846 * CHOOSE(CONTROL!$C$15, $D$11, 100%, $F$11)</f>
        <v>8.3846000000000007</v>
      </c>
      <c r="J352" s="4">
        <f>8.2698 * CHOOSE(CONTROL!$C$15, $D$11, 100%, $F$11)</f>
        <v>8.2698</v>
      </c>
      <c r="K352" s="4"/>
      <c r="L352" s="9">
        <v>27.3993</v>
      </c>
      <c r="M352" s="9">
        <v>12.063700000000001</v>
      </c>
      <c r="N352" s="9">
        <v>4.9444999999999997</v>
      </c>
      <c r="O352" s="9">
        <v>0.37459999999999999</v>
      </c>
      <c r="P352" s="9">
        <v>1.2939000000000001</v>
      </c>
      <c r="Q352" s="9">
        <v>20.5288</v>
      </c>
      <c r="R352" s="9"/>
      <c r="S352" s="11"/>
    </row>
    <row r="353" spans="1:19" ht="15.75">
      <c r="A353" s="13">
        <v>52627</v>
      </c>
      <c r="B353" s="8">
        <f>8.9039 * CHOOSE(CONTROL!$C$15, $D$11, 100%, $F$11)</f>
        <v>8.9039000000000001</v>
      </c>
      <c r="C353" s="8">
        <f>8.9143 * CHOOSE(CONTROL!$C$15, $D$11, 100%, $F$11)</f>
        <v>8.9143000000000008</v>
      </c>
      <c r="D353" s="8">
        <f>8.9127 * CHOOSE( CONTROL!$C$15, $D$11, 100%, $F$11)</f>
        <v>8.9126999999999992</v>
      </c>
      <c r="E353" s="12">
        <f>8.9122 * CHOOSE( CONTROL!$C$15, $D$11, 100%, $F$11)</f>
        <v>8.9122000000000003</v>
      </c>
      <c r="F353" s="4">
        <f>9.5866 * CHOOSE(CONTROL!$C$15, $D$11, 100%, $F$11)</f>
        <v>9.5866000000000007</v>
      </c>
      <c r="G353" s="8">
        <f>8.7617 * CHOOSE( CONTROL!$C$15, $D$11, 100%, $F$11)</f>
        <v>8.7616999999999994</v>
      </c>
      <c r="H353" s="4">
        <f>9.6601 * CHOOSE(CONTROL!$C$15, $D$11, 100%, $F$11)</f>
        <v>9.6600999999999999</v>
      </c>
      <c r="I353" s="8">
        <f>8.6988 * CHOOSE(CONTROL!$C$15, $D$11, 100%, $F$11)</f>
        <v>8.6988000000000003</v>
      </c>
      <c r="J353" s="4">
        <f>8.5859 * CHOOSE(CONTROL!$C$15, $D$11, 100%, $F$11)</f>
        <v>8.5859000000000005</v>
      </c>
      <c r="K353" s="4"/>
      <c r="L353" s="9">
        <v>27.3993</v>
      </c>
      <c r="M353" s="9">
        <v>12.063700000000001</v>
      </c>
      <c r="N353" s="9">
        <v>4.9444999999999997</v>
      </c>
      <c r="O353" s="9">
        <v>0.37459999999999999</v>
      </c>
      <c r="P353" s="9">
        <v>1.2939000000000001</v>
      </c>
      <c r="Q353" s="9">
        <v>20.4619</v>
      </c>
      <c r="R353" s="9"/>
      <c r="S353" s="11"/>
    </row>
    <row r="354" spans="1:19" ht="15.75">
      <c r="A354" s="13">
        <v>52655</v>
      </c>
      <c r="B354" s="8">
        <f>8.33 * CHOOSE(CONTROL!$C$15, $D$11, 100%, $F$11)</f>
        <v>8.33</v>
      </c>
      <c r="C354" s="8">
        <f>8.3403 * CHOOSE(CONTROL!$C$15, $D$11, 100%, $F$11)</f>
        <v>8.3402999999999992</v>
      </c>
      <c r="D354" s="8">
        <f>8.3409 * CHOOSE( CONTROL!$C$15, $D$11, 100%, $F$11)</f>
        <v>8.3408999999999995</v>
      </c>
      <c r="E354" s="12">
        <f>8.3396 * CHOOSE( CONTROL!$C$15, $D$11, 100%, $F$11)</f>
        <v>8.3396000000000008</v>
      </c>
      <c r="F354" s="4">
        <f>9.0049 * CHOOSE(CONTROL!$C$15, $D$11, 100%, $F$11)</f>
        <v>9.0048999999999992</v>
      </c>
      <c r="G354" s="8">
        <f>8.1968 * CHOOSE( CONTROL!$C$15, $D$11, 100%, $F$11)</f>
        <v>8.1967999999999996</v>
      </c>
      <c r="H354" s="4">
        <f>9.0878 * CHOOSE(CONTROL!$C$15, $D$11, 100%, $F$11)</f>
        <v>9.0877999999999997</v>
      </c>
      <c r="I354" s="8">
        <f>8.1325 * CHOOSE(CONTROL!$C$15, $D$11, 100%, $F$11)</f>
        <v>8.1325000000000003</v>
      </c>
      <c r="J354" s="4">
        <f>8.0308 * CHOOSE(CONTROL!$C$15, $D$11, 100%, $F$11)</f>
        <v>8.0307999999999993</v>
      </c>
      <c r="K354" s="4"/>
      <c r="L354" s="9">
        <v>25.631599999999999</v>
      </c>
      <c r="M354" s="9">
        <v>11.285299999999999</v>
      </c>
      <c r="N354" s="9">
        <v>4.6254999999999997</v>
      </c>
      <c r="O354" s="9">
        <v>0.35039999999999999</v>
      </c>
      <c r="P354" s="9">
        <v>1.2104999999999999</v>
      </c>
      <c r="Q354" s="9">
        <v>19.1417</v>
      </c>
      <c r="R354" s="9"/>
      <c r="S354" s="11"/>
    </row>
    <row r="355" spans="1:19" ht="15.75">
      <c r="A355" s="13">
        <v>52687</v>
      </c>
      <c r="B355" s="8">
        <f>8.1532 * CHOOSE(CONTROL!$C$15, $D$11, 100%, $F$11)</f>
        <v>8.1532</v>
      </c>
      <c r="C355" s="8">
        <f>8.1636 * CHOOSE(CONTROL!$C$15, $D$11, 100%, $F$11)</f>
        <v>8.1636000000000006</v>
      </c>
      <c r="D355" s="8">
        <f>8.1436 * CHOOSE( CONTROL!$C$15, $D$11, 100%, $F$11)</f>
        <v>8.1435999999999993</v>
      </c>
      <c r="E355" s="12">
        <f>8.1498 * CHOOSE( CONTROL!$C$15, $D$11, 100%, $F$11)</f>
        <v>8.1498000000000008</v>
      </c>
      <c r="F355" s="4">
        <f>8.8121 * CHOOSE(CONTROL!$C$15, $D$11, 100%, $F$11)</f>
        <v>8.8120999999999992</v>
      </c>
      <c r="G355" s="8">
        <f>8.0021 * CHOOSE( CONTROL!$C$15, $D$11, 100%, $F$11)</f>
        <v>8.0021000000000004</v>
      </c>
      <c r="H355" s="4">
        <f>8.8981 * CHOOSE(CONTROL!$C$15, $D$11, 100%, $F$11)</f>
        <v>8.8980999999999995</v>
      </c>
      <c r="I355" s="8">
        <f>7.9219 * CHOOSE(CONTROL!$C$15, $D$11, 100%, $F$11)</f>
        <v>7.9218999999999999</v>
      </c>
      <c r="J355" s="4">
        <f>7.8599 * CHOOSE(CONTROL!$C$15, $D$11, 100%, $F$11)</f>
        <v>7.8598999999999997</v>
      </c>
      <c r="K355" s="4"/>
      <c r="L355" s="9">
        <v>27.3993</v>
      </c>
      <c r="M355" s="9">
        <v>12.063700000000001</v>
      </c>
      <c r="N355" s="9">
        <v>4.9444999999999997</v>
      </c>
      <c r="O355" s="9">
        <v>0.37459999999999999</v>
      </c>
      <c r="P355" s="9">
        <v>1.2939000000000001</v>
      </c>
      <c r="Q355" s="9">
        <v>20.4619</v>
      </c>
      <c r="R355" s="9"/>
      <c r="S355" s="11"/>
    </row>
    <row r="356" spans="1:19" ht="15.75">
      <c r="A356" s="13">
        <v>52717</v>
      </c>
      <c r="B356" s="8">
        <f>8.2767 * CHOOSE(CONTROL!$C$15, $D$11, 100%, $F$11)</f>
        <v>8.2766999999999999</v>
      </c>
      <c r="C356" s="8">
        <f>8.2871 * CHOOSE(CONTROL!$C$15, $D$11, 100%, $F$11)</f>
        <v>8.2871000000000006</v>
      </c>
      <c r="D356" s="8">
        <f>8.2786 * CHOOSE( CONTROL!$C$15, $D$11, 100%, $F$11)</f>
        <v>8.2786000000000008</v>
      </c>
      <c r="E356" s="12">
        <f>8.2802 * CHOOSE( CONTROL!$C$15, $D$11, 100%, $F$11)</f>
        <v>8.2802000000000007</v>
      </c>
      <c r="F356" s="4">
        <f>8.9258 * CHOOSE(CONTROL!$C$15, $D$11, 100%, $F$11)</f>
        <v>8.9258000000000006</v>
      </c>
      <c r="G356" s="8">
        <f>8.1084 * CHOOSE( CONTROL!$C$15, $D$11, 100%, $F$11)</f>
        <v>8.1083999999999996</v>
      </c>
      <c r="H356" s="4">
        <f>9.01 * CHOOSE(CONTROL!$C$15, $D$11, 100%, $F$11)</f>
        <v>9.01</v>
      </c>
      <c r="I356" s="8">
        <f>8.0383 * CHOOSE(CONTROL!$C$15, $D$11, 100%, $F$11)</f>
        <v>8.0382999999999996</v>
      </c>
      <c r="J356" s="4">
        <f>7.9793 * CHOOSE(CONTROL!$C$15, $D$11, 100%, $F$11)</f>
        <v>7.9793000000000003</v>
      </c>
      <c r="K356" s="4"/>
      <c r="L356" s="9">
        <v>27.988800000000001</v>
      </c>
      <c r="M356" s="9">
        <v>11.6745</v>
      </c>
      <c r="N356" s="9">
        <v>4.7850000000000001</v>
      </c>
      <c r="O356" s="9">
        <v>0.36249999999999999</v>
      </c>
      <c r="P356" s="9">
        <v>1.1798</v>
      </c>
      <c r="Q356" s="9">
        <v>19.8018</v>
      </c>
      <c r="R356" s="9"/>
      <c r="S356" s="11"/>
    </row>
    <row r="357" spans="1:19" ht="15.75">
      <c r="A357" s="13">
        <v>52748</v>
      </c>
      <c r="B357" s="8">
        <f>CHOOSE( CONTROL!$C$32, 8.5011, 8.4966) * CHOOSE(CONTROL!$C$15, $D$11, 100%, $F$11)</f>
        <v>8.5010999999999992</v>
      </c>
      <c r="C357" s="8">
        <f>CHOOSE( CONTROL!$C$32, 8.5115, 8.5069) * CHOOSE(CONTROL!$C$15, $D$11, 100%, $F$11)</f>
        <v>8.5114999999999998</v>
      </c>
      <c r="D357" s="8">
        <f>CHOOSE( CONTROL!$C$32, 8.5212, 8.5166) * CHOOSE( CONTROL!$C$15, $D$11, 100%, $F$11)</f>
        <v>8.5212000000000003</v>
      </c>
      <c r="E357" s="12">
        <f>CHOOSE( CONTROL!$C$32, 8.5161, 8.5115) * CHOOSE( CONTROL!$C$15, $D$11, 100%, $F$11)</f>
        <v>8.5160999999999998</v>
      </c>
      <c r="F357" s="4">
        <f>CHOOSE( CONTROL!$C$32, 9.1894, 9.1849) * CHOOSE(CONTROL!$C$15, $D$11, 100%, $F$11)</f>
        <v>9.1893999999999991</v>
      </c>
      <c r="G357" s="8">
        <f>CHOOSE( CONTROL!$C$32, 8.3342, 8.3298) * CHOOSE( CONTROL!$C$15, $D$11, 100%, $F$11)</f>
        <v>8.3341999999999992</v>
      </c>
      <c r="H357" s="4">
        <f>CHOOSE( CONTROL!$C$32, 9.2693, 9.2648) * CHOOSE(CONTROL!$C$15, $D$11, 100%, $F$11)</f>
        <v>9.2692999999999994</v>
      </c>
      <c r="I357" s="8">
        <f>CHOOSE( CONTROL!$C$32, 8.2612, 8.2569) * CHOOSE(CONTROL!$C$15, $D$11, 100%, $F$11)</f>
        <v>8.2612000000000005</v>
      </c>
      <c r="J357" s="4">
        <f>CHOOSE( CONTROL!$C$32, 8.1963, 8.1919) * CHOOSE(CONTROL!$C$15, $D$11, 100%, $F$11)</f>
        <v>8.1963000000000008</v>
      </c>
      <c r="K357" s="4"/>
      <c r="L357" s="9">
        <v>29.520499999999998</v>
      </c>
      <c r="M357" s="9">
        <v>12.063700000000001</v>
      </c>
      <c r="N357" s="9">
        <v>4.9444999999999997</v>
      </c>
      <c r="O357" s="9">
        <v>0.37459999999999999</v>
      </c>
      <c r="P357" s="9">
        <v>1.2192000000000001</v>
      </c>
      <c r="Q357" s="9">
        <v>20.4619</v>
      </c>
      <c r="R357" s="9"/>
      <c r="S357" s="11"/>
    </row>
    <row r="358" spans="1:19" ht="15.75">
      <c r="A358" s="13">
        <v>52778</v>
      </c>
      <c r="B358" s="8">
        <f>CHOOSE( CONTROL!$C$32, 8.3649, 8.3604) * CHOOSE(CONTROL!$C$15, $D$11, 100%, $F$11)</f>
        <v>8.3649000000000004</v>
      </c>
      <c r="C358" s="8">
        <f>CHOOSE( CONTROL!$C$32, 8.3753, 8.3707) * CHOOSE(CONTROL!$C$15, $D$11, 100%, $F$11)</f>
        <v>8.3752999999999993</v>
      </c>
      <c r="D358" s="8">
        <f>CHOOSE( CONTROL!$C$32, 8.3856, 8.3811) * CHOOSE( CONTROL!$C$15, $D$11, 100%, $F$11)</f>
        <v>8.3856000000000002</v>
      </c>
      <c r="E358" s="12">
        <f>CHOOSE( CONTROL!$C$32, 8.3803, 8.3758) * CHOOSE( CONTROL!$C$15, $D$11, 100%, $F$11)</f>
        <v>8.3803000000000001</v>
      </c>
      <c r="F358" s="4">
        <f>CHOOSE( CONTROL!$C$32, 9.0532, 9.0487) * CHOOSE(CONTROL!$C$15, $D$11, 100%, $F$11)</f>
        <v>9.0532000000000004</v>
      </c>
      <c r="G358" s="8">
        <f>CHOOSE( CONTROL!$C$32, 8.2012, 8.1967) * CHOOSE( CONTROL!$C$15, $D$11, 100%, $F$11)</f>
        <v>8.2012</v>
      </c>
      <c r="H358" s="4">
        <f>CHOOSE( CONTROL!$C$32, 9.1353, 9.1308) * CHOOSE(CONTROL!$C$15, $D$11, 100%, $F$11)</f>
        <v>9.1353000000000009</v>
      </c>
      <c r="I358" s="8">
        <f>CHOOSE( CONTROL!$C$32, 8.1324, 8.1281) * CHOOSE(CONTROL!$C$15, $D$11, 100%, $F$11)</f>
        <v>8.1324000000000005</v>
      </c>
      <c r="J358" s="4">
        <f>CHOOSE( CONTROL!$C$32, 8.0646, 8.0602) * CHOOSE(CONTROL!$C$15, $D$11, 100%, $F$11)</f>
        <v>8.0646000000000004</v>
      </c>
      <c r="K358" s="4"/>
      <c r="L358" s="9">
        <v>28.568200000000001</v>
      </c>
      <c r="M358" s="9">
        <v>11.6745</v>
      </c>
      <c r="N358" s="9">
        <v>4.7850000000000001</v>
      </c>
      <c r="O358" s="9">
        <v>0.36249999999999999</v>
      </c>
      <c r="P358" s="9">
        <v>1.1798</v>
      </c>
      <c r="Q358" s="9">
        <v>19.8018</v>
      </c>
      <c r="R358" s="9"/>
      <c r="S358" s="11"/>
    </row>
    <row r="359" spans="1:19" ht="15.75">
      <c r="A359" s="13">
        <v>52809</v>
      </c>
      <c r="B359" s="8">
        <f>CHOOSE( CONTROL!$C$32, 8.7236, 8.719) * CHOOSE(CONTROL!$C$15, $D$11, 100%, $F$11)</f>
        <v>8.7235999999999994</v>
      </c>
      <c r="C359" s="8">
        <f>CHOOSE( CONTROL!$C$32, 8.7339, 8.7294) * CHOOSE(CONTROL!$C$15, $D$11, 100%, $F$11)</f>
        <v>8.7339000000000002</v>
      </c>
      <c r="D359" s="8">
        <f>CHOOSE( CONTROL!$C$32, 8.7448, 8.7403) * CHOOSE( CONTROL!$C$15, $D$11, 100%, $F$11)</f>
        <v>8.7447999999999997</v>
      </c>
      <c r="E359" s="12">
        <f>CHOOSE( CONTROL!$C$32, 8.7393, 8.7348) * CHOOSE( CONTROL!$C$15, $D$11, 100%, $F$11)</f>
        <v>8.7393000000000001</v>
      </c>
      <c r="F359" s="4">
        <f>CHOOSE( CONTROL!$C$32, 9.4119, 9.4073) * CHOOSE(CONTROL!$C$15, $D$11, 100%, $F$11)</f>
        <v>9.4118999999999993</v>
      </c>
      <c r="G359" s="8">
        <f>CHOOSE( CONTROL!$C$32, 8.5549, 8.5504) * CHOOSE( CONTROL!$C$15, $D$11, 100%, $F$11)</f>
        <v>8.5548999999999999</v>
      </c>
      <c r="H359" s="4">
        <f>CHOOSE( CONTROL!$C$32, 9.4881, 9.4837) * CHOOSE(CONTROL!$C$15, $D$11, 100%, $F$11)</f>
        <v>9.4880999999999993</v>
      </c>
      <c r="I359" s="8">
        <f>CHOOSE( CONTROL!$C$32, 8.4822, 8.4778) * CHOOSE(CONTROL!$C$15, $D$11, 100%, $F$11)</f>
        <v>8.4822000000000006</v>
      </c>
      <c r="J359" s="4">
        <f>CHOOSE( CONTROL!$C$32, 8.4115, 8.4071) * CHOOSE(CONTROL!$C$15, $D$11, 100%, $F$11)</f>
        <v>8.4115000000000002</v>
      </c>
      <c r="K359" s="4"/>
      <c r="L359" s="9">
        <v>29.520499999999998</v>
      </c>
      <c r="M359" s="9">
        <v>12.063700000000001</v>
      </c>
      <c r="N359" s="9">
        <v>4.9444999999999997</v>
      </c>
      <c r="O359" s="9">
        <v>0.37459999999999999</v>
      </c>
      <c r="P359" s="9">
        <v>1.2192000000000001</v>
      </c>
      <c r="Q359" s="9">
        <v>20.4619</v>
      </c>
      <c r="R359" s="9"/>
      <c r="S359" s="11"/>
    </row>
    <row r="360" spans="1:19" ht="15.75">
      <c r="A360" s="13">
        <v>52840</v>
      </c>
      <c r="B360" s="8">
        <f>CHOOSE( CONTROL!$C$32, 8.0525, 8.048) * CHOOSE(CONTROL!$C$15, $D$11, 100%, $F$11)</f>
        <v>8.0525000000000002</v>
      </c>
      <c r="C360" s="8">
        <f>CHOOSE( CONTROL!$C$32, 8.0629, 8.0583) * CHOOSE(CONTROL!$C$15, $D$11, 100%, $F$11)</f>
        <v>8.0629000000000008</v>
      </c>
      <c r="D360" s="8">
        <f>CHOOSE( CONTROL!$C$32, 8.074, 8.0695) * CHOOSE( CONTROL!$C$15, $D$11, 100%, $F$11)</f>
        <v>8.0739999999999998</v>
      </c>
      <c r="E360" s="12">
        <f>CHOOSE( CONTROL!$C$32, 8.0684, 8.0639) * CHOOSE( CONTROL!$C$15, $D$11, 100%, $F$11)</f>
        <v>8.0684000000000005</v>
      </c>
      <c r="F360" s="4">
        <f>CHOOSE( CONTROL!$C$32, 8.7408, 8.7363) * CHOOSE(CONTROL!$C$15, $D$11, 100%, $F$11)</f>
        <v>8.7408000000000001</v>
      </c>
      <c r="G360" s="8">
        <f>CHOOSE( CONTROL!$C$32, 7.8951, 7.8907) * CHOOSE( CONTROL!$C$15, $D$11, 100%, $F$11)</f>
        <v>7.8951000000000002</v>
      </c>
      <c r="H360" s="4">
        <f>CHOOSE( CONTROL!$C$32, 8.8279, 8.8235) * CHOOSE(CONTROL!$C$15, $D$11, 100%, $F$11)</f>
        <v>8.8278999999999996</v>
      </c>
      <c r="I360" s="8">
        <f>CHOOSE( CONTROL!$C$32, 7.8343, 7.8299) * CHOOSE(CONTROL!$C$15, $D$11, 100%, $F$11)</f>
        <v>7.8342999999999998</v>
      </c>
      <c r="J360" s="4">
        <f>CHOOSE( CONTROL!$C$32, 7.7625, 7.7581) * CHOOSE(CONTROL!$C$15, $D$11, 100%, $F$11)</f>
        <v>7.7625000000000002</v>
      </c>
      <c r="K360" s="4"/>
      <c r="L360" s="9">
        <v>29.520499999999998</v>
      </c>
      <c r="M360" s="9">
        <v>12.063700000000001</v>
      </c>
      <c r="N360" s="9">
        <v>4.9444999999999997</v>
      </c>
      <c r="O360" s="9">
        <v>0.37459999999999999</v>
      </c>
      <c r="P360" s="9">
        <v>1.2192000000000001</v>
      </c>
      <c r="Q360" s="9">
        <v>20.4619</v>
      </c>
      <c r="R360" s="9"/>
      <c r="S360" s="11"/>
    </row>
    <row r="361" spans="1:19" ht="15.75">
      <c r="A361" s="13">
        <v>52870</v>
      </c>
      <c r="B361" s="8">
        <f>CHOOSE( CONTROL!$C$32, 7.8845, 7.88) * CHOOSE(CONTROL!$C$15, $D$11, 100%, $F$11)</f>
        <v>7.8845000000000001</v>
      </c>
      <c r="C361" s="8">
        <f>CHOOSE( CONTROL!$C$32, 7.8948, 7.8903) * CHOOSE(CONTROL!$C$15, $D$11, 100%, $F$11)</f>
        <v>7.8948</v>
      </c>
      <c r="D361" s="8">
        <f>CHOOSE( CONTROL!$C$32, 7.9061, 7.9016) * CHOOSE( CONTROL!$C$15, $D$11, 100%, $F$11)</f>
        <v>7.9061000000000003</v>
      </c>
      <c r="E361" s="12">
        <f>CHOOSE( CONTROL!$C$32, 7.9004, 7.8959) * CHOOSE( CONTROL!$C$15, $D$11, 100%, $F$11)</f>
        <v>7.9004000000000003</v>
      </c>
      <c r="F361" s="4">
        <f>CHOOSE( CONTROL!$C$32, 8.5728, 8.5683) * CHOOSE(CONTROL!$C$15, $D$11, 100%, $F$11)</f>
        <v>8.5728000000000009</v>
      </c>
      <c r="G361" s="8">
        <f>CHOOSE( CONTROL!$C$32, 7.7299, 7.7255) * CHOOSE( CONTROL!$C$15, $D$11, 100%, $F$11)</f>
        <v>7.7298999999999998</v>
      </c>
      <c r="H361" s="4">
        <f>CHOOSE( CONTROL!$C$32, 8.6626, 8.6582) * CHOOSE(CONTROL!$C$15, $D$11, 100%, $F$11)</f>
        <v>8.6625999999999994</v>
      </c>
      <c r="I361" s="8">
        <f>CHOOSE( CONTROL!$C$32, 7.6721, 7.6677) * CHOOSE(CONTROL!$C$15, $D$11, 100%, $F$11)</f>
        <v>7.6721000000000004</v>
      </c>
      <c r="J361" s="4">
        <f>CHOOSE( CONTROL!$C$32, 7.6, 7.5956) * CHOOSE(CONTROL!$C$15, $D$11, 100%, $F$11)</f>
        <v>7.6</v>
      </c>
      <c r="K361" s="4"/>
      <c r="L361" s="9">
        <v>28.568200000000001</v>
      </c>
      <c r="M361" s="9">
        <v>11.6745</v>
      </c>
      <c r="N361" s="9">
        <v>4.7850000000000001</v>
      </c>
      <c r="O361" s="9">
        <v>0.36249999999999999</v>
      </c>
      <c r="P361" s="9">
        <v>1.1798</v>
      </c>
      <c r="Q361" s="9">
        <v>19.8018</v>
      </c>
      <c r="R361" s="9"/>
      <c r="S361" s="11"/>
    </row>
    <row r="362" spans="1:19" ht="15.75">
      <c r="A362" s="13">
        <v>52901</v>
      </c>
      <c r="B362" s="8">
        <f>8.2289 * CHOOSE(CONTROL!$C$15, $D$11, 100%, $F$11)</f>
        <v>8.2288999999999994</v>
      </c>
      <c r="C362" s="8">
        <f>8.2392 * CHOOSE(CONTROL!$C$15, $D$11, 100%, $F$11)</f>
        <v>8.2392000000000003</v>
      </c>
      <c r="D362" s="8">
        <f>8.2516 * CHOOSE( CONTROL!$C$15, $D$11, 100%, $F$11)</f>
        <v>8.2515999999999998</v>
      </c>
      <c r="E362" s="12">
        <f>8.2464 * CHOOSE( CONTROL!$C$15, $D$11, 100%, $F$11)</f>
        <v>8.2463999999999995</v>
      </c>
      <c r="F362" s="4">
        <f>8.9172 * CHOOSE(CONTROL!$C$15, $D$11, 100%, $F$11)</f>
        <v>8.9171999999999993</v>
      </c>
      <c r="G362" s="8">
        <f>8.0682 * CHOOSE( CONTROL!$C$15, $D$11, 100%, $F$11)</f>
        <v>8.0681999999999992</v>
      </c>
      <c r="H362" s="4">
        <f>9.0014 * CHOOSE(CONTROL!$C$15, $D$11, 100%, $F$11)</f>
        <v>9.0014000000000003</v>
      </c>
      <c r="I362" s="8">
        <f>8.0066 * CHOOSE(CONTROL!$C$15, $D$11, 100%, $F$11)</f>
        <v>8.0066000000000006</v>
      </c>
      <c r="J362" s="4">
        <f>7.933 * CHOOSE(CONTROL!$C$15, $D$11, 100%, $F$11)</f>
        <v>7.9329999999999998</v>
      </c>
      <c r="K362" s="4"/>
      <c r="L362" s="9">
        <v>28.921800000000001</v>
      </c>
      <c r="M362" s="9">
        <v>12.063700000000001</v>
      </c>
      <c r="N362" s="9">
        <v>4.9444999999999997</v>
      </c>
      <c r="O362" s="9">
        <v>0.37459999999999999</v>
      </c>
      <c r="P362" s="9">
        <v>1.2192000000000001</v>
      </c>
      <c r="Q362" s="9">
        <v>20.4619</v>
      </c>
      <c r="R362" s="9"/>
      <c r="S362" s="11"/>
    </row>
    <row r="363" spans="1:19" ht="15.75">
      <c r="A363" s="13">
        <v>52931</v>
      </c>
      <c r="B363" s="8">
        <f>8.8729 * CHOOSE(CONTROL!$C$15, $D$11, 100%, $F$11)</f>
        <v>8.8728999999999996</v>
      </c>
      <c r="C363" s="8">
        <f>8.8832 * CHOOSE(CONTROL!$C$15, $D$11, 100%, $F$11)</f>
        <v>8.8832000000000004</v>
      </c>
      <c r="D363" s="8">
        <f>8.8692 * CHOOSE( CONTROL!$C$15, $D$11, 100%, $F$11)</f>
        <v>8.8691999999999993</v>
      </c>
      <c r="E363" s="12">
        <f>8.8732 * CHOOSE( CONTROL!$C$15, $D$11, 100%, $F$11)</f>
        <v>8.8732000000000006</v>
      </c>
      <c r="F363" s="4">
        <f>9.5271 * CHOOSE(CONTROL!$C$15, $D$11, 100%, $F$11)</f>
        <v>9.5271000000000008</v>
      </c>
      <c r="G363" s="8">
        <f>8.719 * CHOOSE( CONTROL!$C$15, $D$11, 100%, $F$11)</f>
        <v>8.7189999999999994</v>
      </c>
      <c r="H363" s="4">
        <f>9.6015 * CHOOSE(CONTROL!$C$15, $D$11, 100%, $F$11)</f>
        <v>9.6014999999999997</v>
      </c>
      <c r="I363" s="8">
        <f>8.6628 * CHOOSE(CONTROL!$C$15, $D$11, 100%, $F$11)</f>
        <v>8.6628000000000007</v>
      </c>
      <c r="J363" s="4">
        <f>8.5558 * CHOOSE(CONTROL!$C$15, $D$11, 100%, $F$11)</f>
        <v>8.5557999999999996</v>
      </c>
      <c r="K363" s="4"/>
      <c r="L363" s="9">
        <v>26.515499999999999</v>
      </c>
      <c r="M363" s="9">
        <v>11.6745</v>
      </c>
      <c r="N363" s="9">
        <v>4.7850000000000001</v>
      </c>
      <c r="O363" s="9">
        <v>0.36249999999999999</v>
      </c>
      <c r="P363" s="9">
        <v>1.2522</v>
      </c>
      <c r="Q363" s="9">
        <v>19.8018</v>
      </c>
      <c r="R363" s="9"/>
      <c r="S363" s="11"/>
    </row>
    <row r="364" spans="1:19" ht="15.75">
      <c r="A364" s="13">
        <v>52962</v>
      </c>
      <c r="B364" s="8">
        <f>8.8568 * CHOOSE(CONTROL!$C$15, $D$11, 100%, $F$11)</f>
        <v>8.8567999999999998</v>
      </c>
      <c r="C364" s="8">
        <f>8.8671 * CHOOSE(CONTROL!$C$15, $D$11, 100%, $F$11)</f>
        <v>8.8671000000000006</v>
      </c>
      <c r="D364" s="8">
        <f>8.8556 * CHOOSE( CONTROL!$C$15, $D$11, 100%, $F$11)</f>
        <v>8.8556000000000008</v>
      </c>
      <c r="E364" s="12">
        <f>8.8587 * CHOOSE( CONTROL!$C$15, $D$11, 100%, $F$11)</f>
        <v>8.8587000000000007</v>
      </c>
      <c r="F364" s="4">
        <f>9.511 * CHOOSE(CONTROL!$C$15, $D$11, 100%, $F$11)</f>
        <v>9.5109999999999992</v>
      </c>
      <c r="G364" s="8">
        <f>8.705 * CHOOSE( CONTROL!$C$15, $D$11, 100%, $F$11)</f>
        <v>8.7050000000000001</v>
      </c>
      <c r="H364" s="4">
        <f>9.5857 * CHOOSE(CONTROL!$C$15, $D$11, 100%, $F$11)</f>
        <v>9.5856999999999992</v>
      </c>
      <c r="I364" s="8">
        <f>8.6552 * CHOOSE(CONTROL!$C$15, $D$11, 100%, $F$11)</f>
        <v>8.6552000000000007</v>
      </c>
      <c r="J364" s="4">
        <f>8.5403 * CHOOSE(CONTROL!$C$15, $D$11, 100%, $F$11)</f>
        <v>8.5403000000000002</v>
      </c>
      <c r="K364" s="4"/>
      <c r="L364" s="9">
        <v>27.3993</v>
      </c>
      <c r="M364" s="9">
        <v>12.063700000000001</v>
      </c>
      <c r="N364" s="9">
        <v>4.9444999999999997</v>
      </c>
      <c r="O364" s="9">
        <v>0.37459999999999999</v>
      </c>
      <c r="P364" s="9">
        <v>1.2939000000000001</v>
      </c>
      <c r="Q364" s="9">
        <v>20.4619</v>
      </c>
      <c r="R364" s="9"/>
      <c r="S364" s="11"/>
    </row>
    <row r="365" spans="1:19" ht="15.75">
      <c r="A365" s="13">
        <v>52993</v>
      </c>
      <c r="B365" s="8">
        <f>9.1943 * CHOOSE(CONTROL!$C$15, $D$11, 100%, $F$11)</f>
        <v>9.1943000000000001</v>
      </c>
      <c r="C365" s="8">
        <f>9.2046 * CHOOSE(CONTROL!$C$15, $D$11, 100%, $F$11)</f>
        <v>9.2045999999999992</v>
      </c>
      <c r="D365" s="8">
        <f>9.203 * CHOOSE( CONTROL!$C$15, $D$11, 100%, $F$11)</f>
        <v>9.2029999999999994</v>
      </c>
      <c r="E365" s="12">
        <f>9.2025 * CHOOSE( CONTROL!$C$15, $D$11, 100%, $F$11)</f>
        <v>9.2025000000000006</v>
      </c>
      <c r="F365" s="4">
        <f>9.877 * CHOOSE(CONTROL!$C$15, $D$11, 100%, $F$11)</f>
        <v>9.8770000000000007</v>
      </c>
      <c r="G365" s="8">
        <f>9.0473 * CHOOSE( CONTROL!$C$15, $D$11, 100%, $F$11)</f>
        <v>9.0472999999999999</v>
      </c>
      <c r="H365" s="4">
        <f>9.9457 * CHOOSE(CONTROL!$C$15, $D$11, 100%, $F$11)</f>
        <v>9.9457000000000004</v>
      </c>
      <c r="I365" s="8">
        <f>8.9797 * CHOOSE(CONTROL!$C$15, $D$11, 100%, $F$11)</f>
        <v>8.9796999999999993</v>
      </c>
      <c r="J365" s="4">
        <f>8.8667 * CHOOSE(CONTROL!$C$15, $D$11, 100%, $F$11)</f>
        <v>8.8666999999999998</v>
      </c>
      <c r="K365" s="4"/>
      <c r="L365" s="9">
        <v>27.3993</v>
      </c>
      <c r="M365" s="9">
        <v>12.063700000000001</v>
      </c>
      <c r="N365" s="9">
        <v>4.9444999999999997</v>
      </c>
      <c r="O365" s="9">
        <v>0.37459999999999999</v>
      </c>
      <c r="P365" s="9">
        <v>1.2939000000000001</v>
      </c>
      <c r="Q365" s="9">
        <v>20.396799999999999</v>
      </c>
      <c r="R365" s="9"/>
      <c r="S365" s="11"/>
    </row>
    <row r="366" spans="1:19" ht="15.75">
      <c r="A366" s="13">
        <v>53021</v>
      </c>
      <c r="B366" s="8">
        <f>8.6016 * CHOOSE(CONTROL!$C$15, $D$11, 100%, $F$11)</f>
        <v>8.6015999999999995</v>
      </c>
      <c r="C366" s="8">
        <f>8.6119 * CHOOSE(CONTROL!$C$15, $D$11, 100%, $F$11)</f>
        <v>8.6119000000000003</v>
      </c>
      <c r="D366" s="8">
        <f>8.6124 * CHOOSE( CONTROL!$C$15, $D$11, 100%, $F$11)</f>
        <v>8.6123999999999992</v>
      </c>
      <c r="E366" s="12">
        <f>8.6111 * CHOOSE( CONTROL!$C$15, $D$11, 100%, $F$11)</f>
        <v>8.6111000000000004</v>
      </c>
      <c r="F366" s="4">
        <f>9.2765 * CHOOSE(CONTROL!$C$15, $D$11, 100%, $F$11)</f>
        <v>9.2765000000000004</v>
      </c>
      <c r="G366" s="8">
        <f>8.4639 * CHOOSE( CONTROL!$C$15, $D$11, 100%, $F$11)</f>
        <v>8.4639000000000006</v>
      </c>
      <c r="H366" s="4">
        <f>9.355 * CHOOSE(CONTROL!$C$15, $D$11, 100%, $F$11)</f>
        <v>9.3550000000000004</v>
      </c>
      <c r="I366" s="8">
        <f>8.3953 * CHOOSE(CONTROL!$C$15, $D$11, 100%, $F$11)</f>
        <v>8.3953000000000007</v>
      </c>
      <c r="J366" s="4">
        <f>8.2935 * CHOOSE(CONTROL!$C$15, $D$11, 100%, $F$11)</f>
        <v>8.2934999999999999</v>
      </c>
      <c r="K366" s="4"/>
      <c r="L366" s="9">
        <v>24.747800000000002</v>
      </c>
      <c r="M366" s="9">
        <v>10.8962</v>
      </c>
      <c r="N366" s="9">
        <v>4.4660000000000002</v>
      </c>
      <c r="O366" s="9">
        <v>0.33829999999999999</v>
      </c>
      <c r="P366" s="9">
        <v>1.1687000000000001</v>
      </c>
      <c r="Q366" s="9">
        <v>18.422899999999998</v>
      </c>
      <c r="R366" s="9"/>
      <c r="S366" s="11"/>
    </row>
    <row r="367" spans="1:19" ht="15.75">
      <c r="A367" s="13">
        <v>53052</v>
      </c>
      <c r="B367" s="8">
        <f>8.419 * CHOOSE(CONTROL!$C$15, $D$11, 100%, $F$11)</f>
        <v>8.4190000000000005</v>
      </c>
      <c r="C367" s="8">
        <f>8.4294 * CHOOSE(CONTROL!$C$15, $D$11, 100%, $F$11)</f>
        <v>8.4293999999999993</v>
      </c>
      <c r="D367" s="8">
        <f>8.4094 * CHOOSE( CONTROL!$C$15, $D$11, 100%, $F$11)</f>
        <v>8.4093999999999998</v>
      </c>
      <c r="E367" s="12">
        <f>8.4156 * CHOOSE( CONTROL!$C$15, $D$11, 100%, $F$11)</f>
        <v>8.4155999999999995</v>
      </c>
      <c r="F367" s="4">
        <f>9.0779 * CHOOSE(CONTROL!$C$15, $D$11, 100%, $F$11)</f>
        <v>9.0778999999999996</v>
      </c>
      <c r="G367" s="8">
        <f>8.2636 * CHOOSE( CONTROL!$C$15, $D$11, 100%, $F$11)</f>
        <v>8.2636000000000003</v>
      </c>
      <c r="H367" s="4">
        <f>9.1596 * CHOOSE(CONTROL!$C$15, $D$11, 100%, $F$11)</f>
        <v>9.1595999999999993</v>
      </c>
      <c r="I367" s="8">
        <f>8.1791 * CHOOSE(CONTROL!$C$15, $D$11, 100%, $F$11)</f>
        <v>8.1791</v>
      </c>
      <c r="J367" s="4">
        <f>8.1169 * CHOOSE(CONTROL!$C$15, $D$11, 100%, $F$11)</f>
        <v>8.1168999999999993</v>
      </c>
      <c r="K367" s="4"/>
      <c r="L367" s="9">
        <v>27.3993</v>
      </c>
      <c r="M367" s="9">
        <v>12.063700000000001</v>
      </c>
      <c r="N367" s="9">
        <v>4.9444999999999997</v>
      </c>
      <c r="O367" s="9">
        <v>0.37459999999999999</v>
      </c>
      <c r="P367" s="9">
        <v>1.2939000000000001</v>
      </c>
      <c r="Q367" s="9">
        <v>20.396799999999999</v>
      </c>
      <c r="R367" s="9"/>
      <c r="S367" s="11"/>
    </row>
    <row r="368" spans="1:19" ht="15.75">
      <c r="A368" s="13">
        <v>53082</v>
      </c>
      <c r="B368" s="8">
        <f>8.5466 * CHOOSE(CONTROL!$C$15, $D$11, 100%, $F$11)</f>
        <v>8.5465999999999998</v>
      </c>
      <c r="C368" s="8">
        <f>8.5569 * CHOOSE(CONTROL!$C$15, $D$11, 100%, $F$11)</f>
        <v>8.5569000000000006</v>
      </c>
      <c r="D368" s="8">
        <f>8.5484 * CHOOSE( CONTROL!$C$15, $D$11, 100%, $F$11)</f>
        <v>8.5484000000000009</v>
      </c>
      <c r="E368" s="12">
        <f>8.55 * CHOOSE( CONTROL!$C$15, $D$11, 100%, $F$11)</f>
        <v>8.5500000000000007</v>
      </c>
      <c r="F368" s="4">
        <f>9.1957 * CHOOSE(CONTROL!$C$15, $D$11, 100%, $F$11)</f>
        <v>9.1957000000000004</v>
      </c>
      <c r="G368" s="8">
        <f>8.3739 * CHOOSE( CONTROL!$C$15, $D$11, 100%, $F$11)</f>
        <v>8.3739000000000008</v>
      </c>
      <c r="H368" s="4">
        <f>9.2754 * CHOOSE(CONTROL!$C$15, $D$11, 100%, $F$11)</f>
        <v>9.2753999999999994</v>
      </c>
      <c r="I368" s="8">
        <f>8.2994 * CHOOSE(CONTROL!$C$15, $D$11, 100%, $F$11)</f>
        <v>8.2994000000000003</v>
      </c>
      <c r="J368" s="4">
        <f>8.2403 * CHOOSE(CONTROL!$C$15, $D$11, 100%, $F$11)</f>
        <v>8.2402999999999995</v>
      </c>
      <c r="K368" s="4"/>
      <c r="L368" s="9">
        <v>27.988800000000001</v>
      </c>
      <c r="M368" s="9">
        <v>11.6745</v>
      </c>
      <c r="N368" s="9">
        <v>4.7850000000000001</v>
      </c>
      <c r="O368" s="9">
        <v>0.36249999999999999</v>
      </c>
      <c r="P368" s="9">
        <v>1.1798</v>
      </c>
      <c r="Q368" s="9">
        <v>19.738800000000001</v>
      </c>
      <c r="R368" s="9"/>
      <c r="S368" s="11"/>
    </row>
    <row r="369" spans="1:19" ht="15.75">
      <c r="A369" s="13">
        <v>53113</v>
      </c>
      <c r="B369" s="8">
        <f>CHOOSE( CONTROL!$C$32, 8.7781, 8.7736) * CHOOSE(CONTROL!$C$15, $D$11, 100%, $F$11)</f>
        <v>8.7781000000000002</v>
      </c>
      <c r="C369" s="8">
        <f>CHOOSE( CONTROL!$C$32, 8.7885, 8.784) * CHOOSE(CONTROL!$C$15, $D$11, 100%, $F$11)</f>
        <v>8.7885000000000009</v>
      </c>
      <c r="D369" s="8">
        <f>CHOOSE( CONTROL!$C$32, 8.7982, 8.7936) * CHOOSE( CONTROL!$C$15, $D$11, 100%, $F$11)</f>
        <v>8.7981999999999996</v>
      </c>
      <c r="E369" s="12">
        <f>CHOOSE( CONTROL!$C$32, 8.7931, 8.7885) * CHOOSE( CONTROL!$C$15, $D$11, 100%, $F$11)</f>
        <v>8.7931000000000008</v>
      </c>
      <c r="F369" s="4">
        <f>CHOOSE( CONTROL!$C$32, 9.4664, 9.4619) * CHOOSE(CONTROL!$C$15, $D$11, 100%, $F$11)</f>
        <v>9.4664000000000001</v>
      </c>
      <c r="G369" s="8">
        <f>CHOOSE( CONTROL!$C$32, 8.6068, 8.6023) * CHOOSE( CONTROL!$C$15, $D$11, 100%, $F$11)</f>
        <v>8.6067999999999998</v>
      </c>
      <c r="H369" s="4">
        <f>CHOOSE( CONTROL!$C$32, 9.5418, 9.5374) * CHOOSE(CONTROL!$C$15, $D$11, 100%, $F$11)</f>
        <v>9.5418000000000003</v>
      </c>
      <c r="I369" s="8">
        <f>CHOOSE( CONTROL!$C$32, 8.5293, 8.5249) * CHOOSE(CONTROL!$C$15, $D$11, 100%, $F$11)</f>
        <v>8.5292999999999992</v>
      </c>
      <c r="J369" s="4">
        <f>CHOOSE( CONTROL!$C$32, 8.4642, 8.4599) * CHOOSE(CONTROL!$C$15, $D$11, 100%, $F$11)</f>
        <v>8.4641999999999999</v>
      </c>
      <c r="K369" s="4"/>
      <c r="L369" s="9">
        <v>29.520499999999998</v>
      </c>
      <c r="M369" s="9">
        <v>12.063700000000001</v>
      </c>
      <c r="N369" s="9">
        <v>4.9444999999999997</v>
      </c>
      <c r="O369" s="9">
        <v>0.37459999999999999</v>
      </c>
      <c r="P369" s="9">
        <v>1.2192000000000001</v>
      </c>
      <c r="Q369" s="9">
        <v>20.396799999999999</v>
      </c>
      <c r="R369" s="9"/>
      <c r="S369" s="11"/>
    </row>
    <row r="370" spans="1:19" ht="15.75">
      <c r="A370" s="13">
        <v>53143</v>
      </c>
      <c r="B370" s="8">
        <f>CHOOSE( CONTROL!$C$32, 8.6375, 8.633) * CHOOSE(CONTROL!$C$15, $D$11, 100%, $F$11)</f>
        <v>8.6374999999999993</v>
      </c>
      <c r="C370" s="8">
        <f>CHOOSE( CONTROL!$C$32, 8.6478, 8.6433) * CHOOSE(CONTROL!$C$15, $D$11, 100%, $F$11)</f>
        <v>8.6478000000000002</v>
      </c>
      <c r="D370" s="8">
        <f>CHOOSE( CONTROL!$C$32, 8.6581, 8.6536) * CHOOSE( CONTROL!$C$15, $D$11, 100%, $F$11)</f>
        <v>8.6580999999999992</v>
      </c>
      <c r="E370" s="12">
        <f>CHOOSE( CONTROL!$C$32, 8.6528, 8.6483) * CHOOSE( CONTROL!$C$15, $D$11, 100%, $F$11)</f>
        <v>8.6527999999999992</v>
      </c>
      <c r="F370" s="4">
        <f>CHOOSE( CONTROL!$C$32, 9.3258, 9.3213) * CHOOSE(CONTROL!$C$15, $D$11, 100%, $F$11)</f>
        <v>9.3257999999999992</v>
      </c>
      <c r="G370" s="8">
        <f>CHOOSE( CONTROL!$C$32, 8.4693, 8.4649) * CHOOSE( CONTROL!$C$15, $D$11, 100%, $F$11)</f>
        <v>8.4693000000000005</v>
      </c>
      <c r="H370" s="4">
        <f>CHOOSE( CONTROL!$C$32, 9.4035, 9.399) * CHOOSE(CONTROL!$C$15, $D$11, 100%, $F$11)</f>
        <v>9.4034999999999993</v>
      </c>
      <c r="I370" s="8">
        <f>CHOOSE( CONTROL!$C$32, 8.3962, 8.3918) * CHOOSE(CONTROL!$C$15, $D$11, 100%, $F$11)</f>
        <v>8.3962000000000003</v>
      </c>
      <c r="J370" s="4">
        <f>CHOOSE( CONTROL!$C$32, 8.3282, 8.3238) * CHOOSE(CONTROL!$C$15, $D$11, 100%, $F$11)</f>
        <v>8.3282000000000007</v>
      </c>
      <c r="K370" s="4"/>
      <c r="L370" s="9">
        <v>28.568200000000001</v>
      </c>
      <c r="M370" s="9">
        <v>11.6745</v>
      </c>
      <c r="N370" s="9">
        <v>4.7850000000000001</v>
      </c>
      <c r="O370" s="9">
        <v>0.36249999999999999</v>
      </c>
      <c r="P370" s="9">
        <v>1.1798</v>
      </c>
      <c r="Q370" s="9">
        <v>19.738800000000001</v>
      </c>
      <c r="R370" s="9"/>
      <c r="S370" s="11"/>
    </row>
    <row r="371" spans="1:19" ht="15.75">
      <c r="A371" s="13">
        <v>53174</v>
      </c>
      <c r="B371" s="8">
        <f>CHOOSE( CONTROL!$C$32, 9.0079, 9.0033) * CHOOSE(CONTROL!$C$15, $D$11, 100%, $F$11)</f>
        <v>9.0078999999999994</v>
      </c>
      <c r="C371" s="8">
        <f>CHOOSE( CONTROL!$C$32, 9.0182, 9.0137) * CHOOSE(CONTROL!$C$15, $D$11, 100%, $F$11)</f>
        <v>9.0182000000000002</v>
      </c>
      <c r="D371" s="8">
        <f>CHOOSE( CONTROL!$C$32, 9.0291, 9.0246) * CHOOSE( CONTROL!$C$15, $D$11, 100%, $F$11)</f>
        <v>9.0290999999999997</v>
      </c>
      <c r="E371" s="12">
        <f>CHOOSE( CONTROL!$C$32, 9.0236, 9.0191) * CHOOSE( CONTROL!$C$15, $D$11, 100%, $F$11)</f>
        <v>9.0236000000000001</v>
      </c>
      <c r="F371" s="4">
        <f>CHOOSE( CONTROL!$C$32, 9.6961, 9.6916) * CHOOSE(CONTROL!$C$15, $D$11, 100%, $F$11)</f>
        <v>9.6960999999999995</v>
      </c>
      <c r="G371" s="8">
        <f>CHOOSE( CONTROL!$C$32, 8.8346, 8.8301) * CHOOSE( CONTROL!$C$15, $D$11, 100%, $F$11)</f>
        <v>8.8346</v>
      </c>
      <c r="H371" s="4">
        <f>CHOOSE( CONTROL!$C$32, 9.7678, 9.7634) * CHOOSE(CONTROL!$C$15, $D$11, 100%, $F$11)</f>
        <v>9.7677999999999994</v>
      </c>
      <c r="I371" s="8">
        <f>CHOOSE( CONTROL!$C$32, 8.7572, 8.7529) * CHOOSE(CONTROL!$C$15, $D$11, 100%, $F$11)</f>
        <v>8.7571999999999992</v>
      </c>
      <c r="J371" s="4">
        <f>CHOOSE( CONTROL!$C$32, 8.6864, 8.682) * CHOOSE(CONTROL!$C$15, $D$11, 100%, $F$11)</f>
        <v>8.6864000000000008</v>
      </c>
      <c r="K371" s="4"/>
      <c r="L371" s="9">
        <v>29.520499999999998</v>
      </c>
      <c r="M371" s="9">
        <v>12.063700000000001</v>
      </c>
      <c r="N371" s="9">
        <v>4.9444999999999997</v>
      </c>
      <c r="O371" s="9">
        <v>0.37459999999999999</v>
      </c>
      <c r="P371" s="9">
        <v>1.2192000000000001</v>
      </c>
      <c r="Q371" s="9">
        <v>20.396799999999999</v>
      </c>
      <c r="R371" s="9"/>
      <c r="S371" s="11"/>
    </row>
    <row r="372" spans="1:19" ht="15.75">
      <c r="A372" s="13">
        <v>53205</v>
      </c>
      <c r="B372" s="8">
        <f>CHOOSE( CONTROL!$C$32, 8.3149, 8.3103) * CHOOSE(CONTROL!$C$15, $D$11, 100%, $F$11)</f>
        <v>8.3148999999999997</v>
      </c>
      <c r="C372" s="8">
        <f>CHOOSE( CONTROL!$C$32, 8.3252, 8.3207) * CHOOSE(CONTROL!$C$15, $D$11, 100%, $F$11)</f>
        <v>8.3252000000000006</v>
      </c>
      <c r="D372" s="8">
        <f>CHOOSE( CONTROL!$C$32, 8.3364, 8.3319) * CHOOSE( CONTROL!$C$15, $D$11, 100%, $F$11)</f>
        <v>8.3363999999999994</v>
      </c>
      <c r="E372" s="12">
        <f>CHOOSE( CONTROL!$C$32, 8.3308, 8.3263) * CHOOSE( CONTROL!$C$15, $D$11, 100%, $F$11)</f>
        <v>8.3308</v>
      </c>
      <c r="F372" s="4">
        <f>CHOOSE( CONTROL!$C$32, 9.0032, 8.9986) * CHOOSE(CONTROL!$C$15, $D$11, 100%, $F$11)</f>
        <v>9.0031999999999996</v>
      </c>
      <c r="G372" s="8">
        <f>CHOOSE( CONTROL!$C$32, 8.1532, 8.1488) * CHOOSE( CONTROL!$C$15, $D$11, 100%, $F$11)</f>
        <v>8.1532</v>
      </c>
      <c r="H372" s="4">
        <f>CHOOSE( CONTROL!$C$32, 9.086, 9.0816) * CHOOSE(CONTROL!$C$15, $D$11, 100%, $F$11)</f>
        <v>9.0860000000000003</v>
      </c>
      <c r="I372" s="8">
        <f>CHOOSE( CONTROL!$C$32, 8.0881, 8.0837) * CHOOSE(CONTROL!$C$15, $D$11, 100%, $F$11)</f>
        <v>8.0881000000000007</v>
      </c>
      <c r="J372" s="4">
        <f>CHOOSE( CONTROL!$C$32, 8.0162, 8.0118) * CHOOSE(CONTROL!$C$15, $D$11, 100%, $F$11)</f>
        <v>8.0161999999999995</v>
      </c>
      <c r="K372" s="4"/>
      <c r="L372" s="9">
        <v>29.520499999999998</v>
      </c>
      <c r="M372" s="9">
        <v>12.063700000000001</v>
      </c>
      <c r="N372" s="9">
        <v>4.9444999999999997</v>
      </c>
      <c r="O372" s="9">
        <v>0.37459999999999999</v>
      </c>
      <c r="P372" s="9">
        <v>1.2192000000000001</v>
      </c>
      <c r="Q372" s="9">
        <v>20.396799999999999</v>
      </c>
      <c r="R372" s="9"/>
      <c r="S372" s="11"/>
    </row>
    <row r="373" spans="1:19" ht="15.75">
      <c r="A373" s="13">
        <v>53235</v>
      </c>
      <c r="B373" s="8">
        <f>CHOOSE( CONTROL!$C$32, 8.1413, 8.1368) * CHOOSE(CONTROL!$C$15, $D$11, 100%, $F$11)</f>
        <v>8.1412999999999993</v>
      </c>
      <c r="C373" s="8">
        <f>CHOOSE( CONTROL!$C$32, 8.1517, 8.1472) * CHOOSE(CONTROL!$C$15, $D$11, 100%, $F$11)</f>
        <v>8.1516999999999999</v>
      </c>
      <c r="D373" s="8">
        <f>CHOOSE( CONTROL!$C$32, 8.1629, 8.1584) * CHOOSE( CONTROL!$C$15, $D$11, 100%, $F$11)</f>
        <v>8.1629000000000005</v>
      </c>
      <c r="E373" s="12">
        <f>CHOOSE( CONTROL!$C$32, 8.1573, 8.1528) * CHOOSE( CONTROL!$C$15, $D$11, 100%, $F$11)</f>
        <v>8.1572999999999993</v>
      </c>
      <c r="F373" s="4">
        <f>CHOOSE( CONTROL!$C$32, 8.8296, 8.8251) * CHOOSE(CONTROL!$C$15, $D$11, 100%, $F$11)</f>
        <v>8.8295999999999992</v>
      </c>
      <c r="G373" s="8">
        <f>CHOOSE( CONTROL!$C$32, 7.9826, 7.9782) * CHOOSE( CONTROL!$C$15, $D$11, 100%, $F$11)</f>
        <v>7.9825999999999997</v>
      </c>
      <c r="H373" s="4">
        <f>CHOOSE( CONTROL!$C$32, 8.9153, 8.9109) * CHOOSE(CONTROL!$C$15, $D$11, 100%, $F$11)</f>
        <v>8.9153000000000002</v>
      </c>
      <c r="I373" s="8">
        <f>CHOOSE( CONTROL!$C$32, 7.9206, 7.9163) * CHOOSE(CONTROL!$C$15, $D$11, 100%, $F$11)</f>
        <v>7.9206000000000003</v>
      </c>
      <c r="J373" s="4">
        <f>CHOOSE( CONTROL!$C$32, 7.8484, 7.844) * CHOOSE(CONTROL!$C$15, $D$11, 100%, $F$11)</f>
        <v>7.8483999999999998</v>
      </c>
      <c r="K373" s="4"/>
      <c r="L373" s="9">
        <v>28.568200000000001</v>
      </c>
      <c r="M373" s="9">
        <v>11.6745</v>
      </c>
      <c r="N373" s="9">
        <v>4.7850000000000001</v>
      </c>
      <c r="O373" s="9">
        <v>0.36249999999999999</v>
      </c>
      <c r="P373" s="9">
        <v>1.1798</v>
      </c>
      <c r="Q373" s="9">
        <v>19.738800000000001</v>
      </c>
      <c r="R373" s="9"/>
      <c r="S373" s="11"/>
    </row>
    <row r="374" spans="1:19" ht="15.75">
      <c r="A374" s="13">
        <v>53266</v>
      </c>
      <c r="B374" s="8">
        <f>8.4971 * CHOOSE(CONTROL!$C$15, $D$11, 100%, $F$11)</f>
        <v>8.4970999999999997</v>
      </c>
      <c r="C374" s="8">
        <f>8.5075 * CHOOSE(CONTROL!$C$15, $D$11, 100%, $F$11)</f>
        <v>8.5075000000000003</v>
      </c>
      <c r="D374" s="8">
        <f>8.5199 * CHOOSE( CONTROL!$C$15, $D$11, 100%, $F$11)</f>
        <v>8.5198999999999998</v>
      </c>
      <c r="E374" s="12">
        <f>8.5147 * CHOOSE( CONTROL!$C$15, $D$11, 100%, $F$11)</f>
        <v>8.5146999999999995</v>
      </c>
      <c r="F374" s="4">
        <f>9.1854 * CHOOSE(CONTROL!$C$15, $D$11, 100%, $F$11)</f>
        <v>9.1853999999999996</v>
      </c>
      <c r="G374" s="8">
        <f>8.3321 * CHOOSE( CONTROL!$C$15, $D$11, 100%, $F$11)</f>
        <v>8.3321000000000005</v>
      </c>
      <c r="H374" s="4">
        <f>9.2654 * CHOOSE(CONTROL!$C$15, $D$11, 100%, $F$11)</f>
        <v>9.2653999999999996</v>
      </c>
      <c r="I374" s="8">
        <f>8.2662 * CHOOSE(CONTROL!$C$15, $D$11, 100%, $F$11)</f>
        <v>8.2661999999999995</v>
      </c>
      <c r="J374" s="4">
        <f>8.1925 * CHOOSE(CONTROL!$C$15, $D$11, 100%, $F$11)</f>
        <v>8.1925000000000008</v>
      </c>
      <c r="K374" s="4"/>
      <c r="L374" s="9">
        <v>28.921800000000001</v>
      </c>
      <c r="M374" s="9">
        <v>12.063700000000001</v>
      </c>
      <c r="N374" s="9">
        <v>4.9444999999999997</v>
      </c>
      <c r="O374" s="9">
        <v>0.37459999999999999</v>
      </c>
      <c r="P374" s="9">
        <v>1.2192000000000001</v>
      </c>
      <c r="Q374" s="9">
        <v>20.396799999999999</v>
      </c>
      <c r="R374" s="9"/>
      <c r="S374" s="11"/>
    </row>
    <row r="375" spans="1:19" ht="15.75">
      <c r="A375" s="13">
        <v>53296</v>
      </c>
      <c r="B375" s="8">
        <f>9.1622 * CHOOSE(CONTROL!$C$15, $D$11, 100%, $F$11)</f>
        <v>9.1622000000000003</v>
      </c>
      <c r="C375" s="8">
        <f>9.1725 * CHOOSE(CONTROL!$C$15, $D$11, 100%, $F$11)</f>
        <v>9.1724999999999994</v>
      </c>
      <c r="D375" s="8">
        <f>9.1586 * CHOOSE( CONTROL!$C$15, $D$11, 100%, $F$11)</f>
        <v>9.1585999999999999</v>
      </c>
      <c r="E375" s="12">
        <f>9.1626 * CHOOSE( CONTROL!$C$15, $D$11, 100%, $F$11)</f>
        <v>9.1625999999999994</v>
      </c>
      <c r="F375" s="4">
        <f>9.8164 * CHOOSE(CONTROL!$C$15, $D$11, 100%, $F$11)</f>
        <v>9.8163999999999998</v>
      </c>
      <c r="G375" s="8">
        <f>9.0036 * CHOOSE( CONTROL!$C$15, $D$11, 100%, $F$11)</f>
        <v>9.0036000000000005</v>
      </c>
      <c r="H375" s="4">
        <f>9.8862 * CHOOSE(CONTROL!$C$15, $D$11, 100%, $F$11)</f>
        <v>9.8862000000000005</v>
      </c>
      <c r="I375" s="8">
        <f>8.9427 * CHOOSE(CONTROL!$C$15, $D$11, 100%, $F$11)</f>
        <v>8.9427000000000003</v>
      </c>
      <c r="J375" s="4">
        <f>8.8356 * CHOOSE(CONTROL!$C$15, $D$11, 100%, $F$11)</f>
        <v>8.8355999999999995</v>
      </c>
      <c r="K375" s="4"/>
      <c r="L375" s="9">
        <v>26.515499999999999</v>
      </c>
      <c r="M375" s="9">
        <v>11.6745</v>
      </c>
      <c r="N375" s="9">
        <v>4.7850000000000001</v>
      </c>
      <c r="O375" s="9">
        <v>0.36249999999999999</v>
      </c>
      <c r="P375" s="9">
        <v>1.2522</v>
      </c>
      <c r="Q375" s="9">
        <v>19.738800000000001</v>
      </c>
      <c r="R375" s="9"/>
      <c r="S375" s="11"/>
    </row>
    <row r="376" spans="1:19" ht="15.75">
      <c r="A376" s="13">
        <v>53327</v>
      </c>
      <c r="B376" s="8">
        <f>9.1456 * CHOOSE(CONTROL!$C$15, $D$11, 100%, $F$11)</f>
        <v>9.1456</v>
      </c>
      <c r="C376" s="8">
        <f>9.1559 * CHOOSE(CONTROL!$C$15, $D$11, 100%, $F$11)</f>
        <v>9.1559000000000008</v>
      </c>
      <c r="D376" s="8">
        <f>9.1444 * CHOOSE( CONTROL!$C$15, $D$11, 100%, $F$11)</f>
        <v>9.1443999999999992</v>
      </c>
      <c r="E376" s="12">
        <f>9.1475 * CHOOSE( CONTROL!$C$15, $D$11, 100%, $F$11)</f>
        <v>9.1475000000000009</v>
      </c>
      <c r="F376" s="4">
        <f>9.7998 * CHOOSE(CONTROL!$C$15, $D$11, 100%, $F$11)</f>
        <v>9.7997999999999994</v>
      </c>
      <c r="G376" s="8">
        <f>8.9891 * CHOOSE( CONTROL!$C$15, $D$11, 100%, $F$11)</f>
        <v>8.9891000000000005</v>
      </c>
      <c r="H376" s="4">
        <f>9.8698 * CHOOSE(CONTROL!$C$15, $D$11, 100%, $F$11)</f>
        <v>9.8697999999999997</v>
      </c>
      <c r="I376" s="8">
        <f>8.9346 * CHOOSE(CONTROL!$C$15, $D$11, 100%, $F$11)</f>
        <v>8.9345999999999997</v>
      </c>
      <c r="J376" s="4">
        <f>8.8196 * CHOOSE(CONTROL!$C$15, $D$11, 100%, $F$11)</f>
        <v>8.8195999999999994</v>
      </c>
      <c r="K376" s="4"/>
      <c r="L376" s="9">
        <v>27.3993</v>
      </c>
      <c r="M376" s="9">
        <v>12.063700000000001</v>
      </c>
      <c r="N376" s="9">
        <v>4.9444999999999997</v>
      </c>
      <c r="O376" s="9">
        <v>0.37459999999999999</v>
      </c>
      <c r="P376" s="9">
        <v>1.2939000000000001</v>
      </c>
      <c r="Q376" s="9">
        <v>20.396799999999999</v>
      </c>
      <c r="R376" s="9"/>
      <c r="S376" s="11"/>
    </row>
    <row r="377" spans="1:19" ht="15.75">
      <c r="A377" s="13">
        <v>53358</v>
      </c>
      <c r="B377" s="8">
        <f>9.4941 * CHOOSE(CONTROL!$C$15, $D$11, 100%, $F$11)</f>
        <v>9.4940999999999995</v>
      </c>
      <c r="C377" s="8">
        <f>9.5045 * CHOOSE(CONTROL!$C$15, $D$11, 100%, $F$11)</f>
        <v>9.5045000000000002</v>
      </c>
      <c r="D377" s="8">
        <f>9.5029 * CHOOSE( CONTROL!$C$15, $D$11, 100%, $F$11)</f>
        <v>9.5029000000000003</v>
      </c>
      <c r="E377" s="12">
        <f>9.5024 * CHOOSE( CONTROL!$C$15, $D$11, 100%, $F$11)</f>
        <v>9.5023999999999997</v>
      </c>
      <c r="F377" s="4">
        <f>10.1768 * CHOOSE(CONTROL!$C$15, $D$11, 100%, $F$11)</f>
        <v>10.1768</v>
      </c>
      <c r="G377" s="8">
        <f>9.3423 * CHOOSE( CONTROL!$C$15, $D$11, 100%, $F$11)</f>
        <v>9.3422999999999998</v>
      </c>
      <c r="H377" s="4">
        <f>10.2407 * CHOOSE(CONTROL!$C$15, $D$11, 100%, $F$11)</f>
        <v>10.2407</v>
      </c>
      <c r="I377" s="8">
        <f>9.2698 * CHOOSE(CONTROL!$C$15, $D$11, 100%, $F$11)</f>
        <v>9.2698</v>
      </c>
      <c r="J377" s="4">
        <f>9.1567 * CHOOSE(CONTROL!$C$15, $D$11, 100%, $F$11)</f>
        <v>9.1567000000000007</v>
      </c>
      <c r="K377" s="4"/>
      <c r="L377" s="9">
        <v>27.3993</v>
      </c>
      <c r="M377" s="9">
        <v>12.063700000000001</v>
      </c>
      <c r="N377" s="9">
        <v>4.9444999999999997</v>
      </c>
      <c r="O377" s="9">
        <v>0.37459999999999999</v>
      </c>
      <c r="P377" s="9">
        <v>1.2939000000000001</v>
      </c>
      <c r="Q377" s="9">
        <v>20.331700000000001</v>
      </c>
      <c r="R377" s="9"/>
      <c r="S377" s="11"/>
    </row>
    <row r="378" spans="1:19" ht="15.75">
      <c r="A378" s="13">
        <v>53386</v>
      </c>
      <c r="B378" s="8">
        <f>8.882 * CHOOSE(CONTROL!$C$15, $D$11, 100%, $F$11)</f>
        <v>8.8819999999999997</v>
      </c>
      <c r="C378" s="8">
        <f>8.8924 * CHOOSE(CONTROL!$C$15, $D$11, 100%, $F$11)</f>
        <v>8.8924000000000003</v>
      </c>
      <c r="D378" s="8">
        <f>8.8929 * CHOOSE( CONTROL!$C$15, $D$11, 100%, $F$11)</f>
        <v>8.8928999999999991</v>
      </c>
      <c r="E378" s="12">
        <f>8.8916 * CHOOSE( CONTROL!$C$15, $D$11, 100%, $F$11)</f>
        <v>8.8916000000000004</v>
      </c>
      <c r="F378" s="4">
        <f>9.557 * CHOOSE(CONTROL!$C$15, $D$11, 100%, $F$11)</f>
        <v>9.5570000000000004</v>
      </c>
      <c r="G378" s="8">
        <f>8.7399 * CHOOSE( CONTROL!$C$15, $D$11, 100%, $F$11)</f>
        <v>8.7399000000000004</v>
      </c>
      <c r="H378" s="4">
        <f>9.6309 * CHOOSE(CONTROL!$C$15, $D$11, 100%, $F$11)</f>
        <v>9.6309000000000005</v>
      </c>
      <c r="I378" s="8">
        <f>8.6666 * CHOOSE(CONTROL!$C$15, $D$11, 100%, $F$11)</f>
        <v>8.6666000000000007</v>
      </c>
      <c r="J378" s="4">
        <f>8.5647 * CHOOSE(CONTROL!$C$15, $D$11, 100%, $F$11)</f>
        <v>8.5647000000000002</v>
      </c>
      <c r="K378" s="4"/>
      <c r="L378" s="9">
        <v>24.747800000000002</v>
      </c>
      <c r="M378" s="9">
        <v>10.8962</v>
      </c>
      <c r="N378" s="9">
        <v>4.4660000000000002</v>
      </c>
      <c r="O378" s="9">
        <v>0.33829999999999999</v>
      </c>
      <c r="P378" s="9">
        <v>1.1687000000000001</v>
      </c>
      <c r="Q378" s="9">
        <v>18.364100000000001</v>
      </c>
      <c r="R378" s="9"/>
      <c r="S378" s="11"/>
    </row>
    <row r="379" spans="1:19" ht="15.75">
      <c r="A379" s="13">
        <v>53417</v>
      </c>
      <c r="B379" s="8">
        <f>8.6935 * CHOOSE(CONTROL!$C$15, $D$11, 100%, $F$11)</f>
        <v>8.6935000000000002</v>
      </c>
      <c r="C379" s="8">
        <f>8.7038 * CHOOSE(CONTROL!$C$15, $D$11, 100%, $F$11)</f>
        <v>8.7037999999999993</v>
      </c>
      <c r="D379" s="8">
        <f>8.6839 * CHOOSE( CONTROL!$C$15, $D$11, 100%, $F$11)</f>
        <v>8.6838999999999995</v>
      </c>
      <c r="E379" s="12">
        <f>8.6901 * CHOOSE( CONTROL!$C$15, $D$11, 100%, $F$11)</f>
        <v>8.6900999999999993</v>
      </c>
      <c r="F379" s="4">
        <f>9.3524 * CHOOSE(CONTROL!$C$15, $D$11, 100%, $F$11)</f>
        <v>9.3523999999999994</v>
      </c>
      <c r="G379" s="8">
        <f>8.5337 * CHOOSE( CONTROL!$C$15, $D$11, 100%, $F$11)</f>
        <v>8.5336999999999996</v>
      </c>
      <c r="H379" s="4">
        <f>9.4296 * CHOOSE(CONTROL!$C$15, $D$11, 100%, $F$11)</f>
        <v>9.4296000000000006</v>
      </c>
      <c r="I379" s="8">
        <f>8.4447 * CHOOSE(CONTROL!$C$15, $D$11, 100%, $F$11)</f>
        <v>8.4446999999999992</v>
      </c>
      <c r="J379" s="4">
        <f>8.3824 * CHOOSE(CONTROL!$C$15, $D$11, 100%, $F$11)</f>
        <v>8.3824000000000005</v>
      </c>
      <c r="K379" s="4"/>
      <c r="L379" s="9">
        <v>27.3993</v>
      </c>
      <c r="M379" s="9">
        <v>12.063700000000001</v>
      </c>
      <c r="N379" s="9">
        <v>4.9444999999999997</v>
      </c>
      <c r="O379" s="9">
        <v>0.37459999999999999</v>
      </c>
      <c r="P379" s="9">
        <v>1.2939000000000001</v>
      </c>
      <c r="Q379" s="9">
        <v>20.331700000000001</v>
      </c>
      <c r="R379" s="9"/>
      <c r="S379" s="11"/>
    </row>
    <row r="380" spans="1:19" ht="15.75">
      <c r="A380" s="13">
        <v>53447</v>
      </c>
      <c r="B380" s="8">
        <f>8.8252 * CHOOSE(CONTROL!$C$15, $D$11, 100%, $F$11)</f>
        <v>8.8252000000000006</v>
      </c>
      <c r="C380" s="8">
        <f>8.8356 * CHOOSE(CONTROL!$C$15, $D$11, 100%, $F$11)</f>
        <v>8.8355999999999995</v>
      </c>
      <c r="D380" s="8">
        <f>8.8271 * CHOOSE( CONTROL!$C$15, $D$11, 100%, $F$11)</f>
        <v>8.8270999999999997</v>
      </c>
      <c r="E380" s="12">
        <f>8.8287 * CHOOSE( CONTROL!$C$15, $D$11, 100%, $F$11)</f>
        <v>8.8286999999999995</v>
      </c>
      <c r="F380" s="4">
        <f>9.4743 * CHOOSE(CONTROL!$C$15, $D$11, 100%, $F$11)</f>
        <v>9.4742999999999995</v>
      </c>
      <c r="G380" s="8">
        <f>8.6481 * CHOOSE( CONTROL!$C$15, $D$11, 100%, $F$11)</f>
        <v>8.6480999999999995</v>
      </c>
      <c r="H380" s="4">
        <f>9.5496 * CHOOSE(CONTROL!$C$15, $D$11, 100%, $F$11)</f>
        <v>9.5495999999999999</v>
      </c>
      <c r="I380" s="8">
        <f>8.569 * CHOOSE(CONTROL!$C$15, $D$11, 100%, $F$11)</f>
        <v>8.5690000000000008</v>
      </c>
      <c r="J380" s="4">
        <f>8.5098 * CHOOSE(CONTROL!$C$15, $D$11, 100%, $F$11)</f>
        <v>8.5098000000000003</v>
      </c>
      <c r="K380" s="4"/>
      <c r="L380" s="9">
        <v>27.988800000000001</v>
      </c>
      <c r="M380" s="9">
        <v>11.6745</v>
      </c>
      <c r="N380" s="9">
        <v>4.7850000000000001</v>
      </c>
      <c r="O380" s="9">
        <v>0.36249999999999999</v>
      </c>
      <c r="P380" s="9">
        <v>1.1798</v>
      </c>
      <c r="Q380" s="9">
        <v>19.675799999999999</v>
      </c>
      <c r="R380" s="9"/>
      <c r="S380" s="11"/>
    </row>
    <row r="381" spans="1:19" ht="15.75">
      <c r="A381" s="13">
        <v>53478</v>
      </c>
      <c r="B381" s="8">
        <f>CHOOSE( CONTROL!$C$32, 9.0642, 9.0597) * CHOOSE(CONTROL!$C$15, $D$11, 100%, $F$11)</f>
        <v>9.0641999999999996</v>
      </c>
      <c r="C381" s="8">
        <f>CHOOSE( CONTROL!$C$32, 9.0746, 9.07) * CHOOSE(CONTROL!$C$15, $D$11, 100%, $F$11)</f>
        <v>9.0746000000000002</v>
      </c>
      <c r="D381" s="8">
        <f>CHOOSE( CONTROL!$C$32, 9.0843, 9.0797) * CHOOSE( CONTROL!$C$15, $D$11, 100%, $F$11)</f>
        <v>9.0843000000000007</v>
      </c>
      <c r="E381" s="12">
        <f>CHOOSE( CONTROL!$C$32, 9.0792, 9.0746) * CHOOSE( CONTROL!$C$15, $D$11, 100%, $F$11)</f>
        <v>9.0792000000000002</v>
      </c>
      <c r="F381" s="4">
        <f>CHOOSE( CONTROL!$C$32, 9.7525, 9.748) * CHOOSE(CONTROL!$C$15, $D$11, 100%, $F$11)</f>
        <v>9.7524999999999995</v>
      </c>
      <c r="G381" s="8">
        <f>CHOOSE( CONTROL!$C$32, 8.8882, 8.8838) * CHOOSE( CONTROL!$C$15, $D$11, 100%, $F$11)</f>
        <v>8.8881999999999994</v>
      </c>
      <c r="H381" s="4">
        <f>CHOOSE( CONTROL!$C$32, 9.8233, 9.8188) * CHOOSE(CONTROL!$C$15, $D$11, 100%, $F$11)</f>
        <v>9.8232999999999997</v>
      </c>
      <c r="I381" s="8">
        <f>CHOOSE( CONTROL!$C$32, 8.8061, 8.8017) * CHOOSE(CONTROL!$C$15, $D$11, 100%, $F$11)</f>
        <v>8.8061000000000007</v>
      </c>
      <c r="J381" s="4">
        <f>CHOOSE( CONTROL!$C$32, 8.7409, 8.7365) * CHOOSE(CONTROL!$C$15, $D$11, 100%, $F$11)</f>
        <v>8.7408999999999999</v>
      </c>
      <c r="K381" s="4"/>
      <c r="L381" s="9">
        <v>29.520499999999998</v>
      </c>
      <c r="M381" s="9">
        <v>12.063700000000001</v>
      </c>
      <c r="N381" s="9">
        <v>4.9444999999999997</v>
      </c>
      <c r="O381" s="9">
        <v>0.37459999999999999</v>
      </c>
      <c r="P381" s="9">
        <v>1.2192000000000001</v>
      </c>
      <c r="Q381" s="9">
        <v>20.331700000000001</v>
      </c>
      <c r="R381" s="9"/>
      <c r="S381" s="11"/>
    </row>
    <row r="382" spans="1:19" ht="15.75">
      <c r="A382" s="13">
        <v>53508</v>
      </c>
      <c r="B382" s="8">
        <f>CHOOSE( CONTROL!$C$32, 8.919, 8.9145) * CHOOSE(CONTROL!$C$15, $D$11, 100%, $F$11)</f>
        <v>8.9190000000000005</v>
      </c>
      <c r="C382" s="8">
        <f>CHOOSE( CONTROL!$C$32, 8.9293, 8.9248) * CHOOSE(CONTROL!$C$15, $D$11, 100%, $F$11)</f>
        <v>8.9292999999999996</v>
      </c>
      <c r="D382" s="8">
        <f>CHOOSE( CONTROL!$C$32, 8.9396, 8.9351) * CHOOSE( CONTROL!$C$15, $D$11, 100%, $F$11)</f>
        <v>8.9396000000000004</v>
      </c>
      <c r="E382" s="12">
        <f>CHOOSE( CONTROL!$C$32, 8.9343, 8.9298) * CHOOSE( CONTROL!$C$15, $D$11, 100%, $F$11)</f>
        <v>8.9343000000000004</v>
      </c>
      <c r="F382" s="4">
        <f>CHOOSE( CONTROL!$C$32, 9.6073, 9.6027) * CHOOSE(CONTROL!$C$15, $D$11, 100%, $F$11)</f>
        <v>9.6073000000000004</v>
      </c>
      <c r="G382" s="8">
        <f>CHOOSE( CONTROL!$C$32, 8.7463, 8.7418) * CHOOSE( CONTROL!$C$15, $D$11, 100%, $F$11)</f>
        <v>8.7462999999999997</v>
      </c>
      <c r="H382" s="4">
        <f>CHOOSE( CONTROL!$C$32, 9.6804, 9.6759) * CHOOSE(CONTROL!$C$15, $D$11, 100%, $F$11)</f>
        <v>9.6804000000000006</v>
      </c>
      <c r="I382" s="8">
        <f>CHOOSE( CONTROL!$C$32, 8.6685, 8.6641) * CHOOSE(CONTROL!$C$15, $D$11, 100%, $F$11)</f>
        <v>8.6684999999999999</v>
      </c>
      <c r="J382" s="4">
        <f>CHOOSE( CONTROL!$C$32, 8.6004, 8.5961) * CHOOSE(CONTROL!$C$15, $D$11, 100%, $F$11)</f>
        <v>8.6004000000000005</v>
      </c>
      <c r="K382" s="4"/>
      <c r="L382" s="9">
        <v>28.568200000000001</v>
      </c>
      <c r="M382" s="9">
        <v>11.6745</v>
      </c>
      <c r="N382" s="9">
        <v>4.7850000000000001</v>
      </c>
      <c r="O382" s="9">
        <v>0.36249999999999999</v>
      </c>
      <c r="P382" s="9">
        <v>1.1798</v>
      </c>
      <c r="Q382" s="9">
        <v>19.675799999999999</v>
      </c>
      <c r="R382" s="9"/>
      <c r="S382" s="11"/>
    </row>
    <row r="383" spans="1:19" ht="15.75">
      <c r="A383" s="13">
        <v>53539</v>
      </c>
      <c r="B383" s="8">
        <f>CHOOSE( CONTROL!$C$32, 9.3015, 9.2969) * CHOOSE(CONTROL!$C$15, $D$11, 100%, $F$11)</f>
        <v>9.3015000000000008</v>
      </c>
      <c r="C383" s="8">
        <f>CHOOSE( CONTROL!$C$32, 9.3118, 9.3073) * CHOOSE(CONTROL!$C$15, $D$11, 100%, $F$11)</f>
        <v>9.3117999999999999</v>
      </c>
      <c r="D383" s="8">
        <f>CHOOSE( CONTROL!$C$32, 9.3227, 9.3181) * CHOOSE( CONTROL!$C$15, $D$11, 100%, $F$11)</f>
        <v>9.3226999999999993</v>
      </c>
      <c r="E383" s="12">
        <f>CHOOSE( CONTROL!$C$32, 9.3172, 9.3126) * CHOOSE( CONTROL!$C$15, $D$11, 100%, $F$11)</f>
        <v>9.3171999999999997</v>
      </c>
      <c r="F383" s="4">
        <f>CHOOSE( CONTROL!$C$32, 9.9897, 9.9852) * CHOOSE(CONTROL!$C$15, $D$11, 100%, $F$11)</f>
        <v>9.9896999999999991</v>
      </c>
      <c r="G383" s="8">
        <f>CHOOSE( CONTROL!$C$32, 9.1234, 9.119) * CHOOSE( CONTROL!$C$15, $D$11, 100%, $F$11)</f>
        <v>9.1234000000000002</v>
      </c>
      <c r="H383" s="4">
        <f>CHOOSE( CONTROL!$C$32, 10.0567, 10.0522) * CHOOSE(CONTROL!$C$15, $D$11, 100%, $F$11)</f>
        <v>10.056699999999999</v>
      </c>
      <c r="I383" s="8">
        <f>CHOOSE( CONTROL!$C$32, 9.0413, 9.0369) * CHOOSE(CONTROL!$C$15, $D$11, 100%, $F$11)</f>
        <v>9.0412999999999997</v>
      </c>
      <c r="J383" s="4">
        <f>CHOOSE( CONTROL!$C$32, 8.9703, 8.966) * CHOOSE(CONTROL!$C$15, $D$11, 100%, $F$11)</f>
        <v>8.9702999999999999</v>
      </c>
      <c r="K383" s="4"/>
      <c r="L383" s="9">
        <v>29.520499999999998</v>
      </c>
      <c r="M383" s="9">
        <v>12.063700000000001</v>
      </c>
      <c r="N383" s="9">
        <v>4.9444999999999997</v>
      </c>
      <c r="O383" s="9">
        <v>0.37459999999999999</v>
      </c>
      <c r="P383" s="9">
        <v>1.2192000000000001</v>
      </c>
      <c r="Q383" s="9">
        <v>20.331700000000001</v>
      </c>
      <c r="R383" s="9"/>
      <c r="S383" s="11"/>
    </row>
    <row r="384" spans="1:19" ht="15.75">
      <c r="A384" s="13">
        <v>53570</v>
      </c>
      <c r="B384" s="8">
        <f>CHOOSE( CONTROL!$C$32, 8.5858, 8.5813) * CHOOSE(CONTROL!$C$15, $D$11, 100%, $F$11)</f>
        <v>8.5858000000000008</v>
      </c>
      <c r="C384" s="8">
        <f>CHOOSE( CONTROL!$C$32, 8.5961, 8.5916) * CHOOSE(CONTROL!$C$15, $D$11, 100%, $F$11)</f>
        <v>8.5960999999999999</v>
      </c>
      <c r="D384" s="8">
        <f>CHOOSE( CONTROL!$C$32, 8.6073, 8.6028) * CHOOSE( CONTROL!$C$15, $D$11, 100%, $F$11)</f>
        <v>8.6073000000000004</v>
      </c>
      <c r="E384" s="12">
        <f>CHOOSE( CONTROL!$C$32, 8.6017, 8.5972) * CHOOSE( CONTROL!$C$15, $D$11, 100%, $F$11)</f>
        <v>8.6016999999999992</v>
      </c>
      <c r="F384" s="4">
        <f>CHOOSE( CONTROL!$C$32, 9.2741, 9.2696) * CHOOSE(CONTROL!$C$15, $D$11, 100%, $F$11)</f>
        <v>9.2741000000000007</v>
      </c>
      <c r="G384" s="8">
        <f>CHOOSE( CONTROL!$C$32, 8.4198, 8.4153) * CHOOSE( CONTROL!$C$15, $D$11, 100%, $F$11)</f>
        <v>8.4198000000000004</v>
      </c>
      <c r="H384" s="4">
        <f>CHOOSE( CONTROL!$C$32, 9.3526, 9.3481) * CHOOSE(CONTROL!$C$15, $D$11, 100%, $F$11)</f>
        <v>9.3526000000000007</v>
      </c>
      <c r="I384" s="8">
        <f>CHOOSE( CONTROL!$C$32, 8.3503, 8.3459) * CHOOSE(CONTROL!$C$15, $D$11, 100%, $F$11)</f>
        <v>8.3503000000000007</v>
      </c>
      <c r="J384" s="4">
        <f>CHOOSE( CONTROL!$C$32, 8.2782, 8.2738) * CHOOSE(CONTROL!$C$15, $D$11, 100%, $F$11)</f>
        <v>8.2782</v>
      </c>
      <c r="K384" s="4"/>
      <c r="L384" s="9">
        <v>29.520499999999998</v>
      </c>
      <c r="M384" s="9">
        <v>12.063700000000001</v>
      </c>
      <c r="N384" s="9">
        <v>4.9444999999999997</v>
      </c>
      <c r="O384" s="9">
        <v>0.37459999999999999</v>
      </c>
      <c r="P384" s="9">
        <v>1.2192000000000001</v>
      </c>
      <c r="Q384" s="9">
        <v>20.331700000000001</v>
      </c>
      <c r="R384" s="9"/>
      <c r="S384" s="11"/>
    </row>
    <row r="385" spans="1:19" ht="15.75">
      <c r="A385" s="13">
        <v>53600</v>
      </c>
      <c r="B385" s="8">
        <f>CHOOSE( CONTROL!$C$32, 8.4066, 8.4021) * CHOOSE(CONTROL!$C$15, $D$11, 100%, $F$11)</f>
        <v>8.4065999999999992</v>
      </c>
      <c r="C385" s="8">
        <f>CHOOSE( CONTROL!$C$32, 8.4169, 8.4124) * CHOOSE(CONTROL!$C$15, $D$11, 100%, $F$11)</f>
        <v>8.4169</v>
      </c>
      <c r="D385" s="8">
        <f>CHOOSE( CONTROL!$C$32, 8.4282, 8.4237) * CHOOSE( CONTROL!$C$15, $D$11, 100%, $F$11)</f>
        <v>8.4282000000000004</v>
      </c>
      <c r="E385" s="12">
        <f>CHOOSE( CONTROL!$C$32, 8.4225, 8.418) * CHOOSE( CONTROL!$C$15, $D$11, 100%, $F$11)</f>
        <v>8.4224999999999994</v>
      </c>
      <c r="F385" s="4">
        <f>CHOOSE( CONTROL!$C$32, 9.0949, 9.0904) * CHOOSE(CONTROL!$C$15, $D$11, 100%, $F$11)</f>
        <v>9.0949000000000009</v>
      </c>
      <c r="G385" s="8">
        <f>CHOOSE( CONTROL!$C$32, 8.2436, 8.2392) * CHOOSE( CONTROL!$C$15, $D$11, 100%, $F$11)</f>
        <v>8.2436000000000007</v>
      </c>
      <c r="H385" s="4">
        <f>CHOOSE( CONTROL!$C$32, 9.1763, 9.1718) * CHOOSE(CONTROL!$C$15, $D$11, 100%, $F$11)</f>
        <v>9.1762999999999995</v>
      </c>
      <c r="I385" s="8">
        <f>CHOOSE( CONTROL!$C$32, 8.1773, 8.1729) * CHOOSE(CONTROL!$C$15, $D$11, 100%, $F$11)</f>
        <v>8.1773000000000007</v>
      </c>
      <c r="J385" s="4">
        <f>CHOOSE( CONTROL!$C$32, 8.1049, 8.1005) * CHOOSE(CONTROL!$C$15, $D$11, 100%, $F$11)</f>
        <v>8.1049000000000007</v>
      </c>
      <c r="K385" s="4"/>
      <c r="L385" s="9">
        <v>28.568200000000001</v>
      </c>
      <c r="M385" s="9">
        <v>11.6745</v>
      </c>
      <c r="N385" s="9">
        <v>4.7850000000000001</v>
      </c>
      <c r="O385" s="9">
        <v>0.36249999999999999</v>
      </c>
      <c r="P385" s="9">
        <v>1.1798</v>
      </c>
      <c r="Q385" s="9">
        <v>19.675799999999999</v>
      </c>
      <c r="R385" s="9"/>
      <c r="S385" s="11"/>
    </row>
    <row r="386" spans="1:19" ht="15.75">
      <c r="A386" s="13">
        <v>53631</v>
      </c>
      <c r="B386" s="8">
        <f>8.7742 * CHOOSE(CONTROL!$C$15, $D$11, 100%, $F$11)</f>
        <v>8.7742000000000004</v>
      </c>
      <c r="C386" s="8">
        <f>8.7845 * CHOOSE(CONTROL!$C$15, $D$11, 100%, $F$11)</f>
        <v>8.7844999999999995</v>
      </c>
      <c r="D386" s="8">
        <f>8.7969 * CHOOSE( CONTROL!$C$15, $D$11, 100%, $F$11)</f>
        <v>8.7969000000000008</v>
      </c>
      <c r="E386" s="12">
        <f>8.7917 * CHOOSE( CONTROL!$C$15, $D$11, 100%, $F$11)</f>
        <v>8.7917000000000005</v>
      </c>
      <c r="F386" s="4">
        <f>9.4625 * CHOOSE(CONTROL!$C$15, $D$11, 100%, $F$11)</f>
        <v>9.4625000000000004</v>
      </c>
      <c r="G386" s="8">
        <f>8.6047 * CHOOSE( CONTROL!$C$15, $D$11, 100%, $F$11)</f>
        <v>8.6046999999999993</v>
      </c>
      <c r="H386" s="4">
        <f>9.5379 * CHOOSE(CONTROL!$C$15, $D$11, 100%, $F$11)</f>
        <v>9.5379000000000005</v>
      </c>
      <c r="I386" s="8">
        <f>8.5342 * CHOOSE(CONTROL!$C$15, $D$11, 100%, $F$11)</f>
        <v>8.5342000000000002</v>
      </c>
      <c r="J386" s="4">
        <f>8.4604 * CHOOSE(CONTROL!$C$15, $D$11, 100%, $F$11)</f>
        <v>8.4603999999999999</v>
      </c>
      <c r="K386" s="4"/>
      <c r="L386" s="9">
        <v>28.921800000000001</v>
      </c>
      <c r="M386" s="9">
        <v>12.063700000000001</v>
      </c>
      <c r="N386" s="9">
        <v>4.9444999999999997</v>
      </c>
      <c r="O386" s="9">
        <v>0.37459999999999999</v>
      </c>
      <c r="P386" s="9">
        <v>1.2192000000000001</v>
      </c>
      <c r="Q386" s="9">
        <v>20.331700000000001</v>
      </c>
      <c r="R386" s="9"/>
      <c r="S386" s="11"/>
    </row>
    <row r="387" spans="1:19" ht="15.75">
      <c r="A387" s="13">
        <v>53661</v>
      </c>
      <c r="B387" s="8">
        <f>9.461 * CHOOSE(CONTROL!$C$15, $D$11, 100%, $F$11)</f>
        <v>9.4610000000000003</v>
      </c>
      <c r="C387" s="8">
        <f>9.4713 * CHOOSE(CONTROL!$C$15, $D$11, 100%, $F$11)</f>
        <v>9.4712999999999994</v>
      </c>
      <c r="D387" s="8">
        <f>9.4574 * CHOOSE( CONTROL!$C$15, $D$11, 100%, $F$11)</f>
        <v>9.4573999999999998</v>
      </c>
      <c r="E387" s="12">
        <f>9.4614 * CHOOSE( CONTROL!$C$15, $D$11, 100%, $F$11)</f>
        <v>9.4613999999999994</v>
      </c>
      <c r="F387" s="4">
        <f>10.1152 * CHOOSE(CONTROL!$C$15, $D$11, 100%, $F$11)</f>
        <v>10.1152</v>
      </c>
      <c r="G387" s="8">
        <f>9.2976 * CHOOSE( CONTROL!$C$15, $D$11, 100%, $F$11)</f>
        <v>9.2975999999999992</v>
      </c>
      <c r="H387" s="4">
        <f>10.1801 * CHOOSE(CONTROL!$C$15, $D$11, 100%, $F$11)</f>
        <v>10.180099999999999</v>
      </c>
      <c r="I387" s="8">
        <f>9.2318 * CHOOSE(CONTROL!$C$15, $D$11, 100%, $F$11)</f>
        <v>9.2317999999999998</v>
      </c>
      <c r="J387" s="4">
        <f>9.1246 * CHOOSE(CONTROL!$C$15, $D$11, 100%, $F$11)</f>
        <v>9.1245999999999992</v>
      </c>
      <c r="K387" s="4"/>
      <c r="L387" s="9">
        <v>26.515499999999999</v>
      </c>
      <c r="M387" s="9">
        <v>11.6745</v>
      </c>
      <c r="N387" s="9">
        <v>4.7850000000000001</v>
      </c>
      <c r="O387" s="9">
        <v>0.36249999999999999</v>
      </c>
      <c r="P387" s="9">
        <v>1.2522</v>
      </c>
      <c r="Q387" s="9">
        <v>19.675799999999999</v>
      </c>
      <c r="R387" s="9"/>
      <c r="S387" s="11"/>
    </row>
    <row r="388" spans="1:19" ht="15.75">
      <c r="A388" s="13">
        <v>53692</v>
      </c>
      <c r="B388" s="8">
        <f>9.4438 * CHOOSE(CONTROL!$C$15, $D$11, 100%, $F$11)</f>
        <v>9.4437999999999995</v>
      </c>
      <c r="C388" s="8">
        <f>9.4542 * CHOOSE(CONTROL!$C$15, $D$11, 100%, $F$11)</f>
        <v>9.4542000000000002</v>
      </c>
      <c r="D388" s="8">
        <f>9.4427 * CHOOSE( CONTROL!$C$15, $D$11, 100%, $F$11)</f>
        <v>9.4427000000000003</v>
      </c>
      <c r="E388" s="12">
        <f>9.4458 * CHOOSE( CONTROL!$C$15, $D$11, 100%, $F$11)</f>
        <v>9.4458000000000002</v>
      </c>
      <c r="F388" s="4">
        <f>10.0981 * CHOOSE(CONTROL!$C$15, $D$11, 100%, $F$11)</f>
        <v>10.098100000000001</v>
      </c>
      <c r="G388" s="8">
        <f>9.2825 * CHOOSE( CONTROL!$C$15, $D$11, 100%, $F$11)</f>
        <v>9.2825000000000006</v>
      </c>
      <c r="H388" s="4">
        <f>10.1632 * CHOOSE(CONTROL!$C$15, $D$11, 100%, $F$11)</f>
        <v>10.1632</v>
      </c>
      <c r="I388" s="8">
        <f>9.2232 * CHOOSE(CONTROL!$C$15, $D$11, 100%, $F$11)</f>
        <v>9.2232000000000003</v>
      </c>
      <c r="J388" s="4">
        <f>9.108 * CHOOSE(CONTROL!$C$15, $D$11, 100%, $F$11)</f>
        <v>9.1080000000000005</v>
      </c>
      <c r="K388" s="4"/>
      <c r="L388" s="9">
        <v>27.3993</v>
      </c>
      <c r="M388" s="9">
        <v>12.063700000000001</v>
      </c>
      <c r="N388" s="9">
        <v>4.9444999999999997</v>
      </c>
      <c r="O388" s="9">
        <v>0.37459999999999999</v>
      </c>
      <c r="P388" s="9">
        <v>1.2939000000000001</v>
      </c>
      <c r="Q388" s="9">
        <v>20.331700000000001</v>
      </c>
      <c r="R388" s="9"/>
      <c r="S388" s="11"/>
    </row>
    <row r="389" spans="1:19" ht="15.75">
      <c r="A389" s="13">
        <v>53723</v>
      </c>
      <c r="B389" s="8">
        <f>9.8038 * CHOOSE(CONTROL!$C$15, $D$11, 100%, $F$11)</f>
        <v>9.8038000000000007</v>
      </c>
      <c r="C389" s="8">
        <f>9.8141 * CHOOSE(CONTROL!$C$15, $D$11, 100%, $F$11)</f>
        <v>9.8140999999999998</v>
      </c>
      <c r="D389" s="8">
        <f>9.8125 * CHOOSE( CONTROL!$C$15, $D$11, 100%, $F$11)</f>
        <v>9.8125</v>
      </c>
      <c r="E389" s="12">
        <f>9.812 * CHOOSE( CONTROL!$C$15, $D$11, 100%, $F$11)</f>
        <v>9.8119999999999994</v>
      </c>
      <c r="F389" s="4">
        <f>10.4865 * CHOOSE(CONTROL!$C$15, $D$11, 100%, $F$11)</f>
        <v>10.486499999999999</v>
      </c>
      <c r="G389" s="8">
        <f>9.6469 * CHOOSE( CONTROL!$C$15, $D$11, 100%, $F$11)</f>
        <v>9.6469000000000005</v>
      </c>
      <c r="H389" s="4">
        <f>10.5453 * CHOOSE(CONTROL!$C$15, $D$11, 100%, $F$11)</f>
        <v>10.545299999999999</v>
      </c>
      <c r="I389" s="8">
        <f>9.5694 * CHOOSE(CONTROL!$C$15, $D$11, 100%, $F$11)</f>
        <v>9.5693999999999999</v>
      </c>
      <c r="J389" s="4">
        <f>9.4561 * CHOOSE(CONTROL!$C$15, $D$11, 100%, $F$11)</f>
        <v>9.4560999999999993</v>
      </c>
      <c r="K389" s="4"/>
      <c r="L389" s="9">
        <v>27.3993</v>
      </c>
      <c r="M389" s="9">
        <v>12.063700000000001</v>
      </c>
      <c r="N389" s="9">
        <v>4.9444999999999997</v>
      </c>
      <c r="O389" s="9">
        <v>0.37459999999999999</v>
      </c>
      <c r="P389" s="9">
        <v>1.2939000000000001</v>
      </c>
      <c r="Q389" s="9">
        <v>20.2666</v>
      </c>
      <c r="R389" s="9"/>
      <c r="S389" s="11"/>
    </row>
    <row r="390" spans="1:19" ht="15.75">
      <c r="A390" s="13">
        <v>53751</v>
      </c>
      <c r="B390" s="8">
        <f>9.1716 * CHOOSE(CONTROL!$C$15, $D$11, 100%, $F$11)</f>
        <v>9.1715999999999998</v>
      </c>
      <c r="C390" s="8">
        <f>9.182 * CHOOSE(CONTROL!$C$15, $D$11, 100%, $F$11)</f>
        <v>9.1820000000000004</v>
      </c>
      <c r="D390" s="8">
        <f>9.1825 * CHOOSE( CONTROL!$C$15, $D$11, 100%, $F$11)</f>
        <v>9.1824999999999992</v>
      </c>
      <c r="E390" s="12">
        <f>9.1812 * CHOOSE( CONTROL!$C$15, $D$11, 100%, $F$11)</f>
        <v>9.1812000000000005</v>
      </c>
      <c r="F390" s="4">
        <f>9.8466 * CHOOSE(CONTROL!$C$15, $D$11, 100%, $F$11)</f>
        <v>9.8466000000000005</v>
      </c>
      <c r="G390" s="8">
        <f>9.0248 * CHOOSE( CONTROL!$C$15, $D$11, 100%, $F$11)</f>
        <v>9.0248000000000008</v>
      </c>
      <c r="H390" s="4">
        <f>9.9158 * CHOOSE(CONTROL!$C$15, $D$11, 100%, $F$11)</f>
        <v>9.9158000000000008</v>
      </c>
      <c r="I390" s="8">
        <f>8.9469 * CHOOSE(CONTROL!$C$15, $D$11, 100%, $F$11)</f>
        <v>8.9468999999999994</v>
      </c>
      <c r="J390" s="4">
        <f>8.8448 * CHOOSE(CONTROL!$C$15, $D$11, 100%, $F$11)</f>
        <v>8.8447999999999993</v>
      </c>
      <c r="K390" s="4"/>
      <c r="L390" s="9">
        <v>24.747800000000002</v>
      </c>
      <c r="M390" s="9">
        <v>10.8962</v>
      </c>
      <c r="N390" s="9">
        <v>4.4660000000000002</v>
      </c>
      <c r="O390" s="9">
        <v>0.33829999999999999</v>
      </c>
      <c r="P390" s="9">
        <v>1.1687000000000001</v>
      </c>
      <c r="Q390" s="9">
        <v>18.305299999999999</v>
      </c>
      <c r="R390" s="9"/>
      <c r="S390" s="11"/>
    </row>
    <row r="391" spans="1:19" ht="15.75">
      <c r="A391" s="13">
        <v>53782</v>
      </c>
      <c r="B391" s="8">
        <f>8.977 * CHOOSE(CONTROL!$C$15, $D$11, 100%, $F$11)</f>
        <v>8.9770000000000003</v>
      </c>
      <c r="C391" s="8">
        <f>8.9873 * CHOOSE(CONTROL!$C$15, $D$11, 100%, $F$11)</f>
        <v>8.9872999999999994</v>
      </c>
      <c r="D391" s="8">
        <f>8.9674 * CHOOSE( CONTROL!$C$15, $D$11, 100%, $F$11)</f>
        <v>8.9673999999999996</v>
      </c>
      <c r="E391" s="12">
        <f>8.9736 * CHOOSE( CONTROL!$C$15, $D$11, 100%, $F$11)</f>
        <v>8.9735999999999994</v>
      </c>
      <c r="F391" s="4">
        <f>9.6359 * CHOOSE(CONTROL!$C$15, $D$11, 100%, $F$11)</f>
        <v>9.6358999999999995</v>
      </c>
      <c r="G391" s="8">
        <f>8.8125 * CHOOSE( CONTROL!$C$15, $D$11, 100%, $F$11)</f>
        <v>8.8125</v>
      </c>
      <c r="H391" s="4">
        <f>9.7085 * CHOOSE(CONTROL!$C$15, $D$11, 100%, $F$11)</f>
        <v>9.7085000000000008</v>
      </c>
      <c r="I391" s="8">
        <f>8.719 * CHOOSE(CONTROL!$C$15, $D$11, 100%, $F$11)</f>
        <v>8.7189999999999994</v>
      </c>
      <c r="J391" s="4">
        <f>8.6565 * CHOOSE(CONTROL!$C$15, $D$11, 100%, $F$11)</f>
        <v>8.6564999999999994</v>
      </c>
      <c r="K391" s="4"/>
      <c r="L391" s="9">
        <v>27.3993</v>
      </c>
      <c r="M391" s="9">
        <v>12.063700000000001</v>
      </c>
      <c r="N391" s="9">
        <v>4.9444999999999997</v>
      </c>
      <c r="O391" s="9">
        <v>0.37459999999999999</v>
      </c>
      <c r="P391" s="9">
        <v>1.2939000000000001</v>
      </c>
      <c r="Q391" s="9">
        <v>20.2666</v>
      </c>
      <c r="R391" s="9"/>
      <c r="S391" s="11"/>
    </row>
    <row r="392" spans="1:19" ht="15.75">
      <c r="A392" s="13">
        <v>53812</v>
      </c>
      <c r="B392" s="8">
        <f>9.113 * CHOOSE(CONTROL!$C$15, $D$11, 100%, $F$11)</f>
        <v>9.1129999999999995</v>
      </c>
      <c r="C392" s="8">
        <f>9.1233 * CHOOSE(CONTROL!$C$15, $D$11, 100%, $F$11)</f>
        <v>9.1233000000000004</v>
      </c>
      <c r="D392" s="8">
        <f>9.1149 * CHOOSE( CONTROL!$C$15, $D$11, 100%, $F$11)</f>
        <v>9.1149000000000004</v>
      </c>
      <c r="E392" s="12">
        <f>9.1165 * CHOOSE( CONTROL!$C$15, $D$11, 100%, $F$11)</f>
        <v>9.1165000000000003</v>
      </c>
      <c r="F392" s="4">
        <f>9.7621 * CHOOSE(CONTROL!$C$15, $D$11, 100%, $F$11)</f>
        <v>9.7621000000000002</v>
      </c>
      <c r="G392" s="8">
        <f>8.9312 * CHOOSE( CONTROL!$C$15, $D$11, 100%, $F$11)</f>
        <v>8.9312000000000005</v>
      </c>
      <c r="H392" s="4">
        <f>9.8327 * CHOOSE(CONTROL!$C$15, $D$11, 100%, $F$11)</f>
        <v>9.8327000000000009</v>
      </c>
      <c r="I392" s="8">
        <f>8.8474 * CHOOSE(CONTROL!$C$15, $D$11, 100%, $F$11)</f>
        <v>8.8474000000000004</v>
      </c>
      <c r="J392" s="4">
        <f>8.7881 * CHOOSE(CONTROL!$C$15, $D$11, 100%, $F$11)</f>
        <v>8.7881</v>
      </c>
      <c r="K392" s="4"/>
      <c r="L392" s="9">
        <v>27.988800000000001</v>
      </c>
      <c r="M392" s="9">
        <v>11.6745</v>
      </c>
      <c r="N392" s="9">
        <v>4.7850000000000001</v>
      </c>
      <c r="O392" s="9">
        <v>0.36249999999999999</v>
      </c>
      <c r="P392" s="9">
        <v>1.1798</v>
      </c>
      <c r="Q392" s="9">
        <v>19.6128</v>
      </c>
      <c r="R392" s="9"/>
      <c r="S392" s="11"/>
    </row>
    <row r="393" spans="1:19" ht="15.75">
      <c r="A393" s="13">
        <v>53843</v>
      </c>
      <c r="B393" s="8">
        <f>CHOOSE( CONTROL!$C$32, 9.3597, 9.3551) * CHOOSE(CONTROL!$C$15, $D$11, 100%, $F$11)</f>
        <v>9.3597000000000001</v>
      </c>
      <c r="C393" s="8">
        <f>CHOOSE( CONTROL!$C$32, 9.37, 9.3655) * CHOOSE(CONTROL!$C$15, $D$11, 100%, $F$11)</f>
        <v>9.3699999999999992</v>
      </c>
      <c r="D393" s="8">
        <f>CHOOSE( CONTROL!$C$32, 9.3797, 9.3752) * CHOOSE( CONTROL!$C$15, $D$11, 100%, $F$11)</f>
        <v>9.3796999999999997</v>
      </c>
      <c r="E393" s="12">
        <f>CHOOSE( CONTROL!$C$32, 9.3746, 9.3701) * CHOOSE( CONTROL!$C$15, $D$11, 100%, $F$11)</f>
        <v>9.3745999999999992</v>
      </c>
      <c r="F393" s="4">
        <f>CHOOSE( CONTROL!$C$32, 10.0479, 10.0434) * CHOOSE(CONTROL!$C$15, $D$11, 100%, $F$11)</f>
        <v>10.0479</v>
      </c>
      <c r="G393" s="8">
        <f>CHOOSE( CONTROL!$C$32, 9.1789, 9.1745) * CHOOSE( CONTROL!$C$15, $D$11, 100%, $F$11)</f>
        <v>9.1789000000000005</v>
      </c>
      <c r="H393" s="4">
        <f>CHOOSE( CONTROL!$C$32, 10.1139, 10.1095) * CHOOSE(CONTROL!$C$15, $D$11, 100%, $F$11)</f>
        <v>10.113899999999999</v>
      </c>
      <c r="I393" s="8">
        <f>CHOOSE( CONTROL!$C$32, 9.0919, 9.0876) * CHOOSE(CONTROL!$C$15, $D$11, 100%, $F$11)</f>
        <v>9.0919000000000008</v>
      </c>
      <c r="J393" s="4">
        <f>CHOOSE( CONTROL!$C$32, 9.0266, 9.0222) * CHOOSE(CONTROL!$C$15, $D$11, 100%, $F$11)</f>
        <v>9.0266000000000002</v>
      </c>
      <c r="K393" s="4"/>
      <c r="L393" s="9">
        <v>29.520499999999998</v>
      </c>
      <c r="M393" s="9">
        <v>12.063700000000001</v>
      </c>
      <c r="N393" s="9">
        <v>4.9444999999999997</v>
      </c>
      <c r="O393" s="9">
        <v>0.37459999999999999</v>
      </c>
      <c r="P393" s="9">
        <v>1.2192000000000001</v>
      </c>
      <c r="Q393" s="9">
        <v>20.2666</v>
      </c>
      <c r="R393" s="9"/>
      <c r="S393" s="11"/>
    </row>
    <row r="394" spans="1:19" ht="15.75">
      <c r="A394" s="13">
        <v>53873</v>
      </c>
      <c r="B394" s="8">
        <f>CHOOSE( CONTROL!$C$32, 9.2097, 9.2051) * CHOOSE(CONTROL!$C$15, $D$11, 100%, $F$11)</f>
        <v>9.2096999999999998</v>
      </c>
      <c r="C394" s="8">
        <f>CHOOSE( CONTROL!$C$32, 9.22, 9.2155) * CHOOSE(CONTROL!$C$15, $D$11, 100%, $F$11)</f>
        <v>9.2200000000000006</v>
      </c>
      <c r="D394" s="8">
        <f>CHOOSE( CONTROL!$C$32, 9.2303, 9.2258) * CHOOSE( CONTROL!$C$15, $D$11, 100%, $F$11)</f>
        <v>9.2302999999999997</v>
      </c>
      <c r="E394" s="12">
        <f>CHOOSE( CONTROL!$C$32, 9.225, 9.2205) * CHOOSE( CONTROL!$C$15, $D$11, 100%, $F$11)</f>
        <v>9.2249999999999996</v>
      </c>
      <c r="F394" s="4">
        <f>CHOOSE( CONTROL!$C$32, 9.898, 9.8934) * CHOOSE(CONTROL!$C$15, $D$11, 100%, $F$11)</f>
        <v>9.8979999999999997</v>
      </c>
      <c r="G394" s="8">
        <f>CHOOSE( CONTROL!$C$32, 9.0323, 9.0278) * CHOOSE( CONTROL!$C$15, $D$11, 100%, $F$11)</f>
        <v>9.0322999999999993</v>
      </c>
      <c r="H394" s="4">
        <f>CHOOSE( CONTROL!$C$32, 9.9664, 9.9619) * CHOOSE(CONTROL!$C$15, $D$11, 100%, $F$11)</f>
        <v>9.9664000000000001</v>
      </c>
      <c r="I394" s="8">
        <f>CHOOSE( CONTROL!$C$32, 8.9498, 8.9454) * CHOOSE(CONTROL!$C$15, $D$11, 100%, $F$11)</f>
        <v>8.9497999999999998</v>
      </c>
      <c r="J394" s="4">
        <f>CHOOSE( CONTROL!$C$32, 8.8816, 8.8772) * CHOOSE(CONTROL!$C$15, $D$11, 100%, $F$11)</f>
        <v>8.8816000000000006</v>
      </c>
      <c r="K394" s="4"/>
      <c r="L394" s="9">
        <v>28.568200000000001</v>
      </c>
      <c r="M394" s="9">
        <v>11.6745</v>
      </c>
      <c r="N394" s="9">
        <v>4.7850000000000001</v>
      </c>
      <c r="O394" s="9">
        <v>0.36249999999999999</v>
      </c>
      <c r="P394" s="9">
        <v>1.1798</v>
      </c>
      <c r="Q394" s="9">
        <v>19.6128</v>
      </c>
      <c r="R394" s="9"/>
      <c r="S394" s="11"/>
    </row>
    <row r="395" spans="1:19" ht="15.75">
      <c r="A395" s="13">
        <v>53904</v>
      </c>
      <c r="B395" s="8">
        <f>CHOOSE( CONTROL!$C$32, 9.6046, 9.6001) * CHOOSE(CONTROL!$C$15, $D$11, 100%, $F$11)</f>
        <v>9.6045999999999996</v>
      </c>
      <c r="C395" s="8">
        <f>CHOOSE( CONTROL!$C$32, 9.615, 9.6105) * CHOOSE(CONTROL!$C$15, $D$11, 100%, $F$11)</f>
        <v>9.6150000000000002</v>
      </c>
      <c r="D395" s="8">
        <f>CHOOSE( CONTROL!$C$32, 9.6259, 9.6213) * CHOOSE( CONTROL!$C$15, $D$11, 100%, $F$11)</f>
        <v>9.6258999999999997</v>
      </c>
      <c r="E395" s="12">
        <f>CHOOSE( CONTROL!$C$32, 9.6204, 9.6158) * CHOOSE( CONTROL!$C$15, $D$11, 100%, $F$11)</f>
        <v>9.6204000000000001</v>
      </c>
      <c r="F395" s="4">
        <f>CHOOSE( CONTROL!$C$32, 10.2929, 10.2884) * CHOOSE(CONTROL!$C$15, $D$11, 100%, $F$11)</f>
        <v>10.292899999999999</v>
      </c>
      <c r="G395" s="8">
        <f>CHOOSE( CONTROL!$C$32, 9.4217, 9.4173) * CHOOSE( CONTROL!$C$15, $D$11, 100%, $F$11)</f>
        <v>9.4216999999999995</v>
      </c>
      <c r="H395" s="4">
        <f>CHOOSE( CONTROL!$C$32, 10.355, 10.3505) * CHOOSE(CONTROL!$C$15, $D$11, 100%, $F$11)</f>
        <v>10.355</v>
      </c>
      <c r="I395" s="8">
        <f>CHOOSE( CONTROL!$C$32, 9.3347, 9.3303) * CHOOSE(CONTROL!$C$15, $D$11, 100%, $F$11)</f>
        <v>9.3346999999999998</v>
      </c>
      <c r="J395" s="4">
        <f>CHOOSE( CONTROL!$C$32, 9.2635, 9.2592) * CHOOSE(CONTROL!$C$15, $D$11, 100%, $F$11)</f>
        <v>9.2635000000000005</v>
      </c>
      <c r="K395" s="4"/>
      <c r="L395" s="9">
        <v>29.520499999999998</v>
      </c>
      <c r="M395" s="9">
        <v>12.063700000000001</v>
      </c>
      <c r="N395" s="9">
        <v>4.9444999999999997</v>
      </c>
      <c r="O395" s="9">
        <v>0.37459999999999999</v>
      </c>
      <c r="P395" s="9">
        <v>1.2192000000000001</v>
      </c>
      <c r="Q395" s="9">
        <v>20.2666</v>
      </c>
      <c r="R395" s="9"/>
      <c r="S395" s="11"/>
    </row>
    <row r="396" spans="1:19" ht="15.75">
      <c r="A396" s="13">
        <v>53935</v>
      </c>
      <c r="B396" s="8">
        <f>CHOOSE( CONTROL!$C$32, 8.8656, 8.8611) * CHOOSE(CONTROL!$C$15, $D$11, 100%, $F$11)</f>
        <v>8.8656000000000006</v>
      </c>
      <c r="C396" s="8">
        <f>CHOOSE( CONTROL!$C$32, 8.8759, 8.8714) * CHOOSE(CONTROL!$C$15, $D$11, 100%, $F$11)</f>
        <v>8.8758999999999997</v>
      </c>
      <c r="D396" s="8">
        <f>CHOOSE( CONTROL!$C$32, 8.8871, 8.8826) * CHOOSE( CONTROL!$C$15, $D$11, 100%, $F$11)</f>
        <v>8.8871000000000002</v>
      </c>
      <c r="E396" s="12">
        <f>CHOOSE( CONTROL!$C$32, 8.8815, 8.877) * CHOOSE( CONTROL!$C$15, $D$11, 100%, $F$11)</f>
        <v>8.8815000000000008</v>
      </c>
      <c r="F396" s="4">
        <f>CHOOSE( CONTROL!$C$32, 9.5539, 9.5494) * CHOOSE(CONTROL!$C$15, $D$11, 100%, $F$11)</f>
        <v>9.5539000000000005</v>
      </c>
      <c r="G396" s="8">
        <f>CHOOSE( CONTROL!$C$32, 8.695, 8.6906) * CHOOSE( CONTROL!$C$15, $D$11, 100%, $F$11)</f>
        <v>8.6950000000000003</v>
      </c>
      <c r="H396" s="4">
        <f>CHOOSE( CONTROL!$C$32, 9.6279, 9.6234) * CHOOSE(CONTROL!$C$15, $D$11, 100%, $F$11)</f>
        <v>9.6279000000000003</v>
      </c>
      <c r="I396" s="8">
        <f>CHOOSE( CONTROL!$C$32, 8.621, 8.6166) * CHOOSE(CONTROL!$C$15, $D$11, 100%, $F$11)</f>
        <v>8.6210000000000004</v>
      </c>
      <c r="J396" s="4">
        <f>CHOOSE( CONTROL!$C$32, 8.5488, 8.5444) * CHOOSE(CONTROL!$C$15, $D$11, 100%, $F$11)</f>
        <v>8.5488</v>
      </c>
      <c r="K396" s="4"/>
      <c r="L396" s="9">
        <v>29.520499999999998</v>
      </c>
      <c r="M396" s="9">
        <v>12.063700000000001</v>
      </c>
      <c r="N396" s="9">
        <v>4.9444999999999997</v>
      </c>
      <c r="O396" s="9">
        <v>0.37459999999999999</v>
      </c>
      <c r="P396" s="9">
        <v>1.2192000000000001</v>
      </c>
      <c r="Q396" s="9">
        <v>20.2666</v>
      </c>
      <c r="R396" s="9"/>
      <c r="S396" s="11"/>
    </row>
    <row r="397" spans="1:19" ht="15.75">
      <c r="A397" s="13">
        <v>53965</v>
      </c>
      <c r="B397" s="8">
        <f>CHOOSE( CONTROL!$C$32, 8.6805, 8.676) * CHOOSE(CONTROL!$C$15, $D$11, 100%, $F$11)</f>
        <v>8.6805000000000003</v>
      </c>
      <c r="C397" s="8">
        <f>CHOOSE( CONTROL!$C$32, 8.6909, 8.6863) * CHOOSE(CONTROL!$C$15, $D$11, 100%, $F$11)</f>
        <v>8.6908999999999992</v>
      </c>
      <c r="D397" s="8">
        <f>CHOOSE( CONTROL!$C$32, 8.7021, 8.6976) * CHOOSE( CONTROL!$C$15, $D$11, 100%, $F$11)</f>
        <v>8.7020999999999997</v>
      </c>
      <c r="E397" s="12">
        <f>CHOOSE( CONTROL!$C$32, 8.6965, 8.6919) * CHOOSE( CONTROL!$C$15, $D$11, 100%, $F$11)</f>
        <v>8.6965000000000003</v>
      </c>
      <c r="F397" s="4">
        <f>CHOOSE( CONTROL!$C$32, 9.3688, 9.3643) * CHOOSE(CONTROL!$C$15, $D$11, 100%, $F$11)</f>
        <v>9.3688000000000002</v>
      </c>
      <c r="G397" s="8">
        <f>CHOOSE( CONTROL!$C$32, 8.5131, 8.5087) * CHOOSE( CONTROL!$C$15, $D$11, 100%, $F$11)</f>
        <v>8.5130999999999997</v>
      </c>
      <c r="H397" s="4">
        <f>CHOOSE( CONTROL!$C$32, 9.4458, 9.4413) * CHOOSE(CONTROL!$C$15, $D$11, 100%, $F$11)</f>
        <v>9.4458000000000002</v>
      </c>
      <c r="I397" s="8">
        <f>CHOOSE( CONTROL!$C$32, 8.4424, 8.438) * CHOOSE(CONTROL!$C$15, $D$11, 100%, $F$11)</f>
        <v>8.4423999999999992</v>
      </c>
      <c r="J397" s="4">
        <f>CHOOSE( CONTROL!$C$32, 8.3698, 8.3655) * CHOOSE(CONTROL!$C$15, $D$11, 100%, $F$11)</f>
        <v>8.3697999999999997</v>
      </c>
      <c r="K397" s="4"/>
      <c r="L397" s="9">
        <v>28.568200000000001</v>
      </c>
      <c r="M397" s="9">
        <v>11.6745</v>
      </c>
      <c r="N397" s="9">
        <v>4.7850000000000001</v>
      </c>
      <c r="O397" s="9">
        <v>0.36249999999999999</v>
      </c>
      <c r="P397" s="9">
        <v>1.1798</v>
      </c>
      <c r="Q397" s="9">
        <v>19.6128</v>
      </c>
      <c r="R397" s="9"/>
      <c r="S397" s="11"/>
    </row>
    <row r="398" spans="1:19" ht="15.75">
      <c r="A398" s="13">
        <v>53996</v>
      </c>
      <c r="B398" s="8">
        <f>9.0603 * CHOOSE(CONTROL!$C$15, $D$11, 100%, $F$11)</f>
        <v>9.0602999999999998</v>
      </c>
      <c r="C398" s="8">
        <f>9.0706 * CHOOSE(CONTROL!$C$15, $D$11, 100%, $F$11)</f>
        <v>9.0706000000000007</v>
      </c>
      <c r="D398" s="8">
        <f>9.083 * CHOOSE( CONTROL!$C$15, $D$11, 100%, $F$11)</f>
        <v>9.0830000000000002</v>
      </c>
      <c r="E398" s="12">
        <f>9.0778 * CHOOSE( CONTROL!$C$15, $D$11, 100%, $F$11)</f>
        <v>9.0777999999999999</v>
      </c>
      <c r="F398" s="4">
        <f>9.7486 * CHOOSE(CONTROL!$C$15, $D$11, 100%, $F$11)</f>
        <v>9.7485999999999997</v>
      </c>
      <c r="G398" s="8">
        <f>8.8862 * CHOOSE( CONTROL!$C$15, $D$11, 100%, $F$11)</f>
        <v>8.8862000000000005</v>
      </c>
      <c r="H398" s="4">
        <f>9.8194 * CHOOSE(CONTROL!$C$15, $D$11, 100%, $F$11)</f>
        <v>9.8193999999999999</v>
      </c>
      <c r="I398" s="8">
        <f>8.8111 * CHOOSE(CONTROL!$C$15, $D$11, 100%, $F$11)</f>
        <v>8.8110999999999997</v>
      </c>
      <c r="J398" s="4">
        <f>8.7371 * CHOOSE(CONTROL!$C$15, $D$11, 100%, $F$11)</f>
        <v>8.7370999999999999</v>
      </c>
      <c r="K398" s="4"/>
      <c r="L398" s="9">
        <v>28.921800000000001</v>
      </c>
      <c r="M398" s="9">
        <v>12.063700000000001</v>
      </c>
      <c r="N398" s="9">
        <v>4.9444999999999997</v>
      </c>
      <c r="O398" s="9">
        <v>0.37459999999999999</v>
      </c>
      <c r="P398" s="9">
        <v>1.2192000000000001</v>
      </c>
      <c r="Q398" s="9">
        <v>20.2666</v>
      </c>
      <c r="R398" s="9"/>
      <c r="S398" s="11"/>
    </row>
    <row r="399" spans="1:19" ht="15.75">
      <c r="A399" s="13">
        <v>54026</v>
      </c>
      <c r="B399" s="8">
        <f>9.7695 * CHOOSE(CONTROL!$C$15, $D$11, 100%, $F$11)</f>
        <v>9.7695000000000007</v>
      </c>
      <c r="C399" s="8">
        <f>9.7799 * CHOOSE(CONTROL!$C$15, $D$11, 100%, $F$11)</f>
        <v>9.7798999999999996</v>
      </c>
      <c r="D399" s="8">
        <f>9.7659 * CHOOSE( CONTROL!$C$15, $D$11, 100%, $F$11)</f>
        <v>9.7659000000000002</v>
      </c>
      <c r="E399" s="12">
        <f>9.7699 * CHOOSE( CONTROL!$C$15, $D$11, 100%, $F$11)</f>
        <v>9.7698999999999998</v>
      </c>
      <c r="F399" s="4">
        <f>10.4238 * CHOOSE(CONTROL!$C$15, $D$11, 100%, $F$11)</f>
        <v>10.4238</v>
      </c>
      <c r="G399" s="8">
        <f>9.6011 * CHOOSE( CONTROL!$C$15, $D$11, 100%, $F$11)</f>
        <v>9.6011000000000006</v>
      </c>
      <c r="H399" s="4">
        <f>10.4837 * CHOOSE(CONTROL!$C$15, $D$11, 100%, $F$11)</f>
        <v>10.483700000000001</v>
      </c>
      <c r="I399" s="8">
        <f>9.5304 * CHOOSE(CONTROL!$C$15, $D$11, 100%, $F$11)</f>
        <v>9.5304000000000002</v>
      </c>
      <c r="J399" s="4">
        <f>9.423 * CHOOSE(CONTROL!$C$15, $D$11, 100%, $F$11)</f>
        <v>9.423</v>
      </c>
      <c r="K399" s="4"/>
      <c r="L399" s="9">
        <v>26.515499999999999</v>
      </c>
      <c r="M399" s="9">
        <v>11.6745</v>
      </c>
      <c r="N399" s="9">
        <v>4.7850000000000001</v>
      </c>
      <c r="O399" s="9">
        <v>0.36249999999999999</v>
      </c>
      <c r="P399" s="9">
        <v>1.2522</v>
      </c>
      <c r="Q399" s="9">
        <v>19.6128</v>
      </c>
      <c r="R399" s="9"/>
      <c r="S399" s="11"/>
    </row>
    <row r="400" spans="1:19" ht="15.75">
      <c r="A400" s="13">
        <v>54057</v>
      </c>
      <c r="B400" s="8">
        <f>9.7518 * CHOOSE(CONTROL!$C$15, $D$11, 100%, $F$11)</f>
        <v>9.7517999999999994</v>
      </c>
      <c r="C400" s="8">
        <f>9.7622 * CHOOSE(CONTROL!$C$15, $D$11, 100%, $F$11)</f>
        <v>9.7622</v>
      </c>
      <c r="D400" s="8">
        <f>9.7507 * CHOOSE( CONTROL!$C$15, $D$11, 100%, $F$11)</f>
        <v>9.7507000000000001</v>
      </c>
      <c r="E400" s="12">
        <f>9.7538 * CHOOSE( CONTROL!$C$15, $D$11, 100%, $F$11)</f>
        <v>9.7538</v>
      </c>
      <c r="F400" s="4">
        <f>10.4061 * CHOOSE(CONTROL!$C$15, $D$11, 100%, $F$11)</f>
        <v>10.4061</v>
      </c>
      <c r="G400" s="8">
        <f>9.5855 * CHOOSE( CONTROL!$C$15, $D$11, 100%, $F$11)</f>
        <v>9.5854999999999997</v>
      </c>
      <c r="H400" s="4">
        <f>10.4663 * CHOOSE(CONTROL!$C$15, $D$11, 100%, $F$11)</f>
        <v>10.4663</v>
      </c>
      <c r="I400" s="8">
        <f>9.5212 * CHOOSE(CONTROL!$C$15, $D$11, 100%, $F$11)</f>
        <v>9.5212000000000003</v>
      </c>
      <c r="J400" s="4">
        <f>9.4059 * CHOOSE(CONTROL!$C$15, $D$11, 100%, $F$11)</f>
        <v>9.4059000000000008</v>
      </c>
      <c r="K400" s="4"/>
      <c r="L400" s="9">
        <v>27.3993</v>
      </c>
      <c r="M400" s="9">
        <v>12.063700000000001</v>
      </c>
      <c r="N400" s="9">
        <v>4.9444999999999997</v>
      </c>
      <c r="O400" s="9">
        <v>0.37459999999999999</v>
      </c>
      <c r="P400" s="9">
        <v>1.2939000000000001</v>
      </c>
      <c r="Q400" s="9">
        <v>20.2666</v>
      </c>
      <c r="R400" s="9"/>
      <c r="S400" s="11"/>
    </row>
    <row r="401" spans="1:19" ht="15.75">
      <c r="A401" s="13">
        <v>54088</v>
      </c>
      <c r="B401" s="8">
        <f>10.1235 * CHOOSE(CONTROL!$C$15, $D$11, 100%, $F$11)</f>
        <v>10.1235</v>
      </c>
      <c r="C401" s="8">
        <f>10.1339 * CHOOSE(CONTROL!$C$15, $D$11, 100%, $F$11)</f>
        <v>10.133900000000001</v>
      </c>
      <c r="D401" s="8">
        <f>10.1323 * CHOOSE( CONTROL!$C$15, $D$11, 100%, $F$11)</f>
        <v>10.132300000000001</v>
      </c>
      <c r="E401" s="12">
        <f>10.1318 * CHOOSE( CONTROL!$C$15, $D$11, 100%, $F$11)</f>
        <v>10.1318</v>
      </c>
      <c r="F401" s="4">
        <f>10.8062 * CHOOSE(CONTROL!$C$15, $D$11, 100%, $F$11)</f>
        <v>10.8062</v>
      </c>
      <c r="G401" s="8">
        <f>9.9615 * CHOOSE( CONTROL!$C$15, $D$11, 100%, $F$11)</f>
        <v>9.9614999999999991</v>
      </c>
      <c r="H401" s="4">
        <f>10.8599 * CHOOSE(CONTROL!$C$15, $D$11, 100%, $F$11)</f>
        <v>10.8599</v>
      </c>
      <c r="I401" s="8">
        <f>9.8788 * CHOOSE(CONTROL!$C$15, $D$11, 100%, $F$11)</f>
        <v>9.8788</v>
      </c>
      <c r="J401" s="4">
        <f>9.7654 * CHOOSE(CONTROL!$C$15, $D$11, 100%, $F$11)</f>
        <v>9.7653999999999996</v>
      </c>
      <c r="K401" s="4"/>
      <c r="L401" s="9">
        <v>27.3993</v>
      </c>
      <c r="M401" s="9">
        <v>12.063700000000001</v>
      </c>
      <c r="N401" s="9">
        <v>4.9444999999999997</v>
      </c>
      <c r="O401" s="9">
        <v>0.37459999999999999</v>
      </c>
      <c r="P401" s="9">
        <v>1.2939000000000001</v>
      </c>
      <c r="Q401" s="9">
        <v>20.201499999999999</v>
      </c>
      <c r="R401" s="9"/>
      <c r="S401" s="11"/>
    </row>
    <row r="402" spans="1:19" ht="15.75">
      <c r="A402" s="13">
        <v>54116</v>
      </c>
      <c r="B402" s="8">
        <f>9.4707 * CHOOSE(CONTROL!$C$15, $D$11, 100%, $F$11)</f>
        <v>9.4707000000000008</v>
      </c>
      <c r="C402" s="8">
        <f>9.4811 * CHOOSE(CONTROL!$C$15, $D$11, 100%, $F$11)</f>
        <v>9.4810999999999996</v>
      </c>
      <c r="D402" s="8">
        <f>9.4816 * CHOOSE( CONTROL!$C$15, $D$11, 100%, $F$11)</f>
        <v>9.4816000000000003</v>
      </c>
      <c r="E402" s="12">
        <f>9.4803 * CHOOSE( CONTROL!$C$15, $D$11, 100%, $F$11)</f>
        <v>9.4802999999999997</v>
      </c>
      <c r="F402" s="4">
        <f>10.1457 * CHOOSE(CONTROL!$C$15, $D$11, 100%, $F$11)</f>
        <v>10.1457</v>
      </c>
      <c r="G402" s="8">
        <f>9.3191 * CHOOSE( CONTROL!$C$15, $D$11, 100%, $F$11)</f>
        <v>9.3191000000000006</v>
      </c>
      <c r="H402" s="4">
        <f>10.2101 * CHOOSE(CONTROL!$C$15, $D$11, 100%, $F$11)</f>
        <v>10.210100000000001</v>
      </c>
      <c r="I402" s="8">
        <f>9.2363 * CHOOSE(CONTROL!$C$15, $D$11, 100%, $F$11)</f>
        <v>9.2363</v>
      </c>
      <c r="J402" s="4">
        <f>9.1341 * CHOOSE(CONTROL!$C$15, $D$11, 100%, $F$11)</f>
        <v>9.1341000000000001</v>
      </c>
      <c r="K402" s="4"/>
      <c r="L402" s="9">
        <v>25.631599999999999</v>
      </c>
      <c r="M402" s="9">
        <v>11.285299999999999</v>
      </c>
      <c r="N402" s="9">
        <v>4.6254999999999997</v>
      </c>
      <c r="O402" s="9">
        <v>0.35039999999999999</v>
      </c>
      <c r="P402" s="9">
        <v>1.2104999999999999</v>
      </c>
      <c r="Q402" s="9">
        <v>18.898099999999999</v>
      </c>
      <c r="R402" s="9"/>
      <c r="S402" s="11"/>
    </row>
    <row r="403" spans="1:19" ht="15.75">
      <c r="A403" s="13">
        <v>54148</v>
      </c>
      <c r="B403" s="8">
        <f>9.2697 * CHOOSE(CONTROL!$C$15, $D$11, 100%, $F$11)</f>
        <v>9.2697000000000003</v>
      </c>
      <c r="C403" s="8">
        <f>9.28 * CHOOSE(CONTROL!$C$15, $D$11, 100%, $F$11)</f>
        <v>9.2799999999999994</v>
      </c>
      <c r="D403" s="8">
        <f>9.2601 * CHOOSE( CONTROL!$C$15, $D$11, 100%, $F$11)</f>
        <v>9.2600999999999996</v>
      </c>
      <c r="E403" s="12">
        <f>9.2663 * CHOOSE( CONTROL!$C$15, $D$11, 100%, $F$11)</f>
        <v>9.2662999999999993</v>
      </c>
      <c r="F403" s="4">
        <f>9.9286 * CHOOSE(CONTROL!$C$15, $D$11, 100%, $F$11)</f>
        <v>9.9285999999999994</v>
      </c>
      <c r="G403" s="8">
        <f>9.1005 * CHOOSE( CONTROL!$C$15, $D$11, 100%, $F$11)</f>
        <v>9.1005000000000003</v>
      </c>
      <c r="H403" s="4">
        <f>9.9965 * CHOOSE(CONTROL!$C$15, $D$11, 100%, $F$11)</f>
        <v>9.9964999999999993</v>
      </c>
      <c r="I403" s="8">
        <f>9.0022 * CHOOSE(CONTROL!$C$15, $D$11, 100%, $F$11)</f>
        <v>9.0022000000000002</v>
      </c>
      <c r="J403" s="4">
        <f>8.9396 * CHOOSE(CONTROL!$C$15, $D$11, 100%, $F$11)</f>
        <v>8.9396000000000004</v>
      </c>
      <c r="K403" s="4"/>
      <c r="L403" s="9">
        <v>27.3993</v>
      </c>
      <c r="M403" s="9">
        <v>12.063700000000001</v>
      </c>
      <c r="N403" s="9">
        <v>4.9444999999999997</v>
      </c>
      <c r="O403" s="9">
        <v>0.37459999999999999</v>
      </c>
      <c r="P403" s="9">
        <v>1.2939000000000001</v>
      </c>
      <c r="Q403" s="9">
        <v>20.201499999999999</v>
      </c>
      <c r="R403" s="9"/>
      <c r="S403" s="11"/>
    </row>
    <row r="404" spans="1:19" ht="15.75">
      <c r="A404" s="13">
        <v>54178</v>
      </c>
      <c r="B404" s="8">
        <f>9.4102 * CHOOSE(CONTROL!$C$15, $D$11, 100%, $F$11)</f>
        <v>9.4101999999999997</v>
      </c>
      <c r="C404" s="8">
        <f>9.4205 * CHOOSE(CONTROL!$C$15, $D$11, 100%, $F$11)</f>
        <v>9.4205000000000005</v>
      </c>
      <c r="D404" s="8">
        <f>9.412 * CHOOSE( CONTROL!$C$15, $D$11, 100%, $F$11)</f>
        <v>9.4120000000000008</v>
      </c>
      <c r="E404" s="12">
        <f>9.4136 * CHOOSE( CONTROL!$C$15, $D$11, 100%, $F$11)</f>
        <v>9.4136000000000006</v>
      </c>
      <c r="F404" s="4">
        <f>10.0593 * CHOOSE(CONTROL!$C$15, $D$11, 100%, $F$11)</f>
        <v>10.0593</v>
      </c>
      <c r="G404" s="8">
        <f>9.2235 * CHOOSE( CONTROL!$C$15, $D$11, 100%, $F$11)</f>
        <v>9.2234999999999996</v>
      </c>
      <c r="H404" s="4">
        <f>10.1251 * CHOOSE(CONTROL!$C$15, $D$11, 100%, $F$11)</f>
        <v>10.1251</v>
      </c>
      <c r="I404" s="8">
        <f>9.135 * CHOOSE(CONTROL!$C$15, $D$11, 100%, $F$11)</f>
        <v>9.1349999999999998</v>
      </c>
      <c r="J404" s="4">
        <f>9.0755 * CHOOSE(CONTROL!$C$15, $D$11, 100%, $F$11)</f>
        <v>9.0754999999999999</v>
      </c>
      <c r="K404" s="4"/>
      <c r="L404" s="9">
        <v>27.988800000000001</v>
      </c>
      <c r="M404" s="9">
        <v>11.6745</v>
      </c>
      <c r="N404" s="9">
        <v>4.7850000000000001</v>
      </c>
      <c r="O404" s="9">
        <v>0.36249999999999999</v>
      </c>
      <c r="P404" s="9">
        <v>1.1798</v>
      </c>
      <c r="Q404" s="9">
        <v>19.549800000000001</v>
      </c>
      <c r="R404" s="9"/>
      <c r="S404" s="11"/>
    </row>
    <row r="405" spans="1:19" ht="15.75">
      <c r="A405" s="13">
        <v>54209</v>
      </c>
      <c r="B405" s="8">
        <f>CHOOSE( CONTROL!$C$32, 9.6648, 9.6602) * CHOOSE(CONTROL!$C$15, $D$11, 100%, $F$11)</f>
        <v>9.6647999999999996</v>
      </c>
      <c r="C405" s="8">
        <f>CHOOSE( CONTROL!$C$32, 9.6751, 9.6706) * CHOOSE(CONTROL!$C$15, $D$11, 100%, $F$11)</f>
        <v>9.6751000000000005</v>
      </c>
      <c r="D405" s="8">
        <f>CHOOSE( CONTROL!$C$32, 9.6848, 9.6803) * CHOOSE( CONTROL!$C$15, $D$11, 100%, $F$11)</f>
        <v>9.6847999999999992</v>
      </c>
      <c r="E405" s="12">
        <f>CHOOSE( CONTROL!$C$32, 9.6797, 9.6752) * CHOOSE( CONTROL!$C$15, $D$11, 100%, $F$11)</f>
        <v>9.6797000000000004</v>
      </c>
      <c r="F405" s="4">
        <f>CHOOSE( CONTROL!$C$32, 10.353, 10.3485) * CHOOSE(CONTROL!$C$15, $D$11, 100%, $F$11)</f>
        <v>10.353</v>
      </c>
      <c r="G405" s="8">
        <f>CHOOSE( CONTROL!$C$32, 9.4791, 9.4746) * CHOOSE( CONTROL!$C$15, $D$11, 100%, $F$11)</f>
        <v>9.4791000000000007</v>
      </c>
      <c r="H405" s="4">
        <f>CHOOSE( CONTROL!$C$32, 10.4141, 10.4096) * CHOOSE(CONTROL!$C$15, $D$11, 100%, $F$11)</f>
        <v>10.414099999999999</v>
      </c>
      <c r="I405" s="8">
        <f>CHOOSE( CONTROL!$C$32, 9.3872, 9.3828) * CHOOSE(CONTROL!$C$15, $D$11, 100%, $F$11)</f>
        <v>9.3872</v>
      </c>
      <c r="J405" s="4">
        <f>CHOOSE( CONTROL!$C$32, 9.3217, 9.3173) * CHOOSE(CONTROL!$C$15, $D$11, 100%, $F$11)</f>
        <v>9.3216999999999999</v>
      </c>
      <c r="K405" s="4"/>
      <c r="L405" s="9">
        <v>29.520499999999998</v>
      </c>
      <c r="M405" s="9">
        <v>12.063700000000001</v>
      </c>
      <c r="N405" s="9">
        <v>4.9444999999999997</v>
      </c>
      <c r="O405" s="9">
        <v>0.37459999999999999</v>
      </c>
      <c r="P405" s="9">
        <v>1.2192000000000001</v>
      </c>
      <c r="Q405" s="9">
        <v>20.201499999999999</v>
      </c>
      <c r="R405" s="9"/>
      <c r="S405" s="11"/>
    </row>
    <row r="406" spans="1:19" ht="15.75">
      <c r="A406" s="13">
        <v>54239</v>
      </c>
      <c r="B406" s="8">
        <f>CHOOSE( CONTROL!$C$32, 9.5099, 9.5053) * CHOOSE(CONTROL!$C$15, $D$11, 100%, $F$11)</f>
        <v>9.5099</v>
      </c>
      <c r="C406" s="8">
        <f>CHOOSE( CONTROL!$C$32, 9.5202, 9.5157) * CHOOSE(CONTROL!$C$15, $D$11, 100%, $F$11)</f>
        <v>9.5202000000000009</v>
      </c>
      <c r="D406" s="8">
        <f>CHOOSE( CONTROL!$C$32, 9.5305, 9.526) * CHOOSE( CONTROL!$C$15, $D$11, 100%, $F$11)</f>
        <v>9.5305</v>
      </c>
      <c r="E406" s="12">
        <f>CHOOSE( CONTROL!$C$32, 9.5252, 9.5207) * CHOOSE( CONTROL!$C$15, $D$11, 100%, $F$11)</f>
        <v>9.5251999999999999</v>
      </c>
      <c r="F406" s="4">
        <f>CHOOSE( CONTROL!$C$32, 10.1981, 10.1936) * CHOOSE(CONTROL!$C$15, $D$11, 100%, $F$11)</f>
        <v>10.1981</v>
      </c>
      <c r="G406" s="8">
        <f>CHOOSE( CONTROL!$C$32, 9.3276, 9.3232) * CHOOSE( CONTROL!$C$15, $D$11, 100%, $F$11)</f>
        <v>9.3276000000000003</v>
      </c>
      <c r="H406" s="4">
        <f>CHOOSE( CONTROL!$C$32, 10.2617, 10.2573) * CHOOSE(CONTROL!$C$15, $D$11, 100%, $F$11)</f>
        <v>10.261699999999999</v>
      </c>
      <c r="I406" s="8">
        <f>CHOOSE( CONTROL!$C$32, 9.2403, 9.2359) * CHOOSE(CONTROL!$C$15, $D$11, 100%, $F$11)</f>
        <v>9.2402999999999995</v>
      </c>
      <c r="J406" s="4">
        <f>CHOOSE( CONTROL!$C$32, 9.1719, 9.1675) * CHOOSE(CONTROL!$C$15, $D$11, 100%, $F$11)</f>
        <v>9.1719000000000008</v>
      </c>
      <c r="K406" s="4"/>
      <c r="L406" s="9">
        <v>28.568200000000001</v>
      </c>
      <c r="M406" s="9">
        <v>11.6745</v>
      </c>
      <c r="N406" s="9">
        <v>4.7850000000000001</v>
      </c>
      <c r="O406" s="9">
        <v>0.36249999999999999</v>
      </c>
      <c r="P406" s="9">
        <v>1.1798</v>
      </c>
      <c r="Q406" s="9">
        <v>19.549800000000001</v>
      </c>
      <c r="R406" s="9"/>
      <c r="S406" s="11"/>
    </row>
    <row r="407" spans="1:19" ht="15.75">
      <c r="A407" s="13">
        <v>54270</v>
      </c>
      <c r="B407" s="8">
        <f>CHOOSE( CONTROL!$C$32, 9.9178, 9.9132) * CHOOSE(CONTROL!$C$15, $D$11, 100%, $F$11)</f>
        <v>9.9177999999999997</v>
      </c>
      <c r="C407" s="8">
        <f>CHOOSE( CONTROL!$C$32, 9.9281, 9.9236) * CHOOSE(CONTROL!$C$15, $D$11, 100%, $F$11)</f>
        <v>9.9281000000000006</v>
      </c>
      <c r="D407" s="8">
        <f>CHOOSE( CONTROL!$C$32, 9.939, 9.9344) * CHOOSE( CONTROL!$C$15, $D$11, 100%, $F$11)</f>
        <v>9.9390000000000001</v>
      </c>
      <c r="E407" s="12">
        <f>CHOOSE( CONTROL!$C$32, 9.9335, 9.9289) * CHOOSE( CONTROL!$C$15, $D$11, 100%, $F$11)</f>
        <v>9.9335000000000004</v>
      </c>
      <c r="F407" s="4">
        <f>CHOOSE( CONTROL!$C$32, 10.606, 10.6015) * CHOOSE(CONTROL!$C$15, $D$11, 100%, $F$11)</f>
        <v>10.606</v>
      </c>
      <c r="G407" s="8">
        <f>CHOOSE( CONTROL!$C$32, 9.7297, 9.7253) * CHOOSE( CONTROL!$C$15, $D$11, 100%, $F$11)</f>
        <v>9.7296999999999993</v>
      </c>
      <c r="H407" s="4">
        <f>CHOOSE( CONTROL!$C$32, 10.663, 10.6586) * CHOOSE(CONTROL!$C$15, $D$11, 100%, $F$11)</f>
        <v>10.663</v>
      </c>
      <c r="I407" s="8">
        <f>CHOOSE( CONTROL!$C$32, 9.6376, 9.6333) * CHOOSE(CONTROL!$C$15, $D$11, 100%, $F$11)</f>
        <v>9.6376000000000008</v>
      </c>
      <c r="J407" s="4">
        <f>CHOOSE( CONTROL!$C$32, 9.5664, 9.562) * CHOOSE(CONTROL!$C$15, $D$11, 100%, $F$11)</f>
        <v>9.5663999999999998</v>
      </c>
      <c r="K407" s="4"/>
      <c r="L407" s="9">
        <v>29.520499999999998</v>
      </c>
      <c r="M407" s="9">
        <v>12.063700000000001</v>
      </c>
      <c r="N407" s="9">
        <v>4.9444999999999997</v>
      </c>
      <c r="O407" s="9">
        <v>0.37459999999999999</v>
      </c>
      <c r="P407" s="9">
        <v>1.2192000000000001</v>
      </c>
      <c r="Q407" s="9">
        <v>20.201499999999999</v>
      </c>
      <c r="R407" s="9"/>
      <c r="S407" s="11"/>
    </row>
    <row r="408" spans="1:19" ht="15.75">
      <c r="A408" s="13">
        <v>54301</v>
      </c>
      <c r="B408" s="8">
        <f>CHOOSE( CONTROL!$C$32, 9.1545, 9.15) * CHOOSE(CONTROL!$C$15, $D$11, 100%, $F$11)</f>
        <v>9.1545000000000005</v>
      </c>
      <c r="C408" s="8">
        <f>CHOOSE( CONTROL!$C$32, 9.1649, 9.1603) * CHOOSE(CONTROL!$C$15, $D$11, 100%, $F$11)</f>
        <v>9.1648999999999994</v>
      </c>
      <c r="D408" s="8">
        <f>CHOOSE( CONTROL!$C$32, 9.176, 9.1715) * CHOOSE( CONTROL!$C$15, $D$11, 100%, $F$11)</f>
        <v>9.1760000000000002</v>
      </c>
      <c r="E408" s="12">
        <f>CHOOSE( CONTROL!$C$32, 9.1704, 9.1659) * CHOOSE( CONTROL!$C$15, $D$11, 100%, $F$11)</f>
        <v>9.1704000000000008</v>
      </c>
      <c r="F408" s="4">
        <f>CHOOSE( CONTROL!$C$32, 9.8428, 9.8383) * CHOOSE(CONTROL!$C$15, $D$11, 100%, $F$11)</f>
        <v>9.8428000000000004</v>
      </c>
      <c r="G408" s="8">
        <f>CHOOSE( CONTROL!$C$32, 8.9793, 8.9749) * CHOOSE( CONTROL!$C$15, $D$11, 100%, $F$11)</f>
        <v>8.9793000000000003</v>
      </c>
      <c r="H408" s="4">
        <f>CHOOSE( CONTROL!$C$32, 9.9121, 9.9077) * CHOOSE(CONTROL!$C$15, $D$11, 100%, $F$11)</f>
        <v>9.9121000000000006</v>
      </c>
      <c r="I408" s="8">
        <f>CHOOSE( CONTROL!$C$32, 8.9006, 8.8962) * CHOOSE(CONTROL!$C$15, $D$11, 100%, $F$11)</f>
        <v>8.9006000000000007</v>
      </c>
      <c r="J408" s="4">
        <f>CHOOSE( CONTROL!$C$32, 8.8282, 8.8239) * CHOOSE(CONTROL!$C$15, $D$11, 100%, $F$11)</f>
        <v>8.8282000000000007</v>
      </c>
      <c r="K408" s="4"/>
      <c r="L408" s="9">
        <v>29.520499999999998</v>
      </c>
      <c r="M408" s="9">
        <v>12.063700000000001</v>
      </c>
      <c r="N408" s="9">
        <v>4.9444999999999997</v>
      </c>
      <c r="O408" s="9">
        <v>0.37459999999999999</v>
      </c>
      <c r="P408" s="9">
        <v>1.2192000000000001</v>
      </c>
      <c r="Q408" s="9">
        <v>20.201499999999999</v>
      </c>
      <c r="R408" s="9"/>
      <c r="S408" s="11"/>
    </row>
    <row r="409" spans="1:19" ht="15.75">
      <c r="A409" s="13">
        <v>54331</v>
      </c>
      <c r="B409" s="8">
        <f>CHOOSE( CONTROL!$C$32, 8.9634, 8.9589) * CHOOSE(CONTROL!$C$15, $D$11, 100%, $F$11)</f>
        <v>8.9634</v>
      </c>
      <c r="C409" s="8">
        <f>CHOOSE( CONTROL!$C$32, 8.9738, 8.9692) * CHOOSE(CONTROL!$C$15, $D$11, 100%, $F$11)</f>
        <v>8.9738000000000007</v>
      </c>
      <c r="D409" s="8">
        <f>CHOOSE( CONTROL!$C$32, 8.985, 8.9805) * CHOOSE( CONTROL!$C$15, $D$11, 100%, $F$11)</f>
        <v>8.9849999999999994</v>
      </c>
      <c r="E409" s="12">
        <f>CHOOSE( CONTROL!$C$32, 8.9794, 8.9748) * CHOOSE( CONTROL!$C$15, $D$11, 100%, $F$11)</f>
        <v>8.9794</v>
      </c>
      <c r="F409" s="4">
        <f>CHOOSE( CONTROL!$C$32, 9.6517, 9.6472) * CHOOSE(CONTROL!$C$15, $D$11, 100%, $F$11)</f>
        <v>9.6516999999999999</v>
      </c>
      <c r="G409" s="8">
        <f>CHOOSE( CONTROL!$C$32, 8.7914, 8.787) * CHOOSE( CONTROL!$C$15, $D$11, 100%, $F$11)</f>
        <v>8.7913999999999994</v>
      </c>
      <c r="H409" s="4">
        <f>CHOOSE( CONTROL!$C$32, 9.7241, 9.7196) * CHOOSE(CONTROL!$C$15, $D$11, 100%, $F$11)</f>
        <v>9.7241</v>
      </c>
      <c r="I409" s="8">
        <f>CHOOSE( CONTROL!$C$32, 8.7161, 8.7117) * CHOOSE(CONTROL!$C$15, $D$11, 100%, $F$11)</f>
        <v>8.7161000000000008</v>
      </c>
      <c r="J409" s="4">
        <f>CHOOSE( CONTROL!$C$32, 8.6434, 8.639) * CHOOSE(CONTROL!$C$15, $D$11, 100%, $F$11)</f>
        <v>8.6433999999999997</v>
      </c>
      <c r="K409" s="4"/>
      <c r="L409" s="9">
        <v>28.568200000000001</v>
      </c>
      <c r="M409" s="9">
        <v>11.6745</v>
      </c>
      <c r="N409" s="9">
        <v>4.7850000000000001</v>
      </c>
      <c r="O409" s="9">
        <v>0.36249999999999999</v>
      </c>
      <c r="P409" s="9">
        <v>1.1798</v>
      </c>
      <c r="Q409" s="9">
        <v>19.549800000000001</v>
      </c>
      <c r="R409" s="9"/>
      <c r="S409" s="11"/>
    </row>
    <row r="410" spans="1:19" ht="15.75">
      <c r="A410" s="13">
        <v>54362</v>
      </c>
      <c r="B410" s="8">
        <f>9.3557 * CHOOSE(CONTROL!$C$15, $D$11, 100%, $F$11)</f>
        <v>9.3557000000000006</v>
      </c>
      <c r="C410" s="8">
        <f>9.3661 * CHOOSE(CONTROL!$C$15, $D$11, 100%, $F$11)</f>
        <v>9.3660999999999994</v>
      </c>
      <c r="D410" s="8">
        <f>9.3785 * CHOOSE( CONTROL!$C$15, $D$11, 100%, $F$11)</f>
        <v>9.3785000000000007</v>
      </c>
      <c r="E410" s="12">
        <f>9.3733 * CHOOSE( CONTROL!$C$15, $D$11, 100%, $F$11)</f>
        <v>9.3733000000000004</v>
      </c>
      <c r="F410" s="4">
        <f>10.044 * CHOOSE(CONTROL!$C$15, $D$11, 100%, $F$11)</f>
        <v>10.044</v>
      </c>
      <c r="G410" s="8">
        <f>9.1768 * CHOOSE( CONTROL!$C$15, $D$11, 100%, $F$11)</f>
        <v>9.1768000000000001</v>
      </c>
      <c r="H410" s="4">
        <f>10.1101 * CHOOSE(CONTROL!$C$15, $D$11, 100%, $F$11)</f>
        <v>10.110099999999999</v>
      </c>
      <c r="I410" s="8">
        <f>9.0969 * CHOOSE(CONTROL!$C$15, $D$11, 100%, $F$11)</f>
        <v>9.0968999999999998</v>
      </c>
      <c r="J410" s="4">
        <f>9.0228 * CHOOSE(CONTROL!$C$15, $D$11, 100%, $F$11)</f>
        <v>9.0228000000000002</v>
      </c>
      <c r="K410" s="4"/>
      <c r="L410" s="9">
        <v>28.921800000000001</v>
      </c>
      <c r="M410" s="9">
        <v>12.063700000000001</v>
      </c>
      <c r="N410" s="9">
        <v>4.9444999999999997</v>
      </c>
      <c r="O410" s="9">
        <v>0.37459999999999999</v>
      </c>
      <c r="P410" s="9">
        <v>1.2192000000000001</v>
      </c>
      <c r="Q410" s="9">
        <v>20.201499999999999</v>
      </c>
      <c r="R410" s="9"/>
      <c r="S410" s="11"/>
    </row>
    <row r="411" spans="1:19" ht="15.75">
      <c r="A411" s="13">
        <v>54392</v>
      </c>
      <c r="B411" s="8">
        <f>10.0882 * CHOOSE(CONTROL!$C$15, $D$11, 100%, $F$11)</f>
        <v>10.088200000000001</v>
      </c>
      <c r="C411" s="8">
        <f>10.0985 * CHOOSE(CONTROL!$C$15, $D$11, 100%, $F$11)</f>
        <v>10.0985</v>
      </c>
      <c r="D411" s="8">
        <f>10.0846 * CHOOSE( CONTROL!$C$15, $D$11, 100%, $F$11)</f>
        <v>10.0846</v>
      </c>
      <c r="E411" s="12">
        <f>10.0886 * CHOOSE( CONTROL!$C$15, $D$11, 100%, $F$11)</f>
        <v>10.0886</v>
      </c>
      <c r="F411" s="4">
        <f>10.7424 * CHOOSE(CONTROL!$C$15, $D$11, 100%, $F$11)</f>
        <v>10.7424</v>
      </c>
      <c r="G411" s="8">
        <f>9.9146 * CHOOSE( CONTROL!$C$15, $D$11, 100%, $F$11)</f>
        <v>9.9146000000000001</v>
      </c>
      <c r="H411" s="4">
        <f>10.7972 * CHOOSE(CONTROL!$C$15, $D$11, 100%, $F$11)</f>
        <v>10.7972</v>
      </c>
      <c r="I411" s="8">
        <f>9.8387 * CHOOSE(CONTROL!$C$15, $D$11, 100%, $F$11)</f>
        <v>9.8386999999999993</v>
      </c>
      <c r="J411" s="4">
        <f>9.7312 * CHOOSE(CONTROL!$C$15, $D$11, 100%, $F$11)</f>
        <v>9.7311999999999994</v>
      </c>
      <c r="K411" s="4"/>
      <c r="L411" s="9">
        <v>26.515499999999999</v>
      </c>
      <c r="M411" s="9">
        <v>11.6745</v>
      </c>
      <c r="N411" s="9">
        <v>4.7850000000000001</v>
      </c>
      <c r="O411" s="9">
        <v>0.36249999999999999</v>
      </c>
      <c r="P411" s="9">
        <v>1.2522</v>
      </c>
      <c r="Q411" s="9">
        <v>19.549800000000001</v>
      </c>
      <c r="R411" s="9"/>
      <c r="S411" s="11"/>
    </row>
    <row r="412" spans="1:19" ht="15.75">
      <c r="A412" s="13">
        <v>54423</v>
      </c>
      <c r="B412" s="8">
        <f>10.0699 * CHOOSE(CONTROL!$C$15, $D$11, 100%, $F$11)</f>
        <v>10.069900000000001</v>
      </c>
      <c r="C412" s="8">
        <f>10.0802 * CHOOSE(CONTROL!$C$15, $D$11, 100%, $F$11)</f>
        <v>10.0802</v>
      </c>
      <c r="D412" s="8">
        <f>10.0687 * CHOOSE( CONTROL!$C$15, $D$11, 100%, $F$11)</f>
        <v>10.0687</v>
      </c>
      <c r="E412" s="12">
        <f>10.0718 * CHOOSE( CONTROL!$C$15, $D$11, 100%, $F$11)</f>
        <v>10.0718</v>
      </c>
      <c r="F412" s="4">
        <f>10.7241 * CHOOSE(CONTROL!$C$15, $D$11, 100%, $F$11)</f>
        <v>10.7241</v>
      </c>
      <c r="G412" s="8">
        <f>9.8985 * CHOOSE( CONTROL!$C$15, $D$11, 100%, $F$11)</f>
        <v>9.8985000000000003</v>
      </c>
      <c r="H412" s="4">
        <f>10.7792 * CHOOSE(CONTROL!$C$15, $D$11, 100%, $F$11)</f>
        <v>10.779199999999999</v>
      </c>
      <c r="I412" s="8">
        <f>9.8289 * CHOOSE(CONTROL!$C$15, $D$11, 100%, $F$11)</f>
        <v>9.8289000000000009</v>
      </c>
      <c r="J412" s="4">
        <f>9.7135 * CHOOSE(CONTROL!$C$15, $D$11, 100%, $F$11)</f>
        <v>9.7134999999999998</v>
      </c>
      <c r="K412" s="4"/>
      <c r="L412" s="9">
        <v>27.3993</v>
      </c>
      <c r="M412" s="9">
        <v>12.063700000000001</v>
      </c>
      <c r="N412" s="9">
        <v>4.9444999999999997</v>
      </c>
      <c r="O412" s="9">
        <v>0.37459999999999999</v>
      </c>
      <c r="P412" s="9">
        <v>1.2939000000000001</v>
      </c>
      <c r="Q412" s="9">
        <v>20.201499999999999</v>
      </c>
      <c r="R412" s="9"/>
      <c r="S412" s="11"/>
    </row>
    <row r="413" spans="1:19" ht="15.75">
      <c r="A413" s="13">
        <v>54454</v>
      </c>
      <c r="B413" s="8">
        <f>10.4538 * CHOOSE(CONTROL!$C$15, $D$11, 100%, $F$11)</f>
        <v>10.453799999999999</v>
      </c>
      <c r="C413" s="8">
        <f>10.4641 * CHOOSE(CONTROL!$C$15, $D$11, 100%, $F$11)</f>
        <v>10.4641</v>
      </c>
      <c r="D413" s="8">
        <f>10.4625 * CHOOSE( CONTROL!$C$15, $D$11, 100%, $F$11)</f>
        <v>10.4625</v>
      </c>
      <c r="E413" s="12">
        <f>10.462 * CHOOSE( CONTROL!$C$15, $D$11, 100%, $F$11)</f>
        <v>10.462</v>
      </c>
      <c r="F413" s="4">
        <f>11.1365 * CHOOSE(CONTROL!$C$15, $D$11, 100%, $F$11)</f>
        <v>11.1365</v>
      </c>
      <c r="G413" s="8">
        <f>10.2864 * CHOOSE( CONTROL!$C$15, $D$11, 100%, $F$11)</f>
        <v>10.2864</v>
      </c>
      <c r="H413" s="4">
        <f>11.1848 * CHOOSE(CONTROL!$C$15, $D$11, 100%, $F$11)</f>
        <v>11.184799999999999</v>
      </c>
      <c r="I413" s="8">
        <f>10.1984 * CHOOSE(CONTROL!$C$15, $D$11, 100%, $F$11)</f>
        <v>10.198399999999999</v>
      </c>
      <c r="J413" s="4">
        <f>10.0847 * CHOOSE(CONTROL!$C$15, $D$11, 100%, $F$11)</f>
        <v>10.0847</v>
      </c>
      <c r="K413" s="4"/>
      <c r="L413" s="9">
        <v>27.3993</v>
      </c>
      <c r="M413" s="9">
        <v>12.063700000000001</v>
      </c>
      <c r="N413" s="9">
        <v>4.9444999999999997</v>
      </c>
      <c r="O413" s="9">
        <v>0.37459999999999999</v>
      </c>
      <c r="P413" s="9">
        <v>1.2939000000000001</v>
      </c>
      <c r="Q413" s="9">
        <v>20.136399999999998</v>
      </c>
      <c r="R413" s="9"/>
      <c r="S413" s="11"/>
    </row>
    <row r="414" spans="1:19" ht="15.75">
      <c r="A414" s="13">
        <v>54482</v>
      </c>
      <c r="B414" s="8">
        <f>9.7796 * CHOOSE(CONTROL!$C$15, $D$11, 100%, $F$11)</f>
        <v>9.7796000000000003</v>
      </c>
      <c r="C414" s="8">
        <f>9.79 * CHOOSE(CONTROL!$C$15, $D$11, 100%, $F$11)</f>
        <v>9.7899999999999991</v>
      </c>
      <c r="D414" s="8">
        <f>9.7905 * CHOOSE( CONTROL!$C$15, $D$11, 100%, $F$11)</f>
        <v>9.7904999999999998</v>
      </c>
      <c r="E414" s="12">
        <f>9.7892 * CHOOSE( CONTROL!$C$15, $D$11, 100%, $F$11)</f>
        <v>9.7891999999999992</v>
      </c>
      <c r="F414" s="4">
        <f>10.4546 * CHOOSE(CONTROL!$C$15, $D$11, 100%, $F$11)</f>
        <v>10.454599999999999</v>
      </c>
      <c r="G414" s="8">
        <f>9.6229 * CHOOSE( CONTROL!$C$15, $D$11, 100%, $F$11)</f>
        <v>9.6228999999999996</v>
      </c>
      <c r="H414" s="4">
        <f>10.514 * CHOOSE(CONTROL!$C$15, $D$11, 100%, $F$11)</f>
        <v>10.513999999999999</v>
      </c>
      <c r="I414" s="8">
        <f>9.5351 * CHOOSE(CONTROL!$C$15, $D$11, 100%, $F$11)</f>
        <v>9.5350999999999999</v>
      </c>
      <c r="J414" s="4">
        <f>9.4328 * CHOOSE(CONTROL!$C$15, $D$11, 100%, $F$11)</f>
        <v>9.4328000000000003</v>
      </c>
      <c r="K414" s="4"/>
      <c r="L414" s="9">
        <v>24.747800000000002</v>
      </c>
      <c r="M414" s="9">
        <v>10.8962</v>
      </c>
      <c r="N414" s="9">
        <v>4.4660000000000002</v>
      </c>
      <c r="O414" s="9">
        <v>0.33829999999999999</v>
      </c>
      <c r="P414" s="9">
        <v>1.1687000000000001</v>
      </c>
      <c r="Q414" s="9">
        <v>18.1877</v>
      </c>
      <c r="R414" s="9"/>
      <c r="S414" s="11"/>
    </row>
    <row r="415" spans="1:19" ht="15.75">
      <c r="A415" s="13">
        <v>54513</v>
      </c>
      <c r="B415" s="8">
        <f>9.572 * CHOOSE(CONTROL!$C$15, $D$11, 100%, $F$11)</f>
        <v>9.5719999999999992</v>
      </c>
      <c r="C415" s="8">
        <f>9.5823 * CHOOSE(CONTROL!$C$15, $D$11, 100%, $F$11)</f>
        <v>9.5823</v>
      </c>
      <c r="D415" s="8">
        <f>9.5624 * CHOOSE( CONTROL!$C$15, $D$11, 100%, $F$11)</f>
        <v>9.5624000000000002</v>
      </c>
      <c r="E415" s="12">
        <f>9.5686 * CHOOSE( CONTROL!$C$15, $D$11, 100%, $F$11)</f>
        <v>9.5686</v>
      </c>
      <c r="F415" s="4">
        <f>10.2309 * CHOOSE(CONTROL!$C$15, $D$11, 100%, $F$11)</f>
        <v>10.2309</v>
      </c>
      <c r="G415" s="8">
        <f>9.3979 * CHOOSE( CONTROL!$C$15, $D$11, 100%, $F$11)</f>
        <v>9.3978999999999999</v>
      </c>
      <c r="H415" s="4">
        <f>10.2939 * CHOOSE(CONTROL!$C$15, $D$11, 100%, $F$11)</f>
        <v>10.293900000000001</v>
      </c>
      <c r="I415" s="8">
        <f>9.2947 * CHOOSE(CONTROL!$C$15, $D$11, 100%, $F$11)</f>
        <v>9.2947000000000006</v>
      </c>
      <c r="J415" s="4">
        <f>9.232 * CHOOSE(CONTROL!$C$15, $D$11, 100%, $F$11)</f>
        <v>9.2319999999999993</v>
      </c>
      <c r="K415" s="4"/>
      <c r="L415" s="9">
        <v>27.3993</v>
      </c>
      <c r="M415" s="9">
        <v>12.063700000000001</v>
      </c>
      <c r="N415" s="9">
        <v>4.9444999999999997</v>
      </c>
      <c r="O415" s="9">
        <v>0.37459999999999999</v>
      </c>
      <c r="P415" s="9">
        <v>1.2939000000000001</v>
      </c>
      <c r="Q415" s="9">
        <v>20.136399999999998</v>
      </c>
      <c r="R415" s="9"/>
      <c r="S415" s="11"/>
    </row>
    <row r="416" spans="1:19" ht="15.75">
      <c r="A416" s="13">
        <v>54543</v>
      </c>
      <c r="B416" s="8">
        <f>9.7171 * CHOOSE(CONTROL!$C$15, $D$11, 100%, $F$11)</f>
        <v>9.7171000000000003</v>
      </c>
      <c r="C416" s="8">
        <f>9.7274 * CHOOSE(CONTROL!$C$15, $D$11, 100%, $F$11)</f>
        <v>9.7273999999999994</v>
      </c>
      <c r="D416" s="8">
        <f>9.7189 * CHOOSE( CONTROL!$C$15, $D$11, 100%, $F$11)</f>
        <v>9.7188999999999997</v>
      </c>
      <c r="E416" s="12">
        <f>9.7205 * CHOOSE( CONTROL!$C$15, $D$11, 100%, $F$11)</f>
        <v>9.7204999999999995</v>
      </c>
      <c r="F416" s="4">
        <f>10.3662 * CHOOSE(CONTROL!$C$15, $D$11, 100%, $F$11)</f>
        <v>10.366199999999999</v>
      </c>
      <c r="G416" s="8">
        <f>9.5255 * CHOOSE( CONTROL!$C$15, $D$11, 100%, $F$11)</f>
        <v>9.5254999999999992</v>
      </c>
      <c r="H416" s="4">
        <f>10.427 * CHOOSE(CONTROL!$C$15, $D$11, 100%, $F$11)</f>
        <v>10.427</v>
      </c>
      <c r="I416" s="8">
        <f>9.4319 * CHOOSE(CONTROL!$C$15, $D$11, 100%, $F$11)</f>
        <v>9.4319000000000006</v>
      </c>
      <c r="J416" s="4">
        <f>9.3723 * CHOOSE(CONTROL!$C$15, $D$11, 100%, $F$11)</f>
        <v>9.3722999999999992</v>
      </c>
      <c r="K416" s="4"/>
      <c r="L416" s="9">
        <v>27.988800000000001</v>
      </c>
      <c r="M416" s="9">
        <v>11.6745</v>
      </c>
      <c r="N416" s="9">
        <v>4.7850000000000001</v>
      </c>
      <c r="O416" s="9">
        <v>0.36249999999999999</v>
      </c>
      <c r="P416" s="9">
        <v>1.1798</v>
      </c>
      <c r="Q416" s="9">
        <v>19.486799999999999</v>
      </c>
      <c r="R416" s="9"/>
      <c r="S416" s="11"/>
    </row>
    <row r="417" spans="1:19" ht="15.75">
      <c r="A417" s="13">
        <v>54574</v>
      </c>
      <c r="B417" s="8">
        <f>CHOOSE( CONTROL!$C$32, 9.9798, 9.9753) * CHOOSE(CONTROL!$C$15, $D$11, 100%, $F$11)</f>
        <v>9.9797999999999991</v>
      </c>
      <c r="C417" s="8">
        <f>CHOOSE( CONTROL!$C$32, 9.9902, 9.9856) * CHOOSE(CONTROL!$C$15, $D$11, 100%, $F$11)</f>
        <v>9.9901999999999997</v>
      </c>
      <c r="D417" s="8">
        <f>CHOOSE( CONTROL!$C$32, 9.9999, 9.9953) * CHOOSE( CONTROL!$C$15, $D$11, 100%, $F$11)</f>
        <v>9.9999000000000002</v>
      </c>
      <c r="E417" s="12">
        <f>CHOOSE( CONTROL!$C$32, 9.9948, 9.9902) * CHOOSE( CONTROL!$C$15, $D$11, 100%, $F$11)</f>
        <v>9.9947999999999997</v>
      </c>
      <c r="F417" s="4">
        <f>CHOOSE( CONTROL!$C$32, 10.6681, 10.6636) * CHOOSE(CONTROL!$C$15, $D$11, 100%, $F$11)</f>
        <v>10.668100000000001</v>
      </c>
      <c r="G417" s="8">
        <f>CHOOSE( CONTROL!$C$32, 9.789, 9.7846) * CHOOSE( CONTROL!$C$15, $D$11, 100%, $F$11)</f>
        <v>9.7889999999999997</v>
      </c>
      <c r="H417" s="4">
        <f>CHOOSE( CONTROL!$C$32, 10.7241, 10.7196) * CHOOSE(CONTROL!$C$15, $D$11, 100%, $F$11)</f>
        <v>10.7241</v>
      </c>
      <c r="I417" s="8">
        <f>CHOOSE( CONTROL!$C$32, 9.692, 9.6876) * CHOOSE(CONTROL!$C$15, $D$11, 100%, $F$11)</f>
        <v>9.6920000000000002</v>
      </c>
      <c r="J417" s="4">
        <f>CHOOSE( CONTROL!$C$32, 9.6264, 9.622) * CHOOSE(CONTROL!$C$15, $D$11, 100%, $F$11)</f>
        <v>9.6264000000000003</v>
      </c>
      <c r="K417" s="4"/>
      <c r="L417" s="9">
        <v>29.520499999999998</v>
      </c>
      <c r="M417" s="9">
        <v>12.063700000000001</v>
      </c>
      <c r="N417" s="9">
        <v>4.9444999999999997</v>
      </c>
      <c r="O417" s="9">
        <v>0.37459999999999999</v>
      </c>
      <c r="P417" s="9">
        <v>1.2192000000000001</v>
      </c>
      <c r="Q417" s="9">
        <v>20.136399999999998</v>
      </c>
      <c r="R417" s="9"/>
      <c r="S417" s="11"/>
    </row>
    <row r="418" spans="1:19" ht="15.75">
      <c r="A418" s="13">
        <v>54604</v>
      </c>
      <c r="B418" s="8">
        <f>CHOOSE( CONTROL!$C$32, 9.8199, 9.8153) * CHOOSE(CONTROL!$C$15, $D$11, 100%, $F$11)</f>
        <v>9.8199000000000005</v>
      </c>
      <c r="C418" s="8">
        <f>CHOOSE( CONTROL!$C$32, 9.8302, 9.8257) * CHOOSE(CONTROL!$C$15, $D$11, 100%, $F$11)</f>
        <v>9.8301999999999996</v>
      </c>
      <c r="D418" s="8">
        <f>CHOOSE( CONTROL!$C$32, 9.8405, 9.836) * CHOOSE( CONTROL!$C$15, $D$11, 100%, $F$11)</f>
        <v>9.8405000000000005</v>
      </c>
      <c r="E418" s="12">
        <f>CHOOSE( CONTROL!$C$32, 9.8352, 9.8307) * CHOOSE( CONTROL!$C$15, $D$11, 100%, $F$11)</f>
        <v>9.8352000000000004</v>
      </c>
      <c r="F418" s="4">
        <f>CHOOSE( CONTROL!$C$32, 10.5082, 10.5036) * CHOOSE(CONTROL!$C$15, $D$11, 100%, $F$11)</f>
        <v>10.5082</v>
      </c>
      <c r="G418" s="8">
        <f>CHOOSE( CONTROL!$C$32, 9.6326, 9.6281) * CHOOSE( CONTROL!$C$15, $D$11, 100%, $F$11)</f>
        <v>9.6326000000000001</v>
      </c>
      <c r="H418" s="4">
        <f>CHOOSE( CONTROL!$C$32, 10.5667, 10.5622) * CHOOSE(CONTROL!$C$15, $D$11, 100%, $F$11)</f>
        <v>10.566700000000001</v>
      </c>
      <c r="I418" s="8">
        <f>CHOOSE( CONTROL!$C$32, 9.5402, 9.5358) * CHOOSE(CONTROL!$C$15, $D$11, 100%, $F$11)</f>
        <v>9.5402000000000005</v>
      </c>
      <c r="J418" s="4">
        <f>CHOOSE( CONTROL!$C$32, 9.4717, 9.4673) * CHOOSE(CONTROL!$C$15, $D$11, 100%, $F$11)</f>
        <v>9.4717000000000002</v>
      </c>
      <c r="K418" s="4"/>
      <c r="L418" s="9">
        <v>28.568200000000001</v>
      </c>
      <c r="M418" s="9">
        <v>11.6745</v>
      </c>
      <c r="N418" s="9">
        <v>4.7850000000000001</v>
      </c>
      <c r="O418" s="9">
        <v>0.36249999999999999</v>
      </c>
      <c r="P418" s="9">
        <v>1.1798</v>
      </c>
      <c r="Q418" s="9">
        <v>19.486799999999999</v>
      </c>
      <c r="R418" s="9"/>
      <c r="S418" s="11"/>
    </row>
    <row r="419" spans="1:19" ht="15.75">
      <c r="A419" s="13">
        <v>54635</v>
      </c>
      <c r="B419" s="8">
        <f>CHOOSE( CONTROL!$C$32, 10.2411, 10.2366) * CHOOSE(CONTROL!$C$15, $D$11, 100%, $F$11)</f>
        <v>10.241099999999999</v>
      </c>
      <c r="C419" s="8">
        <f>CHOOSE( CONTROL!$C$32, 10.2514, 10.2469) * CHOOSE(CONTROL!$C$15, $D$11, 100%, $F$11)</f>
        <v>10.2514</v>
      </c>
      <c r="D419" s="8">
        <f>CHOOSE( CONTROL!$C$32, 10.2623, 10.2578) * CHOOSE( CONTROL!$C$15, $D$11, 100%, $F$11)</f>
        <v>10.2623</v>
      </c>
      <c r="E419" s="12">
        <f>CHOOSE( CONTROL!$C$32, 10.2568, 10.2523) * CHOOSE( CONTROL!$C$15, $D$11, 100%, $F$11)</f>
        <v>10.2568</v>
      </c>
      <c r="F419" s="4">
        <f>CHOOSE( CONTROL!$C$32, 10.9294, 10.9249) * CHOOSE(CONTROL!$C$15, $D$11, 100%, $F$11)</f>
        <v>10.929399999999999</v>
      </c>
      <c r="G419" s="8">
        <f>CHOOSE( CONTROL!$C$32, 10.0479, 10.0434) * CHOOSE( CONTROL!$C$15, $D$11, 100%, $F$11)</f>
        <v>10.0479</v>
      </c>
      <c r="H419" s="4">
        <f>CHOOSE( CONTROL!$C$32, 10.9811, 10.9767) * CHOOSE(CONTROL!$C$15, $D$11, 100%, $F$11)</f>
        <v>10.9811</v>
      </c>
      <c r="I419" s="8">
        <f>CHOOSE( CONTROL!$C$32, 9.9505, 9.9461) * CHOOSE(CONTROL!$C$15, $D$11, 100%, $F$11)</f>
        <v>9.9504999999999999</v>
      </c>
      <c r="J419" s="4">
        <f>CHOOSE( CONTROL!$C$32, 9.8791, 9.8747) * CHOOSE(CONTROL!$C$15, $D$11, 100%, $F$11)</f>
        <v>9.8790999999999993</v>
      </c>
      <c r="K419" s="4"/>
      <c r="L419" s="9">
        <v>29.520499999999998</v>
      </c>
      <c r="M419" s="9">
        <v>12.063700000000001</v>
      </c>
      <c r="N419" s="9">
        <v>4.9444999999999997</v>
      </c>
      <c r="O419" s="9">
        <v>0.37459999999999999</v>
      </c>
      <c r="P419" s="9">
        <v>1.2192000000000001</v>
      </c>
      <c r="Q419" s="9">
        <v>20.136399999999998</v>
      </c>
      <c r="R419" s="9"/>
      <c r="S419" s="11"/>
    </row>
    <row r="420" spans="1:19" ht="15.75">
      <c r="A420" s="13">
        <v>54666</v>
      </c>
      <c r="B420" s="8">
        <f>CHOOSE( CONTROL!$C$32, 9.4529, 9.4484) * CHOOSE(CONTROL!$C$15, $D$11, 100%, $F$11)</f>
        <v>9.4528999999999996</v>
      </c>
      <c r="C420" s="8">
        <f>CHOOSE( CONTROL!$C$32, 9.4633, 9.4587) * CHOOSE(CONTROL!$C$15, $D$11, 100%, $F$11)</f>
        <v>9.4633000000000003</v>
      </c>
      <c r="D420" s="8">
        <f>CHOOSE( CONTROL!$C$32, 9.4744, 9.4699) * CHOOSE( CONTROL!$C$15, $D$11, 100%, $F$11)</f>
        <v>9.4743999999999993</v>
      </c>
      <c r="E420" s="12">
        <f>CHOOSE( CONTROL!$C$32, 9.4688, 9.4643) * CHOOSE( CONTROL!$C$15, $D$11, 100%, $F$11)</f>
        <v>9.4687999999999999</v>
      </c>
      <c r="F420" s="4">
        <f>CHOOSE( CONTROL!$C$32, 10.1412, 10.1367) * CHOOSE(CONTROL!$C$15, $D$11, 100%, $F$11)</f>
        <v>10.1412</v>
      </c>
      <c r="G420" s="8">
        <f>CHOOSE( CONTROL!$C$32, 9.2729, 9.2684) * CHOOSE( CONTROL!$C$15, $D$11, 100%, $F$11)</f>
        <v>9.2728999999999999</v>
      </c>
      <c r="H420" s="4">
        <f>CHOOSE( CONTROL!$C$32, 10.2057, 10.2012) * CHOOSE(CONTROL!$C$15, $D$11, 100%, $F$11)</f>
        <v>10.2057</v>
      </c>
      <c r="I420" s="8">
        <f>CHOOSE( CONTROL!$C$32, 9.1893, 9.1849) * CHOOSE(CONTROL!$C$15, $D$11, 100%, $F$11)</f>
        <v>9.1892999999999994</v>
      </c>
      <c r="J420" s="4">
        <f>CHOOSE( CONTROL!$C$32, 9.1168, 9.1124) * CHOOSE(CONTROL!$C$15, $D$11, 100%, $F$11)</f>
        <v>9.1167999999999996</v>
      </c>
      <c r="K420" s="4"/>
      <c r="L420" s="9">
        <v>29.520499999999998</v>
      </c>
      <c r="M420" s="9">
        <v>12.063700000000001</v>
      </c>
      <c r="N420" s="9">
        <v>4.9444999999999997</v>
      </c>
      <c r="O420" s="9">
        <v>0.37459999999999999</v>
      </c>
      <c r="P420" s="9">
        <v>1.2192000000000001</v>
      </c>
      <c r="Q420" s="9">
        <v>20.136399999999998</v>
      </c>
      <c r="R420" s="9"/>
      <c r="S420" s="11"/>
    </row>
    <row r="421" spans="1:19" ht="15.75">
      <c r="A421" s="13">
        <v>54696</v>
      </c>
      <c r="B421" s="8">
        <f>CHOOSE( CONTROL!$C$32, 9.2556, 9.251) * CHOOSE(CONTROL!$C$15, $D$11, 100%, $F$11)</f>
        <v>9.2555999999999994</v>
      </c>
      <c r="C421" s="8">
        <f>CHOOSE( CONTROL!$C$32, 9.2659, 9.2614) * CHOOSE(CONTROL!$C$15, $D$11, 100%, $F$11)</f>
        <v>9.2659000000000002</v>
      </c>
      <c r="D421" s="8">
        <f>CHOOSE( CONTROL!$C$32, 9.2772, 9.2726) * CHOOSE( CONTROL!$C$15, $D$11, 100%, $F$11)</f>
        <v>9.2772000000000006</v>
      </c>
      <c r="E421" s="12">
        <f>CHOOSE( CONTROL!$C$32, 9.2715, 9.267) * CHOOSE( CONTROL!$C$15, $D$11, 100%, $F$11)</f>
        <v>9.2714999999999996</v>
      </c>
      <c r="F421" s="4">
        <f>CHOOSE( CONTROL!$C$32, 9.9438, 9.9393) * CHOOSE(CONTROL!$C$15, $D$11, 100%, $F$11)</f>
        <v>9.9437999999999995</v>
      </c>
      <c r="G421" s="8">
        <f>CHOOSE( CONTROL!$C$32, 9.0788, 9.0744) * CHOOSE( CONTROL!$C$15, $D$11, 100%, $F$11)</f>
        <v>9.0787999999999993</v>
      </c>
      <c r="H421" s="4">
        <f>CHOOSE( CONTROL!$C$32, 10.0115, 10.0071) * CHOOSE(CONTROL!$C$15, $D$11, 100%, $F$11)</f>
        <v>10.0115</v>
      </c>
      <c r="I421" s="8">
        <f>CHOOSE( CONTROL!$C$32, 8.9987, 8.9944) * CHOOSE(CONTROL!$C$15, $D$11, 100%, $F$11)</f>
        <v>8.9986999999999995</v>
      </c>
      <c r="J421" s="4">
        <f>CHOOSE( CONTROL!$C$32, 8.9259, 8.9216) * CHOOSE(CONTROL!$C$15, $D$11, 100%, $F$11)</f>
        <v>8.9259000000000004</v>
      </c>
      <c r="K421" s="4"/>
      <c r="L421" s="9">
        <v>28.568200000000001</v>
      </c>
      <c r="M421" s="9">
        <v>11.6745</v>
      </c>
      <c r="N421" s="9">
        <v>4.7850000000000001</v>
      </c>
      <c r="O421" s="9">
        <v>0.36249999999999999</v>
      </c>
      <c r="P421" s="9">
        <v>1.1798</v>
      </c>
      <c r="Q421" s="9">
        <v>19.486799999999999</v>
      </c>
      <c r="R421" s="9"/>
      <c r="S421" s="11"/>
    </row>
    <row r="422" spans="1:19" ht="15.75">
      <c r="A422" s="13">
        <v>54727</v>
      </c>
      <c r="B422" s="8">
        <f>9.6608 * CHOOSE(CONTROL!$C$15, $D$11, 100%, $F$11)</f>
        <v>9.6608000000000001</v>
      </c>
      <c r="C422" s="8">
        <f>9.6712 * CHOOSE(CONTROL!$C$15, $D$11, 100%, $F$11)</f>
        <v>9.6712000000000007</v>
      </c>
      <c r="D422" s="8">
        <f>9.6836 * CHOOSE( CONTROL!$C$15, $D$11, 100%, $F$11)</f>
        <v>9.6836000000000002</v>
      </c>
      <c r="E422" s="12">
        <f>9.6784 * CHOOSE( CONTROL!$C$15, $D$11, 100%, $F$11)</f>
        <v>9.6783999999999999</v>
      </c>
      <c r="F422" s="4">
        <f>10.3491 * CHOOSE(CONTROL!$C$15, $D$11, 100%, $F$11)</f>
        <v>10.3491</v>
      </c>
      <c r="G422" s="8">
        <f>9.477 * CHOOSE( CONTROL!$C$15, $D$11, 100%, $F$11)</f>
        <v>9.4770000000000003</v>
      </c>
      <c r="H422" s="4">
        <f>10.4102 * CHOOSE(CONTROL!$C$15, $D$11, 100%, $F$11)</f>
        <v>10.4102</v>
      </c>
      <c r="I422" s="8">
        <f>9.3922 * CHOOSE(CONTROL!$C$15, $D$11, 100%, $F$11)</f>
        <v>9.3922000000000008</v>
      </c>
      <c r="J422" s="4">
        <f>9.3179 * CHOOSE(CONTROL!$C$15, $D$11, 100%, $F$11)</f>
        <v>9.3178999999999998</v>
      </c>
      <c r="K422" s="4"/>
      <c r="L422" s="9">
        <v>28.921800000000001</v>
      </c>
      <c r="M422" s="9">
        <v>12.063700000000001</v>
      </c>
      <c r="N422" s="9">
        <v>4.9444999999999997</v>
      </c>
      <c r="O422" s="9">
        <v>0.37459999999999999</v>
      </c>
      <c r="P422" s="9">
        <v>1.2192000000000001</v>
      </c>
      <c r="Q422" s="9">
        <v>20.136399999999998</v>
      </c>
      <c r="R422" s="9"/>
      <c r="S422" s="11"/>
    </row>
    <row r="423" spans="1:19" ht="15.75">
      <c r="A423" s="13">
        <v>54757</v>
      </c>
      <c r="B423" s="8">
        <f>10.4173 * CHOOSE(CONTROL!$C$15, $D$11, 100%, $F$11)</f>
        <v>10.417299999999999</v>
      </c>
      <c r="C423" s="8">
        <f>10.4276 * CHOOSE(CONTROL!$C$15, $D$11, 100%, $F$11)</f>
        <v>10.4276</v>
      </c>
      <c r="D423" s="8">
        <f>10.4136 * CHOOSE( CONTROL!$C$15, $D$11, 100%, $F$11)</f>
        <v>10.413600000000001</v>
      </c>
      <c r="E423" s="12">
        <f>10.4176 * CHOOSE( CONTROL!$C$15, $D$11, 100%, $F$11)</f>
        <v>10.4176</v>
      </c>
      <c r="F423" s="4">
        <f>11.0715 * CHOOSE(CONTROL!$C$15, $D$11, 100%, $F$11)</f>
        <v>11.0715</v>
      </c>
      <c r="G423" s="8">
        <f>10.2384 * CHOOSE( CONTROL!$C$15, $D$11, 100%, $F$11)</f>
        <v>10.2384</v>
      </c>
      <c r="H423" s="4">
        <f>11.1209 * CHOOSE(CONTROL!$C$15, $D$11, 100%, $F$11)</f>
        <v>11.120900000000001</v>
      </c>
      <c r="I423" s="8">
        <f>10.1571 * CHOOSE(CONTROL!$C$15, $D$11, 100%, $F$11)</f>
        <v>10.1571</v>
      </c>
      <c r="J423" s="4">
        <f>10.0494 * CHOOSE(CONTROL!$C$15, $D$11, 100%, $F$11)</f>
        <v>10.0494</v>
      </c>
      <c r="K423" s="4"/>
      <c r="L423" s="9">
        <v>26.515499999999999</v>
      </c>
      <c r="M423" s="9">
        <v>11.6745</v>
      </c>
      <c r="N423" s="9">
        <v>4.7850000000000001</v>
      </c>
      <c r="O423" s="9">
        <v>0.36249999999999999</v>
      </c>
      <c r="P423" s="9">
        <v>1.2522</v>
      </c>
      <c r="Q423" s="9">
        <v>19.486799999999999</v>
      </c>
      <c r="R423" s="9"/>
      <c r="S423" s="11"/>
    </row>
    <row r="424" spans="1:19" ht="15.75">
      <c r="A424" s="13">
        <v>54788</v>
      </c>
      <c r="B424" s="8">
        <f>10.3984 * CHOOSE(CONTROL!$C$15, $D$11, 100%, $F$11)</f>
        <v>10.398400000000001</v>
      </c>
      <c r="C424" s="8">
        <f>10.4087 * CHOOSE(CONTROL!$C$15, $D$11, 100%, $F$11)</f>
        <v>10.4087</v>
      </c>
      <c r="D424" s="8">
        <f>10.3972 * CHOOSE( CONTROL!$C$15, $D$11, 100%, $F$11)</f>
        <v>10.3972</v>
      </c>
      <c r="E424" s="12">
        <f>10.4003 * CHOOSE( CONTROL!$C$15, $D$11, 100%, $F$11)</f>
        <v>10.4003</v>
      </c>
      <c r="F424" s="4">
        <f>11.0526 * CHOOSE(CONTROL!$C$15, $D$11, 100%, $F$11)</f>
        <v>11.0526</v>
      </c>
      <c r="G424" s="8">
        <f>10.2216 * CHOOSE( CONTROL!$C$15, $D$11, 100%, $F$11)</f>
        <v>10.2216</v>
      </c>
      <c r="H424" s="4">
        <f>11.1024 * CHOOSE(CONTROL!$C$15, $D$11, 100%, $F$11)</f>
        <v>11.102399999999999</v>
      </c>
      <c r="I424" s="8">
        <f>10.1468 * CHOOSE(CONTROL!$C$15, $D$11, 100%, $F$11)</f>
        <v>10.146800000000001</v>
      </c>
      <c r="J424" s="4">
        <f>10.0312 * CHOOSE(CONTROL!$C$15, $D$11, 100%, $F$11)</f>
        <v>10.0312</v>
      </c>
      <c r="K424" s="4"/>
      <c r="L424" s="9">
        <v>27.3993</v>
      </c>
      <c r="M424" s="9">
        <v>12.063700000000001</v>
      </c>
      <c r="N424" s="9">
        <v>4.9444999999999997</v>
      </c>
      <c r="O424" s="9">
        <v>0.37459999999999999</v>
      </c>
      <c r="P424" s="9">
        <v>1.2939000000000001</v>
      </c>
      <c r="Q424" s="9">
        <v>20.136399999999998</v>
      </c>
      <c r="R424" s="9"/>
      <c r="S424" s="11"/>
    </row>
    <row r="425" spans="1:19" ht="15.75">
      <c r="A425" s="13">
        <v>54819</v>
      </c>
      <c r="B425" s="8">
        <f>10.7948 * CHOOSE(CONTROL!$C$15, $D$11, 100%, $F$11)</f>
        <v>10.7948</v>
      </c>
      <c r="C425" s="8">
        <f>10.8051 * CHOOSE(CONTROL!$C$15, $D$11, 100%, $F$11)</f>
        <v>10.805099999999999</v>
      </c>
      <c r="D425" s="8">
        <f>10.8036 * CHOOSE( CONTROL!$C$15, $D$11, 100%, $F$11)</f>
        <v>10.803599999999999</v>
      </c>
      <c r="E425" s="12">
        <f>10.8031 * CHOOSE( CONTROL!$C$15, $D$11, 100%, $F$11)</f>
        <v>10.803100000000001</v>
      </c>
      <c r="F425" s="4">
        <f>11.4775 * CHOOSE(CONTROL!$C$15, $D$11, 100%, $F$11)</f>
        <v>11.477499999999999</v>
      </c>
      <c r="G425" s="8">
        <f>10.6219 * CHOOSE( CONTROL!$C$15, $D$11, 100%, $F$11)</f>
        <v>10.6219</v>
      </c>
      <c r="H425" s="4">
        <f>11.5203 * CHOOSE(CONTROL!$C$15, $D$11, 100%, $F$11)</f>
        <v>11.520300000000001</v>
      </c>
      <c r="I425" s="8">
        <f>10.5283 * CHOOSE(CONTROL!$C$15, $D$11, 100%, $F$11)</f>
        <v>10.5283</v>
      </c>
      <c r="J425" s="4">
        <f>10.4145 * CHOOSE(CONTROL!$C$15, $D$11, 100%, $F$11)</f>
        <v>10.4145</v>
      </c>
      <c r="K425" s="4"/>
      <c r="L425" s="9">
        <v>27.3993</v>
      </c>
      <c r="M425" s="9">
        <v>12.063700000000001</v>
      </c>
      <c r="N425" s="9">
        <v>4.9444999999999997</v>
      </c>
      <c r="O425" s="9">
        <v>0.37459999999999999</v>
      </c>
      <c r="P425" s="9">
        <v>1.2939000000000001</v>
      </c>
      <c r="Q425" s="9">
        <v>20.071300000000001</v>
      </c>
      <c r="R425" s="9"/>
      <c r="S425" s="11"/>
    </row>
    <row r="426" spans="1:19" ht="15.75">
      <c r="A426" s="13">
        <v>54847</v>
      </c>
      <c r="B426" s="8">
        <f>10.0986 * CHOOSE(CONTROL!$C$15, $D$11, 100%, $F$11)</f>
        <v>10.098599999999999</v>
      </c>
      <c r="C426" s="8">
        <f>10.1089 * CHOOSE(CONTROL!$C$15, $D$11, 100%, $F$11)</f>
        <v>10.1089</v>
      </c>
      <c r="D426" s="8">
        <f>10.1095 * CHOOSE( CONTROL!$C$15, $D$11, 100%, $F$11)</f>
        <v>10.109500000000001</v>
      </c>
      <c r="E426" s="12">
        <f>10.1082 * CHOOSE( CONTROL!$C$15, $D$11, 100%, $F$11)</f>
        <v>10.1082</v>
      </c>
      <c r="F426" s="4">
        <f>10.7735 * CHOOSE(CONTROL!$C$15, $D$11, 100%, $F$11)</f>
        <v>10.7735</v>
      </c>
      <c r="G426" s="8">
        <f>9.9368 * CHOOSE( CONTROL!$C$15, $D$11, 100%, $F$11)</f>
        <v>9.9367999999999999</v>
      </c>
      <c r="H426" s="4">
        <f>10.8278 * CHOOSE(CONTROL!$C$15, $D$11, 100%, $F$11)</f>
        <v>10.8278</v>
      </c>
      <c r="I426" s="8">
        <f>9.8438 * CHOOSE(CONTROL!$C$15, $D$11, 100%, $F$11)</f>
        <v>9.8437999999999999</v>
      </c>
      <c r="J426" s="4">
        <f>9.7413 * CHOOSE(CONTROL!$C$15, $D$11, 100%, $F$11)</f>
        <v>9.7413000000000007</v>
      </c>
      <c r="K426" s="4"/>
      <c r="L426" s="9">
        <v>24.747800000000002</v>
      </c>
      <c r="M426" s="9">
        <v>10.8962</v>
      </c>
      <c r="N426" s="9">
        <v>4.4660000000000002</v>
      </c>
      <c r="O426" s="9">
        <v>0.33829999999999999</v>
      </c>
      <c r="P426" s="9">
        <v>1.1687000000000001</v>
      </c>
      <c r="Q426" s="9">
        <v>18.128900000000002</v>
      </c>
      <c r="R426" s="9"/>
      <c r="S426" s="11"/>
    </row>
    <row r="427" spans="1:19" ht="15.75">
      <c r="A427" s="13">
        <v>54878</v>
      </c>
      <c r="B427" s="8">
        <f>9.8842 * CHOOSE(CONTROL!$C$15, $D$11, 100%, $F$11)</f>
        <v>9.8841999999999999</v>
      </c>
      <c r="C427" s="8">
        <f>9.8945 * CHOOSE(CONTROL!$C$15, $D$11, 100%, $F$11)</f>
        <v>9.8945000000000007</v>
      </c>
      <c r="D427" s="8">
        <f>9.8746 * CHOOSE( CONTROL!$C$15, $D$11, 100%, $F$11)</f>
        <v>9.8745999999999992</v>
      </c>
      <c r="E427" s="12">
        <f>9.8808 * CHOOSE( CONTROL!$C$15, $D$11, 100%, $F$11)</f>
        <v>9.8808000000000007</v>
      </c>
      <c r="F427" s="4">
        <f>10.5431 * CHOOSE(CONTROL!$C$15, $D$11, 100%, $F$11)</f>
        <v>10.543100000000001</v>
      </c>
      <c r="G427" s="8">
        <f>9.7051 * CHOOSE( CONTROL!$C$15, $D$11, 100%, $F$11)</f>
        <v>9.7050999999999998</v>
      </c>
      <c r="H427" s="4">
        <f>10.6011 * CHOOSE(CONTROL!$C$15, $D$11, 100%, $F$11)</f>
        <v>10.601100000000001</v>
      </c>
      <c r="I427" s="8">
        <f>9.5968 * CHOOSE(CONTROL!$C$15, $D$11, 100%, $F$11)</f>
        <v>9.5968</v>
      </c>
      <c r="J427" s="4">
        <f>9.5339 * CHOOSE(CONTROL!$C$15, $D$11, 100%, $F$11)</f>
        <v>9.5338999999999992</v>
      </c>
      <c r="K427" s="4"/>
      <c r="L427" s="9">
        <v>27.3993</v>
      </c>
      <c r="M427" s="9">
        <v>12.063700000000001</v>
      </c>
      <c r="N427" s="9">
        <v>4.9444999999999997</v>
      </c>
      <c r="O427" s="9">
        <v>0.37459999999999999</v>
      </c>
      <c r="P427" s="9">
        <v>1.2939000000000001</v>
      </c>
      <c r="Q427" s="9">
        <v>20.071300000000001</v>
      </c>
      <c r="R427" s="9"/>
      <c r="S427" s="11"/>
    </row>
    <row r="428" spans="1:19" ht="15.75">
      <c r="A428" s="13">
        <v>54908</v>
      </c>
      <c r="B428" s="8">
        <f>10.034 * CHOOSE(CONTROL!$C$15, $D$11, 100%, $F$11)</f>
        <v>10.034000000000001</v>
      </c>
      <c r="C428" s="8">
        <f>10.0444 * CHOOSE(CONTROL!$C$15, $D$11, 100%, $F$11)</f>
        <v>10.0444</v>
      </c>
      <c r="D428" s="8">
        <f>10.0359 * CHOOSE( CONTROL!$C$15, $D$11, 100%, $F$11)</f>
        <v>10.0359</v>
      </c>
      <c r="E428" s="12">
        <f>10.0375 * CHOOSE( CONTROL!$C$15, $D$11, 100%, $F$11)</f>
        <v>10.0375</v>
      </c>
      <c r="F428" s="4">
        <f>10.6831 * CHOOSE(CONTROL!$C$15, $D$11, 100%, $F$11)</f>
        <v>10.6831</v>
      </c>
      <c r="G428" s="8">
        <f>9.8373 * CHOOSE( CONTROL!$C$15, $D$11, 100%, $F$11)</f>
        <v>9.8373000000000008</v>
      </c>
      <c r="H428" s="4">
        <f>10.7388 * CHOOSE(CONTROL!$C$15, $D$11, 100%, $F$11)</f>
        <v>10.738799999999999</v>
      </c>
      <c r="I428" s="8">
        <f>9.7386 * CHOOSE(CONTROL!$C$15, $D$11, 100%, $F$11)</f>
        <v>9.7385999999999999</v>
      </c>
      <c r="J428" s="4">
        <f>9.6788 * CHOOSE(CONTROL!$C$15, $D$11, 100%, $F$11)</f>
        <v>9.6788000000000007</v>
      </c>
      <c r="K428" s="4"/>
      <c r="L428" s="9">
        <v>27.988800000000001</v>
      </c>
      <c r="M428" s="9">
        <v>11.6745</v>
      </c>
      <c r="N428" s="9">
        <v>4.7850000000000001</v>
      </c>
      <c r="O428" s="9">
        <v>0.36249999999999999</v>
      </c>
      <c r="P428" s="9">
        <v>1.1798</v>
      </c>
      <c r="Q428" s="9">
        <v>19.4238</v>
      </c>
      <c r="R428" s="9"/>
      <c r="S428" s="11"/>
    </row>
    <row r="429" spans="1:19" ht="15.75">
      <c r="A429" s="13">
        <v>54939</v>
      </c>
      <c r="B429" s="8">
        <f>CHOOSE( CONTROL!$C$32, 10.3052, 10.3007) * CHOOSE(CONTROL!$C$15, $D$11, 100%, $F$11)</f>
        <v>10.305199999999999</v>
      </c>
      <c r="C429" s="8">
        <f>CHOOSE( CONTROL!$C$32, 10.3155, 10.311) * CHOOSE(CONTROL!$C$15, $D$11, 100%, $F$11)</f>
        <v>10.3155</v>
      </c>
      <c r="D429" s="8">
        <f>CHOOSE( CONTROL!$C$32, 10.3252, 10.3207) * CHOOSE( CONTROL!$C$15, $D$11, 100%, $F$11)</f>
        <v>10.325200000000001</v>
      </c>
      <c r="E429" s="12">
        <f>CHOOSE( CONTROL!$C$32, 10.3201, 10.3156) * CHOOSE( CONTROL!$C$15, $D$11, 100%, $F$11)</f>
        <v>10.3201</v>
      </c>
      <c r="F429" s="4">
        <f>CHOOSE( CONTROL!$C$32, 10.9935, 10.989) * CHOOSE(CONTROL!$C$15, $D$11, 100%, $F$11)</f>
        <v>10.993499999999999</v>
      </c>
      <c r="G429" s="8">
        <f>CHOOSE( CONTROL!$C$32, 10.1092, 10.1047) * CHOOSE( CONTROL!$C$15, $D$11, 100%, $F$11)</f>
        <v>10.1092</v>
      </c>
      <c r="H429" s="4">
        <f>CHOOSE( CONTROL!$C$32, 11.0442, 11.0397) * CHOOSE(CONTROL!$C$15, $D$11, 100%, $F$11)</f>
        <v>11.0442</v>
      </c>
      <c r="I429" s="8">
        <f>CHOOSE( CONTROL!$C$32, 10.0069, 10.0025) * CHOOSE(CONTROL!$C$15, $D$11, 100%, $F$11)</f>
        <v>10.0069</v>
      </c>
      <c r="J429" s="4">
        <f>CHOOSE( CONTROL!$C$32, 9.9411, 9.9367) * CHOOSE(CONTROL!$C$15, $D$11, 100%, $F$11)</f>
        <v>9.9411000000000005</v>
      </c>
      <c r="K429" s="4"/>
      <c r="L429" s="9">
        <v>29.520499999999998</v>
      </c>
      <c r="M429" s="9">
        <v>12.063700000000001</v>
      </c>
      <c r="N429" s="9">
        <v>4.9444999999999997</v>
      </c>
      <c r="O429" s="9">
        <v>0.37459999999999999</v>
      </c>
      <c r="P429" s="9">
        <v>1.2192000000000001</v>
      </c>
      <c r="Q429" s="9">
        <v>20.071300000000001</v>
      </c>
      <c r="R429" s="9"/>
      <c r="S429" s="11"/>
    </row>
    <row r="430" spans="1:19" ht="15.75">
      <c r="A430" s="13">
        <v>54969</v>
      </c>
      <c r="B430" s="8">
        <f>CHOOSE( CONTROL!$C$32, 10.14, 10.1355) * CHOOSE(CONTROL!$C$15, $D$11, 100%, $F$11)</f>
        <v>10.14</v>
      </c>
      <c r="C430" s="8">
        <f>CHOOSE( CONTROL!$C$32, 10.1504, 10.1458) * CHOOSE(CONTROL!$C$15, $D$11, 100%, $F$11)</f>
        <v>10.150399999999999</v>
      </c>
      <c r="D430" s="8">
        <f>CHOOSE( CONTROL!$C$32, 10.1607, 10.1561) * CHOOSE( CONTROL!$C$15, $D$11, 100%, $F$11)</f>
        <v>10.1607</v>
      </c>
      <c r="E430" s="12">
        <f>CHOOSE( CONTROL!$C$32, 10.1554, 10.1508) * CHOOSE( CONTROL!$C$15, $D$11, 100%, $F$11)</f>
        <v>10.1554</v>
      </c>
      <c r="F430" s="4">
        <f>CHOOSE( CONTROL!$C$32, 10.8283, 10.8238) * CHOOSE(CONTROL!$C$15, $D$11, 100%, $F$11)</f>
        <v>10.8283</v>
      </c>
      <c r="G430" s="8">
        <f>CHOOSE( CONTROL!$C$32, 9.9476, 9.9431) * CHOOSE( CONTROL!$C$15, $D$11, 100%, $F$11)</f>
        <v>9.9475999999999996</v>
      </c>
      <c r="H430" s="4">
        <f>CHOOSE( CONTROL!$C$32, 10.8817, 10.8772) * CHOOSE(CONTROL!$C$15, $D$11, 100%, $F$11)</f>
        <v>10.8817</v>
      </c>
      <c r="I430" s="8">
        <f>CHOOSE( CONTROL!$C$32, 9.85, 9.8456) * CHOOSE(CONTROL!$C$15, $D$11, 100%, $F$11)</f>
        <v>9.85</v>
      </c>
      <c r="J430" s="4">
        <f>CHOOSE( CONTROL!$C$32, 9.7813, 9.7769) * CHOOSE(CONTROL!$C$15, $D$11, 100%, $F$11)</f>
        <v>9.7812999999999999</v>
      </c>
      <c r="K430" s="4"/>
      <c r="L430" s="9">
        <v>28.568200000000001</v>
      </c>
      <c r="M430" s="9">
        <v>11.6745</v>
      </c>
      <c r="N430" s="9">
        <v>4.7850000000000001</v>
      </c>
      <c r="O430" s="9">
        <v>0.36249999999999999</v>
      </c>
      <c r="P430" s="9">
        <v>1.1798</v>
      </c>
      <c r="Q430" s="9">
        <v>19.4238</v>
      </c>
      <c r="R430" s="9"/>
      <c r="S430" s="11"/>
    </row>
    <row r="431" spans="1:19" ht="15.75">
      <c r="A431" s="13">
        <v>55000</v>
      </c>
      <c r="B431" s="8">
        <f>CHOOSE( CONTROL!$C$32, 10.575, 10.5705) * CHOOSE(CONTROL!$C$15, $D$11, 100%, $F$11)</f>
        <v>10.574999999999999</v>
      </c>
      <c r="C431" s="8">
        <f>CHOOSE( CONTROL!$C$32, 10.5854, 10.5808) * CHOOSE(CONTROL!$C$15, $D$11, 100%, $F$11)</f>
        <v>10.5854</v>
      </c>
      <c r="D431" s="8">
        <f>CHOOSE( CONTROL!$C$32, 10.5962, 10.5917) * CHOOSE( CONTROL!$C$15, $D$11, 100%, $F$11)</f>
        <v>10.5962</v>
      </c>
      <c r="E431" s="12">
        <f>CHOOSE( CONTROL!$C$32, 10.5907, 10.5862) * CHOOSE( CONTROL!$C$15, $D$11, 100%, $F$11)</f>
        <v>10.5907</v>
      </c>
      <c r="F431" s="4">
        <f>CHOOSE( CONTROL!$C$32, 11.2633, 11.2588) * CHOOSE(CONTROL!$C$15, $D$11, 100%, $F$11)</f>
        <v>11.263299999999999</v>
      </c>
      <c r="G431" s="8">
        <f>CHOOSE( CONTROL!$C$32, 10.3764, 10.3719) * CHOOSE( CONTROL!$C$15, $D$11, 100%, $F$11)</f>
        <v>10.3764</v>
      </c>
      <c r="H431" s="4">
        <f>CHOOSE( CONTROL!$C$32, 11.3096, 11.3052) * CHOOSE(CONTROL!$C$15, $D$11, 100%, $F$11)</f>
        <v>11.3096</v>
      </c>
      <c r="I431" s="8">
        <f>CHOOSE( CONTROL!$C$32, 10.2736, 10.2692) * CHOOSE(CONTROL!$C$15, $D$11, 100%, $F$11)</f>
        <v>10.2736</v>
      </c>
      <c r="J431" s="4">
        <f>CHOOSE( CONTROL!$C$32, 10.202, 10.1976) * CHOOSE(CONTROL!$C$15, $D$11, 100%, $F$11)</f>
        <v>10.202</v>
      </c>
      <c r="K431" s="4"/>
      <c r="L431" s="9">
        <v>29.520499999999998</v>
      </c>
      <c r="M431" s="9">
        <v>12.063700000000001</v>
      </c>
      <c r="N431" s="9">
        <v>4.9444999999999997</v>
      </c>
      <c r="O431" s="9">
        <v>0.37459999999999999</v>
      </c>
      <c r="P431" s="9">
        <v>1.2192000000000001</v>
      </c>
      <c r="Q431" s="9">
        <v>20.071300000000001</v>
      </c>
      <c r="R431" s="9"/>
      <c r="S431" s="11"/>
    </row>
    <row r="432" spans="1:19" ht="15.75">
      <c r="A432" s="13">
        <v>55031</v>
      </c>
      <c r="B432" s="8">
        <f>CHOOSE( CONTROL!$C$32, 9.7611, 9.7565) * CHOOSE(CONTROL!$C$15, $D$11, 100%, $F$11)</f>
        <v>9.7611000000000008</v>
      </c>
      <c r="C432" s="8">
        <f>CHOOSE( CONTROL!$C$32, 9.7714, 9.7669) * CHOOSE(CONTROL!$C$15, $D$11, 100%, $F$11)</f>
        <v>9.7713999999999999</v>
      </c>
      <c r="D432" s="8">
        <f>CHOOSE( CONTROL!$C$32, 9.7826, 9.7781) * CHOOSE( CONTROL!$C$15, $D$11, 100%, $F$11)</f>
        <v>9.7826000000000004</v>
      </c>
      <c r="E432" s="12">
        <f>CHOOSE( CONTROL!$C$32, 9.777, 9.7725) * CHOOSE( CONTROL!$C$15, $D$11, 100%, $F$11)</f>
        <v>9.7769999999999992</v>
      </c>
      <c r="F432" s="4">
        <f>CHOOSE( CONTROL!$C$32, 10.4494, 10.4448) * CHOOSE(CONTROL!$C$15, $D$11, 100%, $F$11)</f>
        <v>10.449400000000001</v>
      </c>
      <c r="G432" s="8">
        <f>CHOOSE( CONTROL!$C$32, 9.576, 9.5716) * CHOOSE( CONTROL!$C$15, $D$11, 100%, $F$11)</f>
        <v>9.5760000000000005</v>
      </c>
      <c r="H432" s="4">
        <f>CHOOSE( CONTROL!$C$32, 10.5089, 10.5044) * CHOOSE(CONTROL!$C$15, $D$11, 100%, $F$11)</f>
        <v>10.508900000000001</v>
      </c>
      <c r="I432" s="8">
        <f>CHOOSE( CONTROL!$C$32, 9.4874, 9.4831) * CHOOSE(CONTROL!$C$15, $D$11, 100%, $F$11)</f>
        <v>9.4873999999999992</v>
      </c>
      <c r="J432" s="4">
        <f>CHOOSE( CONTROL!$C$32, 9.4148, 9.4105) * CHOOSE(CONTROL!$C$15, $D$11, 100%, $F$11)</f>
        <v>9.4147999999999996</v>
      </c>
      <c r="K432" s="4"/>
      <c r="L432" s="9">
        <v>29.520499999999998</v>
      </c>
      <c r="M432" s="9">
        <v>12.063700000000001</v>
      </c>
      <c r="N432" s="9">
        <v>4.9444999999999997</v>
      </c>
      <c r="O432" s="9">
        <v>0.37459999999999999</v>
      </c>
      <c r="P432" s="9">
        <v>1.2192000000000001</v>
      </c>
      <c r="Q432" s="9">
        <v>20.071300000000001</v>
      </c>
      <c r="R432" s="9"/>
      <c r="S432" s="11"/>
    </row>
    <row r="433" spans="1:19" ht="15.75">
      <c r="A433" s="13">
        <v>55061</v>
      </c>
      <c r="B433" s="8">
        <f>CHOOSE( CONTROL!$C$32, 9.5572, 9.5527) * CHOOSE(CONTROL!$C$15, $D$11, 100%, $F$11)</f>
        <v>9.5571999999999999</v>
      </c>
      <c r="C433" s="8">
        <f>CHOOSE( CONTROL!$C$32, 9.5676, 9.5631) * CHOOSE(CONTROL!$C$15, $D$11, 100%, $F$11)</f>
        <v>9.5676000000000005</v>
      </c>
      <c r="D433" s="8">
        <f>CHOOSE( CONTROL!$C$32, 9.5788, 9.5743) * CHOOSE( CONTROL!$C$15, $D$11, 100%, $F$11)</f>
        <v>9.5787999999999993</v>
      </c>
      <c r="E433" s="12">
        <f>CHOOSE( CONTROL!$C$32, 9.5732, 9.5687) * CHOOSE( CONTROL!$C$15, $D$11, 100%, $F$11)</f>
        <v>9.5731999999999999</v>
      </c>
      <c r="F433" s="4">
        <f>CHOOSE( CONTROL!$C$32, 10.2455, 10.241) * CHOOSE(CONTROL!$C$15, $D$11, 100%, $F$11)</f>
        <v>10.2455</v>
      </c>
      <c r="G433" s="8">
        <f>CHOOSE( CONTROL!$C$32, 9.3756, 9.3712) * CHOOSE( CONTROL!$C$15, $D$11, 100%, $F$11)</f>
        <v>9.3756000000000004</v>
      </c>
      <c r="H433" s="4">
        <f>CHOOSE( CONTROL!$C$32, 10.3083, 10.3039) * CHOOSE(CONTROL!$C$15, $D$11, 100%, $F$11)</f>
        <v>10.308299999999999</v>
      </c>
      <c r="I433" s="8">
        <f>CHOOSE( CONTROL!$C$32, 9.2907, 9.2863) * CHOOSE(CONTROL!$C$15, $D$11, 100%, $F$11)</f>
        <v>9.2906999999999993</v>
      </c>
      <c r="J433" s="4">
        <f>CHOOSE( CONTROL!$C$32, 9.2177, 9.2133) * CHOOSE(CONTROL!$C$15, $D$11, 100%, $F$11)</f>
        <v>9.2177000000000007</v>
      </c>
      <c r="K433" s="4"/>
      <c r="L433" s="9">
        <v>28.568200000000001</v>
      </c>
      <c r="M433" s="9">
        <v>11.6745</v>
      </c>
      <c r="N433" s="9">
        <v>4.7850000000000001</v>
      </c>
      <c r="O433" s="9">
        <v>0.36249999999999999</v>
      </c>
      <c r="P433" s="9">
        <v>1.1798</v>
      </c>
      <c r="Q433" s="9">
        <v>19.4238</v>
      </c>
      <c r="R433" s="9"/>
      <c r="S433" s="11"/>
    </row>
    <row r="434" spans="1:19" ht="15.75">
      <c r="A434" s="13">
        <v>55092</v>
      </c>
      <c r="B434" s="8">
        <f>9.9759 * CHOOSE(CONTROL!$C$15, $D$11, 100%, $F$11)</f>
        <v>9.9758999999999993</v>
      </c>
      <c r="C434" s="8">
        <f>9.9863 * CHOOSE(CONTROL!$C$15, $D$11, 100%, $F$11)</f>
        <v>9.9863</v>
      </c>
      <c r="D434" s="8">
        <f>9.9987 * CHOOSE( CONTROL!$C$15, $D$11, 100%, $F$11)</f>
        <v>9.9986999999999995</v>
      </c>
      <c r="E434" s="12">
        <f>9.9935 * CHOOSE( CONTROL!$C$15, $D$11, 100%, $F$11)</f>
        <v>9.9934999999999992</v>
      </c>
      <c r="F434" s="4">
        <f>10.6642 * CHOOSE(CONTROL!$C$15, $D$11, 100%, $F$11)</f>
        <v>10.664199999999999</v>
      </c>
      <c r="G434" s="8">
        <f>9.787 * CHOOSE( CONTROL!$C$15, $D$11, 100%, $F$11)</f>
        <v>9.7870000000000008</v>
      </c>
      <c r="H434" s="4">
        <f>10.7202 * CHOOSE(CONTROL!$C$15, $D$11, 100%, $F$11)</f>
        <v>10.7202</v>
      </c>
      <c r="I434" s="8">
        <f>9.697 * CHOOSE(CONTROL!$C$15, $D$11, 100%, $F$11)</f>
        <v>9.6969999999999992</v>
      </c>
      <c r="J434" s="4">
        <f>9.6226 * CHOOSE(CONTROL!$C$15, $D$11, 100%, $F$11)</f>
        <v>9.6226000000000003</v>
      </c>
      <c r="K434" s="4"/>
      <c r="L434" s="9">
        <v>28.921800000000001</v>
      </c>
      <c r="M434" s="9">
        <v>12.063700000000001</v>
      </c>
      <c r="N434" s="9">
        <v>4.9444999999999997</v>
      </c>
      <c r="O434" s="9">
        <v>0.37459999999999999</v>
      </c>
      <c r="P434" s="9">
        <v>1.2192000000000001</v>
      </c>
      <c r="Q434" s="9">
        <v>20.071300000000001</v>
      </c>
      <c r="R434" s="9"/>
      <c r="S434" s="11"/>
    </row>
    <row r="435" spans="1:19" ht="15.75">
      <c r="A435" s="13">
        <v>55122</v>
      </c>
      <c r="B435" s="8">
        <f>10.7571 * CHOOSE(CONTROL!$C$15, $D$11, 100%, $F$11)</f>
        <v>10.757099999999999</v>
      </c>
      <c r="C435" s="8">
        <f>10.7674 * CHOOSE(CONTROL!$C$15, $D$11, 100%, $F$11)</f>
        <v>10.7674</v>
      </c>
      <c r="D435" s="8">
        <f>10.7535 * CHOOSE( CONTROL!$C$15, $D$11, 100%, $F$11)</f>
        <v>10.753500000000001</v>
      </c>
      <c r="E435" s="12">
        <f>10.7575 * CHOOSE( CONTROL!$C$15, $D$11, 100%, $F$11)</f>
        <v>10.7575</v>
      </c>
      <c r="F435" s="4">
        <f>11.4114 * CHOOSE(CONTROL!$C$15, $D$11, 100%, $F$11)</f>
        <v>11.4114</v>
      </c>
      <c r="G435" s="8">
        <f>10.5727 * CHOOSE( CONTROL!$C$15, $D$11, 100%, $F$11)</f>
        <v>10.572699999999999</v>
      </c>
      <c r="H435" s="4">
        <f>11.4553 * CHOOSE(CONTROL!$C$15, $D$11, 100%, $F$11)</f>
        <v>11.455299999999999</v>
      </c>
      <c r="I435" s="8">
        <f>10.4859 * CHOOSE(CONTROL!$C$15, $D$11, 100%, $F$11)</f>
        <v>10.485900000000001</v>
      </c>
      <c r="J435" s="4">
        <f>10.3781 * CHOOSE(CONTROL!$C$15, $D$11, 100%, $F$11)</f>
        <v>10.3781</v>
      </c>
      <c r="K435" s="4"/>
      <c r="L435" s="9">
        <v>26.515499999999999</v>
      </c>
      <c r="M435" s="9">
        <v>11.6745</v>
      </c>
      <c r="N435" s="9">
        <v>4.7850000000000001</v>
      </c>
      <c r="O435" s="9">
        <v>0.36249999999999999</v>
      </c>
      <c r="P435" s="9">
        <v>1.2522</v>
      </c>
      <c r="Q435" s="9">
        <v>19.4238</v>
      </c>
      <c r="R435" s="9"/>
      <c r="S435" s="11"/>
    </row>
    <row r="436" spans="1:19" ht="15.75">
      <c r="A436" s="13">
        <v>55153</v>
      </c>
      <c r="B436" s="8">
        <f>10.7376 * CHOOSE(CONTROL!$C$15, $D$11, 100%, $F$11)</f>
        <v>10.7376</v>
      </c>
      <c r="C436" s="8">
        <f>10.7479 * CHOOSE(CONTROL!$C$15, $D$11, 100%, $F$11)</f>
        <v>10.7479</v>
      </c>
      <c r="D436" s="8">
        <f>10.7364 * CHOOSE( CONTROL!$C$15, $D$11, 100%, $F$11)</f>
        <v>10.7364</v>
      </c>
      <c r="E436" s="12">
        <f>10.7395 * CHOOSE( CONTROL!$C$15, $D$11, 100%, $F$11)</f>
        <v>10.7395</v>
      </c>
      <c r="F436" s="4">
        <f>11.3918 * CHOOSE(CONTROL!$C$15, $D$11, 100%, $F$11)</f>
        <v>11.3918</v>
      </c>
      <c r="G436" s="8">
        <f>10.5554 * CHOOSE( CONTROL!$C$15, $D$11, 100%, $F$11)</f>
        <v>10.555400000000001</v>
      </c>
      <c r="H436" s="4">
        <f>11.4361 * CHOOSE(CONTROL!$C$15, $D$11, 100%, $F$11)</f>
        <v>11.4361</v>
      </c>
      <c r="I436" s="8">
        <f>10.475 * CHOOSE(CONTROL!$C$15, $D$11, 100%, $F$11)</f>
        <v>10.475</v>
      </c>
      <c r="J436" s="4">
        <f>10.3592 * CHOOSE(CONTROL!$C$15, $D$11, 100%, $F$11)</f>
        <v>10.3592</v>
      </c>
      <c r="K436" s="4"/>
      <c r="L436" s="9">
        <v>27.3993</v>
      </c>
      <c r="M436" s="9">
        <v>12.063700000000001</v>
      </c>
      <c r="N436" s="9">
        <v>4.9444999999999997</v>
      </c>
      <c r="O436" s="9">
        <v>0.37459999999999999</v>
      </c>
      <c r="P436" s="9">
        <v>1.2939000000000001</v>
      </c>
      <c r="Q436" s="9">
        <v>20.071300000000001</v>
      </c>
      <c r="R436" s="9"/>
      <c r="S436" s="11"/>
    </row>
    <row r="437" spans="1:19" ht="15.75">
      <c r="A437" s="13">
        <v>55184</v>
      </c>
      <c r="B437" s="8">
        <f>11.147 * CHOOSE(CONTROL!$C$15, $D$11, 100%, $F$11)</f>
        <v>11.147</v>
      </c>
      <c r="C437" s="8">
        <f>11.1573 * CHOOSE(CONTROL!$C$15, $D$11, 100%, $F$11)</f>
        <v>11.157299999999999</v>
      </c>
      <c r="D437" s="8">
        <f>11.1557 * CHOOSE( CONTROL!$C$15, $D$11, 100%, $F$11)</f>
        <v>11.1557</v>
      </c>
      <c r="E437" s="12">
        <f>11.1552 * CHOOSE( CONTROL!$C$15, $D$11, 100%, $F$11)</f>
        <v>11.155200000000001</v>
      </c>
      <c r="F437" s="4">
        <f>11.8297 * CHOOSE(CONTROL!$C$15, $D$11, 100%, $F$11)</f>
        <v>11.829700000000001</v>
      </c>
      <c r="G437" s="8">
        <f>10.9684 * CHOOSE( CONTROL!$C$15, $D$11, 100%, $F$11)</f>
        <v>10.968400000000001</v>
      </c>
      <c r="H437" s="4">
        <f>11.8668 * CHOOSE(CONTROL!$C$15, $D$11, 100%, $F$11)</f>
        <v>11.8668</v>
      </c>
      <c r="I437" s="8">
        <f>10.8691 * CHOOSE(CONTROL!$C$15, $D$11, 100%, $F$11)</f>
        <v>10.8691</v>
      </c>
      <c r="J437" s="4">
        <f>10.7551 * CHOOSE(CONTROL!$C$15, $D$11, 100%, $F$11)</f>
        <v>10.755100000000001</v>
      </c>
      <c r="K437" s="4"/>
      <c r="L437" s="9">
        <v>27.3993</v>
      </c>
      <c r="M437" s="9">
        <v>12.063700000000001</v>
      </c>
      <c r="N437" s="9">
        <v>4.9444999999999997</v>
      </c>
      <c r="O437" s="9">
        <v>0.37459999999999999</v>
      </c>
      <c r="P437" s="9">
        <v>1.2939000000000001</v>
      </c>
      <c r="Q437" s="9">
        <v>20.007999999999999</v>
      </c>
      <c r="R437" s="9"/>
      <c r="S437" s="11"/>
    </row>
    <row r="438" spans="1:19" ht="15.75">
      <c r="A438" s="13">
        <v>55212</v>
      </c>
      <c r="B438" s="8">
        <f>10.428 * CHOOSE(CONTROL!$C$15, $D$11, 100%, $F$11)</f>
        <v>10.428000000000001</v>
      </c>
      <c r="C438" s="8">
        <f>10.4384 * CHOOSE(CONTROL!$C$15, $D$11, 100%, $F$11)</f>
        <v>10.4384</v>
      </c>
      <c r="D438" s="8">
        <f>10.4389 * CHOOSE( CONTROL!$C$15, $D$11, 100%, $F$11)</f>
        <v>10.4389</v>
      </c>
      <c r="E438" s="12">
        <f>10.4376 * CHOOSE( CONTROL!$C$15, $D$11, 100%, $F$11)</f>
        <v>10.4376</v>
      </c>
      <c r="F438" s="4">
        <f>11.103 * CHOOSE(CONTROL!$C$15, $D$11, 100%, $F$11)</f>
        <v>11.103</v>
      </c>
      <c r="G438" s="8">
        <f>10.2609 * CHOOSE( CONTROL!$C$15, $D$11, 100%, $F$11)</f>
        <v>10.260899999999999</v>
      </c>
      <c r="H438" s="4">
        <f>11.1519 * CHOOSE(CONTROL!$C$15, $D$11, 100%, $F$11)</f>
        <v>11.151899999999999</v>
      </c>
      <c r="I438" s="8">
        <f>10.1625 * CHOOSE(CONTROL!$C$15, $D$11, 100%, $F$11)</f>
        <v>10.1625</v>
      </c>
      <c r="J438" s="4">
        <f>10.0598 * CHOOSE(CONTROL!$C$15, $D$11, 100%, $F$11)</f>
        <v>10.059799999999999</v>
      </c>
      <c r="K438" s="4"/>
      <c r="L438" s="9">
        <v>24.747800000000002</v>
      </c>
      <c r="M438" s="9">
        <v>10.8962</v>
      </c>
      <c r="N438" s="9">
        <v>4.4660000000000002</v>
      </c>
      <c r="O438" s="9">
        <v>0.33829999999999999</v>
      </c>
      <c r="P438" s="9">
        <v>1.1687000000000001</v>
      </c>
      <c r="Q438" s="9">
        <v>18.0718</v>
      </c>
      <c r="R438" s="9"/>
      <c r="S438" s="11"/>
    </row>
    <row r="439" spans="1:19" ht="15.75">
      <c r="A439" s="13">
        <v>55243</v>
      </c>
      <c r="B439" s="8">
        <f>10.2066 * CHOOSE(CONTROL!$C$15, $D$11, 100%, $F$11)</f>
        <v>10.2066</v>
      </c>
      <c r="C439" s="8">
        <f>10.2169 * CHOOSE(CONTROL!$C$15, $D$11, 100%, $F$11)</f>
        <v>10.216900000000001</v>
      </c>
      <c r="D439" s="8">
        <f>10.197 * CHOOSE( CONTROL!$C$15, $D$11, 100%, $F$11)</f>
        <v>10.196999999999999</v>
      </c>
      <c r="E439" s="12">
        <f>10.2032 * CHOOSE( CONTROL!$C$15, $D$11, 100%, $F$11)</f>
        <v>10.203200000000001</v>
      </c>
      <c r="F439" s="4">
        <f>10.8655 * CHOOSE(CONTROL!$C$15, $D$11, 100%, $F$11)</f>
        <v>10.865500000000001</v>
      </c>
      <c r="G439" s="8">
        <f>10.0223 * CHOOSE( CONTROL!$C$15, $D$11, 100%, $F$11)</f>
        <v>10.0223</v>
      </c>
      <c r="H439" s="4">
        <f>10.9183 * CHOOSE(CONTROL!$C$15, $D$11, 100%, $F$11)</f>
        <v>10.9183</v>
      </c>
      <c r="I439" s="8">
        <f>9.9087 * CHOOSE(CONTROL!$C$15, $D$11, 100%, $F$11)</f>
        <v>9.9086999999999996</v>
      </c>
      <c r="J439" s="4">
        <f>9.8457 * CHOOSE(CONTROL!$C$15, $D$11, 100%, $F$11)</f>
        <v>9.8457000000000008</v>
      </c>
      <c r="K439" s="4"/>
      <c r="L439" s="9">
        <v>27.3993</v>
      </c>
      <c r="M439" s="9">
        <v>12.063700000000001</v>
      </c>
      <c r="N439" s="9">
        <v>4.9444999999999997</v>
      </c>
      <c r="O439" s="9">
        <v>0.37459999999999999</v>
      </c>
      <c r="P439" s="9">
        <v>1.2939000000000001</v>
      </c>
      <c r="Q439" s="9">
        <v>20.007999999999999</v>
      </c>
      <c r="R439" s="9"/>
      <c r="S439" s="11"/>
    </row>
    <row r="440" spans="1:19" ht="15.75">
      <c r="A440" s="13">
        <v>55273</v>
      </c>
      <c r="B440" s="8">
        <f>10.3613 * CHOOSE(CONTROL!$C$15, $D$11, 100%, $F$11)</f>
        <v>10.3613</v>
      </c>
      <c r="C440" s="8">
        <f>10.3717 * CHOOSE(CONTROL!$C$15, $D$11, 100%, $F$11)</f>
        <v>10.371700000000001</v>
      </c>
      <c r="D440" s="8">
        <f>10.3632 * CHOOSE( CONTROL!$C$15, $D$11, 100%, $F$11)</f>
        <v>10.363200000000001</v>
      </c>
      <c r="E440" s="12">
        <f>10.3648 * CHOOSE( CONTROL!$C$15, $D$11, 100%, $F$11)</f>
        <v>10.364800000000001</v>
      </c>
      <c r="F440" s="4">
        <f>11.0104 * CHOOSE(CONTROL!$C$15, $D$11, 100%, $F$11)</f>
        <v>11.010400000000001</v>
      </c>
      <c r="G440" s="8">
        <f>10.1593 * CHOOSE( CONTROL!$C$15, $D$11, 100%, $F$11)</f>
        <v>10.1593</v>
      </c>
      <c r="H440" s="4">
        <f>11.0608 * CHOOSE(CONTROL!$C$15, $D$11, 100%, $F$11)</f>
        <v>11.0608</v>
      </c>
      <c r="I440" s="8">
        <f>10.0553 * CHOOSE(CONTROL!$C$15, $D$11, 100%, $F$11)</f>
        <v>10.055300000000001</v>
      </c>
      <c r="J440" s="4">
        <f>9.9953 * CHOOSE(CONTROL!$C$15, $D$11, 100%, $F$11)</f>
        <v>9.9953000000000003</v>
      </c>
      <c r="K440" s="4"/>
      <c r="L440" s="9">
        <v>27.988800000000001</v>
      </c>
      <c r="M440" s="9">
        <v>11.6745</v>
      </c>
      <c r="N440" s="9">
        <v>4.7850000000000001</v>
      </c>
      <c r="O440" s="9">
        <v>0.36249999999999999</v>
      </c>
      <c r="P440" s="9">
        <v>1.1798</v>
      </c>
      <c r="Q440" s="9">
        <v>19.3626</v>
      </c>
      <c r="R440" s="9"/>
      <c r="S440" s="11"/>
    </row>
    <row r="441" spans="1:19" ht="15.75">
      <c r="A441" s="13">
        <v>55304</v>
      </c>
      <c r="B441" s="8">
        <f>CHOOSE( CONTROL!$C$32, 10.6412, 10.6367) * CHOOSE(CONTROL!$C$15, $D$11, 100%, $F$11)</f>
        <v>10.6412</v>
      </c>
      <c r="C441" s="8">
        <f>CHOOSE( CONTROL!$C$32, 10.6516, 10.647) * CHOOSE(CONTROL!$C$15, $D$11, 100%, $F$11)</f>
        <v>10.6516</v>
      </c>
      <c r="D441" s="8">
        <f>CHOOSE( CONTROL!$C$32, 10.6613, 10.6567) * CHOOSE( CONTROL!$C$15, $D$11, 100%, $F$11)</f>
        <v>10.661300000000001</v>
      </c>
      <c r="E441" s="12">
        <f>CHOOSE( CONTROL!$C$32, 10.6562, 10.6516) * CHOOSE( CONTROL!$C$15, $D$11, 100%, $F$11)</f>
        <v>10.6562</v>
      </c>
      <c r="F441" s="4">
        <f>CHOOSE( CONTROL!$C$32, 11.3295, 11.325) * CHOOSE(CONTROL!$C$15, $D$11, 100%, $F$11)</f>
        <v>11.329499999999999</v>
      </c>
      <c r="G441" s="8">
        <f>CHOOSE( CONTROL!$C$32, 10.4397, 10.4353) * CHOOSE( CONTROL!$C$15, $D$11, 100%, $F$11)</f>
        <v>10.4397</v>
      </c>
      <c r="H441" s="4">
        <f>CHOOSE( CONTROL!$C$32, 11.3748, 11.3703) * CHOOSE(CONTROL!$C$15, $D$11, 100%, $F$11)</f>
        <v>11.3748</v>
      </c>
      <c r="I441" s="8">
        <f>CHOOSE( CONTROL!$C$32, 10.332, 10.3276) * CHOOSE(CONTROL!$C$15, $D$11, 100%, $F$11)</f>
        <v>10.332000000000001</v>
      </c>
      <c r="J441" s="4">
        <f>CHOOSE( CONTROL!$C$32, 10.266, 10.2617) * CHOOSE(CONTROL!$C$15, $D$11, 100%, $F$11)</f>
        <v>10.266</v>
      </c>
      <c r="K441" s="4"/>
      <c r="L441" s="9">
        <v>29.520499999999998</v>
      </c>
      <c r="M441" s="9">
        <v>12.063700000000001</v>
      </c>
      <c r="N441" s="9">
        <v>4.9444999999999997</v>
      </c>
      <c r="O441" s="9">
        <v>0.37459999999999999</v>
      </c>
      <c r="P441" s="9">
        <v>1.2192000000000001</v>
      </c>
      <c r="Q441" s="9">
        <v>20.007999999999999</v>
      </c>
      <c r="R441" s="9"/>
      <c r="S441" s="11"/>
    </row>
    <row r="442" spans="1:19" ht="15.75">
      <c r="A442" s="13">
        <v>55334</v>
      </c>
      <c r="B442" s="8">
        <f>CHOOSE( CONTROL!$C$32, 10.4706, 10.4661) * CHOOSE(CONTROL!$C$15, $D$11, 100%, $F$11)</f>
        <v>10.470599999999999</v>
      </c>
      <c r="C442" s="8">
        <f>CHOOSE( CONTROL!$C$32, 10.481, 10.4765) * CHOOSE(CONTROL!$C$15, $D$11, 100%, $F$11)</f>
        <v>10.481</v>
      </c>
      <c r="D442" s="8">
        <f>CHOOSE( CONTROL!$C$32, 10.4913, 10.4868) * CHOOSE( CONTROL!$C$15, $D$11, 100%, $F$11)</f>
        <v>10.491300000000001</v>
      </c>
      <c r="E442" s="12">
        <f>CHOOSE( CONTROL!$C$32, 10.486, 10.4815) * CHOOSE( CONTROL!$C$15, $D$11, 100%, $F$11)</f>
        <v>10.486000000000001</v>
      </c>
      <c r="F442" s="4">
        <f>CHOOSE( CONTROL!$C$32, 11.1589, 11.1544) * CHOOSE(CONTROL!$C$15, $D$11, 100%, $F$11)</f>
        <v>11.158899999999999</v>
      </c>
      <c r="G442" s="8">
        <f>CHOOSE( CONTROL!$C$32, 10.2728, 10.2684) * CHOOSE( CONTROL!$C$15, $D$11, 100%, $F$11)</f>
        <v>10.2728</v>
      </c>
      <c r="H442" s="4">
        <f>CHOOSE( CONTROL!$C$32, 11.2069, 11.2025) * CHOOSE(CONTROL!$C$15, $D$11, 100%, $F$11)</f>
        <v>11.206899999999999</v>
      </c>
      <c r="I442" s="8">
        <f>CHOOSE( CONTROL!$C$32, 10.1699, 10.1655) * CHOOSE(CONTROL!$C$15, $D$11, 100%, $F$11)</f>
        <v>10.1699</v>
      </c>
      <c r="J442" s="4">
        <f>CHOOSE( CONTROL!$C$32, 10.101, 10.0967) * CHOOSE(CONTROL!$C$15, $D$11, 100%, $F$11)</f>
        <v>10.101000000000001</v>
      </c>
      <c r="K442" s="4"/>
      <c r="L442" s="9">
        <v>28.568200000000001</v>
      </c>
      <c r="M442" s="9">
        <v>11.6745</v>
      </c>
      <c r="N442" s="9">
        <v>4.7850000000000001</v>
      </c>
      <c r="O442" s="9">
        <v>0.36249999999999999</v>
      </c>
      <c r="P442" s="9">
        <v>1.1798</v>
      </c>
      <c r="Q442" s="9">
        <v>19.3626</v>
      </c>
      <c r="R442" s="9"/>
      <c r="S442" s="11"/>
    </row>
    <row r="443" spans="1:19" ht="15.75">
      <c r="A443" s="13">
        <v>55365</v>
      </c>
      <c r="B443" s="8">
        <f>CHOOSE( CONTROL!$C$32, 10.9199, 10.9154) * CHOOSE(CONTROL!$C$15, $D$11, 100%, $F$11)</f>
        <v>10.9199</v>
      </c>
      <c r="C443" s="8">
        <f>CHOOSE( CONTROL!$C$32, 10.9302, 10.9257) * CHOOSE(CONTROL!$C$15, $D$11, 100%, $F$11)</f>
        <v>10.930199999999999</v>
      </c>
      <c r="D443" s="8">
        <f>CHOOSE( CONTROL!$C$32, 10.9411, 10.9366) * CHOOSE( CONTROL!$C$15, $D$11, 100%, $F$11)</f>
        <v>10.9411</v>
      </c>
      <c r="E443" s="12">
        <f>CHOOSE( CONTROL!$C$32, 10.9356, 10.9311) * CHOOSE( CONTROL!$C$15, $D$11, 100%, $F$11)</f>
        <v>10.935600000000001</v>
      </c>
      <c r="F443" s="4">
        <f>CHOOSE( CONTROL!$C$32, 11.6082, 11.6036) * CHOOSE(CONTROL!$C$15, $D$11, 100%, $F$11)</f>
        <v>11.6082</v>
      </c>
      <c r="G443" s="8">
        <f>CHOOSE( CONTROL!$C$32, 10.7157, 10.7112) * CHOOSE( CONTROL!$C$15, $D$11, 100%, $F$11)</f>
        <v>10.7157</v>
      </c>
      <c r="H443" s="4">
        <f>CHOOSE( CONTROL!$C$32, 11.6489, 11.6445) * CHOOSE(CONTROL!$C$15, $D$11, 100%, $F$11)</f>
        <v>11.648899999999999</v>
      </c>
      <c r="I443" s="8">
        <f>CHOOSE( CONTROL!$C$32, 10.6073, 10.6029) * CHOOSE(CONTROL!$C$15, $D$11, 100%, $F$11)</f>
        <v>10.6073</v>
      </c>
      <c r="J443" s="4">
        <f>CHOOSE( CONTROL!$C$32, 10.5355, 10.5311) * CHOOSE(CONTROL!$C$15, $D$11, 100%, $F$11)</f>
        <v>10.535500000000001</v>
      </c>
      <c r="K443" s="4"/>
      <c r="L443" s="9">
        <v>29.520499999999998</v>
      </c>
      <c r="M443" s="9">
        <v>12.063700000000001</v>
      </c>
      <c r="N443" s="9">
        <v>4.9444999999999997</v>
      </c>
      <c r="O443" s="9">
        <v>0.37459999999999999</v>
      </c>
      <c r="P443" s="9">
        <v>1.2192000000000001</v>
      </c>
      <c r="Q443" s="9">
        <v>20.007999999999999</v>
      </c>
      <c r="R443" s="9"/>
      <c r="S443" s="11"/>
    </row>
    <row r="444" spans="1:19" ht="15.75">
      <c r="A444" s="13">
        <v>55396</v>
      </c>
      <c r="B444" s="8">
        <f>CHOOSE( CONTROL!$C$32, 10.0793, 10.0748) * CHOOSE(CONTROL!$C$15, $D$11, 100%, $F$11)</f>
        <v>10.0793</v>
      </c>
      <c r="C444" s="8">
        <f>CHOOSE( CONTROL!$C$32, 10.0896, 10.0851) * CHOOSE(CONTROL!$C$15, $D$11, 100%, $F$11)</f>
        <v>10.089600000000001</v>
      </c>
      <c r="D444" s="8">
        <f>CHOOSE( CONTROL!$C$32, 10.1008, 10.0963) * CHOOSE( CONTROL!$C$15, $D$11, 100%, $F$11)</f>
        <v>10.1008</v>
      </c>
      <c r="E444" s="12">
        <f>CHOOSE( CONTROL!$C$32, 10.0952, 10.0907) * CHOOSE( CONTROL!$C$15, $D$11, 100%, $F$11)</f>
        <v>10.0952</v>
      </c>
      <c r="F444" s="4">
        <f>CHOOSE( CONTROL!$C$32, 10.7676, 10.7631) * CHOOSE(CONTROL!$C$15, $D$11, 100%, $F$11)</f>
        <v>10.7676</v>
      </c>
      <c r="G444" s="8">
        <f>CHOOSE( CONTROL!$C$32, 9.8891, 9.8847) * CHOOSE( CONTROL!$C$15, $D$11, 100%, $F$11)</f>
        <v>9.8890999999999991</v>
      </c>
      <c r="H444" s="4">
        <f>CHOOSE( CONTROL!$C$32, 10.8219, 10.8175) * CHOOSE(CONTROL!$C$15, $D$11, 100%, $F$11)</f>
        <v>10.821899999999999</v>
      </c>
      <c r="I444" s="8">
        <f>CHOOSE( CONTROL!$C$32, 9.7954, 9.791) * CHOOSE(CONTROL!$C$15, $D$11, 100%, $F$11)</f>
        <v>9.7954000000000008</v>
      </c>
      <c r="J444" s="4">
        <f>CHOOSE( CONTROL!$C$32, 9.7226, 9.7182) * CHOOSE(CONTROL!$C$15, $D$11, 100%, $F$11)</f>
        <v>9.7225999999999999</v>
      </c>
      <c r="K444" s="4"/>
      <c r="L444" s="9">
        <v>29.520499999999998</v>
      </c>
      <c r="M444" s="9">
        <v>12.063700000000001</v>
      </c>
      <c r="N444" s="9">
        <v>4.9444999999999997</v>
      </c>
      <c r="O444" s="9">
        <v>0.37459999999999999</v>
      </c>
      <c r="P444" s="9">
        <v>1.2192000000000001</v>
      </c>
      <c r="Q444" s="9">
        <v>20.007999999999999</v>
      </c>
      <c r="R444" s="9"/>
      <c r="S444" s="11"/>
    </row>
    <row r="445" spans="1:19" ht="15.75">
      <c r="A445" s="13">
        <v>55426</v>
      </c>
      <c r="B445" s="8">
        <f>CHOOSE( CONTROL!$C$32, 9.8688, 9.8643) * CHOOSE(CONTROL!$C$15, $D$11, 100%, $F$11)</f>
        <v>9.8688000000000002</v>
      </c>
      <c r="C445" s="8">
        <f>CHOOSE( CONTROL!$C$32, 9.8791, 9.8746) * CHOOSE(CONTROL!$C$15, $D$11, 100%, $F$11)</f>
        <v>9.8790999999999993</v>
      </c>
      <c r="D445" s="8">
        <f>CHOOSE( CONTROL!$C$32, 9.8904, 9.8859) * CHOOSE( CONTROL!$C$15, $D$11, 100%, $F$11)</f>
        <v>9.8903999999999996</v>
      </c>
      <c r="E445" s="12">
        <f>CHOOSE( CONTROL!$C$32, 9.8847, 9.8802) * CHOOSE( CONTROL!$C$15, $D$11, 100%, $F$11)</f>
        <v>9.8847000000000005</v>
      </c>
      <c r="F445" s="4">
        <f>CHOOSE( CONTROL!$C$32, 10.5571, 10.5526) * CHOOSE(CONTROL!$C$15, $D$11, 100%, $F$11)</f>
        <v>10.5571</v>
      </c>
      <c r="G445" s="8">
        <f>CHOOSE( CONTROL!$C$32, 9.6822, 9.6777) * CHOOSE( CONTROL!$C$15, $D$11, 100%, $F$11)</f>
        <v>9.6821999999999999</v>
      </c>
      <c r="H445" s="4">
        <f>CHOOSE( CONTROL!$C$32, 10.6148, 10.6104) * CHOOSE(CONTROL!$C$15, $D$11, 100%, $F$11)</f>
        <v>10.614800000000001</v>
      </c>
      <c r="I445" s="8">
        <f>CHOOSE( CONTROL!$C$32, 9.5921, 9.5877) * CHOOSE(CONTROL!$C$15, $D$11, 100%, $F$11)</f>
        <v>9.5921000000000003</v>
      </c>
      <c r="J445" s="4">
        <f>CHOOSE( CONTROL!$C$32, 9.519, 9.5146) * CHOOSE(CONTROL!$C$15, $D$11, 100%, $F$11)</f>
        <v>9.5190000000000001</v>
      </c>
      <c r="K445" s="4"/>
      <c r="L445" s="9">
        <v>28.568200000000001</v>
      </c>
      <c r="M445" s="9">
        <v>11.6745</v>
      </c>
      <c r="N445" s="9">
        <v>4.7850000000000001</v>
      </c>
      <c r="O445" s="9">
        <v>0.36249999999999999</v>
      </c>
      <c r="P445" s="9">
        <v>1.1798</v>
      </c>
      <c r="Q445" s="9">
        <v>19.3626</v>
      </c>
      <c r="R445" s="9"/>
      <c r="S445" s="11"/>
    </row>
    <row r="446" spans="1:19" ht="15.75">
      <c r="A446" s="13">
        <v>55457</v>
      </c>
      <c r="B446" s="8">
        <f>10.3013 * CHOOSE(CONTROL!$C$15, $D$11, 100%, $F$11)</f>
        <v>10.301299999999999</v>
      </c>
      <c r="C446" s="8">
        <f>10.3117 * CHOOSE(CONTROL!$C$15, $D$11, 100%, $F$11)</f>
        <v>10.3117</v>
      </c>
      <c r="D446" s="8">
        <f>10.3241 * CHOOSE( CONTROL!$C$15, $D$11, 100%, $F$11)</f>
        <v>10.3241</v>
      </c>
      <c r="E446" s="12">
        <f>10.3189 * CHOOSE( CONTROL!$C$15, $D$11, 100%, $F$11)</f>
        <v>10.318899999999999</v>
      </c>
      <c r="F446" s="4">
        <f>10.9896 * CHOOSE(CONTROL!$C$15, $D$11, 100%, $F$11)</f>
        <v>10.989599999999999</v>
      </c>
      <c r="G446" s="8">
        <f>10.1072 * CHOOSE( CONTROL!$C$15, $D$11, 100%, $F$11)</f>
        <v>10.107200000000001</v>
      </c>
      <c r="H446" s="4">
        <f>11.0404 * CHOOSE(CONTROL!$C$15, $D$11, 100%, $F$11)</f>
        <v>11.0404</v>
      </c>
      <c r="I446" s="8">
        <f>10.0119 * CHOOSE(CONTROL!$C$15, $D$11, 100%, $F$11)</f>
        <v>10.011900000000001</v>
      </c>
      <c r="J446" s="4">
        <f>9.9373 * CHOOSE(CONTROL!$C$15, $D$11, 100%, $F$11)</f>
        <v>9.9373000000000005</v>
      </c>
      <c r="K446" s="4"/>
      <c r="L446" s="9">
        <v>28.921800000000001</v>
      </c>
      <c r="M446" s="9">
        <v>12.063700000000001</v>
      </c>
      <c r="N446" s="9">
        <v>4.9444999999999997</v>
      </c>
      <c r="O446" s="9">
        <v>0.37459999999999999</v>
      </c>
      <c r="P446" s="9">
        <v>1.2192000000000001</v>
      </c>
      <c r="Q446" s="9">
        <v>20.007999999999999</v>
      </c>
      <c r="R446" s="9"/>
      <c r="S446" s="11"/>
    </row>
    <row r="447" spans="1:19" ht="15.75">
      <c r="A447" s="13">
        <v>55487</v>
      </c>
      <c r="B447" s="8">
        <f>11.108 * CHOOSE(CONTROL!$C$15, $D$11, 100%, $F$11)</f>
        <v>11.108000000000001</v>
      </c>
      <c r="C447" s="8">
        <f>11.1184 * CHOOSE(CONTROL!$C$15, $D$11, 100%, $F$11)</f>
        <v>11.118399999999999</v>
      </c>
      <c r="D447" s="8">
        <f>11.1044 * CHOOSE( CONTROL!$C$15, $D$11, 100%, $F$11)</f>
        <v>11.1044</v>
      </c>
      <c r="E447" s="12">
        <f>11.1084 * CHOOSE( CONTROL!$C$15, $D$11, 100%, $F$11)</f>
        <v>11.1084</v>
      </c>
      <c r="F447" s="4">
        <f>11.7623 * CHOOSE(CONTROL!$C$15, $D$11, 100%, $F$11)</f>
        <v>11.7623</v>
      </c>
      <c r="G447" s="8">
        <f>10.918 * CHOOSE( CONTROL!$C$15, $D$11, 100%, $F$11)</f>
        <v>10.917999999999999</v>
      </c>
      <c r="H447" s="4">
        <f>11.8006 * CHOOSE(CONTROL!$C$15, $D$11, 100%, $F$11)</f>
        <v>11.800599999999999</v>
      </c>
      <c r="I447" s="8">
        <f>10.8255 * CHOOSE(CONTROL!$C$15, $D$11, 100%, $F$11)</f>
        <v>10.8255</v>
      </c>
      <c r="J447" s="4">
        <f>10.7175 * CHOOSE(CONTROL!$C$15, $D$11, 100%, $F$11)</f>
        <v>10.717499999999999</v>
      </c>
      <c r="K447" s="4"/>
      <c r="L447" s="9">
        <v>26.515499999999999</v>
      </c>
      <c r="M447" s="9">
        <v>11.6745</v>
      </c>
      <c r="N447" s="9">
        <v>4.7850000000000001</v>
      </c>
      <c r="O447" s="9">
        <v>0.36249999999999999</v>
      </c>
      <c r="P447" s="9">
        <v>1.2522</v>
      </c>
      <c r="Q447" s="9">
        <v>19.3626</v>
      </c>
      <c r="R447" s="9"/>
      <c r="S447" s="11"/>
    </row>
    <row r="448" spans="1:19" ht="15.75">
      <c r="A448" s="13">
        <v>55518</v>
      </c>
      <c r="B448" s="8">
        <f>11.0879 * CHOOSE(CONTROL!$C$15, $D$11, 100%, $F$11)</f>
        <v>11.087899999999999</v>
      </c>
      <c r="C448" s="8">
        <f>11.0982 * CHOOSE(CONTROL!$C$15, $D$11, 100%, $F$11)</f>
        <v>11.0982</v>
      </c>
      <c r="D448" s="8">
        <f>11.0867 * CHOOSE( CONTROL!$C$15, $D$11, 100%, $F$11)</f>
        <v>11.0867</v>
      </c>
      <c r="E448" s="12">
        <f>11.0898 * CHOOSE( CONTROL!$C$15, $D$11, 100%, $F$11)</f>
        <v>11.0898</v>
      </c>
      <c r="F448" s="4">
        <f>11.7421 * CHOOSE(CONTROL!$C$15, $D$11, 100%, $F$11)</f>
        <v>11.742100000000001</v>
      </c>
      <c r="G448" s="8">
        <f>10.9 * CHOOSE( CONTROL!$C$15, $D$11, 100%, $F$11)</f>
        <v>10.9</v>
      </c>
      <c r="H448" s="4">
        <f>11.7807 * CHOOSE(CONTROL!$C$15, $D$11, 100%, $F$11)</f>
        <v>11.7807</v>
      </c>
      <c r="I448" s="8">
        <f>10.8139 * CHOOSE(CONTROL!$C$15, $D$11, 100%, $F$11)</f>
        <v>10.8139</v>
      </c>
      <c r="J448" s="4">
        <f>10.698 * CHOOSE(CONTROL!$C$15, $D$11, 100%, $F$11)</f>
        <v>10.698</v>
      </c>
      <c r="K448" s="4"/>
      <c r="L448" s="9">
        <v>27.3993</v>
      </c>
      <c r="M448" s="9">
        <v>12.063700000000001</v>
      </c>
      <c r="N448" s="9">
        <v>4.9444999999999997</v>
      </c>
      <c r="O448" s="9">
        <v>0.37459999999999999</v>
      </c>
      <c r="P448" s="9">
        <v>1.2939000000000001</v>
      </c>
      <c r="Q448" s="9">
        <v>20.007999999999999</v>
      </c>
      <c r="R448" s="9"/>
      <c r="S448" s="11"/>
    </row>
    <row r="449" spans="1:19" ht="15.75">
      <c r="A449" s="13">
        <v>55549</v>
      </c>
      <c r="B449" s="8">
        <f>11.5107 * CHOOSE(CONTROL!$C$15, $D$11, 100%, $F$11)</f>
        <v>11.5107</v>
      </c>
      <c r="C449" s="8">
        <f>11.521 * CHOOSE(CONTROL!$C$15, $D$11, 100%, $F$11)</f>
        <v>11.521000000000001</v>
      </c>
      <c r="D449" s="8">
        <f>11.5194 * CHOOSE( CONTROL!$C$15, $D$11, 100%, $F$11)</f>
        <v>11.519399999999999</v>
      </c>
      <c r="E449" s="12">
        <f>11.5189 * CHOOSE( CONTROL!$C$15, $D$11, 100%, $F$11)</f>
        <v>11.5189</v>
      </c>
      <c r="F449" s="4">
        <f>12.1934 * CHOOSE(CONTROL!$C$15, $D$11, 100%, $F$11)</f>
        <v>12.1934</v>
      </c>
      <c r="G449" s="8">
        <f>11.3262 * CHOOSE( CONTROL!$C$15, $D$11, 100%, $F$11)</f>
        <v>11.3262</v>
      </c>
      <c r="H449" s="4">
        <f>12.2246 * CHOOSE(CONTROL!$C$15, $D$11, 100%, $F$11)</f>
        <v>12.224600000000001</v>
      </c>
      <c r="I449" s="8">
        <f>11.221 * CHOOSE(CONTROL!$C$15, $D$11, 100%, $F$11)</f>
        <v>11.221</v>
      </c>
      <c r="J449" s="4">
        <f>11.1069 * CHOOSE(CONTROL!$C$15, $D$11, 100%, $F$11)</f>
        <v>11.1069</v>
      </c>
      <c r="K449" s="4"/>
      <c r="L449" s="9">
        <v>27.3993</v>
      </c>
      <c r="M449" s="9">
        <v>12.063700000000001</v>
      </c>
      <c r="N449" s="9">
        <v>4.9444999999999997</v>
      </c>
      <c r="O449" s="9">
        <v>0.37459999999999999</v>
      </c>
      <c r="P449" s="9">
        <v>1.2939000000000001</v>
      </c>
      <c r="Q449" s="9">
        <v>19.942900000000002</v>
      </c>
      <c r="R449" s="9"/>
      <c r="S449" s="11"/>
    </row>
    <row r="450" spans="1:19" ht="15.75">
      <c r="A450" s="13">
        <v>55577</v>
      </c>
      <c r="B450" s="8">
        <f>10.7682 * CHOOSE(CONTROL!$C$15, $D$11, 100%, $F$11)</f>
        <v>10.7682</v>
      </c>
      <c r="C450" s="8">
        <f>10.7785 * CHOOSE(CONTROL!$C$15, $D$11, 100%, $F$11)</f>
        <v>10.778499999999999</v>
      </c>
      <c r="D450" s="8">
        <f>10.7791 * CHOOSE( CONTROL!$C$15, $D$11, 100%, $F$11)</f>
        <v>10.7791</v>
      </c>
      <c r="E450" s="12">
        <f>10.7778 * CHOOSE( CONTROL!$C$15, $D$11, 100%, $F$11)</f>
        <v>10.777799999999999</v>
      </c>
      <c r="F450" s="4">
        <f>11.4431 * CHOOSE(CONTROL!$C$15, $D$11, 100%, $F$11)</f>
        <v>11.443099999999999</v>
      </c>
      <c r="G450" s="8">
        <f>10.5955 * CHOOSE( CONTROL!$C$15, $D$11, 100%, $F$11)</f>
        <v>10.595499999999999</v>
      </c>
      <c r="H450" s="4">
        <f>11.4866 * CHOOSE(CONTROL!$C$15, $D$11, 100%, $F$11)</f>
        <v>11.486599999999999</v>
      </c>
      <c r="I450" s="8">
        <f>10.4917 * CHOOSE(CONTROL!$C$15, $D$11, 100%, $F$11)</f>
        <v>10.4917</v>
      </c>
      <c r="J450" s="4">
        <f>10.3888 * CHOOSE(CONTROL!$C$15, $D$11, 100%, $F$11)</f>
        <v>10.3888</v>
      </c>
      <c r="K450" s="4"/>
      <c r="L450" s="9">
        <v>25.631599999999999</v>
      </c>
      <c r="M450" s="9">
        <v>11.285299999999999</v>
      </c>
      <c r="N450" s="9">
        <v>4.6254999999999997</v>
      </c>
      <c r="O450" s="9">
        <v>0.35039999999999999</v>
      </c>
      <c r="P450" s="9">
        <v>1.2104999999999999</v>
      </c>
      <c r="Q450" s="9">
        <v>18.656300000000002</v>
      </c>
      <c r="R450" s="9"/>
      <c r="S450" s="11"/>
    </row>
    <row r="451" spans="1:19" ht="15.75">
      <c r="A451" s="13">
        <v>55609</v>
      </c>
      <c r="B451" s="8">
        <f>10.5395 * CHOOSE(CONTROL!$C$15, $D$11, 100%, $F$11)</f>
        <v>10.5395</v>
      </c>
      <c r="C451" s="8">
        <f>10.5499 * CHOOSE(CONTROL!$C$15, $D$11, 100%, $F$11)</f>
        <v>10.549899999999999</v>
      </c>
      <c r="D451" s="8">
        <f>10.5299 * CHOOSE( CONTROL!$C$15, $D$11, 100%, $F$11)</f>
        <v>10.5299</v>
      </c>
      <c r="E451" s="12">
        <f>10.5361 * CHOOSE( CONTROL!$C$15, $D$11, 100%, $F$11)</f>
        <v>10.536099999999999</v>
      </c>
      <c r="F451" s="4">
        <f>11.1984 * CHOOSE(CONTROL!$C$15, $D$11, 100%, $F$11)</f>
        <v>11.198399999999999</v>
      </c>
      <c r="G451" s="8">
        <f>10.3498 * CHOOSE( CONTROL!$C$15, $D$11, 100%, $F$11)</f>
        <v>10.3498</v>
      </c>
      <c r="H451" s="4">
        <f>11.2458 * CHOOSE(CONTROL!$C$15, $D$11, 100%, $F$11)</f>
        <v>11.245799999999999</v>
      </c>
      <c r="I451" s="8">
        <f>10.2309 * CHOOSE(CONTROL!$C$15, $D$11, 100%, $F$11)</f>
        <v>10.2309</v>
      </c>
      <c r="J451" s="4">
        <f>10.1677 * CHOOSE(CONTROL!$C$15, $D$11, 100%, $F$11)</f>
        <v>10.1677</v>
      </c>
      <c r="K451" s="4"/>
      <c r="L451" s="9">
        <v>27.3993</v>
      </c>
      <c r="M451" s="9">
        <v>12.063700000000001</v>
      </c>
      <c r="N451" s="9">
        <v>4.9444999999999997</v>
      </c>
      <c r="O451" s="9">
        <v>0.37459999999999999</v>
      </c>
      <c r="P451" s="9">
        <v>1.2939000000000001</v>
      </c>
      <c r="Q451" s="9">
        <v>19.942900000000002</v>
      </c>
      <c r="R451" s="9"/>
      <c r="S451" s="11"/>
    </row>
    <row r="452" spans="1:19" ht="15.75">
      <c r="A452" s="13">
        <v>55639</v>
      </c>
      <c r="B452" s="8">
        <f>10.6993 * CHOOSE(CONTROL!$C$15, $D$11, 100%, $F$11)</f>
        <v>10.699299999999999</v>
      </c>
      <c r="C452" s="8">
        <f>10.7097 * CHOOSE(CONTROL!$C$15, $D$11, 100%, $F$11)</f>
        <v>10.7097</v>
      </c>
      <c r="D452" s="8">
        <f>10.7012 * CHOOSE( CONTROL!$C$15, $D$11, 100%, $F$11)</f>
        <v>10.7012</v>
      </c>
      <c r="E452" s="12">
        <f>10.7028 * CHOOSE( CONTROL!$C$15, $D$11, 100%, $F$11)</f>
        <v>10.7028</v>
      </c>
      <c r="F452" s="4">
        <f>11.3484 * CHOOSE(CONTROL!$C$15, $D$11, 100%, $F$11)</f>
        <v>11.3484</v>
      </c>
      <c r="G452" s="8">
        <f>10.4918 * CHOOSE( CONTROL!$C$15, $D$11, 100%, $F$11)</f>
        <v>10.4918</v>
      </c>
      <c r="H452" s="4">
        <f>11.3934 * CHOOSE(CONTROL!$C$15, $D$11, 100%, $F$11)</f>
        <v>11.3934</v>
      </c>
      <c r="I452" s="8">
        <f>10.3823 * CHOOSE(CONTROL!$C$15, $D$11, 100%, $F$11)</f>
        <v>10.382300000000001</v>
      </c>
      <c r="J452" s="4">
        <f>10.3222 * CHOOSE(CONTROL!$C$15, $D$11, 100%, $F$11)</f>
        <v>10.3222</v>
      </c>
      <c r="K452" s="4"/>
      <c r="L452" s="9">
        <v>27.988800000000001</v>
      </c>
      <c r="M452" s="9">
        <v>11.6745</v>
      </c>
      <c r="N452" s="9">
        <v>4.7850000000000001</v>
      </c>
      <c r="O452" s="9">
        <v>0.36249999999999999</v>
      </c>
      <c r="P452" s="9">
        <v>1.1798</v>
      </c>
      <c r="Q452" s="9">
        <v>19.299600000000002</v>
      </c>
      <c r="R452" s="9"/>
      <c r="S452" s="11"/>
    </row>
    <row r="453" spans="1:19" ht="15.75">
      <c r="A453" s="13">
        <v>55670</v>
      </c>
      <c r="B453" s="8">
        <f>CHOOSE( CONTROL!$C$32, 10.9882, 10.9837) * CHOOSE(CONTROL!$C$15, $D$11, 100%, $F$11)</f>
        <v>10.988200000000001</v>
      </c>
      <c r="C453" s="8">
        <f>CHOOSE( CONTROL!$C$32, 10.9986, 10.9941) * CHOOSE(CONTROL!$C$15, $D$11, 100%, $F$11)</f>
        <v>10.9986</v>
      </c>
      <c r="D453" s="8">
        <f>CHOOSE( CONTROL!$C$32, 11.0083, 11.0038) * CHOOSE( CONTROL!$C$15, $D$11, 100%, $F$11)</f>
        <v>11.0083</v>
      </c>
      <c r="E453" s="12">
        <f>CHOOSE( CONTROL!$C$32, 11.0032, 10.9987) * CHOOSE( CONTROL!$C$15, $D$11, 100%, $F$11)</f>
        <v>11.0032</v>
      </c>
      <c r="F453" s="4">
        <f>CHOOSE( CONTROL!$C$32, 11.6765, 11.672) * CHOOSE(CONTROL!$C$15, $D$11, 100%, $F$11)</f>
        <v>11.676500000000001</v>
      </c>
      <c r="G453" s="8">
        <f>CHOOSE( CONTROL!$C$32, 10.7811, 10.7767) * CHOOSE( CONTROL!$C$15, $D$11, 100%, $F$11)</f>
        <v>10.7811</v>
      </c>
      <c r="H453" s="4">
        <f>CHOOSE( CONTROL!$C$32, 11.7162, 11.7117) * CHOOSE(CONTROL!$C$15, $D$11, 100%, $F$11)</f>
        <v>11.716200000000001</v>
      </c>
      <c r="I453" s="8">
        <f>CHOOSE( CONTROL!$C$32, 10.6677, 10.6634) * CHOOSE(CONTROL!$C$15, $D$11, 100%, $F$11)</f>
        <v>10.6677</v>
      </c>
      <c r="J453" s="4">
        <f>CHOOSE( CONTROL!$C$32, 10.6016, 10.5972) * CHOOSE(CONTROL!$C$15, $D$11, 100%, $F$11)</f>
        <v>10.601599999999999</v>
      </c>
      <c r="K453" s="4"/>
      <c r="L453" s="9">
        <v>29.520499999999998</v>
      </c>
      <c r="M453" s="9">
        <v>12.063700000000001</v>
      </c>
      <c r="N453" s="9">
        <v>4.9444999999999997</v>
      </c>
      <c r="O453" s="9">
        <v>0.37459999999999999</v>
      </c>
      <c r="P453" s="9">
        <v>1.2192000000000001</v>
      </c>
      <c r="Q453" s="9">
        <v>19.942900000000002</v>
      </c>
      <c r="R453" s="9"/>
      <c r="S453" s="11"/>
    </row>
    <row r="454" spans="1:19" ht="15.75">
      <c r="A454" s="13">
        <v>55700</v>
      </c>
      <c r="B454" s="8">
        <f>CHOOSE( CONTROL!$C$32, 10.8121, 10.8075) * CHOOSE(CONTROL!$C$15, $D$11, 100%, $F$11)</f>
        <v>10.812099999999999</v>
      </c>
      <c r="C454" s="8">
        <f>CHOOSE( CONTROL!$C$32, 10.8224, 10.8179) * CHOOSE(CONTROL!$C$15, $D$11, 100%, $F$11)</f>
        <v>10.8224</v>
      </c>
      <c r="D454" s="8">
        <f>CHOOSE( CONTROL!$C$32, 10.8327, 10.8282) * CHOOSE( CONTROL!$C$15, $D$11, 100%, $F$11)</f>
        <v>10.832700000000001</v>
      </c>
      <c r="E454" s="12">
        <f>CHOOSE( CONTROL!$C$32, 10.8274, 10.8229) * CHOOSE( CONTROL!$C$15, $D$11, 100%, $F$11)</f>
        <v>10.827400000000001</v>
      </c>
      <c r="F454" s="4">
        <f>CHOOSE( CONTROL!$C$32, 11.5004, 11.4958) * CHOOSE(CONTROL!$C$15, $D$11, 100%, $F$11)</f>
        <v>11.500400000000001</v>
      </c>
      <c r="G454" s="8">
        <f>CHOOSE( CONTROL!$C$32, 10.6087, 10.6043) * CHOOSE( CONTROL!$C$15, $D$11, 100%, $F$11)</f>
        <v>10.608700000000001</v>
      </c>
      <c r="H454" s="4">
        <f>CHOOSE( CONTROL!$C$32, 11.5428, 11.5384) * CHOOSE(CONTROL!$C$15, $D$11, 100%, $F$11)</f>
        <v>11.5428</v>
      </c>
      <c r="I454" s="8">
        <f>CHOOSE( CONTROL!$C$32, 10.5002, 10.4959) * CHOOSE(CONTROL!$C$15, $D$11, 100%, $F$11)</f>
        <v>10.5002</v>
      </c>
      <c r="J454" s="4">
        <f>CHOOSE( CONTROL!$C$32, 10.4312, 10.4269) * CHOOSE(CONTROL!$C$15, $D$11, 100%, $F$11)</f>
        <v>10.4312</v>
      </c>
      <c r="K454" s="4"/>
      <c r="L454" s="9">
        <v>28.568200000000001</v>
      </c>
      <c r="M454" s="9">
        <v>11.6745</v>
      </c>
      <c r="N454" s="9">
        <v>4.7850000000000001</v>
      </c>
      <c r="O454" s="9">
        <v>0.36249999999999999</v>
      </c>
      <c r="P454" s="9">
        <v>1.1798</v>
      </c>
      <c r="Q454" s="9">
        <v>19.299600000000002</v>
      </c>
      <c r="R454" s="9"/>
      <c r="S454" s="11"/>
    </row>
    <row r="455" spans="1:19" ht="15.75">
      <c r="A455" s="13">
        <v>55731</v>
      </c>
      <c r="B455" s="8">
        <f>CHOOSE( CONTROL!$C$32, 11.276, 11.2715) * CHOOSE(CONTROL!$C$15, $D$11, 100%, $F$11)</f>
        <v>11.276</v>
      </c>
      <c r="C455" s="8">
        <f>CHOOSE( CONTROL!$C$32, 11.2863, 11.2818) * CHOOSE(CONTROL!$C$15, $D$11, 100%, $F$11)</f>
        <v>11.286300000000001</v>
      </c>
      <c r="D455" s="8">
        <f>CHOOSE( CONTROL!$C$32, 11.2972, 11.2927) * CHOOSE( CONTROL!$C$15, $D$11, 100%, $F$11)</f>
        <v>11.2972</v>
      </c>
      <c r="E455" s="12">
        <f>CHOOSE( CONTROL!$C$32, 11.2917, 11.2872) * CHOOSE( CONTROL!$C$15, $D$11, 100%, $F$11)</f>
        <v>11.291700000000001</v>
      </c>
      <c r="F455" s="4">
        <f>CHOOSE( CONTROL!$C$32, 11.9643, 11.9598) * CHOOSE(CONTROL!$C$15, $D$11, 100%, $F$11)</f>
        <v>11.9643</v>
      </c>
      <c r="G455" s="8">
        <f>CHOOSE( CONTROL!$C$32, 11.066, 11.0616) * CHOOSE( CONTROL!$C$15, $D$11, 100%, $F$11)</f>
        <v>11.066000000000001</v>
      </c>
      <c r="H455" s="4">
        <f>CHOOSE( CONTROL!$C$32, 11.9993, 11.9948) * CHOOSE(CONTROL!$C$15, $D$11, 100%, $F$11)</f>
        <v>11.9993</v>
      </c>
      <c r="I455" s="8">
        <f>CHOOSE( CONTROL!$C$32, 10.9519, 10.9475) * CHOOSE(CONTROL!$C$15, $D$11, 100%, $F$11)</f>
        <v>10.9519</v>
      </c>
      <c r="J455" s="4">
        <f>CHOOSE( CONTROL!$C$32, 10.8799, 10.8755) * CHOOSE(CONTROL!$C$15, $D$11, 100%, $F$11)</f>
        <v>10.879899999999999</v>
      </c>
      <c r="K455" s="4"/>
      <c r="L455" s="9">
        <v>29.520499999999998</v>
      </c>
      <c r="M455" s="9">
        <v>12.063700000000001</v>
      </c>
      <c r="N455" s="9">
        <v>4.9444999999999997</v>
      </c>
      <c r="O455" s="9">
        <v>0.37459999999999999</v>
      </c>
      <c r="P455" s="9">
        <v>1.2192000000000001</v>
      </c>
      <c r="Q455" s="9">
        <v>19.942900000000002</v>
      </c>
      <c r="R455" s="9"/>
      <c r="S455" s="11"/>
    </row>
    <row r="456" spans="1:19" ht="15.75">
      <c r="A456" s="13">
        <v>55762</v>
      </c>
      <c r="B456" s="8">
        <f>CHOOSE( CONTROL!$C$32, 10.4079, 10.4034) * CHOOSE(CONTROL!$C$15, $D$11, 100%, $F$11)</f>
        <v>10.4079</v>
      </c>
      <c r="C456" s="8">
        <f>CHOOSE( CONTROL!$C$32, 10.4183, 10.4137) * CHOOSE(CONTROL!$C$15, $D$11, 100%, $F$11)</f>
        <v>10.4183</v>
      </c>
      <c r="D456" s="8">
        <f>CHOOSE( CONTROL!$C$32, 10.4294, 10.4249) * CHOOSE( CONTROL!$C$15, $D$11, 100%, $F$11)</f>
        <v>10.429399999999999</v>
      </c>
      <c r="E456" s="12">
        <f>CHOOSE( CONTROL!$C$32, 10.4238, 10.4193) * CHOOSE( CONTROL!$C$15, $D$11, 100%, $F$11)</f>
        <v>10.4238</v>
      </c>
      <c r="F456" s="4">
        <f>CHOOSE( CONTROL!$C$32, 11.0962, 11.0917) * CHOOSE(CONTROL!$C$15, $D$11, 100%, $F$11)</f>
        <v>11.0962</v>
      </c>
      <c r="G456" s="8">
        <f>CHOOSE( CONTROL!$C$32, 10.2124, 10.208) * CHOOSE( CONTROL!$C$15, $D$11, 100%, $F$11)</f>
        <v>10.212400000000001</v>
      </c>
      <c r="H456" s="4">
        <f>CHOOSE( CONTROL!$C$32, 11.1452, 11.1408) * CHOOSE(CONTROL!$C$15, $D$11, 100%, $F$11)</f>
        <v>11.145200000000001</v>
      </c>
      <c r="I456" s="8">
        <f>CHOOSE( CONTROL!$C$32, 10.1133, 10.109) * CHOOSE(CONTROL!$C$15, $D$11, 100%, $F$11)</f>
        <v>10.113300000000001</v>
      </c>
      <c r="J456" s="4">
        <f>CHOOSE( CONTROL!$C$32, 10.0404, 10.036) * CHOOSE(CONTROL!$C$15, $D$11, 100%, $F$11)</f>
        <v>10.0404</v>
      </c>
      <c r="K456" s="4"/>
      <c r="L456" s="9">
        <v>29.520499999999998</v>
      </c>
      <c r="M456" s="9">
        <v>12.063700000000001</v>
      </c>
      <c r="N456" s="9">
        <v>4.9444999999999997</v>
      </c>
      <c r="O456" s="9">
        <v>0.37459999999999999</v>
      </c>
      <c r="P456" s="9">
        <v>1.2192000000000001</v>
      </c>
      <c r="Q456" s="9">
        <v>19.942900000000002</v>
      </c>
      <c r="R456" s="9"/>
      <c r="S456" s="11"/>
    </row>
    <row r="457" spans="1:19" ht="15.75">
      <c r="A457" s="13">
        <v>55792</v>
      </c>
      <c r="B457" s="8">
        <f>CHOOSE( CONTROL!$C$32, 10.1906, 10.186) * CHOOSE(CONTROL!$C$15, $D$11, 100%, $F$11)</f>
        <v>10.1906</v>
      </c>
      <c r="C457" s="8">
        <f>CHOOSE( CONTROL!$C$32, 10.2009, 10.1964) * CHOOSE(CONTROL!$C$15, $D$11, 100%, $F$11)</f>
        <v>10.200900000000001</v>
      </c>
      <c r="D457" s="8">
        <f>CHOOSE( CONTROL!$C$32, 10.2122, 10.2076) * CHOOSE( CONTROL!$C$15, $D$11, 100%, $F$11)</f>
        <v>10.212199999999999</v>
      </c>
      <c r="E457" s="12">
        <f>CHOOSE( CONTROL!$C$32, 10.2065, 10.202) * CHOOSE( CONTROL!$C$15, $D$11, 100%, $F$11)</f>
        <v>10.2065</v>
      </c>
      <c r="F457" s="4">
        <f>CHOOSE( CONTROL!$C$32, 10.8788, 10.8743) * CHOOSE(CONTROL!$C$15, $D$11, 100%, $F$11)</f>
        <v>10.8788</v>
      </c>
      <c r="G457" s="8">
        <f>CHOOSE( CONTROL!$C$32, 9.9987, 9.9943) * CHOOSE( CONTROL!$C$15, $D$11, 100%, $F$11)</f>
        <v>9.9986999999999995</v>
      </c>
      <c r="H457" s="4">
        <f>CHOOSE( CONTROL!$C$32, 10.9314, 10.9269) * CHOOSE(CONTROL!$C$15, $D$11, 100%, $F$11)</f>
        <v>10.9314</v>
      </c>
      <c r="I457" s="8">
        <f>CHOOSE( CONTROL!$C$32, 9.9034, 9.8991) * CHOOSE(CONTROL!$C$15, $D$11, 100%, $F$11)</f>
        <v>9.9033999999999995</v>
      </c>
      <c r="J457" s="4">
        <f>CHOOSE( CONTROL!$C$32, 9.8302, 9.8258) * CHOOSE(CONTROL!$C$15, $D$11, 100%, $F$11)</f>
        <v>9.8301999999999996</v>
      </c>
      <c r="K457" s="4"/>
      <c r="L457" s="9">
        <v>28.568200000000001</v>
      </c>
      <c r="M457" s="9">
        <v>11.6745</v>
      </c>
      <c r="N457" s="9">
        <v>4.7850000000000001</v>
      </c>
      <c r="O457" s="9">
        <v>0.36249999999999999</v>
      </c>
      <c r="P457" s="9">
        <v>1.1798</v>
      </c>
      <c r="Q457" s="9">
        <v>19.299600000000002</v>
      </c>
      <c r="R457" s="9"/>
      <c r="S457" s="11"/>
    </row>
    <row r="458" spans="1:19" ht="15.75">
      <c r="A458" s="13">
        <v>55823</v>
      </c>
      <c r="B458" s="8">
        <f>10.6374 * CHOOSE(CONTROL!$C$15, $D$11, 100%, $F$11)</f>
        <v>10.6374</v>
      </c>
      <c r="C458" s="8">
        <f>10.6477 * CHOOSE(CONTROL!$C$15, $D$11, 100%, $F$11)</f>
        <v>10.6477</v>
      </c>
      <c r="D458" s="8">
        <f>10.6601 * CHOOSE( CONTROL!$C$15, $D$11, 100%, $F$11)</f>
        <v>10.6601</v>
      </c>
      <c r="E458" s="12">
        <f>10.6549 * CHOOSE( CONTROL!$C$15, $D$11, 100%, $F$11)</f>
        <v>10.6549</v>
      </c>
      <c r="F458" s="4">
        <f>11.3257 * CHOOSE(CONTROL!$C$15, $D$11, 100%, $F$11)</f>
        <v>11.325699999999999</v>
      </c>
      <c r="G458" s="8">
        <f>10.4378 * CHOOSE( CONTROL!$C$15, $D$11, 100%, $F$11)</f>
        <v>10.437799999999999</v>
      </c>
      <c r="H458" s="4">
        <f>11.371 * CHOOSE(CONTROL!$C$15, $D$11, 100%, $F$11)</f>
        <v>11.371</v>
      </c>
      <c r="I458" s="8">
        <f>10.337 * CHOOSE(CONTROL!$C$15, $D$11, 100%, $F$11)</f>
        <v>10.337</v>
      </c>
      <c r="J458" s="4">
        <f>10.2623 * CHOOSE(CONTROL!$C$15, $D$11, 100%, $F$11)</f>
        <v>10.2623</v>
      </c>
      <c r="K458" s="4"/>
      <c r="L458" s="9">
        <v>28.921800000000001</v>
      </c>
      <c r="M458" s="9">
        <v>12.063700000000001</v>
      </c>
      <c r="N458" s="9">
        <v>4.9444999999999997</v>
      </c>
      <c r="O458" s="9">
        <v>0.37459999999999999</v>
      </c>
      <c r="P458" s="9">
        <v>1.2192000000000001</v>
      </c>
      <c r="Q458" s="9">
        <v>19.942900000000002</v>
      </c>
      <c r="R458" s="9"/>
      <c r="S458" s="11"/>
    </row>
    <row r="459" spans="1:19" ht="15.75">
      <c r="A459" s="13">
        <v>55853</v>
      </c>
      <c r="B459" s="8">
        <f>11.4705 * CHOOSE(CONTROL!$C$15, $D$11, 100%, $F$11)</f>
        <v>11.470499999999999</v>
      </c>
      <c r="C459" s="8">
        <f>11.4808 * CHOOSE(CONTROL!$C$15, $D$11, 100%, $F$11)</f>
        <v>11.4808</v>
      </c>
      <c r="D459" s="8">
        <f>11.4669 * CHOOSE( CONTROL!$C$15, $D$11, 100%, $F$11)</f>
        <v>11.466900000000001</v>
      </c>
      <c r="E459" s="12">
        <f>11.4709 * CHOOSE( CONTROL!$C$15, $D$11, 100%, $F$11)</f>
        <v>11.4709</v>
      </c>
      <c r="F459" s="4">
        <f>12.1247 * CHOOSE(CONTROL!$C$15, $D$11, 100%, $F$11)</f>
        <v>12.124700000000001</v>
      </c>
      <c r="G459" s="8">
        <f>11.2746 * CHOOSE( CONTROL!$C$15, $D$11, 100%, $F$11)</f>
        <v>11.2746</v>
      </c>
      <c r="H459" s="4">
        <f>12.1571 * CHOOSE(CONTROL!$C$15, $D$11, 100%, $F$11)</f>
        <v>12.1571</v>
      </c>
      <c r="I459" s="8">
        <f>11.1762 * CHOOSE(CONTROL!$C$15, $D$11, 100%, $F$11)</f>
        <v>11.1762</v>
      </c>
      <c r="J459" s="4">
        <f>11.068 * CHOOSE(CONTROL!$C$15, $D$11, 100%, $F$11)</f>
        <v>11.068</v>
      </c>
      <c r="K459" s="4"/>
      <c r="L459" s="9">
        <v>26.515499999999999</v>
      </c>
      <c r="M459" s="9">
        <v>11.6745</v>
      </c>
      <c r="N459" s="9">
        <v>4.7850000000000001</v>
      </c>
      <c r="O459" s="9">
        <v>0.36249999999999999</v>
      </c>
      <c r="P459" s="9">
        <v>1.2522</v>
      </c>
      <c r="Q459" s="9">
        <v>19.299600000000002</v>
      </c>
      <c r="R459" s="9"/>
      <c r="S459" s="11"/>
    </row>
    <row r="460" spans="1:19" ht="15.75">
      <c r="A460" s="13">
        <v>55884</v>
      </c>
      <c r="B460" s="8">
        <f>11.4497 * CHOOSE(CONTROL!$C$15, $D$11, 100%, $F$11)</f>
        <v>11.4497</v>
      </c>
      <c r="C460" s="8">
        <f>11.46 * CHOOSE(CONTROL!$C$15, $D$11, 100%, $F$11)</f>
        <v>11.46</v>
      </c>
      <c r="D460" s="8">
        <f>11.4485 * CHOOSE( CONTROL!$C$15, $D$11, 100%, $F$11)</f>
        <v>11.448499999999999</v>
      </c>
      <c r="E460" s="12">
        <f>11.4516 * CHOOSE( CONTROL!$C$15, $D$11, 100%, $F$11)</f>
        <v>11.451599999999999</v>
      </c>
      <c r="F460" s="4">
        <f>12.1039 * CHOOSE(CONTROL!$C$15, $D$11, 100%, $F$11)</f>
        <v>12.103899999999999</v>
      </c>
      <c r="G460" s="8">
        <f>11.2559 * CHOOSE( CONTROL!$C$15, $D$11, 100%, $F$11)</f>
        <v>11.2559</v>
      </c>
      <c r="H460" s="4">
        <f>12.1366 * CHOOSE(CONTROL!$C$15, $D$11, 100%, $F$11)</f>
        <v>12.1366</v>
      </c>
      <c r="I460" s="8">
        <f>11.164 * CHOOSE(CONTROL!$C$15, $D$11, 100%, $F$11)</f>
        <v>11.164</v>
      </c>
      <c r="J460" s="4">
        <f>11.0479 * CHOOSE(CONTROL!$C$15, $D$11, 100%, $F$11)</f>
        <v>11.0479</v>
      </c>
      <c r="K460" s="4"/>
      <c r="L460" s="9">
        <v>27.3993</v>
      </c>
      <c r="M460" s="9">
        <v>12.063700000000001</v>
      </c>
      <c r="N460" s="9">
        <v>4.9444999999999997</v>
      </c>
      <c r="O460" s="9">
        <v>0.37459999999999999</v>
      </c>
      <c r="P460" s="9">
        <v>1.2939000000000001</v>
      </c>
      <c r="Q460" s="9">
        <v>19.942900000000002</v>
      </c>
      <c r="R460" s="9"/>
      <c r="S460" s="11"/>
    </row>
    <row r="461" spans="1:19" ht="15.75">
      <c r="A461" s="13">
        <v>55915</v>
      </c>
      <c r="B461" s="8">
        <f>11.8863 * CHOOSE(CONTROL!$C$15, $D$11, 100%, $F$11)</f>
        <v>11.8863</v>
      </c>
      <c r="C461" s="8">
        <f>11.8966 * CHOOSE(CONTROL!$C$15, $D$11, 100%, $F$11)</f>
        <v>11.896599999999999</v>
      </c>
      <c r="D461" s="8">
        <f>11.895 * CHOOSE( CONTROL!$C$15, $D$11, 100%, $F$11)</f>
        <v>11.895</v>
      </c>
      <c r="E461" s="12">
        <f>11.8945 * CHOOSE( CONTROL!$C$15, $D$11, 100%, $F$11)</f>
        <v>11.894500000000001</v>
      </c>
      <c r="F461" s="4">
        <f>12.569 * CHOOSE(CONTROL!$C$15, $D$11, 100%, $F$11)</f>
        <v>12.569000000000001</v>
      </c>
      <c r="G461" s="8">
        <f>11.6957 * CHOOSE( CONTROL!$C$15, $D$11, 100%, $F$11)</f>
        <v>11.6957</v>
      </c>
      <c r="H461" s="4">
        <f>12.5942 * CHOOSE(CONTROL!$C$15, $D$11, 100%, $F$11)</f>
        <v>12.594200000000001</v>
      </c>
      <c r="I461" s="8">
        <f>11.5844 * CHOOSE(CONTROL!$C$15, $D$11, 100%, $F$11)</f>
        <v>11.5844</v>
      </c>
      <c r="J461" s="4">
        <f>11.4701 * CHOOSE(CONTROL!$C$15, $D$11, 100%, $F$11)</f>
        <v>11.4701</v>
      </c>
      <c r="K461" s="4"/>
      <c r="L461" s="9">
        <v>27.3993</v>
      </c>
      <c r="M461" s="9">
        <v>12.063700000000001</v>
      </c>
      <c r="N461" s="9">
        <v>4.9444999999999997</v>
      </c>
      <c r="O461" s="9">
        <v>0.37459999999999999</v>
      </c>
      <c r="P461" s="9">
        <v>1.2939000000000001</v>
      </c>
      <c r="Q461" s="9">
        <v>19.877800000000001</v>
      </c>
      <c r="R461" s="9"/>
      <c r="S461" s="11"/>
    </row>
    <row r="462" spans="1:19" ht="15.75">
      <c r="A462" s="13">
        <v>55943</v>
      </c>
      <c r="B462" s="8">
        <f>11.1195 * CHOOSE(CONTROL!$C$15, $D$11, 100%, $F$11)</f>
        <v>11.1195</v>
      </c>
      <c r="C462" s="8">
        <f>11.1299 * CHOOSE(CONTROL!$C$15, $D$11, 100%, $F$11)</f>
        <v>11.129899999999999</v>
      </c>
      <c r="D462" s="8">
        <f>11.1304 * CHOOSE( CONTROL!$C$15, $D$11, 100%, $F$11)</f>
        <v>11.1304</v>
      </c>
      <c r="E462" s="12">
        <f>11.1291 * CHOOSE( CONTROL!$C$15, $D$11, 100%, $F$11)</f>
        <v>11.129099999999999</v>
      </c>
      <c r="F462" s="4">
        <f>11.7945 * CHOOSE(CONTROL!$C$15, $D$11, 100%, $F$11)</f>
        <v>11.794499999999999</v>
      </c>
      <c r="G462" s="8">
        <f>10.9412 * CHOOSE( CONTROL!$C$15, $D$11, 100%, $F$11)</f>
        <v>10.9412</v>
      </c>
      <c r="H462" s="4">
        <f>11.8322 * CHOOSE(CONTROL!$C$15, $D$11, 100%, $F$11)</f>
        <v>11.8322</v>
      </c>
      <c r="I462" s="8">
        <f>10.8316 * CHOOSE(CONTROL!$C$15, $D$11, 100%, $F$11)</f>
        <v>10.8316</v>
      </c>
      <c r="J462" s="4">
        <f>10.7286 * CHOOSE(CONTROL!$C$15, $D$11, 100%, $F$11)</f>
        <v>10.7286</v>
      </c>
      <c r="K462" s="4"/>
      <c r="L462" s="9">
        <v>24.747800000000002</v>
      </c>
      <c r="M462" s="9">
        <v>10.8962</v>
      </c>
      <c r="N462" s="9">
        <v>4.4660000000000002</v>
      </c>
      <c r="O462" s="9">
        <v>0.33829999999999999</v>
      </c>
      <c r="P462" s="9">
        <v>1.1687000000000001</v>
      </c>
      <c r="Q462" s="9">
        <v>17.9542</v>
      </c>
      <c r="R462" s="9"/>
      <c r="S462" s="11"/>
    </row>
    <row r="463" spans="1:19" ht="15.75">
      <c r="A463" s="13">
        <v>55974</v>
      </c>
      <c r="B463" s="8">
        <f>10.8834 * CHOOSE(CONTROL!$C$15, $D$11, 100%, $F$11)</f>
        <v>10.8834</v>
      </c>
      <c r="C463" s="8">
        <f>10.8937 * CHOOSE(CONTROL!$C$15, $D$11, 100%, $F$11)</f>
        <v>10.893700000000001</v>
      </c>
      <c r="D463" s="8">
        <f>10.8738 * CHOOSE( CONTROL!$C$15, $D$11, 100%, $F$11)</f>
        <v>10.873799999999999</v>
      </c>
      <c r="E463" s="12">
        <f>10.88 * CHOOSE( CONTROL!$C$15, $D$11, 100%, $F$11)</f>
        <v>10.88</v>
      </c>
      <c r="F463" s="4">
        <f>11.5423 * CHOOSE(CONTROL!$C$15, $D$11, 100%, $F$11)</f>
        <v>11.542299999999999</v>
      </c>
      <c r="G463" s="8">
        <f>10.6881 * CHOOSE( CONTROL!$C$15, $D$11, 100%, $F$11)</f>
        <v>10.6881</v>
      </c>
      <c r="H463" s="4">
        <f>11.5841 * CHOOSE(CONTROL!$C$15, $D$11, 100%, $F$11)</f>
        <v>11.584099999999999</v>
      </c>
      <c r="I463" s="8">
        <f>10.5636 * CHOOSE(CONTROL!$C$15, $D$11, 100%, $F$11)</f>
        <v>10.563599999999999</v>
      </c>
      <c r="J463" s="4">
        <f>10.5002 * CHOOSE(CONTROL!$C$15, $D$11, 100%, $F$11)</f>
        <v>10.5002</v>
      </c>
      <c r="K463" s="4"/>
      <c r="L463" s="9">
        <v>27.3993</v>
      </c>
      <c r="M463" s="9">
        <v>12.063700000000001</v>
      </c>
      <c r="N463" s="9">
        <v>4.9444999999999997</v>
      </c>
      <c r="O463" s="9">
        <v>0.37459999999999999</v>
      </c>
      <c r="P463" s="9">
        <v>1.2939000000000001</v>
      </c>
      <c r="Q463" s="9">
        <v>19.877800000000001</v>
      </c>
      <c r="R463" s="9"/>
      <c r="S463" s="11"/>
    </row>
    <row r="464" spans="1:19" ht="15.75">
      <c r="A464" s="13">
        <v>56004</v>
      </c>
      <c r="B464" s="8">
        <f>11.0484 * CHOOSE(CONTROL!$C$15, $D$11, 100%, $F$11)</f>
        <v>11.048400000000001</v>
      </c>
      <c r="C464" s="8">
        <f>11.0587 * CHOOSE(CONTROL!$C$15, $D$11, 100%, $F$11)</f>
        <v>11.0587</v>
      </c>
      <c r="D464" s="8">
        <f>11.0502 * CHOOSE( CONTROL!$C$15, $D$11, 100%, $F$11)</f>
        <v>11.0502</v>
      </c>
      <c r="E464" s="12">
        <f>11.0518 * CHOOSE( CONTROL!$C$15, $D$11, 100%, $F$11)</f>
        <v>11.0518</v>
      </c>
      <c r="F464" s="4">
        <f>11.6975 * CHOOSE(CONTROL!$C$15, $D$11, 100%, $F$11)</f>
        <v>11.6975</v>
      </c>
      <c r="G464" s="8">
        <f>10.8352 * CHOOSE( CONTROL!$C$15, $D$11, 100%, $F$11)</f>
        <v>10.8352</v>
      </c>
      <c r="H464" s="4">
        <f>11.7368 * CHOOSE(CONTROL!$C$15, $D$11, 100%, $F$11)</f>
        <v>11.736800000000001</v>
      </c>
      <c r="I464" s="8">
        <f>10.7201 * CHOOSE(CONTROL!$C$15, $D$11, 100%, $F$11)</f>
        <v>10.7201</v>
      </c>
      <c r="J464" s="4">
        <f>10.6598 * CHOOSE(CONTROL!$C$15, $D$11, 100%, $F$11)</f>
        <v>10.659800000000001</v>
      </c>
      <c r="K464" s="4"/>
      <c r="L464" s="9">
        <v>27.988800000000001</v>
      </c>
      <c r="M464" s="9">
        <v>11.6745</v>
      </c>
      <c r="N464" s="9">
        <v>4.7850000000000001</v>
      </c>
      <c r="O464" s="9">
        <v>0.36249999999999999</v>
      </c>
      <c r="P464" s="9">
        <v>1.1798</v>
      </c>
      <c r="Q464" s="9">
        <v>19.236599999999999</v>
      </c>
      <c r="R464" s="9"/>
      <c r="S464" s="11"/>
    </row>
    <row r="465" spans="1:19" ht="15.75">
      <c r="A465" s="13">
        <v>56035</v>
      </c>
      <c r="B465" s="8">
        <f>CHOOSE( CONTROL!$C$32, 11.3466, 11.3421) * CHOOSE(CONTROL!$C$15, $D$11, 100%, $F$11)</f>
        <v>11.3466</v>
      </c>
      <c r="C465" s="8">
        <f>CHOOSE( CONTROL!$C$32, 11.3569, 11.3524) * CHOOSE(CONTROL!$C$15, $D$11, 100%, $F$11)</f>
        <v>11.3569</v>
      </c>
      <c r="D465" s="8">
        <f>CHOOSE( CONTROL!$C$32, 11.3666, 11.3621) * CHOOSE( CONTROL!$C$15, $D$11, 100%, $F$11)</f>
        <v>11.3666</v>
      </c>
      <c r="E465" s="12">
        <f>CHOOSE( CONTROL!$C$32, 11.3615, 11.357) * CHOOSE( CONTROL!$C$15, $D$11, 100%, $F$11)</f>
        <v>11.361499999999999</v>
      </c>
      <c r="F465" s="4">
        <f>CHOOSE( CONTROL!$C$32, 12.0349, 12.0304) * CHOOSE(CONTROL!$C$15, $D$11, 100%, $F$11)</f>
        <v>12.0349</v>
      </c>
      <c r="G465" s="8">
        <f>CHOOSE( CONTROL!$C$32, 11.1337, 11.1293) * CHOOSE( CONTROL!$C$15, $D$11, 100%, $F$11)</f>
        <v>11.133699999999999</v>
      </c>
      <c r="H465" s="4">
        <f>CHOOSE( CONTROL!$C$32, 12.0687, 12.0643) * CHOOSE(CONTROL!$C$15, $D$11, 100%, $F$11)</f>
        <v>12.0687</v>
      </c>
      <c r="I465" s="8">
        <f>CHOOSE( CONTROL!$C$32, 11.0145, 11.0101) * CHOOSE(CONTROL!$C$15, $D$11, 100%, $F$11)</f>
        <v>11.0145</v>
      </c>
      <c r="J465" s="4">
        <f>CHOOSE( CONTROL!$C$32, 10.9482, 10.9438) * CHOOSE(CONTROL!$C$15, $D$11, 100%, $F$11)</f>
        <v>10.9482</v>
      </c>
      <c r="K465" s="4"/>
      <c r="L465" s="9">
        <v>29.520499999999998</v>
      </c>
      <c r="M465" s="9">
        <v>12.063700000000001</v>
      </c>
      <c r="N465" s="9">
        <v>4.9444999999999997</v>
      </c>
      <c r="O465" s="9">
        <v>0.37459999999999999</v>
      </c>
      <c r="P465" s="9">
        <v>1.2192000000000001</v>
      </c>
      <c r="Q465" s="9">
        <v>19.877800000000001</v>
      </c>
      <c r="R465" s="9"/>
      <c r="S465" s="11"/>
    </row>
    <row r="466" spans="1:19" ht="15.75">
      <c r="A466" s="13">
        <v>56065</v>
      </c>
      <c r="B466" s="8">
        <f>CHOOSE( CONTROL!$C$32, 11.1647, 11.1601) * CHOOSE(CONTROL!$C$15, $D$11, 100%, $F$11)</f>
        <v>11.1647</v>
      </c>
      <c r="C466" s="8">
        <f>CHOOSE( CONTROL!$C$32, 11.175, 11.1705) * CHOOSE(CONTROL!$C$15, $D$11, 100%, $F$11)</f>
        <v>11.175000000000001</v>
      </c>
      <c r="D466" s="8">
        <f>CHOOSE( CONTROL!$C$32, 11.1853, 11.1808) * CHOOSE( CONTROL!$C$15, $D$11, 100%, $F$11)</f>
        <v>11.1853</v>
      </c>
      <c r="E466" s="12">
        <f>CHOOSE( CONTROL!$C$32, 11.18, 11.1755) * CHOOSE( CONTROL!$C$15, $D$11, 100%, $F$11)</f>
        <v>11.18</v>
      </c>
      <c r="F466" s="4">
        <f>CHOOSE( CONTROL!$C$32, 11.853, 11.8484) * CHOOSE(CONTROL!$C$15, $D$11, 100%, $F$11)</f>
        <v>11.853</v>
      </c>
      <c r="G466" s="8">
        <f>CHOOSE( CONTROL!$C$32, 10.9556, 10.9512) * CHOOSE( CONTROL!$C$15, $D$11, 100%, $F$11)</f>
        <v>10.9556</v>
      </c>
      <c r="H466" s="4">
        <f>CHOOSE( CONTROL!$C$32, 11.8897, 11.8853) * CHOOSE(CONTROL!$C$15, $D$11, 100%, $F$11)</f>
        <v>11.889699999999999</v>
      </c>
      <c r="I466" s="8">
        <f>CHOOSE( CONTROL!$C$32, 10.8414, 10.837) * CHOOSE(CONTROL!$C$15, $D$11, 100%, $F$11)</f>
        <v>10.8414</v>
      </c>
      <c r="J466" s="4">
        <f>CHOOSE( CONTROL!$C$32, 10.7722, 10.7679) * CHOOSE(CONTROL!$C$15, $D$11, 100%, $F$11)</f>
        <v>10.7722</v>
      </c>
      <c r="K466" s="4"/>
      <c r="L466" s="9">
        <v>28.568200000000001</v>
      </c>
      <c r="M466" s="9">
        <v>11.6745</v>
      </c>
      <c r="N466" s="9">
        <v>4.7850000000000001</v>
      </c>
      <c r="O466" s="9">
        <v>0.36249999999999999</v>
      </c>
      <c r="P466" s="9">
        <v>1.1798</v>
      </c>
      <c r="Q466" s="9">
        <v>19.236599999999999</v>
      </c>
      <c r="R466" s="9"/>
      <c r="S466" s="11"/>
    </row>
    <row r="467" spans="1:19" ht="15.75">
      <c r="A467" s="13">
        <v>56096</v>
      </c>
      <c r="B467" s="8">
        <f>CHOOSE( CONTROL!$C$32, 11.6438, 11.6392) * CHOOSE(CONTROL!$C$15, $D$11, 100%, $F$11)</f>
        <v>11.643800000000001</v>
      </c>
      <c r="C467" s="8">
        <f>CHOOSE( CONTROL!$C$32, 11.6541, 11.6496) * CHOOSE(CONTROL!$C$15, $D$11, 100%, $F$11)</f>
        <v>11.6541</v>
      </c>
      <c r="D467" s="8">
        <f>CHOOSE( CONTROL!$C$32, 11.665, 11.6605) * CHOOSE( CONTROL!$C$15, $D$11, 100%, $F$11)</f>
        <v>11.664999999999999</v>
      </c>
      <c r="E467" s="12">
        <f>CHOOSE( CONTROL!$C$32, 11.6595, 11.655) * CHOOSE( CONTROL!$C$15, $D$11, 100%, $F$11)</f>
        <v>11.6595</v>
      </c>
      <c r="F467" s="4">
        <f>CHOOSE( CONTROL!$C$32, 12.3321, 12.3275) * CHOOSE(CONTROL!$C$15, $D$11, 100%, $F$11)</f>
        <v>12.332100000000001</v>
      </c>
      <c r="G467" s="8">
        <f>CHOOSE( CONTROL!$C$32, 11.4278, 11.4234) * CHOOSE( CONTROL!$C$15, $D$11, 100%, $F$11)</f>
        <v>11.4278</v>
      </c>
      <c r="H467" s="4">
        <f>CHOOSE( CONTROL!$C$32, 12.3611, 12.3567) * CHOOSE(CONTROL!$C$15, $D$11, 100%, $F$11)</f>
        <v>12.3611</v>
      </c>
      <c r="I467" s="8">
        <f>CHOOSE( CONTROL!$C$32, 11.3077, 11.3033) * CHOOSE(CONTROL!$C$15, $D$11, 100%, $F$11)</f>
        <v>11.307700000000001</v>
      </c>
      <c r="J467" s="4">
        <f>CHOOSE( CONTROL!$C$32, 11.2356, 11.2312) * CHOOSE(CONTROL!$C$15, $D$11, 100%, $F$11)</f>
        <v>11.2356</v>
      </c>
      <c r="K467" s="4"/>
      <c r="L467" s="9">
        <v>29.520499999999998</v>
      </c>
      <c r="M467" s="9">
        <v>12.063700000000001</v>
      </c>
      <c r="N467" s="9">
        <v>4.9444999999999997</v>
      </c>
      <c r="O467" s="9">
        <v>0.37459999999999999</v>
      </c>
      <c r="P467" s="9">
        <v>1.2192000000000001</v>
      </c>
      <c r="Q467" s="9">
        <v>19.877800000000001</v>
      </c>
      <c r="R467" s="9"/>
      <c r="S467" s="11"/>
    </row>
    <row r="468" spans="1:19" ht="15.75">
      <c r="A468" s="13">
        <v>56127</v>
      </c>
      <c r="B468" s="8">
        <f>CHOOSE( CONTROL!$C$32, 10.7473, 10.7428) * CHOOSE(CONTROL!$C$15, $D$11, 100%, $F$11)</f>
        <v>10.747299999999999</v>
      </c>
      <c r="C468" s="8">
        <f>CHOOSE( CONTROL!$C$32, 10.7577, 10.7531) * CHOOSE(CONTROL!$C$15, $D$11, 100%, $F$11)</f>
        <v>10.7577</v>
      </c>
      <c r="D468" s="8">
        <f>CHOOSE( CONTROL!$C$32, 10.7688, 10.7643) * CHOOSE( CONTROL!$C$15, $D$11, 100%, $F$11)</f>
        <v>10.768800000000001</v>
      </c>
      <c r="E468" s="12">
        <f>CHOOSE( CONTROL!$C$32, 10.7632, 10.7587) * CHOOSE( CONTROL!$C$15, $D$11, 100%, $F$11)</f>
        <v>10.763199999999999</v>
      </c>
      <c r="F468" s="4">
        <f>CHOOSE( CONTROL!$C$32, 11.4356, 11.4311) * CHOOSE(CONTROL!$C$15, $D$11, 100%, $F$11)</f>
        <v>11.435600000000001</v>
      </c>
      <c r="G468" s="8">
        <f>CHOOSE( CONTROL!$C$32, 10.5463, 10.5419) * CHOOSE( CONTROL!$C$15, $D$11, 100%, $F$11)</f>
        <v>10.5463</v>
      </c>
      <c r="H468" s="4">
        <f>CHOOSE( CONTROL!$C$32, 11.4791, 11.4747) * CHOOSE(CONTROL!$C$15, $D$11, 100%, $F$11)</f>
        <v>11.479100000000001</v>
      </c>
      <c r="I468" s="8">
        <f>CHOOSE( CONTROL!$C$32, 10.4417, 10.4373) * CHOOSE(CONTROL!$C$15, $D$11, 100%, $F$11)</f>
        <v>10.441700000000001</v>
      </c>
      <c r="J468" s="4">
        <f>CHOOSE( CONTROL!$C$32, 10.3686, 10.3642) * CHOOSE(CONTROL!$C$15, $D$11, 100%, $F$11)</f>
        <v>10.368600000000001</v>
      </c>
      <c r="K468" s="4"/>
      <c r="L468" s="9">
        <v>29.520499999999998</v>
      </c>
      <c r="M468" s="9">
        <v>12.063700000000001</v>
      </c>
      <c r="N468" s="9">
        <v>4.9444999999999997</v>
      </c>
      <c r="O468" s="9">
        <v>0.37459999999999999</v>
      </c>
      <c r="P468" s="9">
        <v>1.2192000000000001</v>
      </c>
      <c r="Q468" s="9">
        <v>19.877800000000001</v>
      </c>
      <c r="R468" s="9"/>
      <c r="S468" s="11"/>
    </row>
    <row r="469" spans="1:19" ht="15.75">
      <c r="A469" s="13">
        <v>56157</v>
      </c>
      <c r="B469" s="8">
        <f>CHOOSE( CONTROL!$C$32, 10.5228, 10.5183) * CHOOSE(CONTROL!$C$15, $D$11, 100%, $F$11)</f>
        <v>10.5228</v>
      </c>
      <c r="C469" s="8">
        <f>CHOOSE( CONTROL!$C$32, 10.5332, 10.5286) * CHOOSE(CONTROL!$C$15, $D$11, 100%, $F$11)</f>
        <v>10.533200000000001</v>
      </c>
      <c r="D469" s="8">
        <f>CHOOSE( CONTROL!$C$32, 10.5444, 10.5399) * CHOOSE( CONTROL!$C$15, $D$11, 100%, $F$11)</f>
        <v>10.5444</v>
      </c>
      <c r="E469" s="12">
        <f>CHOOSE( CONTROL!$C$32, 10.5388, 10.5342) * CHOOSE( CONTROL!$C$15, $D$11, 100%, $F$11)</f>
        <v>10.5388</v>
      </c>
      <c r="F469" s="4">
        <f>CHOOSE( CONTROL!$C$32, 11.2111, 11.2066) * CHOOSE(CONTROL!$C$15, $D$11, 100%, $F$11)</f>
        <v>11.2111</v>
      </c>
      <c r="G469" s="8">
        <f>CHOOSE( CONTROL!$C$32, 10.3256, 10.3212) * CHOOSE( CONTROL!$C$15, $D$11, 100%, $F$11)</f>
        <v>10.3256</v>
      </c>
      <c r="H469" s="4">
        <f>CHOOSE( CONTROL!$C$32, 11.2583, 11.2538) * CHOOSE(CONTROL!$C$15, $D$11, 100%, $F$11)</f>
        <v>11.2583</v>
      </c>
      <c r="I469" s="8">
        <f>CHOOSE( CONTROL!$C$32, 10.2249, 10.2206) * CHOOSE(CONTROL!$C$15, $D$11, 100%, $F$11)</f>
        <v>10.2249</v>
      </c>
      <c r="J469" s="4">
        <f>CHOOSE( CONTROL!$C$32, 10.1515, 10.1471) * CHOOSE(CONTROL!$C$15, $D$11, 100%, $F$11)</f>
        <v>10.1515</v>
      </c>
      <c r="K469" s="4"/>
      <c r="L469" s="9">
        <v>28.568200000000001</v>
      </c>
      <c r="M469" s="9">
        <v>11.6745</v>
      </c>
      <c r="N469" s="9">
        <v>4.7850000000000001</v>
      </c>
      <c r="O469" s="9">
        <v>0.36249999999999999</v>
      </c>
      <c r="P469" s="9">
        <v>1.1798</v>
      </c>
      <c r="Q469" s="9">
        <v>19.236599999999999</v>
      </c>
      <c r="R469" s="9"/>
      <c r="S469" s="11"/>
    </row>
    <row r="470" spans="1:19" ht="15.75">
      <c r="A470" s="13">
        <v>56188</v>
      </c>
      <c r="B470" s="8">
        <f>10.9844 * CHOOSE(CONTROL!$C$15, $D$11, 100%, $F$11)</f>
        <v>10.984400000000001</v>
      </c>
      <c r="C470" s="8">
        <f>10.9948 * CHOOSE(CONTROL!$C$15, $D$11, 100%, $F$11)</f>
        <v>10.9948</v>
      </c>
      <c r="D470" s="8">
        <f>11.0072 * CHOOSE( CONTROL!$C$15, $D$11, 100%, $F$11)</f>
        <v>11.007199999999999</v>
      </c>
      <c r="E470" s="12">
        <f>11.002 * CHOOSE( CONTROL!$C$15, $D$11, 100%, $F$11)</f>
        <v>11.002000000000001</v>
      </c>
      <c r="F470" s="4">
        <f>11.6727 * CHOOSE(CONTROL!$C$15, $D$11, 100%, $F$11)</f>
        <v>11.672700000000001</v>
      </c>
      <c r="G470" s="8">
        <f>10.7792 * CHOOSE( CONTROL!$C$15, $D$11, 100%, $F$11)</f>
        <v>10.779199999999999</v>
      </c>
      <c r="H470" s="4">
        <f>11.7124 * CHOOSE(CONTROL!$C$15, $D$11, 100%, $F$11)</f>
        <v>11.712400000000001</v>
      </c>
      <c r="I470" s="8">
        <f>10.6728 * CHOOSE(CONTROL!$C$15, $D$11, 100%, $F$11)</f>
        <v>10.672800000000001</v>
      </c>
      <c r="J470" s="4">
        <f>10.5979 * CHOOSE(CONTROL!$C$15, $D$11, 100%, $F$11)</f>
        <v>10.597899999999999</v>
      </c>
      <c r="K470" s="4"/>
      <c r="L470" s="9">
        <v>28.921800000000001</v>
      </c>
      <c r="M470" s="9">
        <v>12.063700000000001</v>
      </c>
      <c r="N470" s="9">
        <v>4.9444999999999997</v>
      </c>
      <c r="O470" s="9">
        <v>0.37459999999999999</v>
      </c>
      <c r="P470" s="9">
        <v>1.2192000000000001</v>
      </c>
      <c r="Q470" s="9">
        <v>19.877800000000001</v>
      </c>
      <c r="R470" s="9"/>
      <c r="S470" s="11"/>
    </row>
    <row r="471" spans="1:19" ht="15.75">
      <c r="A471" s="13">
        <v>56218</v>
      </c>
      <c r="B471" s="8">
        <f>11.8447 * CHOOSE(CONTROL!$C$15, $D$11, 100%, $F$11)</f>
        <v>11.8447</v>
      </c>
      <c r="C471" s="8">
        <f>11.8551 * CHOOSE(CONTROL!$C$15, $D$11, 100%, $F$11)</f>
        <v>11.8551</v>
      </c>
      <c r="D471" s="8">
        <f>11.8411 * CHOOSE( CONTROL!$C$15, $D$11, 100%, $F$11)</f>
        <v>11.841100000000001</v>
      </c>
      <c r="E471" s="12">
        <f>11.8451 * CHOOSE( CONTROL!$C$15, $D$11, 100%, $F$11)</f>
        <v>11.8451</v>
      </c>
      <c r="F471" s="4">
        <f>12.499 * CHOOSE(CONTROL!$C$15, $D$11, 100%, $F$11)</f>
        <v>12.499000000000001</v>
      </c>
      <c r="G471" s="8">
        <f>11.6428 * CHOOSE( CONTROL!$C$15, $D$11, 100%, $F$11)</f>
        <v>11.642799999999999</v>
      </c>
      <c r="H471" s="4">
        <f>12.5253 * CHOOSE(CONTROL!$C$15, $D$11, 100%, $F$11)</f>
        <v>12.5253</v>
      </c>
      <c r="I471" s="8">
        <f>11.5383 * CHOOSE(CONTROL!$C$15, $D$11, 100%, $F$11)</f>
        <v>11.5383</v>
      </c>
      <c r="J471" s="4">
        <f>11.43 * CHOOSE(CONTROL!$C$15, $D$11, 100%, $F$11)</f>
        <v>11.43</v>
      </c>
      <c r="K471" s="4"/>
      <c r="L471" s="9">
        <v>26.515499999999999</v>
      </c>
      <c r="M471" s="9">
        <v>11.6745</v>
      </c>
      <c r="N471" s="9">
        <v>4.7850000000000001</v>
      </c>
      <c r="O471" s="9">
        <v>0.36249999999999999</v>
      </c>
      <c r="P471" s="9">
        <v>1.2522</v>
      </c>
      <c r="Q471" s="9">
        <v>19.236599999999999</v>
      </c>
      <c r="R471" s="9"/>
      <c r="S471" s="11"/>
    </row>
    <row r="472" spans="1:19" ht="15.75">
      <c r="A472" s="13">
        <v>56249</v>
      </c>
      <c r="B472" s="8">
        <f>11.8233 * CHOOSE(CONTROL!$C$15, $D$11, 100%, $F$11)</f>
        <v>11.8233</v>
      </c>
      <c r="C472" s="8">
        <f>11.8336 * CHOOSE(CONTROL!$C$15, $D$11, 100%, $F$11)</f>
        <v>11.833600000000001</v>
      </c>
      <c r="D472" s="8">
        <f>11.8221 * CHOOSE( CONTROL!$C$15, $D$11, 100%, $F$11)</f>
        <v>11.822100000000001</v>
      </c>
      <c r="E472" s="12">
        <f>11.8252 * CHOOSE( CONTROL!$C$15, $D$11, 100%, $F$11)</f>
        <v>11.825200000000001</v>
      </c>
      <c r="F472" s="4">
        <f>12.4775 * CHOOSE(CONTROL!$C$15, $D$11, 100%, $F$11)</f>
        <v>12.477499999999999</v>
      </c>
      <c r="G472" s="8">
        <f>11.6235 * CHOOSE( CONTROL!$C$15, $D$11, 100%, $F$11)</f>
        <v>11.6235</v>
      </c>
      <c r="H472" s="4">
        <f>12.5042 * CHOOSE(CONTROL!$C$15, $D$11, 100%, $F$11)</f>
        <v>12.504200000000001</v>
      </c>
      <c r="I472" s="8">
        <f>11.5255 * CHOOSE(CONTROL!$C$15, $D$11, 100%, $F$11)</f>
        <v>11.525499999999999</v>
      </c>
      <c r="J472" s="4">
        <f>11.4092 * CHOOSE(CONTROL!$C$15, $D$11, 100%, $F$11)</f>
        <v>11.4092</v>
      </c>
      <c r="K472" s="4"/>
      <c r="L472" s="9">
        <v>27.3993</v>
      </c>
      <c r="M472" s="9">
        <v>12.063700000000001</v>
      </c>
      <c r="N472" s="9">
        <v>4.9444999999999997</v>
      </c>
      <c r="O472" s="9">
        <v>0.37459999999999999</v>
      </c>
      <c r="P472" s="9">
        <v>1.2939000000000001</v>
      </c>
      <c r="Q472" s="9">
        <v>19.877800000000001</v>
      </c>
      <c r="R472" s="9"/>
      <c r="S472" s="11"/>
    </row>
    <row r="473" spans="1:19" ht="15.75">
      <c r="A473" s="13">
        <v>56280</v>
      </c>
      <c r="B473" s="8">
        <f>12.2741 * CHOOSE(CONTROL!$C$15, $D$11, 100%, $F$11)</f>
        <v>12.274100000000001</v>
      </c>
      <c r="C473" s="8">
        <f>12.2845 * CHOOSE(CONTROL!$C$15, $D$11, 100%, $F$11)</f>
        <v>12.2845</v>
      </c>
      <c r="D473" s="8">
        <f>12.2829 * CHOOSE( CONTROL!$C$15, $D$11, 100%, $F$11)</f>
        <v>12.2829</v>
      </c>
      <c r="E473" s="12">
        <f>12.2824 * CHOOSE( CONTROL!$C$15, $D$11, 100%, $F$11)</f>
        <v>12.282400000000001</v>
      </c>
      <c r="F473" s="4">
        <f>12.9568 * CHOOSE(CONTROL!$C$15, $D$11, 100%, $F$11)</f>
        <v>12.956799999999999</v>
      </c>
      <c r="G473" s="8">
        <f>12.0773 * CHOOSE( CONTROL!$C$15, $D$11, 100%, $F$11)</f>
        <v>12.077299999999999</v>
      </c>
      <c r="H473" s="4">
        <f>12.9758 * CHOOSE(CONTROL!$C$15, $D$11, 100%, $F$11)</f>
        <v>12.9758</v>
      </c>
      <c r="I473" s="8">
        <f>11.9597 * CHOOSE(CONTROL!$C$15, $D$11, 100%, $F$11)</f>
        <v>11.9597</v>
      </c>
      <c r="J473" s="4">
        <f>11.8452 * CHOOSE(CONTROL!$C$15, $D$11, 100%, $F$11)</f>
        <v>11.8452</v>
      </c>
      <c r="K473" s="4"/>
      <c r="L473" s="9">
        <v>27.3993</v>
      </c>
      <c r="M473" s="9">
        <v>12.063700000000001</v>
      </c>
      <c r="N473" s="9">
        <v>4.9444999999999997</v>
      </c>
      <c r="O473" s="9">
        <v>0.37459999999999999</v>
      </c>
      <c r="P473" s="9">
        <v>1.2939000000000001</v>
      </c>
      <c r="Q473" s="9">
        <v>19.814599999999999</v>
      </c>
      <c r="R473" s="9"/>
      <c r="S473" s="11"/>
    </row>
    <row r="474" spans="1:19" ht="15.75">
      <c r="A474" s="13">
        <v>56308</v>
      </c>
      <c r="B474" s="8">
        <f>11.4823 * CHOOSE(CONTROL!$C$15, $D$11, 100%, $F$11)</f>
        <v>11.4823</v>
      </c>
      <c r="C474" s="8">
        <f>11.4927 * CHOOSE(CONTROL!$C$15, $D$11, 100%, $F$11)</f>
        <v>11.492699999999999</v>
      </c>
      <c r="D474" s="8">
        <f>11.4932 * CHOOSE( CONTROL!$C$15, $D$11, 100%, $F$11)</f>
        <v>11.4932</v>
      </c>
      <c r="E474" s="12">
        <f>11.4919 * CHOOSE( CONTROL!$C$15, $D$11, 100%, $F$11)</f>
        <v>11.491899999999999</v>
      </c>
      <c r="F474" s="4">
        <f>12.1573 * CHOOSE(CONTROL!$C$15, $D$11, 100%, $F$11)</f>
        <v>12.157299999999999</v>
      </c>
      <c r="G474" s="8">
        <f>11.2981 * CHOOSE( CONTROL!$C$15, $D$11, 100%, $F$11)</f>
        <v>11.2981</v>
      </c>
      <c r="H474" s="4">
        <f>12.1891 * CHOOSE(CONTROL!$C$15, $D$11, 100%, $F$11)</f>
        <v>12.1891</v>
      </c>
      <c r="I474" s="8">
        <f>11.1826 * CHOOSE(CONTROL!$C$15, $D$11, 100%, $F$11)</f>
        <v>11.182600000000001</v>
      </c>
      <c r="J474" s="4">
        <f>11.0794 * CHOOSE(CONTROL!$C$15, $D$11, 100%, $F$11)</f>
        <v>11.0794</v>
      </c>
      <c r="K474" s="4"/>
      <c r="L474" s="9">
        <v>24.747800000000002</v>
      </c>
      <c r="M474" s="9">
        <v>10.8962</v>
      </c>
      <c r="N474" s="9">
        <v>4.4660000000000002</v>
      </c>
      <c r="O474" s="9">
        <v>0.33829999999999999</v>
      </c>
      <c r="P474" s="9">
        <v>1.1687000000000001</v>
      </c>
      <c r="Q474" s="9">
        <v>17.896999999999998</v>
      </c>
      <c r="R474" s="9"/>
      <c r="S474" s="11"/>
    </row>
    <row r="475" spans="1:19" ht="15.75">
      <c r="A475" s="13">
        <v>56339</v>
      </c>
      <c r="B475" s="8">
        <f>11.2384 * CHOOSE(CONTROL!$C$15, $D$11, 100%, $F$11)</f>
        <v>11.2384</v>
      </c>
      <c r="C475" s="8">
        <f>11.2488 * CHOOSE(CONTROL!$C$15, $D$11, 100%, $F$11)</f>
        <v>11.248799999999999</v>
      </c>
      <c r="D475" s="8">
        <f>11.2289 * CHOOSE( CONTROL!$C$15, $D$11, 100%, $F$11)</f>
        <v>11.228899999999999</v>
      </c>
      <c r="E475" s="12">
        <f>11.2351 * CHOOSE( CONTROL!$C$15, $D$11, 100%, $F$11)</f>
        <v>11.235099999999999</v>
      </c>
      <c r="F475" s="4">
        <f>11.8973 * CHOOSE(CONTROL!$C$15, $D$11, 100%, $F$11)</f>
        <v>11.8973</v>
      </c>
      <c r="G475" s="8">
        <f>11.0374 * CHOOSE( CONTROL!$C$15, $D$11, 100%, $F$11)</f>
        <v>11.0374</v>
      </c>
      <c r="H475" s="4">
        <f>11.9334 * CHOOSE(CONTROL!$C$15, $D$11, 100%, $F$11)</f>
        <v>11.933400000000001</v>
      </c>
      <c r="I475" s="8">
        <f>10.9072 * CHOOSE(CONTROL!$C$15, $D$11, 100%, $F$11)</f>
        <v>10.9072</v>
      </c>
      <c r="J475" s="4">
        <f>10.8436 * CHOOSE(CONTROL!$C$15, $D$11, 100%, $F$11)</f>
        <v>10.8436</v>
      </c>
      <c r="K475" s="4"/>
      <c r="L475" s="9">
        <v>27.3993</v>
      </c>
      <c r="M475" s="9">
        <v>12.063700000000001</v>
      </c>
      <c r="N475" s="9">
        <v>4.9444999999999997</v>
      </c>
      <c r="O475" s="9">
        <v>0.37459999999999999</v>
      </c>
      <c r="P475" s="9">
        <v>1.2939000000000001</v>
      </c>
      <c r="Q475" s="9">
        <v>19.814599999999999</v>
      </c>
      <c r="R475" s="9"/>
      <c r="S475" s="11"/>
    </row>
    <row r="476" spans="1:19" ht="15.75">
      <c r="A476" s="13">
        <v>56369</v>
      </c>
      <c r="B476" s="8">
        <f>11.4089 * CHOOSE(CONTROL!$C$15, $D$11, 100%, $F$11)</f>
        <v>11.408899999999999</v>
      </c>
      <c r="C476" s="8">
        <f>11.4192 * CHOOSE(CONTROL!$C$15, $D$11, 100%, $F$11)</f>
        <v>11.4192</v>
      </c>
      <c r="D476" s="8">
        <f>11.4107 * CHOOSE( CONTROL!$C$15, $D$11, 100%, $F$11)</f>
        <v>11.4107</v>
      </c>
      <c r="E476" s="12">
        <f>11.4123 * CHOOSE( CONTROL!$C$15, $D$11, 100%, $F$11)</f>
        <v>11.4123</v>
      </c>
      <c r="F476" s="4">
        <f>12.0579 * CHOOSE(CONTROL!$C$15, $D$11, 100%, $F$11)</f>
        <v>12.0579</v>
      </c>
      <c r="G476" s="8">
        <f>11.1899 * CHOOSE( CONTROL!$C$15, $D$11, 100%, $F$11)</f>
        <v>11.1899</v>
      </c>
      <c r="H476" s="4">
        <f>12.0914 * CHOOSE(CONTROL!$C$15, $D$11, 100%, $F$11)</f>
        <v>12.0914</v>
      </c>
      <c r="I476" s="8">
        <f>11.0689 * CHOOSE(CONTROL!$C$15, $D$11, 100%, $F$11)</f>
        <v>11.068899999999999</v>
      </c>
      <c r="J476" s="4">
        <f>11.0084 * CHOOSE(CONTROL!$C$15, $D$11, 100%, $F$11)</f>
        <v>11.0084</v>
      </c>
      <c r="K476" s="4"/>
      <c r="L476" s="9">
        <v>27.988800000000001</v>
      </c>
      <c r="M476" s="9">
        <v>11.6745</v>
      </c>
      <c r="N476" s="9">
        <v>4.7850000000000001</v>
      </c>
      <c r="O476" s="9">
        <v>0.36249999999999999</v>
      </c>
      <c r="P476" s="9">
        <v>1.1798</v>
      </c>
      <c r="Q476" s="9">
        <v>19.1754</v>
      </c>
      <c r="R476" s="9"/>
      <c r="S476" s="11"/>
    </row>
    <row r="477" spans="1:19" ht="15.75">
      <c r="A477" s="13">
        <v>56400</v>
      </c>
      <c r="B477" s="8">
        <f>CHOOSE( CONTROL!$C$32, 11.7167, 11.7122) * CHOOSE(CONTROL!$C$15, $D$11, 100%, $F$11)</f>
        <v>11.716699999999999</v>
      </c>
      <c r="C477" s="8">
        <f>CHOOSE( CONTROL!$C$32, 11.727, 11.7225) * CHOOSE(CONTROL!$C$15, $D$11, 100%, $F$11)</f>
        <v>11.727</v>
      </c>
      <c r="D477" s="8">
        <f>CHOOSE( CONTROL!$C$32, 11.7367, 11.7322) * CHOOSE( CONTROL!$C$15, $D$11, 100%, $F$11)</f>
        <v>11.736700000000001</v>
      </c>
      <c r="E477" s="12">
        <f>CHOOSE( CONTROL!$C$32, 11.7316, 11.7271) * CHOOSE( CONTROL!$C$15, $D$11, 100%, $F$11)</f>
        <v>11.7316</v>
      </c>
      <c r="F477" s="4">
        <f>CHOOSE( CONTROL!$C$32, 12.405, 12.4005) * CHOOSE(CONTROL!$C$15, $D$11, 100%, $F$11)</f>
        <v>12.404999999999999</v>
      </c>
      <c r="G477" s="8">
        <f>CHOOSE( CONTROL!$C$32, 11.4978, 11.4934) * CHOOSE( CONTROL!$C$15, $D$11, 100%, $F$11)</f>
        <v>11.4978</v>
      </c>
      <c r="H477" s="4">
        <f>CHOOSE( CONTROL!$C$32, 12.4328, 12.4284) * CHOOSE(CONTROL!$C$15, $D$11, 100%, $F$11)</f>
        <v>12.4328</v>
      </c>
      <c r="I477" s="8">
        <f>CHOOSE( CONTROL!$C$32, 11.3726, 11.3682) * CHOOSE(CONTROL!$C$15, $D$11, 100%, $F$11)</f>
        <v>11.3726</v>
      </c>
      <c r="J477" s="4">
        <f>CHOOSE( CONTROL!$C$32, 11.3061, 11.3017) * CHOOSE(CONTROL!$C$15, $D$11, 100%, $F$11)</f>
        <v>11.306100000000001</v>
      </c>
      <c r="K477" s="4"/>
      <c r="L477" s="9">
        <v>29.520499999999998</v>
      </c>
      <c r="M477" s="9">
        <v>12.063700000000001</v>
      </c>
      <c r="N477" s="9">
        <v>4.9444999999999997</v>
      </c>
      <c r="O477" s="9">
        <v>0.37459999999999999</v>
      </c>
      <c r="P477" s="9">
        <v>1.2192000000000001</v>
      </c>
      <c r="Q477" s="9">
        <v>19.814599999999999</v>
      </c>
      <c r="R477" s="9"/>
      <c r="S477" s="11"/>
    </row>
    <row r="478" spans="1:19" ht="15.75">
      <c r="A478" s="13">
        <v>56430</v>
      </c>
      <c r="B478" s="8">
        <f>CHOOSE( CONTROL!$C$32, 11.5288, 11.5243) * CHOOSE(CONTROL!$C$15, $D$11, 100%, $F$11)</f>
        <v>11.5288</v>
      </c>
      <c r="C478" s="8">
        <f>CHOOSE( CONTROL!$C$32, 11.5391, 11.5346) * CHOOSE(CONTROL!$C$15, $D$11, 100%, $F$11)</f>
        <v>11.539099999999999</v>
      </c>
      <c r="D478" s="8">
        <f>CHOOSE( CONTROL!$C$32, 11.5494, 11.5449) * CHOOSE( CONTROL!$C$15, $D$11, 100%, $F$11)</f>
        <v>11.5494</v>
      </c>
      <c r="E478" s="12">
        <f>CHOOSE( CONTROL!$C$32, 11.5441, 11.5396) * CHOOSE( CONTROL!$C$15, $D$11, 100%, $F$11)</f>
        <v>11.5441</v>
      </c>
      <c r="F478" s="4">
        <f>CHOOSE( CONTROL!$C$32, 12.2171, 12.2126) * CHOOSE(CONTROL!$C$15, $D$11, 100%, $F$11)</f>
        <v>12.2171</v>
      </c>
      <c r="G478" s="8">
        <f>CHOOSE( CONTROL!$C$32, 11.3139, 11.3094) * CHOOSE( CONTROL!$C$15, $D$11, 100%, $F$11)</f>
        <v>11.3139</v>
      </c>
      <c r="H478" s="4">
        <f>CHOOSE( CONTROL!$C$32, 12.248, 12.2435) * CHOOSE(CONTROL!$C$15, $D$11, 100%, $F$11)</f>
        <v>12.247999999999999</v>
      </c>
      <c r="I478" s="8">
        <f>CHOOSE( CONTROL!$C$32, 11.1937, 11.1894) * CHOOSE(CONTROL!$C$15, $D$11, 100%, $F$11)</f>
        <v>11.1937</v>
      </c>
      <c r="J478" s="4">
        <f>CHOOSE( CONTROL!$C$32, 11.1244, 11.12) * CHOOSE(CONTROL!$C$15, $D$11, 100%, $F$11)</f>
        <v>11.1244</v>
      </c>
      <c r="K478" s="4"/>
      <c r="L478" s="9">
        <v>28.568200000000001</v>
      </c>
      <c r="M478" s="9">
        <v>11.6745</v>
      </c>
      <c r="N478" s="9">
        <v>4.7850000000000001</v>
      </c>
      <c r="O478" s="9">
        <v>0.36249999999999999</v>
      </c>
      <c r="P478" s="9">
        <v>1.1798</v>
      </c>
      <c r="Q478" s="9">
        <v>19.1754</v>
      </c>
      <c r="R478" s="9"/>
      <c r="S478" s="11"/>
    </row>
    <row r="479" spans="1:19" ht="15.75">
      <c r="A479" s="13">
        <v>56461</v>
      </c>
      <c r="B479" s="8">
        <f>CHOOSE( CONTROL!$C$32, 12.0236, 12.019) * CHOOSE(CONTROL!$C$15, $D$11, 100%, $F$11)</f>
        <v>12.0236</v>
      </c>
      <c r="C479" s="8">
        <f>CHOOSE( CONTROL!$C$32, 12.0339, 12.0294) * CHOOSE(CONTROL!$C$15, $D$11, 100%, $F$11)</f>
        <v>12.033899999999999</v>
      </c>
      <c r="D479" s="8">
        <f>CHOOSE( CONTROL!$C$32, 12.0448, 12.0403) * CHOOSE( CONTROL!$C$15, $D$11, 100%, $F$11)</f>
        <v>12.0448</v>
      </c>
      <c r="E479" s="12">
        <f>CHOOSE( CONTROL!$C$32, 12.0393, 12.0348) * CHOOSE( CONTROL!$C$15, $D$11, 100%, $F$11)</f>
        <v>12.039300000000001</v>
      </c>
      <c r="F479" s="4">
        <f>CHOOSE( CONTROL!$C$32, 12.7119, 12.7073) * CHOOSE(CONTROL!$C$15, $D$11, 100%, $F$11)</f>
        <v>12.7119</v>
      </c>
      <c r="G479" s="8">
        <f>CHOOSE( CONTROL!$C$32, 11.8015, 11.797) * CHOOSE( CONTROL!$C$15, $D$11, 100%, $F$11)</f>
        <v>11.801500000000001</v>
      </c>
      <c r="H479" s="4">
        <f>CHOOSE( CONTROL!$C$32, 12.7348, 12.7303) * CHOOSE(CONTROL!$C$15, $D$11, 100%, $F$11)</f>
        <v>12.7348</v>
      </c>
      <c r="I479" s="8">
        <f>CHOOSE( CONTROL!$C$32, 11.6752, 11.6708) * CHOOSE(CONTROL!$C$15, $D$11, 100%, $F$11)</f>
        <v>11.6752</v>
      </c>
      <c r="J479" s="4">
        <f>CHOOSE( CONTROL!$C$32, 11.6029, 11.5985) * CHOOSE(CONTROL!$C$15, $D$11, 100%, $F$11)</f>
        <v>11.6029</v>
      </c>
      <c r="K479" s="4"/>
      <c r="L479" s="9">
        <v>29.520499999999998</v>
      </c>
      <c r="M479" s="9">
        <v>12.063700000000001</v>
      </c>
      <c r="N479" s="9">
        <v>4.9444999999999997</v>
      </c>
      <c r="O479" s="9">
        <v>0.37459999999999999</v>
      </c>
      <c r="P479" s="9">
        <v>1.2192000000000001</v>
      </c>
      <c r="Q479" s="9">
        <v>19.814599999999999</v>
      </c>
      <c r="R479" s="9"/>
      <c r="S479" s="11"/>
    </row>
    <row r="480" spans="1:19" ht="15.75">
      <c r="A480" s="13">
        <v>56492</v>
      </c>
      <c r="B480" s="8">
        <f>CHOOSE( CONTROL!$C$32, 11.0978, 11.0933) * CHOOSE(CONTROL!$C$15, $D$11, 100%, $F$11)</f>
        <v>11.097799999999999</v>
      </c>
      <c r="C480" s="8">
        <f>CHOOSE( CONTROL!$C$32, 11.1081, 11.1036) * CHOOSE(CONTROL!$C$15, $D$11, 100%, $F$11)</f>
        <v>11.1081</v>
      </c>
      <c r="D480" s="8">
        <f>CHOOSE( CONTROL!$C$32, 11.1193, 11.1148) * CHOOSE( CONTROL!$C$15, $D$11, 100%, $F$11)</f>
        <v>11.119300000000001</v>
      </c>
      <c r="E480" s="12">
        <f>CHOOSE( CONTROL!$C$32, 11.1137, 11.1092) * CHOOSE( CONTROL!$C$15, $D$11, 100%, $F$11)</f>
        <v>11.1137</v>
      </c>
      <c r="F480" s="4">
        <f>CHOOSE( CONTROL!$C$32, 11.7861, 11.7816) * CHOOSE(CONTROL!$C$15, $D$11, 100%, $F$11)</f>
        <v>11.786099999999999</v>
      </c>
      <c r="G480" s="8">
        <f>CHOOSE( CONTROL!$C$32, 10.8911, 10.8867) * CHOOSE( CONTROL!$C$15, $D$11, 100%, $F$11)</f>
        <v>10.8911</v>
      </c>
      <c r="H480" s="4">
        <f>CHOOSE( CONTROL!$C$32, 11.824, 11.8195) * CHOOSE(CONTROL!$C$15, $D$11, 100%, $F$11)</f>
        <v>11.824</v>
      </c>
      <c r="I480" s="8">
        <f>CHOOSE( CONTROL!$C$32, 10.7808, 10.7765) * CHOOSE(CONTROL!$C$15, $D$11, 100%, $F$11)</f>
        <v>10.780799999999999</v>
      </c>
      <c r="J480" s="4">
        <f>CHOOSE( CONTROL!$C$32, 10.7076, 10.7032) * CHOOSE(CONTROL!$C$15, $D$11, 100%, $F$11)</f>
        <v>10.707599999999999</v>
      </c>
      <c r="K480" s="4"/>
      <c r="L480" s="9">
        <v>29.520499999999998</v>
      </c>
      <c r="M480" s="9">
        <v>12.063700000000001</v>
      </c>
      <c r="N480" s="9">
        <v>4.9444999999999997</v>
      </c>
      <c r="O480" s="9">
        <v>0.37459999999999999</v>
      </c>
      <c r="P480" s="9">
        <v>1.2192000000000001</v>
      </c>
      <c r="Q480" s="9">
        <v>19.814599999999999</v>
      </c>
      <c r="R480" s="9"/>
      <c r="S480" s="11"/>
    </row>
    <row r="481" spans="1:19" ht="15.75">
      <c r="A481" s="13">
        <v>56522</v>
      </c>
      <c r="B481" s="8">
        <f>CHOOSE( CONTROL!$C$32, 10.866, 10.8614) * CHOOSE(CONTROL!$C$15, $D$11, 100%, $F$11)</f>
        <v>10.866</v>
      </c>
      <c r="C481" s="8">
        <f>CHOOSE( CONTROL!$C$32, 10.8763, 10.8718) * CHOOSE(CONTROL!$C$15, $D$11, 100%, $F$11)</f>
        <v>10.876300000000001</v>
      </c>
      <c r="D481" s="8">
        <f>CHOOSE( CONTROL!$C$32, 10.8876, 10.883) * CHOOSE( CONTROL!$C$15, $D$11, 100%, $F$11)</f>
        <v>10.887600000000001</v>
      </c>
      <c r="E481" s="12">
        <f>CHOOSE( CONTROL!$C$32, 10.8819, 10.8774) * CHOOSE( CONTROL!$C$15, $D$11, 100%, $F$11)</f>
        <v>10.8819</v>
      </c>
      <c r="F481" s="4">
        <f>CHOOSE( CONTROL!$C$32, 11.5543, 11.5497) * CHOOSE(CONTROL!$C$15, $D$11, 100%, $F$11)</f>
        <v>11.5543</v>
      </c>
      <c r="G481" s="8">
        <f>CHOOSE( CONTROL!$C$32, 10.6632, 10.6587) * CHOOSE( CONTROL!$C$15, $D$11, 100%, $F$11)</f>
        <v>10.6632</v>
      </c>
      <c r="H481" s="4">
        <f>CHOOSE( CONTROL!$C$32, 11.5959, 11.5914) * CHOOSE(CONTROL!$C$15, $D$11, 100%, $F$11)</f>
        <v>11.5959</v>
      </c>
      <c r="I481" s="8">
        <f>CHOOSE( CONTROL!$C$32, 10.557, 10.5526) * CHOOSE(CONTROL!$C$15, $D$11, 100%, $F$11)</f>
        <v>10.557</v>
      </c>
      <c r="J481" s="4">
        <f>CHOOSE( CONTROL!$C$32, 10.4834, 10.479) * CHOOSE(CONTROL!$C$15, $D$11, 100%, $F$11)</f>
        <v>10.4834</v>
      </c>
      <c r="K481" s="4"/>
      <c r="L481" s="9">
        <v>28.568200000000001</v>
      </c>
      <c r="M481" s="9">
        <v>11.6745</v>
      </c>
      <c r="N481" s="9">
        <v>4.7850000000000001</v>
      </c>
      <c r="O481" s="9">
        <v>0.36249999999999999</v>
      </c>
      <c r="P481" s="9">
        <v>1.1798</v>
      </c>
      <c r="Q481" s="9">
        <v>19.1754</v>
      </c>
      <c r="R481" s="9"/>
      <c r="S481" s="11"/>
    </row>
    <row r="482" spans="1:19" ht="15.75">
      <c r="A482" s="13">
        <v>56553</v>
      </c>
      <c r="B482" s="8">
        <f>11.3428 * CHOOSE(CONTROL!$C$15, $D$11, 100%, $F$11)</f>
        <v>11.3428</v>
      </c>
      <c r="C482" s="8">
        <f>11.3531 * CHOOSE(CONTROL!$C$15, $D$11, 100%, $F$11)</f>
        <v>11.3531</v>
      </c>
      <c r="D482" s="8">
        <f>11.3655 * CHOOSE( CONTROL!$C$15, $D$11, 100%, $F$11)</f>
        <v>11.365500000000001</v>
      </c>
      <c r="E482" s="12">
        <f>11.3603 * CHOOSE( CONTROL!$C$15, $D$11, 100%, $F$11)</f>
        <v>11.360300000000001</v>
      </c>
      <c r="F482" s="4">
        <f>12.0311 * CHOOSE(CONTROL!$C$15, $D$11, 100%, $F$11)</f>
        <v>12.0311</v>
      </c>
      <c r="G482" s="8">
        <f>11.1318 * CHOOSE( CONTROL!$C$15, $D$11, 100%, $F$11)</f>
        <v>11.1318</v>
      </c>
      <c r="H482" s="4">
        <f>12.065 * CHOOSE(CONTROL!$C$15, $D$11, 100%, $F$11)</f>
        <v>12.065</v>
      </c>
      <c r="I482" s="8">
        <f>11.0196 * CHOOSE(CONTROL!$C$15, $D$11, 100%, $F$11)</f>
        <v>11.019600000000001</v>
      </c>
      <c r="J482" s="4">
        <f>10.9445 * CHOOSE(CONTROL!$C$15, $D$11, 100%, $F$11)</f>
        <v>10.9445</v>
      </c>
      <c r="K482" s="4"/>
      <c r="L482" s="9">
        <v>28.921800000000001</v>
      </c>
      <c r="M482" s="9">
        <v>12.063700000000001</v>
      </c>
      <c r="N482" s="9">
        <v>4.9444999999999997</v>
      </c>
      <c r="O482" s="9">
        <v>0.37459999999999999</v>
      </c>
      <c r="P482" s="9">
        <v>1.2192000000000001</v>
      </c>
      <c r="Q482" s="9">
        <v>19.814599999999999</v>
      </c>
      <c r="R482" s="9"/>
      <c r="S482" s="11"/>
    </row>
    <row r="483" spans="1:19" ht="15.75">
      <c r="A483" s="13">
        <v>56583</v>
      </c>
      <c r="B483" s="8">
        <f>12.2313 * CHOOSE(CONTROL!$C$15, $D$11, 100%, $F$11)</f>
        <v>12.231299999999999</v>
      </c>
      <c r="C483" s="8">
        <f>12.2416 * CHOOSE(CONTROL!$C$15, $D$11, 100%, $F$11)</f>
        <v>12.2416</v>
      </c>
      <c r="D483" s="8">
        <f>12.2276 * CHOOSE( CONTROL!$C$15, $D$11, 100%, $F$11)</f>
        <v>12.227600000000001</v>
      </c>
      <c r="E483" s="12">
        <f>12.2316 * CHOOSE( CONTROL!$C$15, $D$11, 100%, $F$11)</f>
        <v>12.2316</v>
      </c>
      <c r="F483" s="4">
        <f>12.8855 * CHOOSE(CONTROL!$C$15, $D$11, 100%, $F$11)</f>
        <v>12.8855</v>
      </c>
      <c r="G483" s="8">
        <f>12.0231 * CHOOSE( CONTROL!$C$15, $D$11, 100%, $F$11)</f>
        <v>12.023099999999999</v>
      </c>
      <c r="H483" s="4">
        <f>12.9056 * CHOOSE(CONTROL!$C$15, $D$11, 100%, $F$11)</f>
        <v>12.9056</v>
      </c>
      <c r="I483" s="8">
        <f>11.9123 * CHOOSE(CONTROL!$C$15, $D$11, 100%, $F$11)</f>
        <v>11.9123</v>
      </c>
      <c r="J483" s="4">
        <f>11.8038 * CHOOSE(CONTROL!$C$15, $D$11, 100%, $F$11)</f>
        <v>11.803800000000001</v>
      </c>
      <c r="K483" s="4"/>
      <c r="L483" s="9">
        <v>26.515499999999999</v>
      </c>
      <c r="M483" s="9">
        <v>11.6745</v>
      </c>
      <c r="N483" s="9">
        <v>4.7850000000000001</v>
      </c>
      <c r="O483" s="9">
        <v>0.36249999999999999</v>
      </c>
      <c r="P483" s="9">
        <v>1.2522</v>
      </c>
      <c r="Q483" s="9">
        <v>19.1754</v>
      </c>
      <c r="R483" s="9"/>
      <c r="S483" s="11"/>
    </row>
    <row r="484" spans="1:19" ht="15.75">
      <c r="A484" s="13">
        <v>56614</v>
      </c>
      <c r="B484" s="8">
        <f>12.2091 * CHOOSE(CONTROL!$C$15, $D$11, 100%, $F$11)</f>
        <v>12.209099999999999</v>
      </c>
      <c r="C484" s="8">
        <f>12.2194 * CHOOSE(CONTROL!$C$15, $D$11, 100%, $F$11)</f>
        <v>12.2194</v>
      </c>
      <c r="D484" s="8">
        <f>12.2079 * CHOOSE( CONTROL!$C$15, $D$11, 100%, $F$11)</f>
        <v>12.2079</v>
      </c>
      <c r="E484" s="12">
        <f>12.211 * CHOOSE( CONTROL!$C$15, $D$11, 100%, $F$11)</f>
        <v>12.211</v>
      </c>
      <c r="F484" s="4">
        <f>12.8633 * CHOOSE(CONTROL!$C$15, $D$11, 100%, $F$11)</f>
        <v>12.863300000000001</v>
      </c>
      <c r="G484" s="8">
        <f>12.003 * CHOOSE( CONTROL!$C$15, $D$11, 100%, $F$11)</f>
        <v>12.003</v>
      </c>
      <c r="H484" s="4">
        <f>12.8838 * CHOOSE(CONTROL!$C$15, $D$11, 100%, $F$11)</f>
        <v>12.883800000000001</v>
      </c>
      <c r="I484" s="8">
        <f>11.8988 * CHOOSE(CONTROL!$C$15, $D$11, 100%, $F$11)</f>
        <v>11.8988</v>
      </c>
      <c r="J484" s="4">
        <f>11.7823 * CHOOSE(CONTROL!$C$15, $D$11, 100%, $F$11)</f>
        <v>11.782299999999999</v>
      </c>
      <c r="K484" s="4"/>
      <c r="L484" s="9">
        <v>27.3993</v>
      </c>
      <c r="M484" s="9">
        <v>12.063700000000001</v>
      </c>
      <c r="N484" s="9">
        <v>4.9444999999999997</v>
      </c>
      <c r="O484" s="9">
        <v>0.37459999999999999</v>
      </c>
      <c r="P484" s="9">
        <v>1.2939000000000001</v>
      </c>
      <c r="Q484" s="9">
        <v>19.814599999999999</v>
      </c>
      <c r="R484" s="9"/>
      <c r="S484" s="11"/>
    </row>
    <row r="485" spans="1:19" ht="15.75">
      <c r="A485" s="13">
        <v>56645</v>
      </c>
      <c r="B485" s="8">
        <f>12.6747 * CHOOSE(CONTROL!$C$15, $D$11, 100%, $F$11)</f>
        <v>12.6747</v>
      </c>
      <c r="C485" s="8">
        <f>12.685 * CHOOSE(CONTROL!$C$15, $D$11, 100%, $F$11)</f>
        <v>12.685</v>
      </c>
      <c r="D485" s="8">
        <f>12.6835 * CHOOSE( CONTROL!$C$15, $D$11, 100%, $F$11)</f>
        <v>12.6835</v>
      </c>
      <c r="E485" s="12">
        <f>12.683 * CHOOSE( CONTROL!$C$15, $D$11, 100%, $F$11)</f>
        <v>12.683</v>
      </c>
      <c r="F485" s="4">
        <f>13.3574 * CHOOSE(CONTROL!$C$15, $D$11, 100%, $F$11)</f>
        <v>13.3574</v>
      </c>
      <c r="G485" s="8">
        <f>12.4714 * CHOOSE( CONTROL!$C$15, $D$11, 100%, $F$11)</f>
        <v>12.471399999999999</v>
      </c>
      <c r="H485" s="4">
        <f>13.3698 * CHOOSE(CONTROL!$C$15, $D$11, 100%, $F$11)</f>
        <v>13.3698</v>
      </c>
      <c r="I485" s="8">
        <f>12.3473 * CHOOSE(CONTROL!$C$15, $D$11, 100%, $F$11)</f>
        <v>12.347300000000001</v>
      </c>
      <c r="J485" s="4">
        <f>12.2326 * CHOOSE(CONTROL!$C$15, $D$11, 100%, $F$11)</f>
        <v>12.2326</v>
      </c>
      <c r="K485" s="4"/>
      <c r="L485" s="9">
        <v>27.3993</v>
      </c>
      <c r="M485" s="9">
        <v>12.063700000000001</v>
      </c>
      <c r="N485" s="9">
        <v>4.9444999999999997</v>
      </c>
      <c r="O485" s="9">
        <v>0.37459999999999999</v>
      </c>
      <c r="P485" s="9">
        <v>1.2939000000000001</v>
      </c>
      <c r="Q485" s="9">
        <v>19.751300000000001</v>
      </c>
      <c r="R485" s="9"/>
      <c r="S485" s="11"/>
    </row>
    <row r="486" spans="1:19" ht="15.75">
      <c r="A486" s="13">
        <v>56673</v>
      </c>
      <c r="B486" s="8">
        <f>11.857 * CHOOSE(CONTROL!$C$15, $D$11, 100%, $F$11)</f>
        <v>11.856999999999999</v>
      </c>
      <c r="C486" s="8">
        <f>11.8673 * CHOOSE(CONTROL!$C$15, $D$11, 100%, $F$11)</f>
        <v>11.8673</v>
      </c>
      <c r="D486" s="8">
        <f>11.8679 * CHOOSE( CONTROL!$C$15, $D$11, 100%, $F$11)</f>
        <v>11.867900000000001</v>
      </c>
      <c r="E486" s="12">
        <f>11.8666 * CHOOSE( CONTROL!$C$15, $D$11, 100%, $F$11)</f>
        <v>11.8666</v>
      </c>
      <c r="F486" s="4">
        <f>12.5319 * CHOOSE(CONTROL!$C$15, $D$11, 100%, $F$11)</f>
        <v>12.5319</v>
      </c>
      <c r="G486" s="8">
        <f>11.6667 * CHOOSE( CONTROL!$C$15, $D$11, 100%, $F$11)</f>
        <v>11.666700000000001</v>
      </c>
      <c r="H486" s="4">
        <f>12.5577 * CHOOSE(CONTROL!$C$15, $D$11, 100%, $F$11)</f>
        <v>12.557700000000001</v>
      </c>
      <c r="I486" s="8">
        <f>11.5452 * CHOOSE(CONTROL!$C$15, $D$11, 100%, $F$11)</f>
        <v>11.545199999999999</v>
      </c>
      <c r="J486" s="4">
        <f>11.4418 * CHOOSE(CONTROL!$C$15, $D$11, 100%, $F$11)</f>
        <v>11.441800000000001</v>
      </c>
      <c r="K486" s="4"/>
      <c r="L486" s="9">
        <v>24.747800000000002</v>
      </c>
      <c r="M486" s="9">
        <v>10.8962</v>
      </c>
      <c r="N486" s="9">
        <v>4.4660000000000002</v>
      </c>
      <c r="O486" s="9">
        <v>0.33829999999999999</v>
      </c>
      <c r="P486" s="9">
        <v>1.1687000000000001</v>
      </c>
      <c r="Q486" s="9">
        <v>17.8399</v>
      </c>
      <c r="R486" s="9"/>
      <c r="S486" s="11"/>
    </row>
    <row r="487" spans="1:19" ht="15.75">
      <c r="A487" s="13">
        <v>56704</v>
      </c>
      <c r="B487" s="8">
        <f>11.6051 * CHOOSE(CONTROL!$C$15, $D$11, 100%, $F$11)</f>
        <v>11.6051</v>
      </c>
      <c r="C487" s="8">
        <f>11.6155 * CHOOSE(CONTROL!$C$15, $D$11, 100%, $F$11)</f>
        <v>11.615500000000001</v>
      </c>
      <c r="D487" s="8">
        <f>11.5955 * CHOOSE( CONTROL!$C$15, $D$11, 100%, $F$11)</f>
        <v>11.595499999999999</v>
      </c>
      <c r="E487" s="12">
        <f>11.6017 * CHOOSE( CONTROL!$C$15, $D$11, 100%, $F$11)</f>
        <v>11.601699999999999</v>
      </c>
      <c r="F487" s="4">
        <f>12.264 * CHOOSE(CONTROL!$C$15, $D$11, 100%, $F$11)</f>
        <v>12.263999999999999</v>
      </c>
      <c r="G487" s="8">
        <f>11.3982 * CHOOSE( CONTROL!$C$15, $D$11, 100%, $F$11)</f>
        <v>11.398199999999999</v>
      </c>
      <c r="H487" s="4">
        <f>12.2942 * CHOOSE(CONTROL!$C$15, $D$11, 100%, $F$11)</f>
        <v>12.2942</v>
      </c>
      <c r="I487" s="8">
        <f>11.262 * CHOOSE(CONTROL!$C$15, $D$11, 100%, $F$11)</f>
        <v>11.262</v>
      </c>
      <c r="J487" s="4">
        <f>11.1982 * CHOOSE(CONTROL!$C$15, $D$11, 100%, $F$11)</f>
        <v>11.1982</v>
      </c>
      <c r="K487" s="4"/>
      <c r="L487" s="9">
        <v>27.3993</v>
      </c>
      <c r="M487" s="9">
        <v>12.063700000000001</v>
      </c>
      <c r="N487" s="9">
        <v>4.9444999999999997</v>
      </c>
      <c r="O487" s="9">
        <v>0.37459999999999999</v>
      </c>
      <c r="P487" s="9">
        <v>1.2939000000000001</v>
      </c>
      <c r="Q487" s="9">
        <v>19.751300000000001</v>
      </c>
      <c r="R487" s="9"/>
      <c r="S487" s="11"/>
    </row>
    <row r="488" spans="1:19" ht="15.75">
      <c r="A488" s="13">
        <v>56734</v>
      </c>
      <c r="B488" s="8">
        <f>11.7811 * CHOOSE(CONTROL!$C$15, $D$11, 100%, $F$11)</f>
        <v>11.7811</v>
      </c>
      <c r="C488" s="8">
        <f>11.7915 * CHOOSE(CONTROL!$C$15, $D$11, 100%, $F$11)</f>
        <v>11.791499999999999</v>
      </c>
      <c r="D488" s="8">
        <f>11.783 * CHOOSE( CONTROL!$C$15, $D$11, 100%, $F$11)</f>
        <v>11.782999999999999</v>
      </c>
      <c r="E488" s="12">
        <f>11.7846 * CHOOSE( CONTROL!$C$15, $D$11, 100%, $F$11)</f>
        <v>11.784599999999999</v>
      </c>
      <c r="F488" s="4">
        <f>12.4302 * CHOOSE(CONTROL!$C$15, $D$11, 100%, $F$11)</f>
        <v>12.430199999999999</v>
      </c>
      <c r="G488" s="8">
        <f>11.5561 * CHOOSE( CONTROL!$C$15, $D$11, 100%, $F$11)</f>
        <v>11.556100000000001</v>
      </c>
      <c r="H488" s="4">
        <f>12.4577 * CHOOSE(CONTROL!$C$15, $D$11, 100%, $F$11)</f>
        <v>12.457700000000001</v>
      </c>
      <c r="I488" s="8">
        <f>11.4291 * CHOOSE(CONTROL!$C$15, $D$11, 100%, $F$11)</f>
        <v>11.4291</v>
      </c>
      <c r="J488" s="4">
        <f>11.3684 * CHOOSE(CONTROL!$C$15, $D$11, 100%, $F$11)</f>
        <v>11.368399999999999</v>
      </c>
      <c r="K488" s="4"/>
      <c r="L488" s="9">
        <v>27.988800000000001</v>
      </c>
      <c r="M488" s="9">
        <v>11.6745</v>
      </c>
      <c r="N488" s="9">
        <v>4.7850000000000001</v>
      </c>
      <c r="O488" s="9">
        <v>0.36249999999999999</v>
      </c>
      <c r="P488" s="9">
        <v>1.1798</v>
      </c>
      <c r="Q488" s="9">
        <v>19.1142</v>
      </c>
      <c r="R488" s="9"/>
      <c r="S488" s="11"/>
    </row>
    <row r="489" spans="1:19" ht="15.75">
      <c r="A489" s="13">
        <v>56765</v>
      </c>
      <c r="B489" s="8">
        <f>CHOOSE( CONTROL!$C$32, 12.0989, 12.0943) * CHOOSE(CONTROL!$C$15, $D$11, 100%, $F$11)</f>
        <v>12.0989</v>
      </c>
      <c r="C489" s="8">
        <f>CHOOSE( CONTROL!$C$32, 12.1092, 12.1047) * CHOOSE(CONTROL!$C$15, $D$11, 100%, $F$11)</f>
        <v>12.1092</v>
      </c>
      <c r="D489" s="8">
        <f>CHOOSE( CONTROL!$C$32, 12.1189, 12.1144) * CHOOSE( CONTROL!$C$15, $D$11, 100%, $F$11)</f>
        <v>12.1189</v>
      </c>
      <c r="E489" s="12">
        <f>CHOOSE( CONTROL!$C$32, 12.1138, 12.1093) * CHOOSE( CONTROL!$C$15, $D$11, 100%, $F$11)</f>
        <v>12.113799999999999</v>
      </c>
      <c r="F489" s="4">
        <f>CHOOSE( CONTROL!$C$32, 12.7872, 12.7826) * CHOOSE(CONTROL!$C$15, $D$11, 100%, $F$11)</f>
        <v>12.7872</v>
      </c>
      <c r="G489" s="8">
        <f>CHOOSE( CONTROL!$C$32, 11.8738, 11.8694) * CHOOSE( CONTROL!$C$15, $D$11, 100%, $F$11)</f>
        <v>11.873799999999999</v>
      </c>
      <c r="H489" s="4">
        <f>CHOOSE( CONTROL!$C$32, 12.8088, 12.8044) * CHOOSE(CONTROL!$C$15, $D$11, 100%, $F$11)</f>
        <v>12.8088</v>
      </c>
      <c r="I489" s="8">
        <f>CHOOSE( CONTROL!$C$32, 11.7424, 11.738) * CHOOSE(CONTROL!$C$15, $D$11, 100%, $F$11)</f>
        <v>11.7424</v>
      </c>
      <c r="J489" s="4">
        <f>CHOOSE( CONTROL!$C$32, 11.6757, 11.6713) * CHOOSE(CONTROL!$C$15, $D$11, 100%, $F$11)</f>
        <v>11.675700000000001</v>
      </c>
      <c r="K489" s="4"/>
      <c r="L489" s="9">
        <v>29.520499999999998</v>
      </c>
      <c r="M489" s="9">
        <v>12.063700000000001</v>
      </c>
      <c r="N489" s="9">
        <v>4.9444999999999997</v>
      </c>
      <c r="O489" s="9">
        <v>0.37459999999999999</v>
      </c>
      <c r="P489" s="9">
        <v>1.2192000000000001</v>
      </c>
      <c r="Q489" s="9">
        <v>19.751300000000001</v>
      </c>
      <c r="R489" s="9"/>
      <c r="S489" s="11"/>
    </row>
    <row r="490" spans="1:19" ht="15.75">
      <c r="A490" s="13">
        <v>56795</v>
      </c>
      <c r="B490" s="8">
        <f>CHOOSE( CONTROL!$C$32, 11.9048, 11.9003) * CHOOSE(CONTROL!$C$15, $D$11, 100%, $F$11)</f>
        <v>11.9048</v>
      </c>
      <c r="C490" s="8">
        <f>CHOOSE( CONTROL!$C$32, 11.9152, 11.9106) * CHOOSE(CONTROL!$C$15, $D$11, 100%, $F$11)</f>
        <v>11.9152</v>
      </c>
      <c r="D490" s="8">
        <f>CHOOSE( CONTROL!$C$32, 11.9255, 11.921) * CHOOSE( CONTROL!$C$15, $D$11, 100%, $F$11)</f>
        <v>11.9255</v>
      </c>
      <c r="E490" s="12">
        <f>CHOOSE( CONTROL!$C$32, 11.9202, 11.9157) * CHOOSE( CONTROL!$C$15, $D$11, 100%, $F$11)</f>
        <v>11.920199999999999</v>
      </c>
      <c r="F490" s="4">
        <f>CHOOSE( CONTROL!$C$32, 12.5931, 12.5886) * CHOOSE(CONTROL!$C$15, $D$11, 100%, $F$11)</f>
        <v>12.5931</v>
      </c>
      <c r="G490" s="8">
        <f>CHOOSE( CONTROL!$C$32, 11.6838, 11.6794) * CHOOSE( CONTROL!$C$15, $D$11, 100%, $F$11)</f>
        <v>11.6838</v>
      </c>
      <c r="H490" s="4">
        <f>CHOOSE( CONTROL!$C$32, 12.6179, 12.6135) * CHOOSE(CONTROL!$C$15, $D$11, 100%, $F$11)</f>
        <v>12.617900000000001</v>
      </c>
      <c r="I490" s="8">
        <f>CHOOSE( CONTROL!$C$32, 11.5576, 11.5532) * CHOOSE(CONTROL!$C$15, $D$11, 100%, $F$11)</f>
        <v>11.557600000000001</v>
      </c>
      <c r="J490" s="4">
        <f>CHOOSE( CONTROL!$C$32, 11.4881, 11.4837) * CHOOSE(CONTROL!$C$15, $D$11, 100%, $F$11)</f>
        <v>11.488099999999999</v>
      </c>
      <c r="K490" s="4"/>
      <c r="L490" s="9">
        <v>28.568200000000001</v>
      </c>
      <c r="M490" s="9">
        <v>11.6745</v>
      </c>
      <c r="N490" s="9">
        <v>4.7850000000000001</v>
      </c>
      <c r="O490" s="9">
        <v>0.36249999999999999</v>
      </c>
      <c r="P490" s="9">
        <v>1.1798</v>
      </c>
      <c r="Q490" s="9">
        <v>19.1142</v>
      </c>
      <c r="R490" s="9"/>
      <c r="S490" s="11"/>
    </row>
    <row r="491" spans="1:19" ht="15.75">
      <c r="A491" s="13">
        <v>56826</v>
      </c>
      <c r="B491" s="8">
        <f>CHOOSE( CONTROL!$C$32, 12.4158, 12.4113) * CHOOSE(CONTROL!$C$15, $D$11, 100%, $F$11)</f>
        <v>12.415800000000001</v>
      </c>
      <c r="C491" s="8">
        <f>CHOOSE( CONTROL!$C$32, 12.4261, 12.4216) * CHOOSE(CONTROL!$C$15, $D$11, 100%, $F$11)</f>
        <v>12.4261</v>
      </c>
      <c r="D491" s="8">
        <f>CHOOSE( CONTROL!$C$32, 12.437, 12.4325) * CHOOSE( CONTROL!$C$15, $D$11, 100%, $F$11)</f>
        <v>12.436999999999999</v>
      </c>
      <c r="E491" s="12">
        <f>CHOOSE( CONTROL!$C$32, 12.4315, 12.427) * CHOOSE( CONTROL!$C$15, $D$11, 100%, $F$11)</f>
        <v>12.4315</v>
      </c>
      <c r="F491" s="4">
        <f>CHOOSE( CONTROL!$C$32, 13.1041, 13.0996) * CHOOSE(CONTROL!$C$15, $D$11, 100%, $F$11)</f>
        <v>13.104100000000001</v>
      </c>
      <c r="G491" s="8">
        <f>CHOOSE( CONTROL!$C$32, 12.1874, 12.1829) * CHOOSE( CONTROL!$C$15, $D$11, 100%, $F$11)</f>
        <v>12.1874</v>
      </c>
      <c r="H491" s="4">
        <f>CHOOSE( CONTROL!$C$32, 13.1206, 13.1162) * CHOOSE(CONTROL!$C$15, $D$11, 100%, $F$11)</f>
        <v>13.1206</v>
      </c>
      <c r="I491" s="8">
        <f>CHOOSE( CONTROL!$C$32, 12.0547, 12.0503) * CHOOSE(CONTROL!$C$15, $D$11, 100%, $F$11)</f>
        <v>12.0547</v>
      </c>
      <c r="J491" s="4">
        <f>CHOOSE( CONTROL!$C$32, 11.9822, 11.9778) * CHOOSE(CONTROL!$C$15, $D$11, 100%, $F$11)</f>
        <v>11.982200000000001</v>
      </c>
      <c r="K491" s="4"/>
      <c r="L491" s="9">
        <v>29.520499999999998</v>
      </c>
      <c r="M491" s="9">
        <v>12.063700000000001</v>
      </c>
      <c r="N491" s="9">
        <v>4.9444999999999997</v>
      </c>
      <c r="O491" s="9">
        <v>0.37459999999999999</v>
      </c>
      <c r="P491" s="9">
        <v>1.2192000000000001</v>
      </c>
      <c r="Q491" s="9">
        <v>19.751300000000001</v>
      </c>
      <c r="R491" s="9"/>
      <c r="S491" s="11"/>
    </row>
    <row r="492" spans="1:19" ht="15.75">
      <c r="A492" s="13">
        <v>56857</v>
      </c>
      <c r="B492" s="8">
        <f>CHOOSE( CONTROL!$C$32, 11.4597, 11.4552) * CHOOSE(CONTROL!$C$15, $D$11, 100%, $F$11)</f>
        <v>11.4597</v>
      </c>
      <c r="C492" s="8">
        <f>CHOOSE( CONTROL!$C$32, 11.4701, 11.4656) * CHOOSE(CONTROL!$C$15, $D$11, 100%, $F$11)</f>
        <v>11.4701</v>
      </c>
      <c r="D492" s="8">
        <f>CHOOSE( CONTROL!$C$32, 11.4812, 11.4767) * CHOOSE( CONTROL!$C$15, $D$11, 100%, $F$11)</f>
        <v>11.481199999999999</v>
      </c>
      <c r="E492" s="12">
        <f>CHOOSE( CONTROL!$C$32, 11.4756, 11.4711) * CHOOSE( CONTROL!$C$15, $D$11, 100%, $F$11)</f>
        <v>11.4756</v>
      </c>
      <c r="F492" s="4">
        <f>CHOOSE( CONTROL!$C$32, 12.148, 12.1435) * CHOOSE(CONTROL!$C$15, $D$11, 100%, $F$11)</f>
        <v>12.148</v>
      </c>
      <c r="G492" s="8">
        <f>CHOOSE( CONTROL!$C$32, 11.2472, 11.2428) * CHOOSE( CONTROL!$C$15, $D$11, 100%, $F$11)</f>
        <v>11.247199999999999</v>
      </c>
      <c r="H492" s="4">
        <f>CHOOSE( CONTROL!$C$32, 12.18, 12.1756) * CHOOSE(CONTROL!$C$15, $D$11, 100%, $F$11)</f>
        <v>12.18</v>
      </c>
      <c r="I492" s="8">
        <f>CHOOSE( CONTROL!$C$32, 11.131, 11.1267) * CHOOSE(CONTROL!$C$15, $D$11, 100%, $F$11)</f>
        <v>11.131</v>
      </c>
      <c r="J492" s="4">
        <f>CHOOSE( CONTROL!$C$32, 11.0576, 11.0532) * CHOOSE(CONTROL!$C$15, $D$11, 100%, $F$11)</f>
        <v>11.057600000000001</v>
      </c>
      <c r="K492" s="4"/>
      <c r="L492" s="9">
        <v>29.520499999999998</v>
      </c>
      <c r="M492" s="9">
        <v>12.063700000000001</v>
      </c>
      <c r="N492" s="9">
        <v>4.9444999999999997</v>
      </c>
      <c r="O492" s="9">
        <v>0.37459999999999999</v>
      </c>
      <c r="P492" s="9">
        <v>1.2192000000000001</v>
      </c>
      <c r="Q492" s="9">
        <v>19.751300000000001</v>
      </c>
      <c r="R492" s="9"/>
      <c r="S492" s="11"/>
    </row>
    <row r="493" spans="1:19" ht="15.75">
      <c r="A493" s="13">
        <v>56887</v>
      </c>
      <c r="B493" s="8">
        <f>CHOOSE( CONTROL!$C$32, 11.2203, 11.2158) * CHOOSE(CONTROL!$C$15, $D$11, 100%, $F$11)</f>
        <v>11.2203</v>
      </c>
      <c r="C493" s="8">
        <f>CHOOSE( CONTROL!$C$32, 11.2307, 11.2261) * CHOOSE(CONTROL!$C$15, $D$11, 100%, $F$11)</f>
        <v>11.230700000000001</v>
      </c>
      <c r="D493" s="8">
        <f>CHOOSE( CONTROL!$C$32, 11.2419, 11.2374) * CHOOSE( CONTROL!$C$15, $D$11, 100%, $F$11)</f>
        <v>11.241899999999999</v>
      </c>
      <c r="E493" s="12">
        <f>CHOOSE( CONTROL!$C$32, 11.2363, 11.2317) * CHOOSE( CONTROL!$C$15, $D$11, 100%, $F$11)</f>
        <v>11.2363</v>
      </c>
      <c r="F493" s="4">
        <f>CHOOSE( CONTROL!$C$32, 11.9086, 11.9041) * CHOOSE(CONTROL!$C$15, $D$11, 100%, $F$11)</f>
        <v>11.9086</v>
      </c>
      <c r="G493" s="8">
        <f>CHOOSE( CONTROL!$C$32, 11.0118, 11.0074) * CHOOSE( CONTROL!$C$15, $D$11, 100%, $F$11)</f>
        <v>11.011799999999999</v>
      </c>
      <c r="H493" s="4">
        <f>CHOOSE( CONTROL!$C$32, 11.9445, 11.9401) * CHOOSE(CONTROL!$C$15, $D$11, 100%, $F$11)</f>
        <v>11.9445</v>
      </c>
      <c r="I493" s="8">
        <f>CHOOSE( CONTROL!$C$32, 10.8998, 10.8955) * CHOOSE(CONTROL!$C$15, $D$11, 100%, $F$11)</f>
        <v>10.899800000000001</v>
      </c>
      <c r="J493" s="4">
        <f>CHOOSE( CONTROL!$C$32, 10.8261, 10.8217) * CHOOSE(CONTROL!$C$15, $D$11, 100%, $F$11)</f>
        <v>10.8261</v>
      </c>
      <c r="K493" s="4"/>
      <c r="L493" s="9">
        <v>28.568200000000001</v>
      </c>
      <c r="M493" s="9">
        <v>11.6745</v>
      </c>
      <c r="N493" s="9">
        <v>4.7850000000000001</v>
      </c>
      <c r="O493" s="9">
        <v>0.36249999999999999</v>
      </c>
      <c r="P493" s="9">
        <v>1.1798</v>
      </c>
      <c r="Q493" s="9">
        <v>19.1142</v>
      </c>
      <c r="R493" s="9"/>
      <c r="S493" s="11"/>
    </row>
    <row r="494" spans="1:19" ht="15.75">
      <c r="A494" s="13">
        <v>56918</v>
      </c>
      <c r="B494" s="8">
        <f>11.7129 * CHOOSE(CONTROL!$C$15, $D$11, 100%, $F$11)</f>
        <v>11.712899999999999</v>
      </c>
      <c r="C494" s="8">
        <f>11.7232 * CHOOSE(CONTROL!$C$15, $D$11, 100%, $F$11)</f>
        <v>11.7232</v>
      </c>
      <c r="D494" s="8">
        <f>11.7356 * CHOOSE( CONTROL!$C$15, $D$11, 100%, $F$11)</f>
        <v>11.7356</v>
      </c>
      <c r="E494" s="12">
        <f>11.7304 * CHOOSE( CONTROL!$C$15, $D$11, 100%, $F$11)</f>
        <v>11.730399999999999</v>
      </c>
      <c r="F494" s="4">
        <f>12.4012 * CHOOSE(CONTROL!$C$15, $D$11, 100%, $F$11)</f>
        <v>12.401199999999999</v>
      </c>
      <c r="G494" s="8">
        <f>11.4959 * CHOOSE( CONTROL!$C$15, $D$11, 100%, $F$11)</f>
        <v>11.495900000000001</v>
      </c>
      <c r="H494" s="4">
        <f>12.4291 * CHOOSE(CONTROL!$C$15, $D$11, 100%, $F$11)</f>
        <v>12.4291</v>
      </c>
      <c r="I494" s="8">
        <f>11.3777 * CHOOSE(CONTROL!$C$15, $D$11, 100%, $F$11)</f>
        <v>11.377700000000001</v>
      </c>
      <c r="J494" s="4">
        <f>11.3024 * CHOOSE(CONTROL!$C$15, $D$11, 100%, $F$11)</f>
        <v>11.3024</v>
      </c>
      <c r="K494" s="4"/>
      <c r="L494" s="9">
        <v>28.921800000000001</v>
      </c>
      <c r="M494" s="9">
        <v>12.063700000000001</v>
      </c>
      <c r="N494" s="9">
        <v>4.9444999999999997</v>
      </c>
      <c r="O494" s="9">
        <v>0.37459999999999999</v>
      </c>
      <c r="P494" s="9">
        <v>1.2192000000000001</v>
      </c>
      <c r="Q494" s="9">
        <v>19.751300000000001</v>
      </c>
      <c r="R494" s="9"/>
      <c r="S494" s="11"/>
    </row>
    <row r="495" spans="1:19" ht="15.75">
      <c r="A495" s="13">
        <v>56948</v>
      </c>
      <c r="B495" s="8">
        <f>12.6304 * CHOOSE(CONTROL!$C$15, $D$11, 100%, $F$11)</f>
        <v>12.6304</v>
      </c>
      <c r="C495" s="8">
        <f>12.6408 * CHOOSE(CONTROL!$C$15, $D$11, 100%, $F$11)</f>
        <v>12.6408</v>
      </c>
      <c r="D495" s="8">
        <f>12.6268 * CHOOSE( CONTROL!$C$15, $D$11, 100%, $F$11)</f>
        <v>12.626799999999999</v>
      </c>
      <c r="E495" s="12">
        <f>12.6308 * CHOOSE( CONTROL!$C$15, $D$11, 100%, $F$11)</f>
        <v>12.630800000000001</v>
      </c>
      <c r="F495" s="4">
        <f>13.2847 * CHOOSE(CONTROL!$C$15, $D$11, 100%, $F$11)</f>
        <v>13.284700000000001</v>
      </c>
      <c r="G495" s="8">
        <f>12.4158 * CHOOSE( CONTROL!$C$15, $D$11, 100%, $F$11)</f>
        <v>12.415800000000001</v>
      </c>
      <c r="H495" s="4">
        <f>13.2983 * CHOOSE(CONTROL!$C$15, $D$11, 100%, $F$11)</f>
        <v>13.298299999999999</v>
      </c>
      <c r="I495" s="8">
        <f>12.2985 * CHOOSE(CONTROL!$C$15, $D$11, 100%, $F$11)</f>
        <v>12.298500000000001</v>
      </c>
      <c r="J495" s="4">
        <f>12.1898 * CHOOSE(CONTROL!$C$15, $D$11, 100%, $F$11)</f>
        <v>12.1898</v>
      </c>
      <c r="K495" s="4"/>
      <c r="L495" s="9">
        <v>26.515499999999999</v>
      </c>
      <c r="M495" s="9">
        <v>11.6745</v>
      </c>
      <c r="N495" s="9">
        <v>4.7850000000000001</v>
      </c>
      <c r="O495" s="9">
        <v>0.36249999999999999</v>
      </c>
      <c r="P495" s="9">
        <v>1.2522</v>
      </c>
      <c r="Q495" s="9">
        <v>19.1142</v>
      </c>
      <c r="R495" s="9"/>
      <c r="S495" s="11"/>
    </row>
    <row r="496" spans="1:19" ht="15.75">
      <c r="A496" s="13">
        <v>56979</v>
      </c>
      <c r="B496" s="8">
        <f>12.6075 * CHOOSE(CONTROL!$C$15, $D$11, 100%, $F$11)</f>
        <v>12.6075</v>
      </c>
      <c r="C496" s="8">
        <f>12.6178 * CHOOSE(CONTROL!$C$15, $D$11, 100%, $F$11)</f>
        <v>12.617800000000001</v>
      </c>
      <c r="D496" s="8">
        <f>12.6064 * CHOOSE( CONTROL!$C$15, $D$11, 100%, $F$11)</f>
        <v>12.606400000000001</v>
      </c>
      <c r="E496" s="12">
        <f>12.6095 * CHOOSE( CONTROL!$C$15, $D$11, 100%, $F$11)</f>
        <v>12.609500000000001</v>
      </c>
      <c r="F496" s="4">
        <f>13.2618 * CHOOSE(CONTROL!$C$15, $D$11, 100%, $F$11)</f>
        <v>13.261799999999999</v>
      </c>
      <c r="G496" s="8">
        <f>12.395 * CHOOSE( CONTROL!$C$15, $D$11, 100%, $F$11)</f>
        <v>12.395</v>
      </c>
      <c r="H496" s="4">
        <f>13.2758 * CHOOSE(CONTROL!$C$15, $D$11, 100%, $F$11)</f>
        <v>13.2758</v>
      </c>
      <c r="I496" s="8">
        <f>12.2843 * CHOOSE(CONTROL!$C$15, $D$11, 100%, $F$11)</f>
        <v>12.2843</v>
      </c>
      <c r="J496" s="4">
        <f>12.1676 * CHOOSE(CONTROL!$C$15, $D$11, 100%, $F$11)</f>
        <v>12.1676</v>
      </c>
      <c r="K496" s="4"/>
      <c r="L496" s="9">
        <v>27.3993</v>
      </c>
      <c r="M496" s="9">
        <v>12.063700000000001</v>
      </c>
      <c r="N496" s="9">
        <v>4.9444999999999997</v>
      </c>
      <c r="O496" s="9">
        <v>0.37459999999999999</v>
      </c>
      <c r="P496" s="9">
        <v>1.2939000000000001</v>
      </c>
      <c r="Q496" s="9">
        <v>19.751300000000001</v>
      </c>
      <c r="R496" s="9"/>
      <c r="S496" s="11"/>
    </row>
    <row r="497" spans="1:19" ht="15.75">
      <c r="A497" s="13">
        <v>57010</v>
      </c>
      <c r="B497" s="8">
        <f>13.0884 * CHOOSE(CONTROL!$C$15, $D$11, 100%, $F$11)</f>
        <v>13.0884</v>
      </c>
      <c r="C497" s="8">
        <f>13.0987 * CHOOSE(CONTROL!$C$15, $D$11, 100%, $F$11)</f>
        <v>13.098699999999999</v>
      </c>
      <c r="D497" s="8">
        <f>13.0971 * CHOOSE( CONTROL!$C$15, $D$11, 100%, $F$11)</f>
        <v>13.097099999999999</v>
      </c>
      <c r="E497" s="12">
        <f>13.0966 * CHOOSE( CONTROL!$C$15, $D$11, 100%, $F$11)</f>
        <v>13.0966</v>
      </c>
      <c r="F497" s="4">
        <f>13.7711 * CHOOSE(CONTROL!$C$15, $D$11, 100%, $F$11)</f>
        <v>13.771100000000001</v>
      </c>
      <c r="G497" s="8">
        <f>12.8784 * CHOOSE( CONTROL!$C$15, $D$11, 100%, $F$11)</f>
        <v>12.878399999999999</v>
      </c>
      <c r="H497" s="4">
        <f>13.7768 * CHOOSE(CONTROL!$C$15, $D$11, 100%, $F$11)</f>
        <v>13.7768</v>
      </c>
      <c r="I497" s="8">
        <f>12.7476 * CHOOSE(CONTROL!$C$15, $D$11, 100%, $F$11)</f>
        <v>12.7476</v>
      </c>
      <c r="J497" s="4">
        <f>12.6326 * CHOOSE(CONTROL!$C$15, $D$11, 100%, $F$11)</f>
        <v>12.6326</v>
      </c>
      <c r="K497" s="4"/>
      <c r="L497" s="9">
        <v>27.3993</v>
      </c>
      <c r="M497" s="9">
        <v>12.063700000000001</v>
      </c>
      <c r="N497" s="9">
        <v>4.9444999999999997</v>
      </c>
      <c r="O497" s="9">
        <v>0.37459999999999999</v>
      </c>
      <c r="P497" s="9">
        <v>1.2939000000000001</v>
      </c>
      <c r="Q497" s="9">
        <v>19.688099999999999</v>
      </c>
      <c r="R497" s="9"/>
      <c r="S497" s="11"/>
    </row>
    <row r="498" spans="1:19" ht="15.75">
      <c r="A498" s="13">
        <v>57038</v>
      </c>
      <c r="B498" s="8">
        <f>12.2439 * CHOOSE(CONTROL!$C$15, $D$11, 100%, $F$11)</f>
        <v>12.2439</v>
      </c>
      <c r="C498" s="8">
        <f>12.2542 * CHOOSE(CONTROL!$C$15, $D$11, 100%, $F$11)</f>
        <v>12.254200000000001</v>
      </c>
      <c r="D498" s="8">
        <f>12.2548 * CHOOSE( CONTROL!$C$15, $D$11, 100%, $F$11)</f>
        <v>12.254799999999999</v>
      </c>
      <c r="E498" s="12">
        <f>12.2535 * CHOOSE( CONTROL!$C$15, $D$11, 100%, $F$11)</f>
        <v>12.253500000000001</v>
      </c>
      <c r="F498" s="4">
        <f>12.9188 * CHOOSE(CONTROL!$C$15, $D$11, 100%, $F$11)</f>
        <v>12.918799999999999</v>
      </c>
      <c r="G498" s="8">
        <f>12.0474 * CHOOSE( CONTROL!$C$15, $D$11, 100%, $F$11)</f>
        <v>12.0474</v>
      </c>
      <c r="H498" s="4">
        <f>12.9384 * CHOOSE(CONTROL!$C$15, $D$11, 100%, $F$11)</f>
        <v>12.9384</v>
      </c>
      <c r="I498" s="8">
        <f>11.9195 * CHOOSE(CONTROL!$C$15, $D$11, 100%, $F$11)</f>
        <v>11.919499999999999</v>
      </c>
      <c r="J498" s="4">
        <f>11.816 * CHOOSE(CONTROL!$C$15, $D$11, 100%, $F$11)</f>
        <v>11.816000000000001</v>
      </c>
      <c r="K498" s="4"/>
      <c r="L498" s="9">
        <v>25.631599999999999</v>
      </c>
      <c r="M498" s="9">
        <v>11.285299999999999</v>
      </c>
      <c r="N498" s="9">
        <v>4.6254999999999997</v>
      </c>
      <c r="O498" s="9">
        <v>0.35039999999999999</v>
      </c>
      <c r="P498" s="9">
        <v>1.2104999999999999</v>
      </c>
      <c r="Q498" s="9">
        <v>18.417899999999999</v>
      </c>
      <c r="R498" s="9"/>
      <c r="S498" s="11"/>
    </row>
    <row r="499" spans="1:19" ht="15.75">
      <c r="A499" s="13">
        <v>57070</v>
      </c>
      <c r="B499" s="8">
        <f>11.9838 * CHOOSE(CONTROL!$C$15, $D$11, 100%, $F$11)</f>
        <v>11.9838</v>
      </c>
      <c r="C499" s="8">
        <f>11.9941 * CHOOSE(CONTROL!$C$15, $D$11, 100%, $F$11)</f>
        <v>11.9941</v>
      </c>
      <c r="D499" s="8">
        <f>11.9742 * CHOOSE( CONTROL!$C$15, $D$11, 100%, $F$11)</f>
        <v>11.9742</v>
      </c>
      <c r="E499" s="12">
        <f>11.9804 * CHOOSE( CONTROL!$C$15, $D$11, 100%, $F$11)</f>
        <v>11.980399999999999</v>
      </c>
      <c r="F499" s="4">
        <f>12.6427 * CHOOSE(CONTROL!$C$15, $D$11, 100%, $F$11)</f>
        <v>12.6427</v>
      </c>
      <c r="G499" s="8">
        <f>11.7707 * CHOOSE( CONTROL!$C$15, $D$11, 100%, $F$11)</f>
        <v>11.7707</v>
      </c>
      <c r="H499" s="4">
        <f>12.6667 * CHOOSE(CONTROL!$C$15, $D$11, 100%, $F$11)</f>
        <v>12.666700000000001</v>
      </c>
      <c r="I499" s="8">
        <f>11.6284 * CHOOSE(CONTROL!$C$15, $D$11, 100%, $F$11)</f>
        <v>11.628399999999999</v>
      </c>
      <c r="J499" s="4">
        <f>11.5644 * CHOOSE(CONTROL!$C$15, $D$11, 100%, $F$11)</f>
        <v>11.564399999999999</v>
      </c>
      <c r="K499" s="4"/>
      <c r="L499" s="9">
        <v>27.3993</v>
      </c>
      <c r="M499" s="9">
        <v>12.063700000000001</v>
      </c>
      <c r="N499" s="9">
        <v>4.9444999999999997</v>
      </c>
      <c r="O499" s="9">
        <v>0.37459999999999999</v>
      </c>
      <c r="P499" s="9">
        <v>1.2939000000000001</v>
      </c>
      <c r="Q499" s="9">
        <v>19.688099999999999</v>
      </c>
      <c r="R499" s="9"/>
      <c r="S499" s="11"/>
    </row>
    <row r="500" spans="1:19" ht="15.75">
      <c r="A500" s="13">
        <v>57100</v>
      </c>
      <c r="B500" s="8">
        <f>12.1656 * CHOOSE(CONTROL!$C$15, $D$11, 100%, $F$11)</f>
        <v>12.1656</v>
      </c>
      <c r="C500" s="8">
        <f>12.1759 * CHOOSE(CONTROL!$C$15, $D$11, 100%, $F$11)</f>
        <v>12.1759</v>
      </c>
      <c r="D500" s="8">
        <f>12.1674 * CHOOSE( CONTROL!$C$15, $D$11, 100%, $F$11)</f>
        <v>12.167400000000001</v>
      </c>
      <c r="E500" s="12">
        <f>12.169 * CHOOSE( CONTROL!$C$15, $D$11, 100%, $F$11)</f>
        <v>12.169</v>
      </c>
      <c r="F500" s="4">
        <f>12.8146 * CHOOSE(CONTROL!$C$15, $D$11, 100%, $F$11)</f>
        <v>12.8146</v>
      </c>
      <c r="G500" s="8">
        <f>11.9344 * CHOOSE( CONTROL!$C$15, $D$11, 100%, $F$11)</f>
        <v>11.9344</v>
      </c>
      <c r="H500" s="4">
        <f>12.8359 * CHOOSE(CONTROL!$C$15, $D$11, 100%, $F$11)</f>
        <v>12.835900000000001</v>
      </c>
      <c r="I500" s="8">
        <f>11.801 * CHOOSE(CONTROL!$C$15, $D$11, 100%, $F$11)</f>
        <v>11.801</v>
      </c>
      <c r="J500" s="4">
        <f>11.7402 * CHOOSE(CONTROL!$C$15, $D$11, 100%, $F$11)</f>
        <v>11.7402</v>
      </c>
      <c r="K500" s="4"/>
      <c r="L500" s="9">
        <v>27.988800000000001</v>
      </c>
      <c r="M500" s="9">
        <v>11.6745</v>
      </c>
      <c r="N500" s="9">
        <v>4.7850000000000001</v>
      </c>
      <c r="O500" s="9">
        <v>0.36249999999999999</v>
      </c>
      <c r="P500" s="9">
        <v>1.1798</v>
      </c>
      <c r="Q500" s="9">
        <v>19.053000000000001</v>
      </c>
      <c r="R500" s="9"/>
      <c r="S500" s="11"/>
    </row>
    <row r="501" spans="1:19" ht="15.75">
      <c r="A501" s="13">
        <v>57131</v>
      </c>
      <c r="B501" s="8">
        <f>CHOOSE( CONTROL!$C$32, 12.4935, 12.489) * CHOOSE(CONTROL!$C$15, $D$11, 100%, $F$11)</f>
        <v>12.493499999999999</v>
      </c>
      <c r="C501" s="8">
        <f>CHOOSE( CONTROL!$C$32, 12.5039, 12.4994) * CHOOSE(CONTROL!$C$15, $D$11, 100%, $F$11)</f>
        <v>12.5039</v>
      </c>
      <c r="D501" s="8">
        <f>CHOOSE( CONTROL!$C$32, 12.5136, 12.5091) * CHOOSE( CONTROL!$C$15, $D$11, 100%, $F$11)</f>
        <v>12.5136</v>
      </c>
      <c r="E501" s="12">
        <f>CHOOSE( CONTROL!$C$32, 12.5085, 12.504) * CHOOSE( CONTROL!$C$15, $D$11, 100%, $F$11)</f>
        <v>12.5085</v>
      </c>
      <c r="F501" s="4">
        <f>CHOOSE( CONTROL!$C$32, 13.1818, 13.1773) * CHOOSE(CONTROL!$C$15, $D$11, 100%, $F$11)</f>
        <v>13.181800000000001</v>
      </c>
      <c r="G501" s="8">
        <f>CHOOSE( CONTROL!$C$32, 12.2621, 12.2577) * CHOOSE( CONTROL!$C$15, $D$11, 100%, $F$11)</f>
        <v>12.2621</v>
      </c>
      <c r="H501" s="4">
        <f>CHOOSE( CONTROL!$C$32, 13.1971, 13.1927) * CHOOSE(CONTROL!$C$15, $D$11, 100%, $F$11)</f>
        <v>13.197100000000001</v>
      </c>
      <c r="I501" s="8">
        <f>CHOOSE( CONTROL!$C$32, 12.1242, 12.1199) * CHOOSE(CONTROL!$C$15, $D$11, 100%, $F$11)</f>
        <v>12.1242</v>
      </c>
      <c r="J501" s="4">
        <f>CHOOSE( CONTROL!$C$32, 12.0574, 12.053) * CHOOSE(CONTROL!$C$15, $D$11, 100%, $F$11)</f>
        <v>12.057399999999999</v>
      </c>
      <c r="K501" s="4"/>
      <c r="L501" s="9">
        <v>29.520499999999998</v>
      </c>
      <c r="M501" s="9">
        <v>12.063700000000001</v>
      </c>
      <c r="N501" s="9">
        <v>4.9444999999999997</v>
      </c>
      <c r="O501" s="9">
        <v>0.37459999999999999</v>
      </c>
      <c r="P501" s="9">
        <v>1.2192000000000001</v>
      </c>
      <c r="Q501" s="9">
        <v>19.688099999999999</v>
      </c>
      <c r="R501" s="9"/>
      <c r="S501" s="11"/>
    </row>
    <row r="502" spans="1:19" ht="15.75">
      <c r="A502" s="13">
        <v>57161</v>
      </c>
      <c r="B502" s="8">
        <f>CHOOSE( CONTROL!$C$32, 12.2932, 12.2886) * CHOOSE(CONTROL!$C$15, $D$11, 100%, $F$11)</f>
        <v>12.293200000000001</v>
      </c>
      <c r="C502" s="8">
        <f>CHOOSE( CONTROL!$C$32, 12.3035, 12.299) * CHOOSE(CONTROL!$C$15, $D$11, 100%, $F$11)</f>
        <v>12.3035</v>
      </c>
      <c r="D502" s="8">
        <f>CHOOSE( CONTROL!$C$32, 12.3138, 12.3093) * CHOOSE( CONTROL!$C$15, $D$11, 100%, $F$11)</f>
        <v>12.313800000000001</v>
      </c>
      <c r="E502" s="12">
        <f>CHOOSE( CONTROL!$C$32, 12.3085, 12.304) * CHOOSE( CONTROL!$C$15, $D$11, 100%, $F$11)</f>
        <v>12.3085</v>
      </c>
      <c r="F502" s="4">
        <f>CHOOSE( CONTROL!$C$32, 12.9815, 12.9769) * CHOOSE(CONTROL!$C$15, $D$11, 100%, $F$11)</f>
        <v>12.9815</v>
      </c>
      <c r="G502" s="8">
        <f>CHOOSE( CONTROL!$C$32, 12.0659, 12.0614) * CHOOSE( CONTROL!$C$15, $D$11, 100%, $F$11)</f>
        <v>12.065899999999999</v>
      </c>
      <c r="H502" s="4">
        <f>CHOOSE( CONTROL!$C$32, 13, 12.9955) * CHOOSE(CONTROL!$C$15, $D$11, 100%, $F$11)</f>
        <v>13</v>
      </c>
      <c r="I502" s="8">
        <f>CHOOSE( CONTROL!$C$32, 11.9333, 11.929) * CHOOSE(CONTROL!$C$15, $D$11, 100%, $F$11)</f>
        <v>11.933299999999999</v>
      </c>
      <c r="J502" s="4">
        <f>CHOOSE( CONTROL!$C$32, 11.8636, 11.8592) * CHOOSE(CONTROL!$C$15, $D$11, 100%, $F$11)</f>
        <v>11.8636</v>
      </c>
      <c r="K502" s="4"/>
      <c r="L502" s="9">
        <v>28.568200000000001</v>
      </c>
      <c r="M502" s="9">
        <v>11.6745</v>
      </c>
      <c r="N502" s="9">
        <v>4.7850000000000001</v>
      </c>
      <c r="O502" s="9">
        <v>0.36249999999999999</v>
      </c>
      <c r="P502" s="9">
        <v>1.1798</v>
      </c>
      <c r="Q502" s="9">
        <v>19.053000000000001</v>
      </c>
      <c r="R502" s="9"/>
      <c r="S502" s="11"/>
    </row>
    <row r="503" spans="1:19" ht="15.75">
      <c r="A503" s="13">
        <v>57192</v>
      </c>
      <c r="B503" s="8">
        <f>CHOOSE( CONTROL!$C$32, 12.8208, 12.8163) * CHOOSE(CONTROL!$C$15, $D$11, 100%, $F$11)</f>
        <v>12.8208</v>
      </c>
      <c r="C503" s="8">
        <f>CHOOSE( CONTROL!$C$32, 12.8312, 12.8267) * CHOOSE(CONTROL!$C$15, $D$11, 100%, $F$11)</f>
        <v>12.831200000000001</v>
      </c>
      <c r="D503" s="8">
        <f>CHOOSE( CONTROL!$C$32, 12.842, 12.8375) * CHOOSE( CONTROL!$C$15, $D$11, 100%, $F$11)</f>
        <v>12.842000000000001</v>
      </c>
      <c r="E503" s="12">
        <f>CHOOSE( CONTROL!$C$32, 12.8365, 12.832) * CHOOSE( CONTROL!$C$15, $D$11, 100%, $F$11)</f>
        <v>12.836499999999999</v>
      </c>
      <c r="F503" s="4">
        <f>CHOOSE( CONTROL!$C$32, 13.5091, 13.5046) * CHOOSE(CONTROL!$C$15, $D$11, 100%, $F$11)</f>
        <v>13.5091</v>
      </c>
      <c r="G503" s="8">
        <f>CHOOSE( CONTROL!$C$32, 12.5859, 12.5814) * CHOOSE( CONTROL!$C$15, $D$11, 100%, $F$11)</f>
        <v>12.585900000000001</v>
      </c>
      <c r="H503" s="4">
        <f>CHOOSE( CONTROL!$C$32, 13.5191, 13.5147) * CHOOSE(CONTROL!$C$15, $D$11, 100%, $F$11)</f>
        <v>13.5191</v>
      </c>
      <c r="I503" s="8">
        <f>CHOOSE( CONTROL!$C$32, 12.4466, 12.4422) * CHOOSE(CONTROL!$C$15, $D$11, 100%, $F$11)</f>
        <v>12.4466</v>
      </c>
      <c r="J503" s="4">
        <f>CHOOSE( CONTROL!$C$32, 12.3739, 12.3695) * CHOOSE(CONTROL!$C$15, $D$11, 100%, $F$11)</f>
        <v>12.373900000000001</v>
      </c>
      <c r="K503" s="4"/>
      <c r="L503" s="9">
        <v>29.520499999999998</v>
      </c>
      <c r="M503" s="9">
        <v>12.063700000000001</v>
      </c>
      <c r="N503" s="9">
        <v>4.9444999999999997</v>
      </c>
      <c r="O503" s="9">
        <v>0.37459999999999999</v>
      </c>
      <c r="P503" s="9">
        <v>1.2192000000000001</v>
      </c>
      <c r="Q503" s="9">
        <v>19.688099999999999</v>
      </c>
      <c r="R503" s="9"/>
      <c r="S503" s="11"/>
    </row>
    <row r="504" spans="1:19" ht="15.75">
      <c r="A504" s="13">
        <v>57223</v>
      </c>
      <c r="B504" s="8">
        <f>CHOOSE( CONTROL!$C$32, 11.8335, 11.829) * CHOOSE(CONTROL!$C$15, $D$11, 100%, $F$11)</f>
        <v>11.833500000000001</v>
      </c>
      <c r="C504" s="8">
        <f>CHOOSE( CONTROL!$C$32, 11.8439, 11.8393) * CHOOSE(CONTROL!$C$15, $D$11, 100%, $F$11)</f>
        <v>11.8439</v>
      </c>
      <c r="D504" s="8">
        <f>CHOOSE( CONTROL!$C$32, 11.855, 11.8505) * CHOOSE( CONTROL!$C$15, $D$11, 100%, $F$11)</f>
        <v>11.855</v>
      </c>
      <c r="E504" s="12">
        <f>CHOOSE( CONTROL!$C$32, 11.8494, 11.8449) * CHOOSE( CONTROL!$C$15, $D$11, 100%, $F$11)</f>
        <v>11.849399999999999</v>
      </c>
      <c r="F504" s="4">
        <f>CHOOSE( CONTROL!$C$32, 12.5218, 12.5173) * CHOOSE(CONTROL!$C$15, $D$11, 100%, $F$11)</f>
        <v>12.521800000000001</v>
      </c>
      <c r="G504" s="8">
        <f>CHOOSE( CONTROL!$C$32, 11.615, 11.6105) * CHOOSE( CONTROL!$C$15, $D$11, 100%, $F$11)</f>
        <v>11.615</v>
      </c>
      <c r="H504" s="4">
        <f>CHOOSE( CONTROL!$C$32, 12.5478, 12.5433) * CHOOSE(CONTROL!$C$15, $D$11, 100%, $F$11)</f>
        <v>12.547800000000001</v>
      </c>
      <c r="I504" s="8">
        <f>CHOOSE( CONTROL!$C$32, 11.4927, 11.4883) * CHOOSE(CONTROL!$C$15, $D$11, 100%, $F$11)</f>
        <v>11.492699999999999</v>
      </c>
      <c r="J504" s="4">
        <f>CHOOSE( CONTROL!$C$32, 11.4191, 11.4147) * CHOOSE(CONTROL!$C$15, $D$11, 100%, $F$11)</f>
        <v>11.4191</v>
      </c>
      <c r="K504" s="4"/>
      <c r="L504" s="9">
        <v>29.520499999999998</v>
      </c>
      <c r="M504" s="9">
        <v>12.063700000000001</v>
      </c>
      <c r="N504" s="9">
        <v>4.9444999999999997</v>
      </c>
      <c r="O504" s="9">
        <v>0.37459999999999999</v>
      </c>
      <c r="P504" s="9">
        <v>1.2192000000000001</v>
      </c>
      <c r="Q504" s="9">
        <v>19.688099999999999</v>
      </c>
      <c r="R504" s="9"/>
      <c r="S504" s="11"/>
    </row>
    <row r="505" spans="1:19" ht="15.75">
      <c r="A505" s="13">
        <v>57253</v>
      </c>
      <c r="B505" s="8">
        <f>CHOOSE( CONTROL!$C$32, 11.5863, 11.5818) * CHOOSE(CONTROL!$C$15, $D$11, 100%, $F$11)</f>
        <v>11.5863</v>
      </c>
      <c r="C505" s="8">
        <f>CHOOSE( CONTROL!$C$32, 11.5966, 11.5921) * CHOOSE(CONTROL!$C$15, $D$11, 100%, $F$11)</f>
        <v>11.5966</v>
      </c>
      <c r="D505" s="8">
        <f>CHOOSE( CONTROL!$C$32, 11.6079, 11.6034) * CHOOSE( CONTROL!$C$15, $D$11, 100%, $F$11)</f>
        <v>11.607900000000001</v>
      </c>
      <c r="E505" s="12">
        <f>CHOOSE( CONTROL!$C$32, 11.6022, 11.5977) * CHOOSE( CONTROL!$C$15, $D$11, 100%, $F$11)</f>
        <v>11.6022</v>
      </c>
      <c r="F505" s="4">
        <f>CHOOSE( CONTROL!$C$32, 12.2746, 12.27) * CHOOSE(CONTROL!$C$15, $D$11, 100%, $F$11)</f>
        <v>12.2746</v>
      </c>
      <c r="G505" s="8">
        <f>CHOOSE( CONTROL!$C$32, 11.3719, 11.3674) * CHOOSE( CONTROL!$C$15, $D$11, 100%, $F$11)</f>
        <v>11.3719</v>
      </c>
      <c r="H505" s="4">
        <f>CHOOSE( CONTROL!$C$32, 12.3045, 12.3001) * CHOOSE(CONTROL!$C$15, $D$11, 100%, $F$11)</f>
        <v>12.304500000000001</v>
      </c>
      <c r="I505" s="8">
        <f>CHOOSE( CONTROL!$C$32, 11.2539, 11.2495) * CHOOSE(CONTROL!$C$15, $D$11, 100%, $F$11)</f>
        <v>11.2539</v>
      </c>
      <c r="J505" s="4">
        <f>CHOOSE( CONTROL!$C$32, 11.18, 11.1756) * CHOOSE(CONTROL!$C$15, $D$11, 100%, $F$11)</f>
        <v>11.18</v>
      </c>
      <c r="K505" s="4"/>
      <c r="L505" s="9">
        <v>28.568200000000001</v>
      </c>
      <c r="M505" s="9">
        <v>11.6745</v>
      </c>
      <c r="N505" s="9">
        <v>4.7850000000000001</v>
      </c>
      <c r="O505" s="9">
        <v>0.36249999999999999</v>
      </c>
      <c r="P505" s="9">
        <v>1.1798</v>
      </c>
      <c r="Q505" s="9">
        <v>19.053000000000001</v>
      </c>
      <c r="R505" s="9"/>
      <c r="S505" s="11"/>
    </row>
    <row r="506" spans="1:19" ht="15.75">
      <c r="A506" s="13">
        <v>57284</v>
      </c>
      <c r="B506" s="8">
        <f>12.0951 * CHOOSE(CONTROL!$C$15, $D$11, 100%, $F$11)</f>
        <v>12.0951</v>
      </c>
      <c r="C506" s="8">
        <f>12.1054 * CHOOSE(CONTROL!$C$15, $D$11, 100%, $F$11)</f>
        <v>12.105399999999999</v>
      </c>
      <c r="D506" s="8">
        <f>12.1179 * CHOOSE( CONTROL!$C$15, $D$11, 100%, $F$11)</f>
        <v>12.117900000000001</v>
      </c>
      <c r="E506" s="12">
        <f>12.1127 * CHOOSE( CONTROL!$C$15, $D$11, 100%, $F$11)</f>
        <v>12.1127</v>
      </c>
      <c r="F506" s="4">
        <f>12.7834 * CHOOSE(CONTROL!$C$15, $D$11, 100%, $F$11)</f>
        <v>12.7834</v>
      </c>
      <c r="G506" s="8">
        <f>11.8719 * CHOOSE( CONTROL!$C$15, $D$11, 100%, $F$11)</f>
        <v>11.8719</v>
      </c>
      <c r="H506" s="4">
        <f>12.8051 * CHOOSE(CONTROL!$C$15, $D$11, 100%, $F$11)</f>
        <v>12.805099999999999</v>
      </c>
      <c r="I506" s="8">
        <f>11.7475 * CHOOSE(CONTROL!$C$15, $D$11, 100%, $F$11)</f>
        <v>11.7475</v>
      </c>
      <c r="J506" s="4">
        <f>11.6721 * CHOOSE(CONTROL!$C$15, $D$11, 100%, $F$11)</f>
        <v>11.6721</v>
      </c>
      <c r="K506" s="4"/>
      <c r="L506" s="9">
        <v>28.921800000000001</v>
      </c>
      <c r="M506" s="9">
        <v>12.063700000000001</v>
      </c>
      <c r="N506" s="9">
        <v>4.9444999999999997</v>
      </c>
      <c r="O506" s="9">
        <v>0.37459999999999999</v>
      </c>
      <c r="P506" s="9">
        <v>1.2192000000000001</v>
      </c>
      <c r="Q506" s="9">
        <v>19.688099999999999</v>
      </c>
      <c r="R506" s="9"/>
      <c r="S506" s="11"/>
    </row>
    <row r="507" spans="1:19" ht="15.75">
      <c r="A507" s="13">
        <v>57314</v>
      </c>
      <c r="B507" s="8">
        <f>13.0426 * CHOOSE(CONTROL!$C$15, $D$11, 100%, $F$11)</f>
        <v>13.0426</v>
      </c>
      <c r="C507" s="8">
        <f>13.053 * CHOOSE(CONTROL!$C$15, $D$11, 100%, $F$11)</f>
        <v>13.053000000000001</v>
      </c>
      <c r="D507" s="8">
        <f>13.039 * CHOOSE( CONTROL!$C$15, $D$11, 100%, $F$11)</f>
        <v>13.039</v>
      </c>
      <c r="E507" s="12">
        <f>13.043 * CHOOSE( CONTROL!$C$15, $D$11, 100%, $F$11)</f>
        <v>13.042999999999999</v>
      </c>
      <c r="F507" s="4">
        <f>13.6969 * CHOOSE(CONTROL!$C$15, $D$11, 100%, $F$11)</f>
        <v>13.696899999999999</v>
      </c>
      <c r="G507" s="8">
        <f>12.8213 * CHOOSE( CONTROL!$C$15, $D$11, 100%, $F$11)</f>
        <v>12.821300000000001</v>
      </c>
      <c r="H507" s="4">
        <f>13.7039 * CHOOSE(CONTROL!$C$15, $D$11, 100%, $F$11)</f>
        <v>13.703900000000001</v>
      </c>
      <c r="I507" s="8">
        <f>12.6974 * CHOOSE(CONTROL!$C$15, $D$11, 100%, $F$11)</f>
        <v>12.6974</v>
      </c>
      <c r="J507" s="4">
        <f>12.5884 * CHOOSE(CONTROL!$C$15, $D$11, 100%, $F$11)</f>
        <v>12.5884</v>
      </c>
      <c r="K507" s="4"/>
      <c r="L507" s="9">
        <v>26.515499999999999</v>
      </c>
      <c r="M507" s="9">
        <v>11.6745</v>
      </c>
      <c r="N507" s="9">
        <v>4.7850000000000001</v>
      </c>
      <c r="O507" s="9">
        <v>0.36249999999999999</v>
      </c>
      <c r="P507" s="9">
        <v>1.2522</v>
      </c>
      <c r="Q507" s="9">
        <v>19.053000000000001</v>
      </c>
      <c r="R507" s="9"/>
      <c r="S507" s="11"/>
    </row>
    <row r="508" spans="1:19" ht="15.75">
      <c r="A508" s="13">
        <v>57345</v>
      </c>
      <c r="B508" s="8">
        <f>13.019 * CHOOSE(CONTROL!$C$15, $D$11, 100%, $F$11)</f>
        <v>13.019</v>
      </c>
      <c r="C508" s="8">
        <f>13.0293 * CHOOSE(CONTROL!$C$15, $D$11, 100%, $F$11)</f>
        <v>13.029299999999999</v>
      </c>
      <c r="D508" s="8">
        <f>13.0178 * CHOOSE( CONTROL!$C$15, $D$11, 100%, $F$11)</f>
        <v>13.017799999999999</v>
      </c>
      <c r="E508" s="12">
        <f>13.0209 * CHOOSE( CONTROL!$C$15, $D$11, 100%, $F$11)</f>
        <v>13.020899999999999</v>
      </c>
      <c r="F508" s="4">
        <f>13.6732 * CHOOSE(CONTROL!$C$15, $D$11, 100%, $F$11)</f>
        <v>13.6732</v>
      </c>
      <c r="G508" s="8">
        <f>12.7998 * CHOOSE( CONTROL!$C$15, $D$11, 100%, $F$11)</f>
        <v>12.799799999999999</v>
      </c>
      <c r="H508" s="4">
        <f>13.6806 * CHOOSE(CONTROL!$C$15, $D$11, 100%, $F$11)</f>
        <v>13.6806</v>
      </c>
      <c r="I508" s="8">
        <f>12.6824 * CHOOSE(CONTROL!$C$15, $D$11, 100%, $F$11)</f>
        <v>12.682399999999999</v>
      </c>
      <c r="J508" s="4">
        <f>12.5655 * CHOOSE(CONTROL!$C$15, $D$11, 100%, $F$11)</f>
        <v>12.5655</v>
      </c>
      <c r="K508" s="4"/>
      <c r="L508" s="9">
        <v>27.3993</v>
      </c>
      <c r="M508" s="9">
        <v>12.063700000000001</v>
      </c>
      <c r="N508" s="9">
        <v>4.9444999999999997</v>
      </c>
      <c r="O508" s="9">
        <v>0.37459999999999999</v>
      </c>
      <c r="P508" s="9">
        <v>1.2939000000000001</v>
      </c>
      <c r="Q508" s="9">
        <v>19.688099999999999</v>
      </c>
      <c r="R508" s="9"/>
      <c r="S508" s="11"/>
    </row>
    <row r="509" spans="1:19" ht="15.75">
      <c r="A509" s="13">
        <v>57376</v>
      </c>
      <c r="B509" s="8">
        <f>13.5156 * CHOOSE(CONTROL!$C$15, $D$11, 100%, $F$11)</f>
        <v>13.515599999999999</v>
      </c>
      <c r="C509" s="8">
        <f>13.5259 * CHOOSE(CONTROL!$C$15, $D$11, 100%, $F$11)</f>
        <v>13.5259</v>
      </c>
      <c r="D509" s="8">
        <f>13.5243 * CHOOSE( CONTROL!$C$15, $D$11, 100%, $F$11)</f>
        <v>13.5243</v>
      </c>
      <c r="E509" s="12">
        <f>13.5238 * CHOOSE( CONTROL!$C$15, $D$11, 100%, $F$11)</f>
        <v>13.5238</v>
      </c>
      <c r="F509" s="4">
        <f>14.1982 * CHOOSE(CONTROL!$C$15, $D$11, 100%, $F$11)</f>
        <v>14.1982</v>
      </c>
      <c r="G509" s="8">
        <f>13.2987 * CHOOSE( CONTROL!$C$15, $D$11, 100%, $F$11)</f>
        <v>13.2987</v>
      </c>
      <c r="H509" s="4">
        <f>14.1971 * CHOOSE(CONTROL!$C$15, $D$11, 100%, $F$11)</f>
        <v>14.197100000000001</v>
      </c>
      <c r="I509" s="8">
        <f>13.1609 * CHOOSE(CONTROL!$C$15, $D$11, 100%, $F$11)</f>
        <v>13.1609</v>
      </c>
      <c r="J509" s="4">
        <f>13.0458 * CHOOSE(CONTROL!$C$15, $D$11, 100%, $F$11)</f>
        <v>13.0458</v>
      </c>
      <c r="K509" s="4"/>
      <c r="L509" s="9">
        <v>27.3993</v>
      </c>
      <c r="M509" s="9">
        <v>12.063700000000001</v>
      </c>
      <c r="N509" s="9">
        <v>4.9444999999999997</v>
      </c>
      <c r="O509" s="9">
        <v>0.37459999999999999</v>
      </c>
      <c r="P509" s="9">
        <v>1.2939000000000001</v>
      </c>
      <c r="Q509" s="9">
        <v>19.688099999999999</v>
      </c>
      <c r="R509" s="9"/>
      <c r="S509" s="11"/>
    </row>
    <row r="510" spans="1:19" ht="15.75">
      <c r="A510" s="13">
        <v>57404</v>
      </c>
      <c r="B510" s="8">
        <f>12.6435 * CHOOSE(CONTROL!$C$15, $D$11, 100%, $F$11)</f>
        <v>12.6435</v>
      </c>
      <c r="C510" s="8">
        <f>12.6538 * CHOOSE(CONTROL!$C$15, $D$11, 100%, $F$11)</f>
        <v>12.6538</v>
      </c>
      <c r="D510" s="8">
        <f>12.6543 * CHOOSE( CONTROL!$C$15, $D$11, 100%, $F$11)</f>
        <v>12.654299999999999</v>
      </c>
      <c r="E510" s="12">
        <f>12.653 * CHOOSE( CONTROL!$C$15, $D$11, 100%, $F$11)</f>
        <v>12.653</v>
      </c>
      <c r="F510" s="4">
        <f>13.3184 * CHOOSE(CONTROL!$C$15, $D$11, 100%, $F$11)</f>
        <v>13.3184</v>
      </c>
      <c r="G510" s="8">
        <f>12.4405 * CHOOSE( CONTROL!$C$15, $D$11, 100%, $F$11)</f>
        <v>12.4405</v>
      </c>
      <c r="H510" s="4">
        <f>13.3315 * CHOOSE(CONTROL!$C$15, $D$11, 100%, $F$11)</f>
        <v>13.3315</v>
      </c>
      <c r="I510" s="8">
        <f>12.3061 * CHOOSE(CONTROL!$C$15, $D$11, 100%, $F$11)</f>
        <v>12.306100000000001</v>
      </c>
      <c r="J510" s="4">
        <f>12.2024 * CHOOSE(CONTROL!$C$15, $D$11, 100%, $F$11)</f>
        <v>12.202400000000001</v>
      </c>
      <c r="K510" s="4"/>
      <c r="L510" s="9">
        <v>24.747800000000002</v>
      </c>
      <c r="M510" s="9">
        <v>10.8962</v>
      </c>
      <c r="N510" s="9">
        <v>4.4660000000000002</v>
      </c>
      <c r="O510" s="9">
        <v>0.33829999999999999</v>
      </c>
      <c r="P510" s="9">
        <v>1.1687000000000001</v>
      </c>
      <c r="Q510" s="9">
        <v>17.782800000000002</v>
      </c>
      <c r="R510" s="9"/>
      <c r="S510" s="11"/>
    </row>
    <row r="511" spans="1:19" ht="15.75">
      <c r="A511" s="13">
        <v>57435</v>
      </c>
      <c r="B511" s="8">
        <f>12.3749 * CHOOSE(CONTROL!$C$15, $D$11, 100%, $F$11)</f>
        <v>12.3749</v>
      </c>
      <c r="C511" s="8">
        <f>12.3852 * CHOOSE(CONTROL!$C$15, $D$11, 100%, $F$11)</f>
        <v>12.385199999999999</v>
      </c>
      <c r="D511" s="8">
        <f>12.3653 * CHOOSE( CONTROL!$C$15, $D$11, 100%, $F$11)</f>
        <v>12.3653</v>
      </c>
      <c r="E511" s="12">
        <f>12.3715 * CHOOSE( CONTROL!$C$15, $D$11, 100%, $F$11)</f>
        <v>12.371499999999999</v>
      </c>
      <c r="F511" s="4">
        <f>13.0338 * CHOOSE(CONTROL!$C$15, $D$11, 100%, $F$11)</f>
        <v>13.033799999999999</v>
      </c>
      <c r="G511" s="8">
        <f>12.1555 * CHOOSE( CONTROL!$C$15, $D$11, 100%, $F$11)</f>
        <v>12.1555</v>
      </c>
      <c r="H511" s="4">
        <f>13.0515 * CHOOSE(CONTROL!$C$15, $D$11, 100%, $F$11)</f>
        <v>13.051500000000001</v>
      </c>
      <c r="I511" s="8">
        <f>12.0067 * CHOOSE(CONTROL!$C$15, $D$11, 100%, $F$11)</f>
        <v>12.0067</v>
      </c>
      <c r="J511" s="4">
        <f>11.9426 * CHOOSE(CONTROL!$C$15, $D$11, 100%, $F$11)</f>
        <v>11.942600000000001</v>
      </c>
      <c r="K511" s="4"/>
      <c r="L511" s="9">
        <v>27.3993</v>
      </c>
      <c r="M511" s="9">
        <v>12.063700000000001</v>
      </c>
      <c r="N511" s="9">
        <v>4.9444999999999997</v>
      </c>
      <c r="O511" s="9">
        <v>0.37459999999999999</v>
      </c>
      <c r="P511" s="9">
        <v>1.2939000000000001</v>
      </c>
      <c r="Q511" s="9">
        <v>19.688099999999999</v>
      </c>
      <c r="R511" s="9"/>
      <c r="S511" s="11"/>
    </row>
    <row r="512" spans="1:19" ht="15.75">
      <c r="A512" s="13">
        <v>57465</v>
      </c>
      <c r="B512" s="8">
        <f>12.5626 * CHOOSE(CONTROL!$C$15, $D$11, 100%, $F$11)</f>
        <v>12.5626</v>
      </c>
      <c r="C512" s="8">
        <f>12.5729 * CHOOSE(CONTROL!$C$15, $D$11, 100%, $F$11)</f>
        <v>12.572900000000001</v>
      </c>
      <c r="D512" s="8">
        <f>12.5644 * CHOOSE( CONTROL!$C$15, $D$11, 100%, $F$11)</f>
        <v>12.564399999999999</v>
      </c>
      <c r="E512" s="12">
        <f>12.566 * CHOOSE( CONTROL!$C$15, $D$11, 100%, $F$11)</f>
        <v>12.566000000000001</v>
      </c>
      <c r="F512" s="4">
        <f>13.2116 * CHOOSE(CONTROL!$C$15, $D$11, 100%, $F$11)</f>
        <v>13.211600000000001</v>
      </c>
      <c r="G512" s="8">
        <f>12.3249 * CHOOSE( CONTROL!$C$15, $D$11, 100%, $F$11)</f>
        <v>12.3249</v>
      </c>
      <c r="H512" s="4">
        <f>13.2265 * CHOOSE(CONTROL!$C$15, $D$11, 100%, $F$11)</f>
        <v>13.2265</v>
      </c>
      <c r="I512" s="8">
        <f>12.1852 * CHOOSE(CONTROL!$C$15, $D$11, 100%, $F$11)</f>
        <v>12.1852</v>
      </c>
      <c r="J512" s="4">
        <f>12.1241 * CHOOSE(CONTROL!$C$15, $D$11, 100%, $F$11)</f>
        <v>12.1241</v>
      </c>
      <c r="K512" s="4"/>
      <c r="L512" s="9">
        <v>27.988800000000001</v>
      </c>
      <c r="M512" s="9">
        <v>11.6745</v>
      </c>
      <c r="N512" s="9">
        <v>4.7850000000000001</v>
      </c>
      <c r="O512" s="9">
        <v>0.36249999999999999</v>
      </c>
      <c r="P512" s="9">
        <v>1.1798</v>
      </c>
      <c r="Q512" s="9">
        <v>19.053000000000001</v>
      </c>
      <c r="R512" s="9"/>
      <c r="S512" s="11"/>
    </row>
    <row r="513" spans="1:19" ht="15.75">
      <c r="A513" s="13">
        <v>57496</v>
      </c>
      <c r="B513" s="8">
        <f>CHOOSE( CONTROL!$C$32, 12.9011, 12.8966) * CHOOSE(CONTROL!$C$15, $D$11, 100%, $F$11)</f>
        <v>12.9011</v>
      </c>
      <c r="C513" s="8">
        <f>CHOOSE( CONTROL!$C$32, 12.9115, 12.9069) * CHOOSE(CONTROL!$C$15, $D$11, 100%, $F$11)</f>
        <v>12.9115</v>
      </c>
      <c r="D513" s="8">
        <f>CHOOSE( CONTROL!$C$32, 12.9212, 12.9166) * CHOOSE( CONTROL!$C$15, $D$11, 100%, $F$11)</f>
        <v>12.921200000000001</v>
      </c>
      <c r="E513" s="12">
        <f>CHOOSE( CONTROL!$C$32, 12.9161, 12.9115) * CHOOSE( CONTROL!$C$15, $D$11, 100%, $F$11)</f>
        <v>12.9161</v>
      </c>
      <c r="F513" s="4">
        <f>CHOOSE( CONTROL!$C$32, 13.5894, 13.5849) * CHOOSE(CONTROL!$C$15, $D$11, 100%, $F$11)</f>
        <v>13.589399999999999</v>
      </c>
      <c r="G513" s="8">
        <f>CHOOSE( CONTROL!$C$32, 12.6631, 12.6586) * CHOOSE( CONTROL!$C$15, $D$11, 100%, $F$11)</f>
        <v>12.6631</v>
      </c>
      <c r="H513" s="4">
        <f>CHOOSE( CONTROL!$C$32, 13.5981, 13.5937) * CHOOSE(CONTROL!$C$15, $D$11, 100%, $F$11)</f>
        <v>13.598100000000001</v>
      </c>
      <c r="I513" s="8">
        <f>CHOOSE( CONTROL!$C$32, 12.5186, 12.5142) * CHOOSE(CONTROL!$C$15, $D$11, 100%, $F$11)</f>
        <v>12.518599999999999</v>
      </c>
      <c r="J513" s="4">
        <f>CHOOSE( CONTROL!$C$32, 12.4516, 12.4472) * CHOOSE(CONTROL!$C$15, $D$11, 100%, $F$11)</f>
        <v>12.451599999999999</v>
      </c>
      <c r="K513" s="4"/>
      <c r="L513" s="9">
        <v>29.520499999999998</v>
      </c>
      <c r="M513" s="9">
        <v>12.063700000000001</v>
      </c>
      <c r="N513" s="9">
        <v>4.9444999999999997</v>
      </c>
      <c r="O513" s="9">
        <v>0.37459999999999999</v>
      </c>
      <c r="P513" s="9">
        <v>1.2192000000000001</v>
      </c>
      <c r="Q513" s="9">
        <v>19.688099999999999</v>
      </c>
      <c r="R513" s="9"/>
      <c r="S513" s="11"/>
    </row>
    <row r="514" spans="1:19" ht="15.75">
      <c r="A514" s="13">
        <v>57526</v>
      </c>
      <c r="B514" s="8">
        <f>CHOOSE( CONTROL!$C$32, 12.6942, 12.6897) * CHOOSE(CONTROL!$C$15, $D$11, 100%, $F$11)</f>
        <v>12.6942</v>
      </c>
      <c r="C514" s="8">
        <f>CHOOSE( CONTROL!$C$32, 12.7045, 12.7) * CHOOSE(CONTROL!$C$15, $D$11, 100%, $F$11)</f>
        <v>12.704499999999999</v>
      </c>
      <c r="D514" s="8">
        <f>CHOOSE( CONTROL!$C$32, 12.7149, 12.7103) * CHOOSE( CONTROL!$C$15, $D$11, 100%, $F$11)</f>
        <v>12.7149</v>
      </c>
      <c r="E514" s="12">
        <f>CHOOSE( CONTROL!$C$32, 12.7096, 12.705) * CHOOSE( CONTROL!$C$15, $D$11, 100%, $F$11)</f>
        <v>12.7096</v>
      </c>
      <c r="F514" s="4">
        <f>CHOOSE( CONTROL!$C$32, 13.3825, 13.378) * CHOOSE(CONTROL!$C$15, $D$11, 100%, $F$11)</f>
        <v>13.3825</v>
      </c>
      <c r="G514" s="8">
        <f>CHOOSE( CONTROL!$C$32, 12.4604, 12.456) * CHOOSE( CONTROL!$C$15, $D$11, 100%, $F$11)</f>
        <v>12.4604</v>
      </c>
      <c r="H514" s="4">
        <f>CHOOSE( CONTROL!$C$32, 13.3945, 13.3901) * CHOOSE(CONTROL!$C$15, $D$11, 100%, $F$11)</f>
        <v>13.394500000000001</v>
      </c>
      <c r="I514" s="8">
        <f>CHOOSE( CONTROL!$C$32, 12.3214, 12.317) * CHOOSE(CONTROL!$C$15, $D$11, 100%, $F$11)</f>
        <v>12.321400000000001</v>
      </c>
      <c r="J514" s="4">
        <f>CHOOSE( CONTROL!$C$32, 12.2515, 12.2471) * CHOOSE(CONTROL!$C$15, $D$11, 100%, $F$11)</f>
        <v>12.2515</v>
      </c>
      <c r="K514" s="4"/>
      <c r="L514" s="9">
        <v>28.568200000000001</v>
      </c>
      <c r="M514" s="9">
        <v>11.6745</v>
      </c>
      <c r="N514" s="9">
        <v>4.7850000000000001</v>
      </c>
      <c r="O514" s="9">
        <v>0.36249999999999999</v>
      </c>
      <c r="P514" s="9">
        <v>1.1798</v>
      </c>
      <c r="Q514" s="9">
        <v>19.053000000000001</v>
      </c>
      <c r="R514" s="9"/>
      <c r="S514" s="11"/>
    </row>
    <row r="515" spans="1:19" ht="15.75">
      <c r="A515" s="13">
        <v>57557</v>
      </c>
      <c r="B515" s="8">
        <f>CHOOSE( CONTROL!$C$32, 13.2391, 13.2346) * CHOOSE(CONTROL!$C$15, $D$11, 100%, $F$11)</f>
        <v>13.239100000000001</v>
      </c>
      <c r="C515" s="8">
        <f>CHOOSE( CONTROL!$C$32, 13.2495, 13.2449) * CHOOSE(CONTROL!$C$15, $D$11, 100%, $F$11)</f>
        <v>13.249499999999999</v>
      </c>
      <c r="D515" s="8">
        <f>CHOOSE( CONTROL!$C$32, 13.2603, 13.2558) * CHOOSE( CONTROL!$C$15, $D$11, 100%, $F$11)</f>
        <v>13.260300000000001</v>
      </c>
      <c r="E515" s="12">
        <f>CHOOSE( CONTROL!$C$32, 13.2548, 13.2503) * CHOOSE( CONTROL!$C$15, $D$11, 100%, $F$11)</f>
        <v>13.254799999999999</v>
      </c>
      <c r="F515" s="4">
        <f>CHOOSE( CONTROL!$C$32, 13.9274, 13.9229) * CHOOSE(CONTROL!$C$15, $D$11, 100%, $F$11)</f>
        <v>13.9274</v>
      </c>
      <c r="G515" s="8">
        <f>CHOOSE( CONTROL!$C$32, 12.9974, 12.9929) * CHOOSE( CONTROL!$C$15, $D$11, 100%, $F$11)</f>
        <v>12.997400000000001</v>
      </c>
      <c r="H515" s="4">
        <f>CHOOSE( CONTROL!$C$32, 13.9307, 13.9262) * CHOOSE(CONTROL!$C$15, $D$11, 100%, $F$11)</f>
        <v>13.9307</v>
      </c>
      <c r="I515" s="8">
        <f>CHOOSE( CONTROL!$C$32, 12.8513, 12.847) * CHOOSE(CONTROL!$C$15, $D$11, 100%, $F$11)</f>
        <v>12.8513</v>
      </c>
      <c r="J515" s="4">
        <f>CHOOSE( CONTROL!$C$32, 12.7785, 12.7741) * CHOOSE(CONTROL!$C$15, $D$11, 100%, $F$11)</f>
        <v>12.778499999999999</v>
      </c>
      <c r="K515" s="4"/>
      <c r="L515" s="9">
        <v>29.520499999999998</v>
      </c>
      <c r="M515" s="9">
        <v>12.063700000000001</v>
      </c>
      <c r="N515" s="9">
        <v>4.9444999999999997</v>
      </c>
      <c r="O515" s="9">
        <v>0.37459999999999999</v>
      </c>
      <c r="P515" s="9">
        <v>1.2192000000000001</v>
      </c>
      <c r="Q515" s="9">
        <v>19.688099999999999</v>
      </c>
      <c r="R515" s="9"/>
      <c r="S515" s="11"/>
    </row>
    <row r="516" spans="1:19" ht="15.75">
      <c r="A516" s="13">
        <v>57588</v>
      </c>
      <c r="B516" s="8">
        <f>CHOOSE( CONTROL!$C$32, 12.2195, 12.215) * CHOOSE(CONTROL!$C$15, $D$11, 100%, $F$11)</f>
        <v>12.2195</v>
      </c>
      <c r="C516" s="8">
        <f>CHOOSE( CONTROL!$C$32, 12.2299, 12.2253) * CHOOSE(CONTROL!$C$15, $D$11, 100%, $F$11)</f>
        <v>12.229900000000001</v>
      </c>
      <c r="D516" s="8">
        <f>CHOOSE( CONTROL!$C$32, 12.241, 12.2365) * CHOOSE( CONTROL!$C$15, $D$11, 100%, $F$11)</f>
        <v>12.241</v>
      </c>
      <c r="E516" s="12">
        <f>CHOOSE( CONTROL!$C$32, 12.2354, 12.2309) * CHOOSE( CONTROL!$C$15, $D$11, 100%, $F$11)</f>
        <v>12.2354</v>
      </c>
      <c r="F516" s="4">
        <f>CHOOSE( CONTROL!$C$32, 12.9078, 12.9033) * CHOOSE(CONTROL!$C$15, $D$11, 100%, $F$11)</f>
        <v>12.9078</v>
      </c>
      <c r="G516" s="8">
        <f>CHOOSE( CONTROL!$C$32, 11.9947, 11.9903) * CHOOSE( CONTROL!$C$15, $D$11, 100%, $F$11)</f>
        <v>11.9947</v>
      </c>
      <c r="H516" s="4">
        <f>CHOOSE( CONTROL!$C$32, 12.9275, 12.9231) * CHOOSE(CONTROL!$C$15, $D$11, 100%, $F$11)</f>
        <v>12.9275</v>
      </c>
      <c r="I516" s="8">
        <f>CHOOSE( CONTROL!$C$32, 11.8662, 11.8618) * CHOOSE(CONTROL!$C$15, $D$11, 100%, $F$11)</f>
        <v>11.866199999999999</v>
      </c>
      <c r="J516" s="4">
        <f>CHOOSE( CONTROL!$C$32, 11.7924, 11.788) * CHOOSE(CONTROL!$C$15, $D$11, 100%, $F$11)</f>
        <v>11.792400000000001</v>
      </c>
      <c r="K516" s="4"/>
      <c r="L516" s="9">
        <v>29.520499999999998</v>
      </c>
      <c r="M516" s="9">
        <v>12.063700000000001</v>
      </c>
      <c r="N516" s="9">
        <v>4.9444999999999997</v>
      </c>
      <c r="O516" s="9">
        <v>0.37459999999999999</v>
      </c>
      <c r="P516" s="9">
        <v>1.2192000000000001</v>
      </c>
      <c r="Q516" s="9">
        <v>19.688099999999999</v>
      </c>
      <c r="R516" s="9"/>
      <c r="S516" s="11"/>
    </row>
    <row r="517" spans="1:19" ht="15.75">
      <c r="A517" s="13">
        <v>57618</v>
      </c>
      <c r="B517" s="8">
        <f>CHOOSE( CONTROL!$C$32, 11.9642, 11.9597) * CHOOSE(CONTROL!$C$15, $D$11, 100%, $F$11)</f>
        <v>11.9642</v>
      </c>
      <c r="C517" s="8">
        <f>CHOOSE( CONTROL!$C$32, 11.9745, 11.97) * CHOOSE(CONTROL!$C$15, $D$11, 100%, $F$11)</f>
        <v>11.974500000000001</v>
      </c>
      <c r="D517" s="8">
        <f>CHOOSE( CONTROL!$C$32, 11.9858, 11.9813) * CHOOSE( CONTROL!$C$15, $D$11, 100%, $F$11)</f>
        <v>11.985799999999999</v>
      </c>
      <c r="E517" s="12">
        <f>CHOOSE( CONTROL!$C$32, 11.9801, 11.9756) * CHOOSE( CONTROL!$C$15, $D$11, 100%, $F$11)</f>
        <v>11.9801</v>
      </c>
      <c r="F517" s="4">
        <f>CHOOSE( CONTROL!$C$32, 12.6525, 12.648) * CHOOSE(CONTROL!$C$15, $D$11, 100%, $F$11)</f>
        <v>12.6525</v>
      </c>
      <c r="G517" s="8">
        <f>CHOOSE( CONTROL!$C$32, 11.7437, 11.7392) * CHOOSE( CONTROL!$C$15, $D$11, 100%, $F$11)</f>
        <v>11.7437</v>
      </c>
      <c r="H517" s="4">
        <f>CHOOSE( CONTROL!$C$32, 12.6763, 12.6719) * CHOOSE(CONTROL!$C$15, $D$11, 100%, $F$11)</f>
        <v>12.676299999999999</v>
      </c>
      <c r="I517" s="8">
        <f>CHOOSE( CONTROL!$C$32, 11.6196, 11.6152) * CHOOSE(CONTROL!$C$15, $D$11, 100%, $F$11)</f>
        <v>11.6196</v>
      </c>
      <c r="J517" s="4">
        <f>CHOOSE( CONTROL!$C$32, 11.5455, 11.5411) * CHOOSE(CONTROL!$C$15, $D$11, 100%, $F$11)</f>
        <v>11.545500000000001</v>
      </c>
      <c r="K517" s="4"/>
      <c r="L517" s="9">
        <v>28.568200000000001</v>
      </c>
      <c r="M517" s="9">
        <v>11.6745</v>
      </c>
      <c r="N517" s="9">
        <v>4.7850000000000001</v>
      </c>
      <c r="O517" s="9">
        <v>0.36249999999999999</v>
      </c>
      <c r="P517" s="9">
        <v>1.1798</v>
      </c>
      <c r="Q517" s="9">
        <v>19.053000000000001</v>
      </c>
      <c r="R517" s="9"/>
      <c r="S517" s="11"/>
    </row>
    <row r="518" spans="1:19" ht="15.75">
      <c r="A518" s="13">
        <v>57649</v>
      </c>
      <c r="B518" s="8">
        <f>12.4898 * CHOOSE(CONTROL!$C$15, $D$11, 100%, $F$11)</f>
        <v>12.489800000000001</v>
      </c>
      <c r="C518" s="8">
        <f>12.5001 * CHOOSE(CONTROL!$C$15, $D$11, 100%, $F$11)</f>
        <v>12.5001</v>
      </c>
      <c r="D518" s="8">
        <f>12.5126 * CHOOSE( CONTROL!$C$15, $D$11, 100%, $F$11)</f>
        <v>12.512600000000001</v>
      </c>
      <c r="E518" s="12">
        <f>12.5074 * CHOOSE( CONTROL!$C$15, $D$11, 100%, $F$11)</f>
        <v>12.507400000000001</v>
      </c>
      <c r="F518" s="4">
        <f>13.1781 * CHOOSE(CONTROL!$C$15, $D$11, 100%, $F$11)</f>
        <v>13.178100000000001</v>
      </c>
      <c r="G518" s="8">
        <f>12.2602 * CHOOSE( CONTROL!$C$15, $D$11, 100%, $F$11)</f>
        <v>12.260199999999999</v>
      </c>
      <c r="H518" s="4">
        <f>13.1935 * CHOOSE(CONTROL!$C$15, $D$11, 100%, $F$11)</f>
        <v>13.1935</v>
      </c>
      <c r="I518" s="8">
        <f>12.1294 * CHOOSE(CONTROL!$C$15, $D$11, 100%, $F$11)</f>
        <v>12.1294</v>
      </c>
      <c r="J518" s="4">
        <f>12.0538 * CHOOSE(CONTROL!$C$15, $D$11, 100%, $F$11)</f>
        <v>12.053800000000001</v>
      </c>
      <c r="K518" s="4"/>
      <c r="L518" s="9">
        <v>28.921800000000001</v>
      </c>
      <c r="M518" s="9">
        <v>12.063700000000001</v>
      </c>
      <c r="N518" s="9">
        <v>4.9444999999999997</v>
      </c>
      <c r="O518" s="9">
        <v>0.37459999999999999</v>
      </c>
      <c r="P518" s="9">
        <v>1.2192000000000001</v>
      </c>
      <c r="Q518" s="9">
        <v>19.688099999999999</v>
      </c>
      <c r="R518" s="9"/>
      <c r="S518" s="11"/>
    </row>
    <row r="519" spans="1:19" ht="15.75">
      <c r="A519" s="13">
        <v>57679</v>
      </c>
      <c r="B519" s="8">
        <f>13.4683 * CHOOSE(CONTROL!$C$15, $D$11, 100%, $F$11)</f>
        <v>13.468299999999999</v>
      </c>
      <c r="C519" s="8">
        <f>13.4787 * CHOOSE(CONTROL!$C$15, $D$11, 100%, $F$11)</f>
        <v>13.4787</v>
      </c>
      <c r="D519" s="8">
        <f>13.4647 * CHOOSE( CONTROL!$C$15, $D$11, 100%, $F$11)</f>
        <v>13.464700000000001</v>
      </c>
      <c r="E519" s="12">
        <f>13.4687 * CHOOSE( CONTROL!$C$15, $D$11, 100%, $F$11)</f>
        <v>13.4687</v>
      </c>
      <c r="F519" s="4">
        <f>14.1226 * CHOOSE(CONTROL!$C$15, $D$11, 100%, $F$11)</f>
        <v>14.1226</v>
      </c>
      <c r="G519" s="8">
        <f>13.2401 * CHOOSE( CONTROL!$C$15, $D$11, 100%, $F$11)</f>
        <v>13.2401</v>
      </c>
      <c r="H519" s="4">
        <f>14.1227 * CHOOSE(CONTROL!$C$15, $D$11, 100%, $F$11)</f>
        <v>14.1227</v>
      </c>
      <c r="I519" s="8">
        <f>13.1093 * CHOOSE(CONTROL!$C$15, $D$11, 100%, $F$11)</f>
        <v>13.109299999999999</v>
      </c>
      <c r="J519" s="4">
        <f>13.0001 * CHOOSE(CONTROL!$C$15, $D$11, 100%, $F$11)</f>
        <v>13.0001</v>
      </c>
      <c r="K519" s="4"/>
      <c r="L519" s="9">
        <v>26.515499999999999</v>
      </c>
      <c r="M519" s="9">
        <v>11.6745</v>
      </c>
      <c r="N519" s="9">
        <v>4.7850000000000001</v>
      </c>
      <c r="O519" s="9">
        <v>0.36249999999999999</v>
      </c>
      <c r="P519" s="9">
        <v>1.2522</v>
      </c>
      <c r="Q519" s="9">
        <v>19.053000000000001</v>
      </c>
      <c r="R519" s="9"/>
      <c r="S519" s="11"/>
    </row>
    <row r="520" spans="1:19" ht="15.75">
      <c r="A520" s="13">
        <v>57710</v>
      </c>
      <c r="B520" s="8">
        <f>13.4439 * CHOOSE(CONTROL!$C$15, $D$11, 100%, $F$11)</f>
        <v>13.443899999999999</v>
      </c>
      <c r="C520" s="8">
        <f>13.4542 * CHOOSE(CONTROL!$C$15, $D$11, 100%, $F$11)</f>
        <v>13.4542</v>
      </c>
      <c r="D520" s="8">
        <f>13.4427 * CHOOSE( CONTROL!$C$15, $D$11, 100%, $F$11)</f>
        <v>13.4427</v>
      </c>
      <c r="E520" s="12">
        <f>13.4458 * CHOOSE( CONTROL!$C$15, $D$11, 100%, $F$11)</f>
        <v>13.4458</v>
      </c>
      <c r="F520" s="4">
        <f>14.0981 * CHOOSE(CONTROL!$C$15, $D$11, 100%, $F$11)</f>
        <v>14.098100000000001</v>
      </c>
      <c r="G520" s="8">
        <f>13.2179 * CHOOSE( CONTROL!$C$15, $D$11, 100%, $F$11)</f>
        <v>13.2179</v>
      </c>
      <c r="H520" s="4">
        <f>14.0986 * CHOOSE(CONTROL!$C$15, $D$11, 100%, $F$11)</f>
        <v>14.098599999999999</v>
      </c>
      <c r="I520" s="8">
        <f>13.0936 * CHOOSE(CONTROL!$C$15, $D$11, 100%, $F$11)</f>
        <v>13.0936</v>
      </c>
      <c r="J520" s="4">
        <f>12.9765 * CHOOSE(CONTROL!$C$15, $D$11, 100%, $F$11)</f>
        <v>12.9765</v>
      </c>
      <c r="K520" s="4"/>
      <c r="L520" s="9">
        <v>27.3993</v>
      </c>
      <c r="M520" s="9">
        <v>12.063700000000001</v>
      </c>
      <c r="N520" s="9">
        <v>4.9444999999999997</v>
      </c>
      <c r="O520" s="9">
        <v>0.37459999999999999</v>
      </c>
      <c r="P520" s="9">
        <v>1.2939000000000001</v>
      </c>
      <c r="Q520" s="9">
        <v>19.688099999999999</v>
      </c>
      <c r="R520" s="9"/>
      <c r="S520" s="11"/>
    </row>
    <row r="521" spans="1:19" ht="15.75">
      <c r="A521" s="13">
        <v>57741</v>
      </c>
      <c r="B521" s="8">
        <f>13.9567 * CHOOSE(CONTROL!$C$15, $D$11, 100%, $F$11)</f>
        <v>13.9567</v>
      </c>
      <c r="C521" s="8">
        <f>13.9671 * CHOOSE(CONTROL!$C$15, $D$11, 100%, $F$11)</f>
        <v>13.9671</v>
      </c>
      <c r="D521" s="8">
        <f>13.9655 * CHOOSE( CONTROL!$C$15, $D$11, 100%, $F$11)</f>
        <v>13.9655</v>
      </c>
      <c r="E521" s="12">
        <f>13.965 * CHOOSE( CONTROL!$C$15, $D$11, 100%, $F$11)</f>
        <v>13.965</v>
      </c>
      <c r="F521" s="4">
        <f>14.6394 * CHOOSE(CONTROL!$C$15, $D$11, 100%, $F$11)</f>
        <v>14.6394</v>
      </c>
      <c r="G521" s="8">
        <f>13.7327 * CHOOSE( CONTROL!$C$15, $D$11, 100%, $F$11)</f>
        <v>13.732699999999999</v>
      </c>
      <c r="H521" s="4">
        <f>14.6311 * CHOOSE(CONTROL!$C$15, $D$11, 100%, $F$11)</f>
        <v>14.6311</v>
      </c>
      <c r="I521" s="8">
        <f>13.5878 * CHOOSE(CONTROL!$C$15, $D$11, 100%, $F$11)</f>
        <v>13.5878</v>
      </c>
      <c r="J521" s="4">
        <f>13.4724 * CHOOSE(CONTROL!$C$15, $D$11, 100%, $F$11)</f>
        <v>13.4724</v>
      </c>
      <c r="K521" s="4"/>
      <c r="L521" s="9">
        <v>27.3993</v>
      </c>
      <c r="M521" s="9">
        <v>12.063700000000001</v>
      </c>
      <c r="N521" s="9">
        <v>4.9444999999999997</v>
      </c>
      <c r="O521" s="9">
        <v>0.37459999999999999</v>
      </c>
      <c r="P521" s="9">
        <v>1.2939000000000001</v>
      </c>
      <c r="Q521" s="9">
        <v>19.688099999999999</v>
      </c>
      <c r="R521" s="9"/>
      <c r="S521" s="11"/>
    </row>
    <row r="522" spans="1:19" ht="15.75">
      <c r="A522" s="13">
        <v>57769</v>
      </c>
      <c r="B522" s="8">
        <f>13.0561 * CHOOSE(CONTROL!$C$15, $D$11, 100%, $F$11)</f>
        <v>13.056100000000001</v>
      </c>
      <c r="C522" s="8">
        <f>13.0665 * CHOOSE(CONTROL!$C$15, $D$11, 100%, $F$11)</f>
        <v>13.0665</v>
      </c>
      <c r="D522" s="8">
        <f>13.067 * CHOOSE( CONTROL!$C$15, $D$11, 100%, $F$11)</f>
        <v>13.067</v>
      </c>
      <c r="E522" s="12">
        <f>13.0657 * CHOOSE( CONTROL!$C$15, $D$11, 100%, $F$11)</f>
        <v>13.0657</v>
      </c>
      <c r="F522" s="4">
        <f>13.731 * CHOOSE(CONTROL!$C$15, $D$11, 100%, $F$11)</f>
        <v>13.731</v>
      </c>
      <c r="G522" s="8">
        <f>12.8464 * CHOOSE( CONTROL!$C$15, $D$11, 100%, $F$11)</f>
        <v>12.846399999999999</v>
      </c>
      <c r="H522" s="4">
        <f>13.7375 * CHOOSE(CONTROL!$C$15, $D$11, 100%, $F$11)</f>
        <v>13.737500000000001</v>
      </c>
      <c r="I522" s="8">
        <f>12.7054 * CHOOSE(CONTROL!$C$15, $D$11, 100%, $F$11)</f>
        <v>12.705399999999999</v>
      </c>
      <c r="J522" s="4">
        <f>12.6015 * CHOOSE(CONTROL!$C$15, $D$11, 100%, $F$11)</f>
        <v>12.6015</v>
      </c>
      <c r="K522" s="4"/>
      <c r="L522" s="9">
        <v>24.747800000000002</v>
      </c>
      <c r="M522" s="9">
        <v>10.8962</v>
      </c>
      <c r="N522" s="9">
        <v>4.4660000000000002</v>
      </c>
      <c r="O522" s="9">
        <v>0.33829999999999999</v>
      </c>
      <c r="P522" s="9">
        <v>1.1687000000000001</v>
      </c>
      <c r="Q522" s="9">
        <v>17.782800000000002</v>
      </c>
      <c r="R522" s="9"/>
      <c r="S522" s="11"/>
    </row>
    <row r="523" spans="1:19" ht="15.75">
      <c r="A523" s="13">
        <v>57800</v>
      </c>
      <c r="B523" s="8">
        <f>12.7787 * CHOOSE(CONTROL!$C$15, $D$11, 100%, $F$11)</f>
        <v>12.778700000000001</v>
      </c>
      <c r="C523" s="8">
        <f>12.7891 * CHOOSE(CONTROL!$C$15, $D$11, 100%, $F$11)</f>
        <v>12.789099999999999</v>
      </c>
      <c r="D523" s="8">
        <f>12.7691 * CHOOSE( CONTROL!$C$15, $D$11, 100%, $F$11)</f>
        <v>12.7691</v>
      </c>
      <c r="E523" s="12">
        <f>12.7753 * CHOOSE( CONTROL!$C$15, $D$11, 100%, $F$11)</f>
        <v>12.7753</v>
      </c>
      <c r="F523" s="4">
        <f>13.4376 * CHOOSE(CONTROL!$C$15, $D$11, 100%, $F$11)</f>
        <v>13.4376</v>
      </c>
      <c r="G523" s="8">
        <f>12.5528 * CHOOSE( CONTROL!$C$15, $D$11, 100%, $F$11)</f>
        <v>12.5528</v>
      </c>
      <c r="H523" s="4">
        <f>13.4488 * CHOOSE(CONTROL!$C$15, $D$11, 100%, $F$11)</f>
        <v>13.4488</v>
      </c>
      <c r="I523" s="8">
        <f>12.3975 * CHOOSE(CONTROL!$C$15, $D$11, 100%, $F$11)</f>
        <v>12.397500000000001</v>
      </c>
      <c r="J523" s="4">
        <f>12.3332 * CHOOSE(CONTROL!$C$15, $D$11, 100%, $F$11)</f>
        <v>12.3332</v>
      </c>
      <c r="K523" s="4"/>
      <c r="L523" s="9">
        <v>27.3993</v>
      </c>
      <c r="M523" s="9">
        <v>12.063700000000001</v>
      </c>
      <c r="N523" s="9">
        <v>4.9444999999999997</v>
      </c>
      <c r="O523" s="9">
        <v>0.37459999999999999</v>
      </c>
      <c r="P523" s="9">
        <v>1.2939000000000001</v>
      </c>
      <c r="Q523" s="9">
        <v>19.688099999999999</v>
      </c>
      <c r="R523" s="9"/>
      <c r="S523" s="11"/>
    </row>
    <row r="524" spans="1:19" ht="15.75">
      <c r="A524" s="13">
        <v>57830</v>
      </c>
      <c r="B524" s="8">
        <f>12.9726 * CHOOSE(CONTROL!$C$15, $D$11, 100%, $F$11)</f>
        <v>12.9726</v>
      </c>
      <c r="C524" s="8">
        <f>12.9829 * CHOOSE(CONTROL!$C$15, $D$11, 100%, $F$11)</f>
        <v>12.982900000000001</v>
      </c>
      <c r="D524" s="8">
        <f>12.9744 * CHOOSE( CONTROL!$C$15, $D$11, 100%, $F$11)</f>
        <v>12.974399999999999</v>
      </c>
      <c r="E524" s="12">
        <f>12.976 * CHOOSE( CONTROL!$C$15, $D$11, 100%, $F$11)</f>
        <v>12.976000000000001</v>
      </c>
      <c r="F524" s="4">
        <f>13.6216 * CHOOSE(CONTROL!$C$15, $D$11, 100%, $F$11)</f>
        <v>13.621600000000001</v>
      </c>
      <c r="G524" s="8">
        <f>12.7283 * CHOOSE( CONTROL!$C$15, $D$11, 100%, $F$11)</f>
        <v>12.728300000000001</v>
      </c>
      <c r="H524" s="4">
        <f>13.6298 * CHOOSE(CONTROL!$C$15, $D$11, 100%, $F$11)</f>
        <v>13.629799999999999</v>
      </c>
      <c r="I524" s="8">
        <f>12.5819 * CHOOSE(CONTROL!$C$15, $D$11, 100%, $F$11)</f>
        <v>12.581899999999999</v>
      </c>
      <c r="J524" s="4">
        <f>12.5207 * CHOOSE(CONTROL!$C$15, $D$11, 100%, $F$11)</f>
        <v>12.5207</v>
      </c>
      <c r="K524" s="4"/>
      <c r="L524" s="9">
        <v>27.988800000000001</v>
      </c>
      <c r="M524" s="9">
        <v>11.6745</v>
      </c>
      <c r="N524" s="9">
        <v>4.7850000000000001</v>
      </c>
      <c r="O524" s="9">
        <v>0.36249999999999999</v>
      </c>
      <c r="P524" s="9">
        <v>1.1798</v>
      </c>
      <c r="Q524" s="9">
        <v>19.053000000000001</v>
      </c>
      <c r="R524" s="9"/>
      <c r="S524" s="11"/>
    </row>
    <row r="525" spans="1:19" ht="15.75">
      <c r="A525" s="13">
        <v>57861</v>
      </c>
      <c r="B525" s="8">
        <f>CHOOSE( CONTROL!$C$32, 13.3221, 13.3175) * CHOOSE(CONTROL!$C$15, $D$11, 100%, $F$11)</f>
        <v>13.322100000000001</v>
      </c>
      <c r="C525" s="8">
        <f>CHOOSE( CONTROL!$C$32, 13.3324, 13.3279) * CHOOSE(CONTROL!$C$15, $D$11, 100%, $F$11)</f>
        <v>13.3324</v>
      </c>
      <c r="D525" s="8">
        <f>CHOOSE( CONTROL!$C$32, 13.3421, 13.3376) * CHOOSE( CONTROL!$C$15, $D$11, 100%, $F$11)</f>
        <v>13.3421</v>
      </c>
      <c r="E525" s="12">
        <f>CHOOSE( CONTROL!$C$32, 13.337, 13.3325) * CHOOSE( CONTROL!$C$15, $D$11, 100%, $F$11)</f>
        <v>13.337</v>
      </c>
      <c r="F525" s="4">
        <f>CHOOSE( CONTROL!$C$32, 14.0103, 14.0058) * CHOOSE(CONTROL!$C$15, $D$11, 100%, $F$11)</f>
        <v>14.010300000000001</v>
      </c>
      <c r="G525" s="8">
        <f>CHOOSE( CONTROL!$C$32, 13.0772, 13.0728) * CHOOSE( CONTROL!$C$15, $D$11, 100%, $F$11)</f>
        <v>13.077199999999999</v>
      </c>
      <c r="H525" s="4">
        <f>CHOOSE( CONTROL!$C$32, 14.0122, 14.0078) * CHOOSE(CONTROL!$C$15, $D$11, 100%, $F$11)</f>
        <v>14.0122</v>
      </c>
      <c r="I525" s="8">
        <f>CHOOSE( CONTROL!$C$32, 12.9259, 12.9215) * CHOOSE(CONTROL!$C$15, $D$11, 100%, $F$11)</f>
        <v>12.9259</v>
      </c>
      <c r="J525" s="4">
        <f>CHOOSE( CONTROL!$C$32, 12.8586, 12.8543) * CHOOSE(CONTROL!$C$15, $D$11, 100%, $F$11)</f>
        <v>12.858599999999999</v>
      </c>
      <c r="K525" s="4"/>
      <c r="L525" s="9">
        <v>29.520499999999998</v>
      </c>
      <c r="M525" s="9">
        <v>12.063700000000001</v>
      </c>
      <c r="N525" s="9">
        <v>4.9444999999999997</v>
      </c>
      <c r="O525" s="9">
        <v>0.37459999999999999</v>
      </c>
      <c r="P525" s="9">
        <v>1.2192000000000001</v>
      </c>
      <c r="Q525" s="9">
        <v>19.688099999999999</v>
      </c>
      <c r="R525" s="9"/>
      <c r="S525" s="11"/>
    </row>
    <row r="526" spans="1:19" ht="15.75">
      <c r="A526" s="13">
        <v>57891</v>
      </c>
      <c r="B526" s="8">
        <f>CHOOSE( CONTROL!$C$32, 13.1084, 13.1038) * CHOOSE(CONTROL!$C$15, $D$11, 100%, $F$11)</f>
        <v>13.1084</v>
      </c>
      <c r="C526" s="8">
        <f>CHOOSE( CONTROL!$C$32, 13.1187, 13.1142) * CHOOSE(CONTROL!$C$15, $D$11, 100%, $F$11)</f>
        <v>13.1187</v>
      </c>
      <c r="D526" s="8">
        <f>CHOOSE( CONTROL!$C$32, 13.129, 13.1245) * CHOOSE( CONTROL!$C$15, $D$11, 100%, $F$11)</f>
        <v>13.129</v>
      </c>
      <c r="E526" s="12">
        <f>CHOOSE( CONTROL!$C$32, 13.1237, 13.1192) * CHOOSE( CONTROL!$C$15, $D$11, 100%, $F$11)</f>
        <v>13.123699999999999</v>
      </c>
      <c r="F526" s="4">
        <f>CHOOSE( CONTROL!$C$32, 13.7966, 13.7921) * CHOOSE(CONTROL!$C$15, $D$11, 100%, $F$11)</f>
        <v>13.7966</v>
      </c>
      <c r="G526" s="8">
        <f>CHOOSE( CONTROL!$C$32, 12.8679, 12.8634) * CHOOSE( CONTROL!$C$15, $D$11, 100%, $F$11)</f>
        <v>12.867900000000001</v>
      </c>
      <c r="H526" s="4">
        <f>CHOOSE( CONTROL!$C$32, 13.802, 13.7975) * CHOOSE(CONTROL!$C$15, $D$11, 100%, $F$11)</f>
        <v>13.802</v>
      </c>
      <c r="I526" s="8">
        <f>CHOOSE( CONTROL!$C$32, 12.7221, 12.7177) * CHOOSE(CONTROL!$C$15, $D$11, 100%, $F$11)</f>
        <v>12.722099999999999</v>
      </c>
      <c r="J526" s="4">
        <f>CHOOSE( CONTROL!$C$32, 12.652, 12.6476) * CHOOSE(CONTROL!$C$15, $D$11, 100%, $F$11)</f>
        <v>12.651999999999999</v>
      </c>
      <c r="K526" s="4"/>
      <c r="L526" s="9">
        <v>28.568200000000001</v>
      </c>
      <c r="M526" s="9">
        <v>11.6745</v>
      </c>
      <c r="N526" s="9">
        <v>4.7850000000000001</v>
      </c>
      <c r="O526" s="9">
        <v>0.36249999999999999</v>
      </c>
      <c r="P526" s="9">
        <v>1.1798</v>
      </c>
      <c r="Q526" s="9">
        <v>19.053000000000001</v>
      </c>
      <c r="R526" s="9"/>
      <c r="S526" s="11"/>
    </row>
    <row r="527" spans="1:19" ht="15.75">
      <c r="A527" s="13">
        <v>57922</v>
      </c>
      <c r="B527" s="8">
        <f>CHOOSE( CONTROL!$C$32, 13.6711, 13.6666) * CHOOSE(CONTROL!$C$15, $D$11, 100%, $F$11)</f>
        <v>13.671099999999999</v>
      </c>
      <c r="C527" s="8">
        <f>CHOOSE( CONTROL!$C$32, 13.6814, 13.6769) * CHOOSE(CONTROL!$C$15, $D$11, 100%, $F$11)</f>
        <v>13.6814</v>
      </c>
      <c r="D527" s="8">
        <f>CHOOSE( CONTROL!$C$32, 13.6923, 13.6878) * CHOOSE( CONTROL!$C$15, $D$11, 100%, $F$11)</f>
        <v>13.692299999999999</v>
      </c>
      <c r="E527" s="12">
        <f>CHOOSE( CONTROL!$C$32, 13.6868, 13.6823) * CHOOSE( CONTROL!$C$15, $D$11, 100%, $F$11)</f>
        <v>13.6868</v>
      </c>
      <c r="F527" s="4">
        <f>CHOOSE( CONTROL!$C$32, 14.3594, 14.3549) * CHOOSE(CONTROL!$C$15, $D$11, 100%, $F$11)</f>
        <v>14.359400000000001</v>
      </c>
      <c r="G527" s="8">
        <f>CHOOSE( CONTROL!$C$32, 13.4224, 13.4179) * CHOOSE( CONTROL!$C$15, $D$11, 100%, $F$11)</f>
        <v>13.4224</v>
      </c>
      <c r="H527" s="4">
        <f>CHOOSE( CONTROL!$C$32, 14.3556, 14.3512) * CHOOSE(CONTROL!$C$15, $D$11, 100%, $F$11)</f>
        <v>14.355600000000001</v>
      </c>
      <c r="I527" s="8">
        <f>CHOOSE( CONTROL!$C$32, 13.2693, 13.2649) * CHOOSE(CONTROL!$C$15, $D$11, 100%, $F$11)</f>
        <v>13.269299999999999</v>
      </c>
      <c r="J527" s="4">
        <f>CHOOSE( CONTROL!$C$32, 13.1962, 13.1918) * CHOOSE(CONTROL!$C$15, $D$11, 100%, $F$11)</f>
        <v>13.196199999999999</v>
      </c>
      <c r="K527" s="4"/>
      <c r="L527" s="9">
        <v>29.520499999999998</v>
      </c>
      <c r="M527" s="9">
        <v>12.063700000000001</v>
      </c>
      <c r="N527" s="9">
        <v>4.9444999999999997</v>
      </c>
      <c r="O527" s="9">
        <v>0.37459999999999999</v>
      </c>
      <c r="P527" s="9">
        <v>1.2192000000000001</v>
      </c>
      <c r="Q527" s="9">
        <v>19.688099999999999</v>
      </c>
      <c r="R527" s="9"/>
      <c r="S527" s="11"/>
    </row>
    <row r="528" spans="1:19" ht="15.75">
      <c r="A528" s="13">
        <v>57953</v>
      </c>
      <c r="B528" s="8">
        <f>CHOOSE( CONTROL!$C$32, 12.6181, 12.6136) * CHOOSE(CONTROL!$C$15, $D$11, 100%, $F$11)</f>
        <v>12.6181</v>
      </c>
      <c r="C528" s="8">
        <f>CHOOSE( CONTROL!$C$32, 12.6285, 12.624) * CHOOSE(CONTROL!$C$15, $D$11, 100%, $F$11)</f>
        <v>12.628500000000001</v>
      </c>
      <c r="D528" s="8">
        <f>CHOOSE( CONTROL!$C$32, 12.6397, 12.6351) * CHOOSE( CONTROL!$C$15, $D$11, 100%, $F$11)</f>
        <v>12.639699999999999</v>
      </c>
      <c r="E528" s="12">
        <f>CHOOSE( CONTROL!$C$32, 12.6341, 12.6295) * CHOOSE( CONTROL!$C$15, $D$11, 100%, $F$11)</f>
        <v>12.6341</v>
      </c>
      <c r="F528" s="4">
        <f>CHOOSE( CONTROL!$C$32, 13.3064, 13.3019) * CHOOSE(CONTROL!$C$15, $D$11, 100%, $F$11)</f>
        <v>13.3064</v>
      </c>
      <c r="G528" s="8">
        <f>CHOOSE( CONTROL!$C$32, 12.3869, 12.3824) * CHOOSE( CONTROL!$C$15, $D$11, 100%, $F$11)</f>
        <v>12.386900000000001</v>
      </c>
      <c r="H528" s="4">
        <f>CHOOSE( CONTROL!$C$32, 13.3197, 13.3153) * CHOOSE(CONTROL!$C$15, $D$11, 100%, $F$11)</f>
        <v>13.319699999999999</v>
      </c>
      <c r="I528" s="8">
        <f>CHOOSE( CONTROL!$C$32, 12.2519, 12.2475) * CHOOSE(CONTROL!$C$15, $D$11, 100%, $F$11)</f>
        <v>12.251899999999999</v>
      </c>
      <c r="J528" s="4">
        <f>CHOOSE( CONTROL!$C$32, 12.1779, 12.1735) * CHOOSE(CONTROL!$C$15, $D$11, 100%, $F$11)</f>
        <v>12.177899999999999</v>
      </c>
      <c r="K528" s="4"/>
      <c r="L528" s="9">
        <v>29.520499999999998</v>
      </c>
      <c r="M528" s="9">
        <v>12.063700000000001</v>
      </c>
      <c r="N528" s="9">
        <v>4.9444999999999997</v>
      </c>
      <c r="O528" s="9">
        <v>0.37459999999999999</v>
      </c>
      <c r="P528" s="9">
        <v>1.2192000000000001</v>
      </c>
      <c r="Q528" s="9">
        <v>19.688099999999999</v>
      </c>
      <c r="R528" s="9"/>
      <c r="S528" s="11"/>
    </row>
    <row r="529" spans="1:19" ht="15.75">
      <c r="A529" s="13">
        <v>57983</v>
      </c>
      <c r="B529" s="8">
        <f>CHOOSE( CONTROL!$C$32, 12.3545, 12.3499) * CHOOSE(CONTROL!$C$15, $D$11, 100%, $F$11)</f>
        <v>12.3545</v>
      </c>
      <c r="C529" s="8">
        <f>CHOOSE( CONTROL!$C$32, 12.3648, 12.3603) * CHOOSE(CONTROL!$C$15, $D$11, 100%, $F$11)</f>
        <v>12.364800000000001</v>
      </c>
      <c r="D529" s="8">
        <f>CHOOSE( CONTROL!$C$32, 12.3761, 12.3715) * CHOOSE( CONTROL!$C$15, $D$11, 100%, $F$11)</f>
        <v>12.376099999999999</v>
      </c>
      <c r="E529" s="12">
        <f>CHOOSE( CONTROL!$C$32, 12.3704, 12.3659) * CHOOSE( CONTROL!$C$15, $D$11, 100%, $F$11)</f>
        <v>12.3704</v>
      </c>
      <c r="F529" s="4">
        <f>CHOOSE( CONTROL!$C$32, 13.0428, 13.0382) * CHOOSE(CONTROL!$C$15, $D$11, 100%, $F$11)</f>
        <v>13.0428</v>
      </c>
      <c r="G529" s="8">
        <f>CHOOSE( CONTROL!$C$32, 12.1276, 12.1232) * CHOOSE( CONTROL!$C$15, $D$11, 100%, $F$11)</f>
        <v>12.127599999999999</v>
      </c>
      <c r="H529" s="4">
        <f>CHOOSE( CONTROL!$C$32, 13.0603, 13.0559) * CHOOSE(CONTROL!$C$15, $D$11, 100%, $F$11)</f>
        <v>13.0603</v>
      </c>
      <c r="I529" s="8">
        <f>CHOOSE( CONTROL!$C$32, 11.9972, 11.9928) * CHOOSE(CONTROL!$C$15, $D$11, 100%, $F$11)</f>
        <v>11.997199999999999</v>
      </c>
      <c r="J529" s="4">
        <f>CHOOSE( CONTROL!$C$32, 11.9229, 11.9185) * CHOOSE(CONTROL!$C$15, $D$11, 100%, $F$11)</f>
        <v>11.9229</v>
      </c>
      <c r="K529" s="4"/>
      <c r="L529" s="9">
        <v>28.568200000000001</v>
      </c>
      <c r="M529" s="9">
        <v>11.6745</v>
      </c>
      <c r="N529" s="9">
        <v>4.7850000000000001</v>
      </c>
      <c r="O529" s="9">
        <v>0.36249999999999999</v>
      </c>
      <c r="P529" s="9">
        <v>1.1798</v>
      </c>
      <c r="Q529" s="9">
        <v>19.053000000000001</v>
      </c>
      <c r="R529" s="9"/>
      <c r="S529" s="11"/>
    </row>
    <row r="530" spans="1:19" ht="15.75">
      <c r="A530" s="13">
        <v>58014</v>
      </c>
      <c r="B530" s="8">
        <f>12.8974 * CHOOSE(CONTROL!$C$15, $D$11, 100%, $F$11)</f>
        <v>12.897399999999999</v>
      </c>
      <c r="C530" s="8">
        <f>12.9078 * CHOOSE(CONTROL!$C$15, $D$11, 100%, $F$11)</f>
        <v>12.9078</v>
      </c>
      <c r="D530" s="8">
        <f>12.9202 * CHOOSE( CONTROL!$C$15, $D$11, 100%, $F$11)</f>
        <v>12.920199999999999</v>
      </c>
      <c r="E530" s="12">
        <f>12.915 * CHOOSE( CONTROL!$C$15, $D$11, 100%, $F$11)</f>
        <v>12.914999999999999</v>
      </c>
      <c r="F530" s="4">
        <f>13.5857 * CHOOSE(CONTROL!$C$15, $D$11, 100%, $F$11)</f>
        <v>13.585699999999999</v>
      </c>
      <c r="G530" s="8">
        <f>12.6613 * CHOOSE( CONTROL!$C$15, $D$11, 100%, $F$11)</f>
        <v>12.661300000000001</v>
      </c>
      <c r="H530" s="4">
        <f>13.5945 * CHOOSE(CONTROL!$C$15, $D$11, 100%, $F$11)</f>
        <v>13.5945</v>
      </c>
      <c r="I530" s="8">
        <f>12.5238 * CHOOSE(CONTROL!$C$15, $D$11, 100%, $F$11)</f>
        <v>12.5238</v>
      </c>
      <c r="J530" s="4">
        <f>12.448 * CHOOSE(CONTROL!$C$15, $D$11, 100%, $F$11)</f>
        <v>12.448</v>
      </c>
      <c r="K530" s="4"/>
      <c r="L530" s="9">
        <v>28.921800000000001</v>
      </c>
      <c r="M530" s="9">
        <v>12.063700000000001</v>
      </c>
      <c r="N530" s="9">
        <v>4.9444999999999997</v>
      </c>
      <c r="O530" s="9">
        <v>0.37459999999999999</v>
      </c>
      <c r="P530" s="9">
        <v>1.2192000000000001</v>
      </c>
      <c r="Q530" s="9">
        <v>19.688099999999999</v>
      </c>
      <c r="R530" s="9"/>
      <c r="S530" s="11"/>
    </row>
    <row r="531" spans="1:19" ht="15.75">
      <c r="A531" s="13">
        <v>58044</v>
      </c>
      <c r="B531" s="8">
        <f>13.9079 * CHOOSE(CONTROL!$C$15, $D$11, 100%, $F$11)</f>
        <v>13.9079</v>
      </c>
      <c r="C531" s="8">
        <f>13.9183 * CHOOSE(CONTROL!$C$15, $D$11, 100%, $F$11)</f>
        <v>13.9183</v>
      </c>
      <c r="D531" s="8">
        <f>13.9043 * CHOOSE( CONTROL!$C$15, $D$11, 100%, $F$11)</f>
        <v>13.904299999999999</v>
      </c>
      <c r="E531" s="12">
        <f>13.9083 * CHOOSE( CONTROL!$C$15, $D$11, 100%, $F$11)</f>
        <v>13.908300000000001</v>
      </c>
      <c r="F531" s="4">
        <f>14.5622 * CHOOSE(CONTROL!$C$15, $D$11, 100%, $F$11)</f>
        <v>14.562200000000001</v>
      </c>
      <c r="G531" s="8">
        <f>13.6726 * CHOOSE( CONTROL!$C$15, $D$11, 100%, $F$11)</f>
        <v>13.672599999999999</v>
      </c>
      <c r="H531" s="4">
        <f>14.5552 * CHOOSE(CONTROL!$C$15, $D$11, 100%, $F$11)</f>
        <v>14.555199999999999</v>
      </c>
      <c r="I531" s="8">
        <f>13.5346 * CHOOSE(CONTROL!$C$15, $D$11, 100%, $F$11)</f>
        <v>13.534599999999999</v>
      </c>
      <c r="J531" s="4">
        <f>13.4253 * CHOOSE(CONTROL!$C$15, $D$11, 100%, $F$11)</f>
        <v>13.4253</v>
      </c>
      <c r="K531" s="4"/>
      <c r="L531" s="9">
        <v>26.515499999999999</v>
      </c>
      <c r="M531" s="9">
        <v>11.6745</v>
      </c>
      <c r="N531" s="9">
        <v>4.7850000000000001</v>
      </c>
      <c r="O531" s="9">
        <v>0.36249999999999999</v>
      </c>
      <c r="P531" s="9">
        <v>1.2522</v>
      </c>
      <c r="Q531" s="9">
        <v>19.053000000000001</v>
      </c>
      <c r="R531" s="9"/>
      <c r="S531" s="11"/>
    </row>
    <row r="532" spans="1:19" ht="15.75">
      <c r="A532" s="13">
        <v>58075</v>
      </c>
      <c r="B532" s="8">
        <f>13.8827 * CHOOSE(CONTROL!$C$15, $D$11, 100%, $F$11)</f>
        <v>13.8827</v>
      </c>
      <c r="C532" s="8">
        <f>13.893 * CHOOSE(CONTROL!$C$15, $D$11, 100%, $F$11)</f>
        <v>13.893000000000001</v>
      </c>
      <c r="D532" s="8">
        <f>13.8816 * CHOOSE( CONTROL!$C$15, $D$11, 100%, $F$11)</f>
        <v>13.881600000000001</v>
      </c>
      <c r="E532" s="12">
        <f>13.8847 * CHOOSE( CONTROL!$C$15, $D$11, 100%, $F$11)</f>
        <v>13.8847</v>
      </c>
      <c r="F532" s="4">
        <f>14.537 * CHOOSE(CONTROL!$C$15, $D$11, 100%, $F$11)</f>
        <v>14.537000000000001</v>
      </c>
      <c r="G532" s="8">
        <f>13.6496 * CHOOSE( CONTROL!$C$15, $D$11, 100%, $F$11)</f>
        <v>13.6496</v>
      </c>
      <c r="H532" s="4">
        <f>14.5303 * CHOOSE(CONTROL!$C$15, $D$11, 100%, $F$11)</f>
        <v>14.5303</v>
      </c>
      <c r="I532" s="8">
        <f>13.5182 * CHOOSE(CONTROL!$C$15, $D$11, 100%, $F$11)</f>
        <v>13.5182</v>
      </c>
      <c r="J532" s="4">
        <f>13.4009 * CHOOSE(CONTROL!$C$15, $D$11, 100%, $F$11)</f>
        <v>13.4009</v>
      </c>
      <c r="K532" s="4"/>
      <c r="L532" s="9">
        <v>27.3993</v>
      </c>
      <c r="M532" s="9">
        <v>12.063700000000001</v>
      </c>
      <c r="N532" s="9">
        <v>4.9444999999999997</v>
      </c>
      <c r="O532" s="9">
        <v>0.37459999999999999</v>
      </c>
      <c r="P532" s="9">
        <v>1.2939000000000001</v>
      </c>
      <c r="Q532" s="9">
        <v>19.688099999999999</v>
      </c>
      <c r="R532" s="9"/>
      <c r="S532" s="11"/>
    </row>
    <row r="533" spans="1:19" ht="15.75">
      <c r="A533" s="13">
        <v>58106</v>
      </c>
      <c r="B533" s="8">
        <f>14.4123 * CHOOSE(CONTROL!$C$15, $D$11, 100%, $F$11)</f>
        <v>14.4123</v>
      </c>
      <c r="C533" s="8">
        <f>14.4226 * CHOOSE(CONTROL!$C$15, $D$11, 100%, $F$11)</f>
        <v>14.422599999999999</v>
      </c>
      <c r="D533" s="8">
        <f>14.4211 * CHOOSE( CONTROL!$C$15, $D$11, 100%, $F$11)</f>
        <v>14.421099999999999</v>
      </c>
      <c r="E533" s="12">
        <f>14.4206 * CHOOSE( CONTROL!$C$15, $D$11, 100%, $F$11)</f>
        <v>14.4206</v>
      </c>
      <c r="F533" s="4">
        <f>15.095 * CHOOSE(CONTROL!$C$15, $D$11, 100%, $F$11)</f>
        <v>15.095000000000001</v>
      </c>
      <c r="G533" s="8">
        <f>14.1809 * CHOOSE( CONTROL!$C$15, $D$11, 100%, $F$11)</f>
        <v>14.180899999999999</v>
      </c>
      <c r="H533" s="4">
        <f>15.0793 * CHOOSE(CONTROL!$C$15, $D$11, 100%, $F$11)</f>
        <v>15.0793</v>
      </c>
      <c r="I533" s="8">
        <f>14.0286 * CHOOSE(CONTROL!$C$15, $D$11, 100%, $F$11)</f>
        <v>14.028600000000001</v>
      </c>
      <c r="J533" s="4">
        <f>13.913 * CHOOSE(CONTROL!$C$15, $D$11, 100%, $F$11)</f>
        <v>13.913</v>
      </c>
      <c r="K533" s="4"/>
      <c r="L533" s="9">
        <v>27.3993</v>
      </c>
      <c r="M533" s="9">
        <v>12.063700000000001</v>
      </c>
      <c r="N533" s="9">
        <v>4.9444999999999997</v>
      </c>
      <c r="O533" s="9">
        <v>0.37459999999999999</v>
      </c>
      <c r="P533" s="9">
        <v>1.2939000000000001</v>
      </c>
      <c r="Q533" s="9">
        <v>19.688099999999999</v>
      </c>
      <c r="R533" s="9"/>
      <c r="S533" s="11"/>
    </row>
    <row r="534" spans="1:19" ht="15.75">
      <c r="A534" s="13">
        <v>58134</v>
      </c>
      <c r="B534" s="8">
        <f>13.4822 * CHOOSE(CONTROL!$C$15, $D$11, 100%, $F$11)</f>
        <v>13.482200000000001</v>
      </c>
      <c r="C534" s="8">
        <f>13.4926 * CHOOSE(CONTROL!$C$15, $D$11, 100%, $F$11)</f>
        <v>13.492599999999999</v>
      </c>
      <c r="D534" s="8">
        <f>13.4931 * CHOOSE( CONTROL!$C$15, $D$11, 100%, $F$11)</f>
        <v>13.4931</v>
      </c>
      <c r="E534" s="12">
        <f>13.4918 * CHOOSE( CONTROL!$C$15, $D$11, 100%, $F$11)</f>
        <v>13.4918</v>
      </c>
      <c r="F534" s="4">
        <f>14.1572 * CHOOSE(CONTROL!$C$15, $D$11, 100%, $F$11)</f>
        <v>14.1572</v>
      </c>
      <c r="G534" s="8">
        <f>13.2657 * CHOOSE( CONTROL!$C$15, $D$11, 100%, $F$11)</f>
        <v>13.265700000000001</v>
      </c>
      <c r="H534" s="4">
        <f>14.1567 * CHOOSE(CONTROL!$C$15, $D$11, 100%, $F$11)</f>
        <v>14.156700000000001</v>
      </c>
      <c r="I534" s="8">
        <f>13.1177 * CHOOSE(CONTROL!$C$15, $D$11, 100%, $F$11)</f>
        <v>13.117699999999999</v>
      </c>
      <c r="J534" s="4">
        <f>13.0136 * CHOOSE(CONTROL!$C$15, $D$11, 100%, $F$11)</f>
        <v>13.0136</v>
      </c>
      <c r="K534" s="4"/>
      <c r="L534" s="9">
        <v>24.747800000000002</v>
      </c>
      <c r="M534" s="9">
        <v>10.8962</v>
      </c>
      <c r="N534" s="9">
        <v>4.4660000000000002</v>
      </c>
      <c r="O534" s="9">
        <v>0.33829999999999999</v>
      </c>
      <c r="P534" s="9">
        <v>1.1687000000000001</v>
      </c>
      <c r="Q534" s="9">
        <v>17.782800000000002</v>
      </c>
      <c r="R534" s="9"/>
      <c r="S534" s="11"/>
    </row>
    <row r="535" spans="1:19" ht="15.75">
      <c r="A535" s="13">
        <v>58165</v>
      </c>
      <c r="B535" s="8">
        <f>13.1958 * CHOOSE(CONTROL!$C$15, $D$11, 100%, $F$11)</f>
        <v>13.1958</v>
      </c>
      <c r="C535" s="8">
        <f>13.2061 * CHOOSE(CONTROL!$C$15, $D$11, 100%, $F$11)</f>
        <v>13.206099999999999</v>
      </c>
      <c r="D535" s="8">
        <f>13.1862 * CHOOSE( CONTROL!$C$15, $D$11, 100%, $F$11)</f>
        <v>13.186199999999999</v>
      </c>
      <c r="E535" s="12">
        <f>13.1924 * CHOOSE( CONTROL!$C$15, $D$11, 100%, $F$11)</f>
        <v>13.192399999999999</v>
      </c>
      <c r="F535" s="4">
        <f>13.8547 * CHOOSE(CONTROL!$C$15, $D$11, 100%, $F$11)</f>
        <v>13.854699999999999</v>
      </c>
      <c r="G535" s="8">
        <f>12.9631 * CHOOSE( CONTROL!$C$15, $D$11, 100%, $F$11)</f>
        <v>12.963100000000001</v>
      </c>
      <c r="H535" s="4">
        <f>13.8591 * CHOOSE(CONTROL!$C$15, $D$11, 100%, $F$11)</f>
        <v>13.8591</v>
      </c>
      <c r="I535" s="8">
        <f>12.8011 * CHOOSE(CONTROL!$C$15, $D$11, 100%, $F$11)</f>
        <v>12.8011</v>
      </c>
      <c r="J535" s="4">
        <f>12.7365 * CHOOSE(CONTROL!$C$15, $D$11, 100%, $F$11)</f>
        <v>12.736499999999999</v>
      </c>
      <c r="K535" s="4"/>
      <c r="L535" s="9">
        <v>27.3993</v>
      </c>
      <c r="M535" s="9">
        <v>12.063700000000001</v>
      </c>
      <c r="N535" s="9">
        <v>4.9444999999999997</v>
      </c>
      <c r="O535" s="9">
        <v>0.37459999999999999</v>
      </c>
      <c r="P535" s="9">
        <v>1.2939000000000001</v>
      </c>
      <c r="Q535" s="9">
        <v>19.688099999999999</v>
      </c>
      <c r="R535" s="9"/>
      <c r="S535" s="11"/>
    </row>
    <row r="536" spans="1:19" ht="15.75">
      <c r="A536" s="13">
        <v>58195</v>
      </c>
      <c r="B536" s="8">
        <f>13.396 * CHOOSE(CONTROL!$C$15, $D$11, 100%, $F$11)</f>
        <v>13.396000000000001</v>
      </c>
      <c r="C536" s="8">
        <f>13.4063 * CHOOSE(CONTROL!$C$15, $D$11, 100%, $F$11)</f>
        <v>13.4063</v>
      </c>
      <c r="D536" s="8">
        <f>13.3978 * CHOOSE( CONTROL!$C$15, $D$11, 100%, $F$11)</f>
        <v>13.3978</v>
      </c>
      <c r="E536" s="12">
        <f>13.3994 * CHOOSE( CONTROL!$C$15, $D$11, 100%, $F$11)</f>
        <v>13.3994</v>
      </c>
      <c r="F536" s="4">
        <f>14.045 * CHOOSE(CONTROL!$C$15, $D$11, 100%, $F$11)</f>
        <v>14.045</v>
      </c>
      <c r="G536" s="8">
        <f>13.1449 * CHOOSE( CONTROL!$C$15, $D$11, 100%, $F$11)</f>
        <v>13.1449</v>
      </c>
      <c r="H536" s="4">
        <f>14.0464 * CHOOSE(CONTROL!$C$15, $D$11, 100%, $F$11)</f>
        <v>14.0464</v>
      </c>
      <c r="I536" s="8">
        <f>12.9916 * CHOOSE(CONTROL!$C$15, $D$11, 100%, $F$11)</f>
        <v>12.9916</v>
      </c>
      <c r="J536" s="4">
        <f>12.9301 * CHOOSE(CONTROL!$C$15, $D$11, 100%, $F$11)</f>
        <v>12.930099999999999</v>
      </c>
      <c r="K536" s="4"/>
      <c r="L536" s="9">
        <v>27.988800000000001</v>
      </c>
      <c r="M536" s="9">
        <v>11.6745</v>
      </c>
      <c r="N536" s="9">
        <v>4.7850000000000001</v>
      </c>
      <c r="O536" s="9">
        <v>0.36249999999999999</v>
      </c>
      <c r="P536" s="9">
        <v>1.1798</v>
      </c>
      <c r="Q536" s="9">
        <v>19.053000000000001</v>
      </c>
      <c r="R536" s="9"/>
      <c r="S536" s="11"/>
    </row>
    <row r="537" spans="1:19" ht="15.75">
      <c r="A537" s="13">
        <v>58226</v>
      </c>
      <c r="B537" s="8">
        <f>CHOOSE( CONTROL!$C$32, 13.7567, 13.7522) * CHOOSE(CONTROL!$C$15, $D$11, 100%, $F$11)</f>
        <v>13.7567</v>
      </c>
      <c r="C537" s="8">
        <f>CHOOSE( CONTROL!$C$32, 13.7671, 13.7626) * CHOOSE(CONTROL!$C$15, $D$11, 100%, $F$11)</f>
        <v>13.767099999999999</v>
      </c>
      <c r="D537" s="8">
        <f>CHOOSE( CONTROL!$C$32, 13.7768, 13.7722) * CHOOSE( CONTROL!$C$15, $D$11, 100%, $F$11)</f>
        <v>13.7768</v>
      </c>
      <c r="E537" s="12">
        <f>CHOOSE( CONTROL!$C$32, 13.7717, 13.7671) * CHOOSE( CONTROL!$C$15, $D$11, 100%, $F$11)</f>
        <v>13.771699999999999</v>
      </c>
      <c r="F537" s="4">
        <f>CHOOSE( CONTROL!$C$32, 14.445, 14.4405) * CHOOSE(CONTROL!$C$15, $D$11, 100%, $F$11)</f>
        <v>14.445</v>
      </c>
      <c r="G537" s="8">
        <f>CHOOSE( CONTROL!$C$32, 13.5049, 13.5004) * CHOOSE( CONTROL!$C$15, $D$11, 100%, $F$11)</f>
        <v>13.504899999999999</v>
      </c>
      <c r="H537" s="4">
        <f>CHOOSE( CONTROL!$C$32, 14.4399, 14.4354) * CHOOSE(CONTROL!$C$15, $D$11, 100%, $F$11)</f>
        <v>14.4399</v>
      </c>
      <c r="I537" s="8">
        <f>CHOOSE( CONTROL!$C$32, 13.3465, 13.3421) * CHOOSE(CONTROL!$C$15, $D$11, 100%, $F$11)</f>
        <v>13.346500000000001</v>
      </c>
      <c r="J537" s="4">
        <f>CHOOSE( CONTROL!$C$32, 13.279, 13.2747) * CHOOSE(CONTROL!$C$15, $D$11, 100%, $F$11)</f>
        <v>13.279</v>
      </c>
      <c r="K537" s="4"/>
      <c r="L537" s="9">
        <v>29.520499999999998</v>
      </c>
      <c r="M537" s="9">
        <v>12.063700000000001</v>
      </c>
      <c r="N537" s="9">
        <v>4.9444999999999997</v>
      </c>
      <c r="O537" s="9">
        <v>0.37459999999999999</v>
      </c>
      <c r="P537" s="9">
        <v>1.2192000000000001</v>
      </c>
      <c r="Q537" s="9">
        <v>19.688099999999999</v>
      </c>
      <c r="R537" s="9"/>
      <c r="S537" s="11"/>
    </row>
    <row r="538" spans="1:19" ht="15.75">
      <c r="A538" s="13">
        <v>58256</v>
      </c>
      <c r="B538" s="8">
        <f>CHOOSE( CONTROL!$C$32, 13.536, 13.5315) * CHOOSE(CONTROL!$C$15, $D$11, 100%, $F$11)</f>
        <v>13.536</v>
      </c>
      <c r="C538" s="8">
        <f>CHOOSE( CONTROL!$C$32, 13.5464, 13.5419) * CHOOSE(CONTROL!$C$15, $D$11, 100%, $F$11)</f>
        <v>13.5464</v>
      </c>
      <c r="D538" s="8">
        <f>CHOOSE( CONTROL!$C$32, 13.5567, 13.5522) * CHOOSE( CONTROL!$C$15, $D$11, 100%, $F$11)</f>
        <v>13.556699999999999</v>
      </c>
      <c r="E538" s="12">
        <f>CHOOSE( CONTROL!$C$32, 13.5514, 13.5469) * CHOOSE( CONTROL!$C$15, $D$11, 100%, $F$11)</f>
        <v>13.551399999999999</v>
      </c>
      <c r="F538" s="4">
        <f>CHOOSE( CONTROL!$C$32, 14.2243, 14.2198) * CHOOSE(CONTROL!$C$15, $D$11, 100%, $F$11)</f>
        <v>14.224299999999999</v>
      </c>
      <c r="G538" s="8">
        <f>CHOOSE( CONTROL!$C$32, 13.2887, 13.2842) * CHOOSE( CONTROL!$C$15, $D$11, 100%, $F$11)</f>
        <v>13.2887</v>
      </c>
      <c r="H538" s="4">
        <f>CHOOSE( CONTROL!$C$32, 14.2228, 14.2183) * CHOOSE(CONTROL!$C$15, $D$11, 100%, $F$11)</f>
        <v>14.222799999999999</v>
      </c>
      <c r="I538" s="8">
        <f>CHOOSE( CONTROL!$C$32, 13.1359, 13.1316) * CHOOSE(CONTROL!$C$15, $D$11, 100%, $F$11)</f>
        <v>13.135899999999999</v>
      </c>
      <c r="J538" s="4">
        <f>CHOOSE( CONTROL!$C$32, 13.0656, 13.0612) * CHOOSE(CONTROL!$C$15, $D$11, 100%, $F$11)</f>
        <v>13.0656</v>
      </c>
      <c r="K538" s="4"/>
      <c r="L538" s="9">
        <v>28.568200000000001</v>
      </c>
      <c r="M538" s="9">
        <v>11.6745</v>
      </c>
      <c r="N538" s="9">
        <v>4.7850000000000001</v>
      </c>
      <c r="O538" s="9">
        <v>0.36249999999999999</v>
      </c>
      <c r="P538" s="9">
        <v>1.1798</v>
      </c>
      <c r="Q538" s="9">
        <v>19.053000000000001</v>
      </c>
      <c r="R538" s="9"/>
      <c r="S538" s="11"/>
    </row>
    <row r="539" spans="1:19" ht="15.75">
      <c r="A539" s="13">
        <v>58287</v>
      </c>
      <c r="B539" s="8">
        <f>CHOOSE( CONTROL!$C$32, 14.1172, 14.1127) * CHOOSE(CONTROL!$C$15, $D$11, 100%, $F$11)</f>
        <v>14.1172</v>
      </c>
      <c r="C539" s="8">
        <f>CHOOSE( CONTROL!$C$32, 14.1275, 14.123) * CHOOSE(CONTROL!$C$15, $D$11, 100%, $F$11)</f>
        <v>14.1275</v>
      </c>
      <c r="D539" s="8">
        <f>CHOOSE( CONTROL!$C$32, 14.1384, 14.1339) * CHOOSE( CONTROL!$C$15, $D$11, 100%, $F$11)</f>
        <v>14.138400000000001</v>
      </c>
      <c r="E539" s="12">
        <f>CHOOSE( CONTROL!$C$32, 14.1329, 14.1284) * CHOOSE( CONTROL!$C$15, $D$11, 100%, $F$11)</f>
        <v>14.132899999999999</v>
      </c>
      <c r="F539" s="4">
        <f>CHOOSE( CONTROL!$C$32, 14.8055, 14.801) * CHOOSE(CONTROL!$C$15, $D$11, 100%, $F$11)</f>
        <v>14.8055</v>
      </c>
      <c r="G539" s="8">
        <f>CHOOSE( CONTROL!$C$32, 13.8613, 13.8568) * CHOOSE( CONTROL!$C$15, $D$11, 100%, $F$11)</f>
        <v>13.8613</v>
      </c>
      <c r="H539" s="4">
        <f>CHOOSE( CONTROL!$C$32, 14.7945, 14.7901) * CHOOSE(CONTROL!$C$15, $D$11, 100%, $F$11)</f>
        <v>14.794499999999999</v>
      </c>
      <c r="I539" s="8">
        <f>CHOOSE( CONTROL!$C$32, 13.7009, 13.6966) * CHOOSE(CONTROL!$C$15, $D$11, 100%, $F$11)</f>
        <v>13.700900000000001</v>
      </c>
      <c r="J539" s="4">
        <f>CHOOSE( CONTROL!$C$32, 13.6276, 13.6233) * CHOOSE(CONTROL!$C$15, $D$11, 100%, $F$11)</f>
        <v>13.627599999999999</v>
      </c>
      <c r="K539" s="4"/>
      <c r="L539" s="9">
        <v>29.520499999999998</v>
      </c>
      <c r="M539" s="9">
        <v>12.063700000000001</v>
      </c>
      <c r="N539" s="9">
        <v>4.9444999999999997</v>
      </c>
      <c r="O539" s="9">
        <v>0.37459999999999999</v>
      </c>
      <c r="P539" s="9">
        <v>1.2192000000000001</v>
      </c>
      <c r="Q539" s="9">
        <v>19.688099999999999</v>
      </c>
      <c r="R539" s="9"/>
      <c r="S539" s="11"/>
    </row>
    <row r="540" spans="1:19" ht="15.75">
      <c r="A540" s="13">
        <v>58318</v>
      </c>
      <c r="B540" s="8">
        <f>CHOOSE( CONTROL!$C$32, 13.0298, 13.0253) * CHOOSE(CONTROL!$C$15, $D$11, 100%, $F$11)</f>
        <v>13.0298</v>
      </c>
      <c r="C540" s="8">
        <f>CHOOSE( CONTROL!$C$32, 13.0401, 13.0356) * CHOOSE(CONTROL!$C$15, $D$11, 100%, $F$11)</f>
        <v>13.040100000000001</v>
      </c>
      <c r="D540" s="8">
        <f>CHOOSE( CONTROL!$C$32, 13.0513, 13.0468) * CHOOSE( CONTROL!$C$15, $D$11, 100%, $F$11)</f>
        <v>13.051299999999999</v>
      </c>
      <c r="E540" s="12">
        <f>CHOOSE( CONTROL!$C$32, 13.0457, 13.0412) * CHOOSE( CONTROL!$C$15, $D$11, 100%, $F$11)</f>
        <v>13.0457</v>
      </c>
      <c r="F540" s="4">
        <f>CHOOSE( CONTROL!$C$32, 13.7181, 13.7136) * CHOOSE(CONTROL!$C$15, $D$11, 100%, $F$11)</f>
        <v>13.7181</v>
      </c>
      <c r="G540" s="8">
        <f>CHOOSE( CONTROL!$C$32, 12.7919, 12.7875) * CHOOSE( CONTROL!$C$15, $D$11, 100%, $F$11)</f>
        <v>12.7919</v>
      </c>
      <c r="H540" s="4">
        <f>CHOOSE( CONTROL!$C$32, 13.7247, 13.7203) * CHOOSE(CONTROL!$C$15, $D$11, 100%, $F$11)</f>
        <v>13.7247</v>
      </c>
      <c r="I540" s="8">
        <f>CHOOSE( CONTROL!$C$32, 12.6502, 12.6458) * CHOOSE(CONTROL!$C$15, $D$11, 100%, $F$11)</f>
        <v>12.6502</v>
      </c>
      <c r="J540" s="4">
        <f>CHOOSE( CONTROL!$C$32, 12.576, 12.5716) * CHOOSE(CONTROL!$C$15, $D$11, 100%, $F$11)</f>
        <v>12.576000000000001</v>
      </c>
      <c r="K540" s="4"/>
      <c r="L540" s="9">
        <v>29.520499999999998</v>
      </c>
      <c r="M540" s="9">
        <v>12.063700000000001</v>
      </c>
      <c r="N540" s="9">
        <v>4.9444999999999997</v>
      </c>
      <c r="O540" s="9">
        <v>0.37459999999999999</v>
      </c>
      <c r="P540" s="9">
        <v>1.2192000000000001</v>
      </c>
      <c r="Q540" s="9">
        <v>19.688099999999999</v>
      </c>
      <c r="R540" s="9"/>
      <c r="S540" s="11"/>
    </row>
    <row r="541" spans="1:19" ht="15.75">
      <c r="A541" s="13">
        <v>58348</v>
      </c>
      <c r="B541" s="8">
        <f>CHOOSE( CONTROL!$C$32, 12.7575, 12.753) * CHOOSE(CONTROL!$C$15, $D$11, 100%, $F$11)</f>
        <v>12.7575</v>
      </c>
      <c r="C541" s="8">
        <f>CHOOSE( CONTROL!$C$32, 12.7678, 12.7633) * CHOOSE(CONTROL!$C$15, $D$11, 100%, $F$11)</f>
        <v>12.767799999999999</v>
      </c>
      <c r="D541" s="8">
        <f>CHOOSE( CONTROL!$C$32, 12.7791, 12.7746) * CHOOSE( CONTROL!$C$15, $D$11, 100%, $F$11)</f>
        <v>12.7791</v>
      </c>
      <c r="E541" s="12">
        <f>CHOOSE( CONTROL!$C$32, 12.7734, 12.7689) * CHOOSE( CONTROL!$C$15, $D$11, 100%, $F$11)</f>
        <v>12.773400000000001</v>
      </c>
      <c r="F541" s="4">
        <f>CHOOSE( CONTROL!$C$32, 13.4458, 13.4413) * CHOOSE(CONTROL!$C$15, $D$11, 100%, $F$11)</f>
        <v>13.4458</v>
      </c>
      <c r="G541" s="8">
        <f>CHOOSE( CONTROL!$C$32, 12.5241, 12.5197) * CHOOSE( CONTROL!$C$15, $D$11, 100%, $F$11)</f>
        <v>12.524100000000001</v>
      </c>
      <c r="H541" s="4">
        <f>CHOOSE( CONTROL!$C$32, 13.4568, 13.4524) * CHOOSE(CONTROL!$C$15, $D$11, 100%, $F$11)</f>
        <v>13.456799999999999</v>
      </c>
      <c r="I541" s="8">
        <f>CHOOSE( CONTROL!$C$32, 12.3872, 12.3828) * CHOOSE(CONTROL!$C$15, $D$11, 100%, $F$11)</f>
        <v>12.3872</v>
      </c>
      <c r="J541" s="4">
        <f>CHOOSE( CONTROL!$C$32, 12.3127, 12.3083) * CHOOSE(CONTROL!$C$15, $D$11, 100%, $F$11)</f>
        <v>12.3127</v>
      </c>
      <c r="K541" s="4"/>
      <c r="L541" s="9">
        <v>28.568200000000001</v>
      </c>
      <c r="M541" s="9">
        <v>11.6745</v>
      </c>
      <c r="N541" s="9">
        <v>4.7850000000000001</v>
      </c>
      <c r="O541" s="9">
        <v>0.36249999999999999</v>
      </c>
      <c r="P541" s="9">
        <v>1.1798</v>
      </c>
      <c r="Q541" s="9">
        <v>19.053000000000001</v>
      </c>
      <c r="R541" s="9"/>
      <c r="S541" s="11"/>
    </row>
    <row r="542" spans="1:19" ht="15.75">
      <c r="A542" s="13">
        <v>58379</v>
      </c>
      <c r="B542" s="8">
        <f>13.3184 * CHOOSE(CONTROL!$C$15, $D$11, 100%, $F$11)</f>
        <v>13.3184</v>
      </c>
      <c r="C542" s="8">
        <f>13.3287 * CHOOSE(CONTROL!$C$15, $D$11, 100%, $F$11)</f>
        <v>13.3287</v>
      </c>
      <c r="D542" s="8">
        <f>13.3411 * CHOOSE( CONTROL!$C$15, $D$11, 100%, $F$11)</f>
        <v>13.341100000000001</v>
      </c>
      <c r="E542" s="12">
        <f>13.3359 * CHOOSE( CONTROL!$C$15, $D$11, 100%, $F$11)</f>
        <v>13.335900000000001</v>
      </c>
      <c r="F542" s="4">
        <f>14.0067 * CHOOSE(CONTROL!$C$15, $D$11, 100%, $F$11)</f>
        <v>14.0067</v>
      </c>
      <c r="G542" s="8">
        <f>13.0754 * CHOOSE( CONTROL!$C$15, $D$11, 100%, $F$11)</f>
        <v>13.0754</v>
      </c>
      <c r="H542" s="4">
        <f>14.0086 * CHOOSE(CONTROL!$C$15, $D$11, 100%, $F$11)</f>
        <v>14.008599999999999</v>
      </c>
      <c r="I542" s="8">
        <f>12.9311 * CHOOSE(CONTROL!$C$15, $D$11, 100%, $F$11)</f>
        <v>12.931100000000001</v>
      </c>
      <c r="J542" s="4">
        <f>12.8551 * CHOOSE(CONTROL!$C$15, $D$11, 100%, $F$11)</f>
        <v>12.8551</v>
      </c>
      <c r="K542" s="4"/>
      <c r="L542" s="9">
        <v>28.921800000000001</v>
      </c>
      <c r="M542" s="9">
        <v>12.063700000000001</v>
      </c>
      <c r="N542" s="9">
        <v>4.9444999999999997</v>
      </c>
      <c r="O542" s="9">
        <v>0.37459999999999999</v>
      </c>
      <c r="P542" s="9">
        <v>1.2192000000000001</v>
      </c>
      <c r="Q542" s="9">
        <v>19.688099999999999</v>
      </c>
      <c r="R542" s="9"/>
      <c r="S542" s="11"/>
    </row>
    <row r="543" spans="1:19" ht="15.75">
      <c r="A543" s="13">
        <v>58409</v>
      </c>
      <c r="B543" s="8">
        <f>14.3619 * CHOOSE(CONTROL!$C$15, $D$11, 100%, $F$11)</f>
        <v>14.3619</v>
      </c>
      <c r="C543" s="8">
        <f>14.3723 * CHOOSE(CONTROL!$C$15, $D$11, 100%, $F$11)</f>
        <v>14.372299999999999</v>
      </c>
      <c r="D543" s="8">
        <f>14.3583 * CHOOSE( CONTROL!$C$15, $D$11, 100%, $F$11)</f>
        <v>14.3583</v>
      </c>
      <c r="E543" s="12">
        <f>14.3623 * CHOOSE( CONTROL!$C$15, $D$11, 100%, $F$11)</f>
        <v>14.362299999999999</v>
      </c>
      <c r="F543" s="4">
        <f>15.0162 * CHOOSE(CONTROL!$C$15, $D$11, 100%, $F$11)</f>
        <v>15.0162</v>
      </c>
      <c r="G543" s="8">
        <f>14.1193 * CHOOSE( CONTROL!$C$15, $D$11, 100%, $F$11)</f>
        <v>14.119300000000001</v>
      </c>
      <c r="H543" s="4">
        <f>15.0018 * CHOOSE(CONTROL!$C$15, $D$11, 100%, $F$11)</f>
        <v>15.001799999999999</v>
      </c>
      <c r="I543" s="8">
        <f>13.9739 * CHOOSE(CONTROL!$C$15, $D$11, 100%, $F$11)</f>
        <v>13.9739</v>
      </c>
      <c r="J543" s="4">
        <f>13.8643 * CHOOSE(CONTROL!$C$15, $D$11, 100%, $F$11)</f>
        <v>13.8643</v>
      </c>
      <c r="K543" s="4"/>
      <c r="L543" s="9">
        <v>26.515499999999999</v>
      </c>
      <c r="M543" s="9">
        <v>11.6745</v>
      </c>
      <c r="N543" s="9">
        <v>4.7850000000000001</v>
      </c>
      <c r="O543" s="9">
        <v>0.36249999999999999</v>
      </c>
      <c r="P543" s="9">
        <v>1.2522</v>
      </c>
      <c r="Q543" s="9">
        <v>19.053000000000001</v>
      </c>
      <c r="R543" s="9"/>
      <c r="S543" s="11"/>
    </row>
    <row r="544" spans="1:19" ht="15.75">
      <c r="A544" s="13">
        <v>58440</v>
      </c>
      <c r="B544" s="8">
        <f>14.3359 * CHOOSE(CONTROL!$C$15, $D$11, 100%, $F$11)</f>
        <v>14.335900000000001</v>
      </c>
      <c r="C544" s="8">
        <f>14.3462 * CHOOSE(CONTROL!$C$15, $D$11, 100%, $F$11)</f>
        <v>14.3462</v>
      </c>
      <c r="D544" s="8">
        <f>14.3347 * CHOOSE( CONTROL!$C$15, $D$11, 100%, $F$11)</f>
        <v>14.3347</v>
      </c>
      <c r="E544" s="12">
        <f>14.3378 * CHOOSE( CONTROL!$C$15, $D$11, 100%, $F$11)</f>
        <v>14.3378</v>
      </c>
      <c r="F544" s="4">
        <f>14.9901 * CHOOSE(CONTROL!$C$15, $D$11, 100%, $F$11)</f>
        <v>14.9901</v>
      </c>
      <c r="G544" s="8">
        <f>14.0954 * CHOOSE( CONTROL!$C$15, $D$11, 100%, $F$11)</f>
        <v>14.0954</v>
      </c>
      <c r="H544" s="4">
        <f>14.9762 * CHOOSE(CONTROL!$C$15, $D$11, 100%, $F$11)</f>
        <v>14.9762</v>
      </c>
      <c r="I544" s="8">
        <f>13.9566 * CHOOSE(CONTROL!$C$15, $D$11, 100%, $F$11)</f>
        <v>13.9566</v>
      </c>
      <c r="J544" s="4">
        <f>13.8391 * CHOOSE(CONTROL!$C$15, $D$11, 100%, $F$11)</f>
        <v>13.8391</v>
      </c>
      <c r="K544" s="4"/>
      <c r="L544" s="9">
        <v>27.3993</v>
      </c>
      <c r="M544" s="9">
        <v>12.063700000000001</v>
      </c>
      <c r="N544" s="9">
        <v>4.9444999999999997</v>
      </c>
      <c r="O544" s="9">
        <v>0.37459999999999999</v>
      </c>
      <c r="P544" s="9">
        <v>1.2939000000000001</v>
      </c>
      <c r="Q544" s="9">
        <v>19.688099999999999</v>
      </c>
      <c r="R544" s="9"/>
      <c r="S544" s="11"/>
    </row>
    <row r="545" spans="1:19" ht="15.75">
      <c r="A545" s="13">
        <v>58471</v>
      </c>
      <c r="B545" s="8">
        <f>14.8828 * CHOOSE(CONTROL!$C$15, $D$11, 100%, $F$11)</f>
        <v>14.8828</v>
      </c>
      <c r="C545" s="8">
        <f>14.8931 * CHOOSE(CONTROL!$C$15, $D$11, 100%, $F$11)</f>
        <v>14.8931</v>
      </c>
      <c r="D545" s="8">
        <f>14.8915 * CHOOSE( CONTROL!$C$15, $D$11, 100%, $F$11)</f>
        <v>14.891500000000001</v>
      </c>
      <c r="E545" s="12">
        <f>14.891 * CHOOSE( CONTROL!$C$15, $D$11, 100%, $F$11)</f>
        <v>14.891</v>
      </c>
      <c r="F545" s="4">
        <f>15.5655 * CHOOSE(CONTROL!$C$15, $D$11, 100%, $F$11)</f>
        <v>15.5655</v>
      </c>
      <c r="G545" s="8">
        <f>14.6438 * CHOOSE( CONTROL!$C$15, $D$11, 100%, $F$11)</f>
        <v>14.643800000000001</v>
      </c>
      <c r="H545" s="4">
        <f>15.5422 * CHOOSE(CONTROL!$C$15, $D$11, 100%, $F$11)</f>
        <v>15.542199999999999</v>
      </c>
      <c r="I545" s="8">
        <f>14.4838 * CHOOSE(CONTROL!$C$15, $D$11, 100%, $F$11)</f>
        <v>14.4838</v>
      </c>
      <c r="J545" s="4">
        <f>14.368 * CHOOSE(CONTROL!$C$15, $D$11, 100%, $F$11)</f>
        <v>14.368</v>
      </c>
      <c r="K545" s="4"/>
      <c r="L545" s="9">
        <v>27.3993</v>
      </c>
      <c r="M545" s="9">
        <v>12.063700000000001</v>
      </c>
      <c r="N545" s="9">
        <v>4.9444999999999997</v>
      </c>
      <c r="O545" s="9">
        <v>0.37459999999999999</v>
      </c>
      <c r="P545" s="9">
        <v>1.2939000000000001</v>
      </c>
      <c r="Q545" s="9">
        <v>19.688099999999999</v>
      </c>
      <c r="R545" s="9"/>
      <c r="S545" s="11"/>
    </row>
    <row r="546" spans="1:19" ht="15.75">
      <c r="A546" s="13">
        <v>58499</v>
      </c>
      <c r="B546" s="8">
        <f>13.9223 * CHOOSE(CONTROL!$C$15, $D$11, 100%, $F$11)</f>
        <v>13.9223</v>
      </c>
      <c r="C546" s="8">
        <f>13.9327 * CHOOSE(CONTROL!$C$15, $D$11, 100%, $F$11)</f>
        <v>13.932700000000001</v>
      </c>
      <c r="D546" s="8">
        <f>13.9332 * CHOOSE( CONTROL!$C$15, $D$11, 100%, $F$11)</f>
        <v>13.933199999999999</v>
      </c>
      <c r="E546" s="12">
        <f>13.9319 * CHOOSE( CONTROL!$C$15, $D$11, 100%, $F$11)</f>
        <v>13.931900000000001</v>
      </c>
      <c r="F546" s="4">
        <f>14.5973 * CHOOSE(CONTROL!$C$15, $D$11, 100%, $F$11)</f>
        <v>14.597300000000001</v>
      </c>
      <c r="G546" s="8">
        <f>13.6986 * CHOOSE( CONTROL!$C$15, $D$11, 100%, $F$11)</f>
        <v>13.698600000000001</v>
      </c>
      <c r="H546" s="4">
        <f>14.5896 * CHOOSE(CONTROL!$C$15, $D$11, 100%, $F$11)</f>
        <v>14.589600000000001</v>
      </c>
      <c r="I546" s="8">
        <f>13.5435 * CHOOSE(CONTROL!$C$15, $D$11, 100%, $F$11)</f>
        <v>13.5435</v>
      </c>
      <c r="J546" s="4">
        <f>13.4392 * CHOOSE(CONTROL!$C$15, $D$11, 100%, $F$11)</f>
        <v>13.4392</v>
      </c>
      <c r="K546" s="4"/>
      <c r="L546" s="9">
        <v>25.631599999999999</v>
      </c>
      <c r="M546" s="9">
        <v>11.285299999999999</v>
      </c>
      <c r="N546" s="9">
        <v>4.6254999999999997</v>
      </c>
      <c r="O546" s="9">
        <v>0.35039999999999999</v>
      </c>
      <c r="P546" s="9">
        <v>1.2104999999999999</v>
      </c>
      <c r="Q546" s="9">
        <v>18.417899999999999</v>
      </c>
      <c r="R546" s="9"/>
      <c r="S546" s="11"/>
    </row>
    <row r="547" spans="1:19" ht="15.75">
      <c r="A547" s="13">
        <v>58531</v>
      </c>
      <c r="B547" s="8">
        <f>13.6265 * CHOOSE(CONTROL!$C$15, $D$11, 100%, $F$11)</f>
        <v>13.6265</v>
      </c>
      <c r="C547" s="8">
        <f>13.6368 * CHOOSE(CONTROL!$C$15, $D$11, 100%, $F$11)</f>
        <v>13.636799999999999</v>
      </c>
      <c r="D547" s="8">
        <f>13.6169 * CHOOSE( CONTROL!$C$15, $D$11, 100%, $F$11)</f>
        <v>13.616899999999999</v>
      </c>
      <c r="E547" s="12">
        <f>13.6231 * CHOOSE( CONTROL!$C$15, $D$11, 100%, $F$11)</f>
        <v>13.623100000000001</v>
      </c>
      <c r="F547" s="4">
        <f>14.2854 * CHOOSE(CONTROL!$C$15, $D$11, 100%, $F$11)</f>
        <v>14.285399999999999</v>
      </c>
      <c r="G547" s="8">
        <f>13.3869 * CHOOSE( CONTROL!$C$15, $D$11, 100%, $F$11)</f>
        <v>13.386900000000001</v>
      </c>
      <c r="H547" s="4">
        <f>14.2828 * CHOOSE(CONTROL!$C$15, $D$11, 100%, $F$11)</f>
        <v>14.2828</v>
      </c>
      <c r="I547" s="8">
        <f>13.2178 * CHOOSE(CONTROL!$C$15, $D$11, 100%, $F$11)</f>
        <v>13.2178</v>
      </c>
      <c r="J547" s="4">
        <f>13.1531 * CHOOSE(CONTROL!$C$15, $D$11, 100%, $F$11)</f>
        <v>13.1531</v>
      </c>
      <c r="K547" s="4"/>
      <c r="L547" s="9">
        <v>27.3993</v>
      </c>
      <c r="M547" s="9">
        <v>12.063700000000001</v>
      </c>
      <c r="N547" s="9">
        <v>4.9444999999999997</v>
      </c>
      <c r="O547" s="9">
        <v>0.37459999999999999</v>
      </c>
      <c r="P547" s="9">
        <v>1.2939000000000001</v>
      </c>
      <c r="Q547" s="9">
        <v>19.688099999999999</v>
      </c>
      <c r="R547" s="9"/>
      <c r="S547" s="11"/>
    </row>
    <row r="548" spans="1:19" ht="15.75">
      <c r="A548" s="13">
        <v>58561</v>
      </c>
      <c r="B548" s="8">
        <f>13.8332 * CHOOSE(CONTROL!$C$15, $D$11, 100%, $F$11)</f>
        <v>13.8332</v>
      </c>
      <c r="C548" s="8">
        <f>13.8435 * CHOOSE(CONTROL!$C$15, $D$11, 100%, $F$11)</f>
        <v>13.843500000000001</v>
      </c>
      <c r="D548" s="8">
        <f>13.8351 * CHOOSE( CONTROL!$C$15, $D$11, 100%, $F$11)</f>
        <v>13.835100000000001</v>
      </c>
      <c r="E548" s="12">
        <f>13.8367 * CHOOSE( CONTROL!$C$15, $D$11, 100%, $F$11)</f>
        <v>13.8367</v>
      </c>
      <c r="F548" s="4">
        <f>14.4823 * CHOOSE(CONTROL!$C$15, $D$11, 100%, $F$11)</f>
        <v>14.4823</v>
      </c>
      <c r="G548" s="8">
        <f>13.575 * CHOOSE( CONTROL!$C$15, $D$11, 100%, $F$11)</f>
        <v>13.574999999999999</v>
      </c>
      <c r="H548" s="4">
        <f>14.4766 * CHOOSE(CONTROL!$C$15, $D$11, 100%, $F$11)</f>
        <v>14.476599999999999</v>
      </c>
      <c r="I548" s="8">
        <f>13.4146 * CHOOSE(CONTROL!$C$15, $D$11, 100%, $F$11)</f>
        <v>13.4146</v>
      </c>
      <c r="J548" s="4">
        <f>13.353 * CHOOSE(CONTROL!$C$15, $D$11, 100%, $F$11)</f>
        <v>13.353</v>
      </c>
      <c r="K548" s="4"/>
      <c r="L548" s="9">
        <v>27.988800000000001</v>
      </c>
      <c r="M548" s="9">
        <v>11.6745</v>
      </c>
      <c r="N548" s="9">
        <v>4.7850000000000001</v>
      </c>
      <c r="O548" s="9">
        <v>0.36249999999999999</v>
      </c>
      <c r="P548" s="9">
        <v>1.1798</v>
      </c>
      <c r="Q548" s="9">
        <v>19.053000000000001</v>
      </c>
      <c r="R548" s="9"/>
      <c r="S548" s="11"/>
    </row>
    <row r="549" spans="1:19" ht="15.75">
      <c r="A549" s="13">
        <v>58592</v>
      </c>
      <c r="B549" s="8">
        <f>CHOOSE( CONTROL!$C$32, 14.2056, 14.2011) * CHOOSE(CONTROL!$C$15, $D$11, 100%, $F$11)</f>
        <v>14.2056</v>
      </c>
      <c r="C549" s="8">
        <f>CHOOSE( CONTROL!$C$32, 14.216, 14.2115) * CHOOSE(CONTROL!$C$15, $D$11, 100%, $F$11)</f>
        <v>14.215999999999999</v>
      </c>
      <c r="D549" s="8">
        <f>CHOOSE( CONTROL!$C$32, 14.2257, 14.2211) * CHOOSE( CONTROL!$C$15, $D$11, 100%, $F$11)</f>
        <v>14.2257</v>
      </c>
      <c r="E549" s="12">
        <f>CHOOSE( CONTROL!$C$32, 14.2206, 14.216) * CHOOSE( CONTROL!$C$15, $D$11, 100%, $F$11)</f>
        <v>14.220599999999999</v>
      </c>
      <c r="F549" s="4">
        <f>CHOOSE( CONTROL!$C$32, 14.8939, 14.8894) * CHOOSE(CONTROL!$C$15, $D$11, 100%, $F$11)</f>
        <v>14.8939</v>
      </c>
      <c r="G549" s="8">
        <f>CHOOSE( CONTROL!$C$32, 13.9465, 13.942) * CHOOSE( CONTROL!$C$15, $D$11, 100%, $F$11)</f>
        <v>13.9465</v>
      </c>
      <c r="H549" s="4">
        <f>CHOOSE( CONTROL!$C$32, 14.8815, 14.8771) * CHOOSE(CONTROL!$C$15, $D$11, 100%, $F$11)</f>
        <v>14.881500000000001</v>
      </c>
      <c r="I549" s="8">
        <f>CHOOSE( CONTROL!$C$32, 13.7808, 13.7765) * CHOOSE(CONTROL!$C$15, $D$11, 100%, $F$11)</f>
        <v>13.780799999999999</v>
      </c>
      <c r="J549" s="4">
        <f>CHOOSE( CONTROL!$C$32, 13.7132, 13.7088) * CHOOSE(CONTROL!$C$15, $D$11, 100%, $F$11)</f>
        <v>13.713200000000001</v>
      </c>
      <c r="K549" s="4"/>
      <c r="L549" s="9">
        <v>29.520499999999998</v>
      </c>
      <c r="M549" s="9">
        <v>12.063700000000001</v>
      </c>
      <c r="N549" s="9">
        <v>4.9444999999999997</v>
      </c>
      <c r="O549" s="9">
        <v>0.37459999999999999</v>
      </c>
      <c r="P549" s="9">
        <v>1.2192000000000001</v>
      </c>
      <c r="Q549" s="9">
        <v>19.688099999999999</v>
      </c>
      <c r="R549" s="9"/>
      <c r="S549" s="11"/>
    </row>
    <row r="550" spans="1:19" ht="15.75">
      <c r="A550" s="13">
        <v>58622</v>
      </c>
      <c r="B550" s="8">
        <f>CHOOSE( CONTROL!$C$32, 13.9777, 13.9732) * CHOOSE(CONTROL!$C$15, $D$11, 100%, $F$11)</f>
        <v>13.9777</v>
      </c>
      <c r="C550" s="8">
        <f>CHOOSE( CONTROL!$C$32, 13.9881, 13.9835) * CHOOSE(CONTROL!$C$15, $D$11, 100%, $F$11)</f>
        <v>13.988099999999999</v>
      </c>
      <c r="D550" s="8">
        <f>CHOOSE( CONTROL!$C$32, 13.9984, 13.9939) * CHOOSE( CONTROL!$C$15, $D$11, 100%, $F$11)</f>
        <v>13.9984</v>
      </c>
      <c r="E550" s="12">
        <f>CHOOSE( CONTROL!$C$32, 13.9931, 13.9886) * CHOOSE( CONTROL!$C$15, $D$11, 100%, $F$11)</f>
        <v>13.9931</v>
      </c>
      <c r="F550" s="4">
        <f>CHOOSE( CONTROL!$C$32, 14.666, 14.6615) * CHOOSE(CONTROL!$C$15, $D$11, 100%, $F$11)</f>
        <v>14.666</v>
      </c>
      <c r="G550" s="8">
        <f>CHOOSE( CONTROL!$C$32, 13.7232, 13.7188) * CHOOSE( CONTROL!$C$15, $D$11, 100%, $F$11)</f>
        <v>13.7232</v>
      </c>
      <c r="H550" s="4">
        <f>CHOOSE( CONTROL!$C$32, 14.6573, 14.6529) * CHOOSE(CONTROL!$C$15, $D$11, 100%, $F$11)</f>
        <v>14.657299999999999</v>
      </c>
      <c r="I550" s="8">
        <f>CHOOSE( CONTROL!$C$32, 13.5633, 13.5589) * CHOOSE(CONTROL!$C$15, $D$11, 100%, $F$11)</f>
        <v>13.5633</v>
      </c>
      <c r="J550" s="4">
        <f>CHOOSE( CONTROL!$C$32, 13.4928, 13.4884) * CHOOSE(CONTROL!$C$15, $D$11, 100%, $F$11)</f>
        <v>13.492800000000001</v>
      </c>
      <c r="K550" s="4"/>
      <c r="L550" s="9">
        <v>28.568200000000001</v>
      </c>
      <c r="M550" s="9">
        <v>11.6745</v>
      </c>
      <c r="N550" s="9">
        <v>4.7850000000000001</v>
      </c>
      <c r="O550" s="9">
        <v>0.36249999999999999</v>
      </c>
      <c r="P550" s="9">
        <v>1.1798</v>
      </c>
      <c r="Q550" s="9">
        <v>19.053000000000001</v>
      </c>
      <c r="R550" s="9"/>
      <c r="S550" s="11"/>
    </row>
    <row r="551" spans="1:19" ht="15.75">
      <c r="A551" s="13">
        <v>58653</v>
      </c>
      <c r="B551" s="8">
        <f>CHOOSE( CONTROL!$C$32, 14.5779, 14.5734) * CHOOSE(CONTROL!$C$15, $D$11, 100%, $F$11)</f>
        <v>14.5779</v>
      </c>
      <c r="C551" s="8">
        <f>CHOOSE( CONTROL!$C$32, 14.5882, 14.5837) * CHOOSE(CONTROL!$C$15, $D$11, 100%, $F$11)</f>
        <v>14.588200000000001</v>
      </c>
      <c r="D551" s="8">
        <f>CHOOSE( CONTROL!$C$32, 14.5991, 14.5946) * CHOOSE( CONTROL!$C$15, $D$11, 100%, $F$11)</f>
        <v>14.5991</v>
      </c>
      <c r="E551" s="12">
        <f>CHOOSE( CONTROL!$C$32, 14.5936, 14.5891) * CHOOSE( CONTROL!$C$15, $D$11, 100%, $F$11)</f>
        <v>14.5936</v>
      </c>
      <c r="F551" s="4">
        <f>CHOOSE( CONTROL!$C$32, 15.2662, 15.2617) * CHOOSE(CONTROL!$C$15, $D$11, 100%, $F$11)</f>
        <v>15.2662</v>
      </c>
      <c r="G551" s="8">
        <f>CHOOSE( CONTROL!$C$32, 14.3145, 14.31) * CHOOSE( CONTROL!$C$15, $D$11, 100%, $F$11)</f>
        <v>14.314500000000001</v>
      </c>
      <c r="H551" s="4">
        <f>CHOOSE( CONTROL!$C$32, 15.2478, 15.2433) * CHOOSE(CONTROL!$C$15, $D$11, 100%, $F$11)</f>
        <v>15.2478</v>
      </c>
      <c r="I551" s="8">
        <f>CHOOSE( CONTROL!$C$32, 14.1467, 14.1423) * CHOOSE(CONTROL!$C$15, $D$11, 100%, $F$11)</f>
        <v>14.146699999999999</v>
      </c>
      <c r="J551" s="4">
        <f>CHOOSE( CONTROL!$C$32, 14.0732, 14.0688) * CHOOSE(CONTROL!$C$15, $D$11, 100%, $F$11)</f>
        <v>14.0732</v>
      </c>
      <c r="K551" s="4"/>
      <c r="L551" s="9">
        <v>29.520499999999998</v>
      </c>
      <c r="M551" s="9">
        <v>12.063700000000001</v>
      </c>
      <c r="N551" s="9">
        <v>4.9444999999999997</v>
      </c>
      <c r="O551" s="9">
        <v>0.37459999999999999</v>
      </c>
      <c r="P551" s="9">
        <v>1.2192000000000001</v>
      </c>
      <c r="Q551" s="9">
        <v>19.688099999999999</v>
      </c>
      <c r="R551" s="9"/>
      <c r="S551" s="11"/>
    </row>
    <row r="552" spans="1:19" ht="15.75">
      <c r="A552" s="13">
        <v>58684</v>
      </c>
      <c r="B552" s="8">
        <f>CHOOSE( CONTROL!$C$32, 13.4549, 13.4504) * CHOOSE(CONTROL!$C$15, $D$11, 100%, $F$11)</f>
        <v>13.4549</v>
      </c>
      <c r="C552" s="8">
        <f>CHOOSE( CONTROL!$C$32, 13.4653, 13.4607) * CHOOSE(CONTROL!$C$15, $D$11, 100%, $F$11)</f>
        <v>13.465299999999999</v>
      </c>
      <c r="D552" s="8">
        <f>CHOOSE( CONTROL!$C$32, 13.4764, 13.4719) * CHOOSE( CONTROL!$C$15, $D$11, 100%, $F$11)</f>
        <v>13.4764</v>
      </c>
      <c r="E552" s="12">
        <f>CHOOSE( CONTROL!$C$32, 13.4708, 13.4663) * CHOOSE( CONTROL!$C$15, $D$11, 100%, $F$11)</f>
        <v>13.470800000000001</v>
      </c>
      <c r="F552" s="4">
        <f>CHOOSE( CONTROL!$C$32, 14.1432, 14.1387) * CHOOSE(CONTROL!$C$15, $D$11, 100%, $F$11)</f>
        <v>14.1432</v>
      </c>
      <c r="G552" s="8">
        <f>CHOOSE( CONTROL!$C$32, 13.2101, 13.2057) * CHOOSE( CONTROL!$C$15, $D$11, 100%, $F$11)</f>
        <v>13.210100000000001</v>
      </c>
      <c r="H552" s="4">
        <f>CHOOSE( CONTROL!$C$32, 14.143, 14.1385) * CHOOSE(CONTROL!$C$15, $D$11, 100%, $F$11)</f>
        <v>14.143000000000001</v>
      </c>
      <c r="I552" s="8">
        <f>CHOOSE( CONTROL!$C$32, 13.0616, 13.0572) * CHOOSE(CONTROL!$C$15, $D$11, 100%, $F$11)</f>
        <v>13.0616</v>
      </c>
      <c r="J552" s="4">
        <f>CHOOSE( CONTROL!$C$32, 12.9872, 12.9828) * CHOOSE(CONTROL!$C$15, $D$11, 100%, $F$11)</f>
        <v>12.9872</v>
      </c>
      <c r="K552" s="4"/>
      <c r="L552" s="9">
        <v>29.520499999999998</v>
      </c>
      <c r="M552" s="9">
        <v>12.063700000000001</v>
      </c>
      <c r="N552" s="9">
        <v>4.9444999999999997</v>
      </c>
      <c r="O552" s="9">
        <v>0.37459999999999999</v>
      </c>
      <c r="P552" s="9">
        <v>1.2192000000000001</v>
      </c>
      <c r="Q552" s="9">
        <v>19.688099999999999</v>
      </c>
      <c r="R552" s="9"/>
      <c r="S552" s="11"/>
    </row>
    <row r="553" spans="1:19" ht="15.75">
      <c r="A553" s="13">
        <v>58714</v>
      </c>
      <c r="B553" s="8">
        <f>CHOOSE( CONTROL!$C$32, 13.1737, 13.1692) * CHOOSE(CONTROL!$C$15, $D$11, 100%, $F$11)</f>
        <v>13.1737</v>
      </c>
      <c r="C553" s="8">
        <f>CHOOSE( CONTROL!$C$32, 13.1841, 13.1795) * CHOOSE(CONTROL!$C$15, $D$11, 100%, $F$11)</f>
        <v>13.184100000000001</v>
      </c>
      <c r="D553" s="8">
        <f>CHOOSE( CONTROL!$C$32, 13.1953, 13.1908) * CHOOSE( CONTROL!$C$15, $D$11, 100%, $F$11)</f>
        <v>13.1953</v>
      </c>
      <c r="E553" s="12">
        <f>CHOOSE( CONTROL!$C$32, 13.1897, 13.1851) * CHOOSE( CONTROL!$C$15, $D$11, 100%, $F$11)</f>
        <v>13.1897</v>
      </c>
      <c r="F553" s="4">
        <f>CHOOSE( CONTROL!$C$32, 13.862, 13.8575) * CHOOSE(CONTROL!$C$15, $D$11, 100%, $F$11)</f>
        <v>13.862</v>
      </c>
      <c r="G553" s="8">
        <f>CHOOSE( CONTROL!$C$32, 12.9336, 12.9292) * CHOOSE( CONTROL!$C$15, $D$11, 100%, $F$11)</f>
        <v>12.9336</v>
      </c>
      <c r="H553" s="4">
        <f>CHOOSE( CONTROL!$C$32, 13.8663, 13.8619) * CHOOSE(CONTROL!$C$15, $D$11, 100%, $F$11)</f>
        <v>13.866300000000001</v>
      </c>
      <c r="I553" s="8">
        <f>CHOOSE( CONTROL!$C$32, 12.7899, 12.7855) * CHOOSE(CONTROL!$C$15, $D$11, 100%, $F$11)</f>
        <v>12.789899999999999</v>
      </c>
      <c r="J553" s="4">
        <f>CHOOSE( CONTROL!$C$32, 12.7152, 12.7108) * CHOOSE(CONTROL!$C$15, $D$11, 100%, $F$11)</f>
        <v>12.715199999999999</v>
      </c>
      <c r="K553" s="4"/>
      <c r="L553" s="9">
        <v>28.568200000000001</v>
      </c>
      <c r="M553" s="9">
        <v>11.6745</v>
      </c>
      <c r="N553" s="9">
        <v>4.7850000000000001</v>
      </c>
      <c r="O553" s="9">
        <v>0.36249999999999999</v>
      </c>
      <c r="P553" s="9">
        <v>1.1798</v>
      </c>
      <c r="Q553" s="9">
        <v>19.053000000000001</v>
      </c>
      <c r="R553" s="9"/>
      <c r="S553" s="11"/>
    </row>
    <row r="554" spans="1:19" ht="15.75">
      <c r="A554" s="13">
        <v>58745</v>
      </c>
      <c r="B554" s="8">
        <f>13.7531 * CHOOSE(CONTROL!$C$15, $D$11, 100%, $F$11)</f>
        <v>13.7531</v>
      </c>
      <c r="C554" s="8">
        <f>13.7634 * CHOOSE(CONTROL!$C$15, $D$11, 100%, $F$11)</f>
        <v>13.763400000000001</v>
      </c>
      <c r="D554" s="8">
        <f>13.7758 * CHOOSE( CONTROL!$C$15, $D$11, 100%, $F$11)</f>
        <v>13.7758</v>
      </c>
      <c r="E554" s="12">
        <f>13.7706 * CHOOSE( CONTROL!$C$15, $D$11, 100%, $F$11)</f>
        <v>13.7706</v>
      </c>
      <c r="F554" s="4">
        <f>14.4414 * CHOOSE(CONTROL!$C$15, $D$11, 100%, $F$11)</f>
        <v>14.4414</v>
      </c>
      <c r="G554" s="8">
        <f>13.5031 * CHOOSE( CONTROL!$C$15, $D$11, 100%, $F$11)</f>
        <v>13.5031</v>
      </c>
      <c r="H554" s="4">
        <f>14.4363 * CHOOSE(CONTROL!$C$15, $D$11, 100%, $F$11)</f>
        <v>14.436299999999999</v>
      </c>
      <c r="I554" s="8">
        <f>13.3517 * CHOOSE(CONTROL!$C$15, $D$11, 100%, $F$11)</f>
        <v>13.351699999999999</v>
      </c>
      <c r="J554" s="4">
        <f>13.2755 * CHOOSE(CONTROL!$C$15, $D$11, 100%, $F$11)</f>
        <v>13.275499999999999</v>
      </c>
      <c r="K554" s="4"/>
      <c r="L554" s="9">
        <v>28.921800000000001</v>
      </c>
      <c r="M554" s="9">
        <v>12.063700000000001</v>
      </c>
      <c r="N554" s="9">
        <v>4.9444999999999997</v>
      </c>
      <c r="O554" s="9">
        <v>0.37459999999999999</v>
      </c>
      <c r="P554" s="9">
        <v>1.2192000000000001</v>
      </c>
      <c r="Q554" s="9">
        <v>19.688099999999999</v>
      </c>
      <c r="R554" s="9"/>
      <c r="S554" s="11"/>
    </row>
    <row r="555" spans="1:19" ht="15.75">
      <c r="A555" s="13">
        <v>58775</v>
      </c>
      <c r="B555" s="8">
        <f>14.8308 * CHOOSE(CONTROL!$C$15, $D$11, 100%, $F$11)</f>
        <v>14.8308</v>
      </c>
      <c r="C555" s="8">
        <f>14.8411 * CHOOSE(CONTROL!$C$15, $D$11, 100%, $F$11)</f>
        <v>14.841100000000001</v>
      </c>
      <c r="D555" s="8">
        <f>14.8272 * CHOOSE( CONTROL!$C$15, $D$11, 100%, $F$11)</f>
        <v>14.827199999999999</v>
      </c>
      <c r="E555" s="12">
        <f>14.8312 * CHOOSE( CONTROL!$C$15, $D$11, 100%, $F$11)</f>
        <v>14.831200000000001</v>
      </c>
      <c r="F555" s="4">
        <f>15.485 * CHOOSE(CONTROL!$C$15, $D$11, 100%, $F$11)</f>
        <v>15.484999999999999</v>
      </c>
      <c r="G555" s="8">
        <f>14.5805 * CHOOSE( CONTROL!$C$15, $D$11, 100%, $F$11)</f>
        <v>14.580500000000001</v>
      </c>
      <c r="H555" s="4">
        <f>15.4631 * CHOOSE(CONTROL!$C$15, $D$11, 100%, $F$11)</f>
        <v>15.463100000000001</v>
      </c>
      <c r="I555" s="8">
        <f>14.4275 * CHOOSE(CONTROL!$C$15, $D$11, 100%, $F$11)</f>
        <v>14.4275</v>
      </c>
      <c r="J555" s="4">
        <f>14.3177 * CHOOSE(CONTROL!$C$15, $D$11, 100%, $F$11)</f>
        <v>14.3177</v>
      </c>
      <c r="K555" s="4"/>
      <c r="L555" s="9">
        <v>26.515499999999999</v>
      </c>
      <c r="M555" s="9">
        <v>11.6745</v>
      </c>
      <c r="N555" s="9">
        <v>4.7850000000000001</v>
      </c>
      <c r="O555" s="9">
        <v>0.36249999999999999</v>
      </c>
      <c r="P555" s="9">
        <v>1.2522</v>
      </c>
      <c r="Q555" s="9">
        <v>19.053000000000001</v>
      </c>
      <c r="R555" s="9"/>
      <c r="S555" s="11"/>
    </row>
    <row r="556" spans="1:19" ht="15.75">
      <c r="A556" s="13">
        <v>58806</v>
      </c>
      <c r="B556" s="8">
        <f>14.8039 * CHOOSE(CONTROL!$C$15, $D$11, 100%, $F$11)</f>
        <v>14.803900000000001</v>
      </c>
      <c r="C556" s="8">
        <f>14.8142 * CHOOSE(CONTROL!$C$15, $D$11, 100%, $F$11)</f>
        <v>14.8142</v>
      </c>
      <c r="D556" s="8">
        <f>14.8027 * CHOOSE( CONTROL!$C$15, $D$11, 100%, $F$11)</f>
        <v>14.8027</v>
      </c>
      <c r="E556" s="12">
        <f>14.8058 * CHOOSE( CONTROL!$C$15, $D$11, 100%, $F$11)</f>
        <v>14.8058</v>
      </c>
      <c r="F556" s="4">
        <f>15.4581 * CHOOSE(CONTROL!$C$15, $D$11, 100%, $F$11)</f>
        <v>15.4581</v>
      </c>
      <c r="G556" s="8">
        <f>14.5559 * CHOOSE( CONTROL!$C$15, $D$11, 100%, $F$11)</f>
        <v>14.555899999999999</v>
      </c>
      <c r="H556" s="4">
        <f>15.4366 * CHOOSE(CONTROL!$C$15, $D$11, 100%, $F$11)</f>
        <v>15.4366</v>
      </c>
      <c r="I556" s="8">
        <f>14.4095 * CHOOSE(CONTROL!$C$15, $D$11, 100%, $F$11)</f>
        <v>14.4095</v>
      </c>
      <c r="J556" s="4">
        <f>14.2917 * CHOOSE(CONTROL!$C$15, $D$11, 100%, $F$11)</f>
        <v>14.291700000000001</v>
      </c>
      <c r="K556" s="4"/>
      <c r="L556" s="9">
        <v>27.3993</v>
      </c>
      <c r="M556" s="9">
        <v>12.063700000000001</v>
      </c>
      <c r="N556" s="9">
        <v>4.9444999999999997</v>
      </c>
      <c r="O556" s="9">
        <v>0.37459999999999999</v>
      </c>
      <c r="P556" s="9">
        <v>1.2939000000000001</v>
      </c>
      <c r="Q556" s="9">
        <v>19.688099999999999</v>
      </c>
      <c r="R556" s="9"/>
      <c r="S556" s="11"/>
    </row>
    <row r="557" spans="1:19" ht="15.75">
      <c r="A557" s="13">
        <v>58837</v>
      </c>
      <c r="B557" s="8">
        <f>15.3687 * CHOOSE(CONTROL!$C$15, $D$11, 100%, $F$11)</f>
        <v>15.3687</v>
      </c>
      <c r="C557" s="8">
        <f>15.379 * CHOOSE(CONTROL!$C$15, $D$11, 100%, $F$11)</f>
        <v>15.379</v>
      </c>
      <c r="D557" s="8">
        <f>15.3774 * CHOOSE( CONTROL!$C$15, $D$11, 100%, $F$11)</f>
        <v>15.3774</v>
      </c>
      <c r="E557" s="12">
        <f>15.3769 * CHOOSE( CONTROL!$C$15, $D$11, 100%, $F$11)</f>
        <v>15.376899999999999</v>
      </c>
      <c r="F557" s="4">
        <f>16.0513 * CHOOSE(CONTROL!$C$15, $D$11, 100%, $F$11)</f>
        <v>16.051300000000001</v>
      </c>
      <c r="G557" s="8">
        <f>15.1218 * CHOOSE( CONTROL!$C$15, $D$11, 100%, $F$11)</f>
        <v>15.1218</v>
      </c>
      <c r="H557" s="4">
        <f>16.0202 * CHOOSE(CONTROL!$C$15, $D$11, 100%, $F$11)</f>
        <v>16.020199999999999</v>
      </c>
      <c r="I557" s="8">
        <f>14.9539 * CHOOSE(CONTROL!$C$15, $D$11, 100%, $F$11)</f>
        <v>14.953900000000001</v>
      </c>
      <c r="J557" s="4">
        <f>14.8379 * CHOOSE(CONTROL!$C$15, $D$11, 100%, $F$11)</f>
        <v>14.837899999999999</v>
      </c>
      <c r="K557" s="4"/>
      <c r="L557" s="9">
        <v>27.3993</v>
      </c>
      <c r="M557" s="9">
        <v>12.063700000000001</v>
      </c>
      <c r="N557" s="9">
        <v>4.9444999999999997</v>
      </c>
      <c r="O557" s="9">
        <v>0.37459999999999999</v>
      </c>
      <c r="P557" s="9">
        <v>1.2939000000000001</v>
      </c>
      <c r="Q557" s="9">
        <v>19.688099999999999</v>
      </c>
      <c r="R557" s="9"/>
      <c r="S557" s="11"/>
    </row>
    <row r="558" spans="1:19" ht="15.75">
      <c r="A558" s="13">
        <v>58865</v>
      </c>
      <c r="B558" s="8">
        <f>14.3768 * CHOOSE(CONTROL!$C$15, $D$11, 100%, $F$11)</f>
        <v>14.376799999999999</v>
      </c>
      <c r="C558" s="8">
        <f>14.3871 * CHOOSE(CONTROL!$C$15, $D$11, 100%, $F$11)</f>
        <v>14.3871</v>
      </c>
      <c r="D558" s="8">
        <f>14.3876 * CHOOSE( CONTROL!$C$15, $D$11, 100%, $F$11)</f>
        <v>14.387600000000001</v>
      </c>
      <c r="E558" s="12">
        <f>14.3863 * CHOOSE( CONTROL!$C$15, $D$11, 100%, $F$11)</f>
        <v>14.3863</v>
      </c>
      <c r="F558" s="4">
        <f>15.0517 * CHOOSE(CONTROL!$C$15, $D$11, 100%, $F$11)</f>
        <v>15.0517</v>
      </c>
      <c r="G558" s="8">
        <f>14.1457 * CHOOSE( CONTROL!$C$15, $D$11, 100%, $F$11)</f>
        <v>14.1457</v>
      </c>
      <c r="H558" s="4">
        <f>15.0368 * CHOOSE(CONTROL!$C$15, $D$11, 100%, $F$11)</f>
        <v>15.036799999999999</v>
      </c>
      <c r="I558" s="8">
        <f>13.9833 * CHOOSE(CONTROL!$C$15, $D$11, 100%, $F$11)</f>
        <v>13.9833</v>
      </c>
      <c r="J558" s="4">
        <f>13.8787 * CHOOSE(CONTROL!$C$15, $D$11, 100%, $F$11)</f>
        <v>13.8787</v>
      </c>
      <c r="K558" s="4"/>
      <c r="L558" s="9">
        <v>24.747800000000002</v>
      </c>
      <c r="M558" s="9">
        <v>10.8962</v>
      </c>
      <c r="N558" s="9">
        <v>4.4660000000000002</v>
      </c>
      <c r="O558" s="9">
        <v>0.33829999999999999</v>
      </c>
      <c r="P558" s="9">
        <v>1.1687000000000001</v>
      </c>
      <c r="Q558" s="9">
        <v>17.782800000000002</v>
      </c>
      <c r="R558" s="9"/>
      <c r="S558" s="11"/>
    </row>
    <row r="559" spans="1:19" ht="15.75">
      <c r="A559" s="13">
        <v>58893</v>
      </c>
      <c r="B559" s="8">
        <f>14.0713 * CHOOSE(CONTROL!$C$15, $D$11, 100%, $F$11)</f>
        <v>14.071300000000001</v>
      </c>
      <c r="C559" s="8">
        <f>14.0816 * CHOOSE(CONTROL!$C$15, $D$11, 100%, $F$11)</f>
        <v>14.0816</v>
      </c>
      <c r="D559" s="8">
        <f>14.0617 * CHOOSE( CONTROL!$C$15, $D$11, 100%, $F$11)</f>
        <v>14.0617</v>
      </c>
      <c r="E559" s="12">
        <f>14.0679 * CHOOSE( CONTROL!$C$15, $D$11, 100%, $F$11)</f>
        <v>14.0679</v>
      </c>
      <c r="F559" s="4">
        <f>14.7302 * CHOOSE(CONTROL!$C$15, $D$11, 100%, $F$11)</f>
        <v>14.7302</v>
      </c>
      <c r="G559" s="8">
        <f>13.8245 * CHOOSE( CONTROL!$C$15, $D$11, 100%, $F$11)</f>
        <v>13.8245</v>
      </c>
      <c r="H559" s="4">
        <f>14.7204 * CHOOSE(CONTROL!$C$15, $D$11, 100%, $F$11)</f>
        <v>14.7204</v>
      </c>
      <c r="I559" s="8">
        <f>13.6482 * CHOOSE(CONTROL!$C$15, $D$11, 100%, $F$11)</f>
        <v>13.648199999999999</v>
      </c>
      <c r="J559" s="4">
        <f>13.5832 * CHOOSE(CONTROL!$C$15, $D$11, 100%, $F$11)</f>
        <v>13.5832</v>
      </c>
      <c r="K559" s="4"/>
      <c r="L559" s="9">
        <v>27.3993</v>
      </c>
      <c r="M559" s="9">
        <v>12.063700000000001</v>
      </c>
      <c r="N559" s="9">
        <v>4.9444999999999997</v>
      </c>
      <c r="O559" s="9">
        <v>0.37459999999999999</v>
      </c>
      <c r="P559" s="9">
        <v>1.2939000000000001</v>
      </c>
      <c r="Q559" s="9">
        <v>19.688099999999999</v>
      </c>
      <c r="R559" s="9"/>
      <c r="S559" s="11"/>
    </row>
    <row r="560" spans="1:19" ht="15.75">
      <c r="A560" s="13">
        <v>58926</v>
      </c>
      <c r="B560" s="8">
        <f>14.2848 * CHOOSE(CONTROL!$C$15, $D$11, 100%, $F$11)</f>
        <v>14.284800000000001</v>
      </c>
      <c r="C560" s="8">
        <f>14.2951 * CHOOSE(CONTROL!$C$15, $D$11, 100%, $F$11)</f>
        <v>14.2951</v>
      </c>
      <c r="D560" s="8">
        <f>14.2866 * CHOOSE( CONTROL!$C$15, $D$11, 100%, $F$11)</f>
        <v>14.2866</v>
      </c>
      <c r="E560" s="12">
        <f>14.2882 * CHOOSE( CONTROL!$C$15, $D$11, 100%, $F$11)</f>
        <v>14.2882</v>
      </c>
      <c r="F560" s="4">
        <f>14.9338 * CHOOSE(CONTROL!$C$15, $D$11, 100%, $F$11)</f>
        <v>14.9338</v>
      </c>
      <c r="G560" s="8">
        <f>14.0193 * CHOOSE( CONTROL!$C$15, $D$11, 100%, $F$11)</f>
        <v>14.019299999999999</v>
      </c>
      <c r="H560" s="4">
        <f>14.9208 * CHOOSE(CONTROL!$C$15, $D$11, 100%, $F$11)</f>
        <v>14.9208</v>
      </c>
      <c r="I560" s="8">
        <f>13.8515 * CHOOSE(CONTROL!$C$15, $D$11, 100%, $F$11)</f>
        <v>13.8515</v>
      </c>
      <c r="J560" s="4">
        <f>13.7897 * CHOOSE(CONTROL!$C$15, $D$11, 100%, $F$11)</f>
        <v>13.7897</v>
      </c>
      <c r="K560" s="4"/>
      <c r="L560" s="9">
        <v>27.988800000000001</v>
      </c>
      <c r="M560" s="9">
        <v>11.6745</v>
      </c>
      <c r="N560" s="9">
        <v>4.7850000000000001</v>
      </c>
      <c r="O560" s="9">
        <v>0.36249999999999999</v>
      </c>
      <c r="P560" s="9">
        <v>1.1798</v>
      </c>
      <c r="Q560" s="9">
        <v>19.053000000000001</v>
      </c>
      <c r="R560" s="9"/>
      <c r="S560" s="11"/>
    </row>
    <row r="561" spans="1:19" ht="15.75">
      <c r="A561" s="13">
        <v>58957</v>
      </c>
      <c r="B561" s="8">
        <f>CHOOSE( CONTROL!$C$32, 14.6692, 14.6647) * CHOOSE(CONTROL!$C$15, $D$11, 100%, $F$11)</f>
        <v>14.6692</v>
      </c>
      <c r="C561" s="8">
        <f>CHOOSE( CONTROL!$C$32, 14.6796, 14.675) * CHOOSE(CONTROL!$C$15, $D$11, 100%, $F$11)</f>
        <v>14.679600000000001</v>
      </c>
      <c r="D561" s="8">
        <f>CHOOSE( CONTROL!$C$32, 14.6892, 14.6847) * CHOOSE( CONTROL!$C$15, $D$11, 100%, $F$11)</f>
        <v>14.6892</v>
      </c>
      <c r="E561" s="12">
        <f>CHOOSE( CONTROL!$C$32, 14.6841, 14.6796) * CHOOSE( CONTROL!$C$15, $D$11, 100%, $F$11)</f>
        <v>14.684100000000001</v>
      </c>
      <c r="F561" s="4">
        <f>CHOOSE( CONTROL!$C$32, 15.3575, 15.353) * CHOOSE(CONTROL!$C$15, $D$11, 100%, $F$11)</f>
        <v>15.3575</v>
      </c>
      <c r="G561" s="8">
        <f>CHOOSE( CONTROL!$C$32, 14.4026, 14.3981) * CHOOSE( CONTROL!$C$15, $D$11, 100%, $F$11)</f>
        <v>14.4026</v>
      </c>
      <c r="H561" s="4">
        <f>CHOOSE( CONTROL!$C$32, 15.3376, 15.3332) * CHOOSE(CONTROL!$C$15, $D$11, 100%, $F$11)</f>
        <v>15.3376</v>
      </c>
      <c r="I561" s="8">
        <f>CHOOSE( CONTROL!$C$32, 14.2294, 14.225) * CHOOSE(CONTROL!$C$15, $D$11, 100%, $F$11)</f>
        <v>14.2294</v>
      </c>
      <c r="J561" s="4">
        <f>CHOOSE( CONTROL!$C$32, 14.1615, 14.1571) * CHOOSE(CONTROL!$C$15, $D$11, 100%, $F$11)</f>
        <v>14.1615</v>
      </c>
      <c r="K561" s="4"/>
      <c r="L561" s="9">
        <v>29.520499999999998</v>
      </c>
      <c r="M561" s="9">
        <v>12.063700000000001</v>
      </c>
      <c r="N561" s="9">
        <v>4.9444999999999997</v>
      </c>
      <c r="O561" s="9">
        <v>0.37459999999999999</v>
      </c>
      <c r="P561" s="9">
        <v>1.2192000000000001</v>
      </c>
      <c r="Q561" s="9">
        <v>19.688099999999999</v>
      </c>
      <c r="R561" s="9"/>
      <c r="S561" s="11"/>
    </row>
    <row r="562" spans="1:19" ht="15.75">
      <c r="A562" s="13">
        <v>58987</v>
      </c>
      <c r="B562" s="8">
        <f>CHOOSE( CONTROL!$C$32, 14.4339, 14.4293) * CHOOSE(CONTROL!$C$15, $D$11, 100%, $F$11)</f>
        <v>14.4339</v>
      </c>
      <c r="C562" s="8">
        <f>CHOOSE( CONTROL!$C$32, 14.4442, 14.4397) * CHOOSE(CONTROL!$C$15, $D$11, 100%, $F$11)</f>
        <v>14.4442</v>
      </c>
      <c r="D562" s="8">
        <f>CHOOSE( CONTROL!$C$32, 14.4545, 14.45) * CHOOSE( CONTROL!$C$15, $D$11, 100%, $F$11)</f>
        <v>14.454499999999999</v>
      </c>
      <c r="E562" s="12">
        <f>CHOOSE( CONTROL!$C$32, 14.4492, 14.4447) * CHOOSE( CONTROL!$C$15, $D$11, 100%, $F$11)</f>
        <v>14.449199999999999</v>
      </c>
      <c r="F562" s="4">
        <f>CHOOSE( CONTROL!$C$32, 15.1221, 15.1176) * CHOOSE(CONTROL!$C$15, $D$11, 100%, $F$11)</f>
        <v>15.1221</v>
      </c>
      <c r="G562" s="8">
        <f>CHOOSE( CONTROL!$C$32, 14.172, 14.1675) * CHOOSE( CONTROL!$C$15, $D$11, 100%, $F$11)</f>
        <v>14.172000000000001</v>
      </c>
      <c r="H562" s="4">
        <f>CHOOSE( CONTROL!$C$32, 15.1061, 15.1016) * CHOOSE(CONTROL!$C$15, $D$11, 100%, $F$11)</f>
        <v>15.1061</v>
      </c>
      <c r="I562" s="8">
        <f>CHOOSE( CONTROL!$C$32, 14.0046, 14.0003) * CHOOSE(CONTROL!$C$15, $D$11, 100%, $F$11)</f>
        <v>14.0046</v>
      </c>
      <c r="J562" s="4">
        <f>CHOOSE( CONTROL!$C$32, 13.9339, 13.9295) * CHOOSE(CONTROL!$C$15, $D$11, 100%, $F$11)</f>
        <v>13.9339</v>
      </c>
      <c r="K562" s="4"/>
      <c r="L562" s="9">
        <v>28.568200000000001</v>
      </c>
      <c r="M562" s="9">
        <v>11.6745</v>
      </c>
      <c r="N562" s="9">
        <v>4.7850000000000001</v>
      </c>
      <c r="O562" s="9">
        <v>0.36249999999999999</v>
      </c>
      <c r="P562" s="9">
        <v>1.1798</v>
      </c>
      <c r="Q562" s="9">
        <v>19.053000000000001</v>
      </c>
      <c r="R562" s="9"/>
      <c r="S562" s="11"/>
    </row>
    <row r="563" spans="1:19" ht="15.75">
      <c r="A563" s="13">
        <v>59018</v>
      </c>
      <c r="B563" s="8">
        <f>CHOOSE( CONTROL!$C$32, 15.0536, 15.0491) * CHOOSE(CONTROL!$C$15, $D$11, 100%, $F$11)</f>
        <v>15.053599999999999</v>
      </c>
      <c r="C563" s="8">
        <f>CHOOSE( CONTROL!$C$32, 15.064, 15.0595) * CHOOSE(CONTROL!$C$15, $D$11, 100%, $F$11)</f>
        <v>15.064</v>
      </c>
      <c r="D563" s="8">
        <f>CHOOSE( CONTROL!$C$32, 15.0749, 15.0703) * CHOOSE( CONTROL!$C$15, $D$11, 100%, $F$11)</f>
        <v>15.0749</v>
      </c>
      <c r="E563" s="12">
        <f>CHOOSE( CONTROL!$C$32, 15.0694, 15.0648) * CHOOSE( CONTROL!$C$15, $D$11, 100%, $F$11)</f>
        <v>15.0694</v>
      </c>
      <c r="F563" s="4">
        <f>CHOOSE( CONTROL!$C$32, 15.7419, 15.7374) * CHOOSE(CONTROL!$C$15, $D$11, 100%, $F$11)</f>
        <v>15.741899999999999</v>
      </c>
      <c r="G563" s="8">
        <f>CHOOSE( CONTROL!$C$32, 14.7826, 14.7781) * CHOOSE( CONTROL!$C$15, $D$11, 100%, $F$11)</f>
        <v>14.7826</v>
      </c>
      <c r="H563" s="4">
        <f>CHOOSE( CONTROL!$C$32, 15.7158, 15.7114) * CHOOSE(CONTROL!$C$15, $D$11, 100%, $F$11)</f>
        <v>15.7158</v>
      </c>
      <c r="I563" s="8">
        <f>CHOOSE( CONTROL!$C$32, 14.607, 14.6027) * CHOOSE(CONTROL!$C$15, $D$11, 100%, $F$11)</f>
        <v>14.606999999999999</v>
      </c>
      <c r="J563" s="4">
        <f>CHOOSE( CONTROL!$C$32, 14.5333, 14.5289) * CHOOSE(CONTROL!$C$15, $D$11, 100%, $F$11)</f>
        <v>14.533300000000001</v>
      </c>
      <c r="K563" s="4"/>
      <c r="L563" s="9">
        <v>29.520499999999998</v>
      </c>
      <c r="M563" s="9">
        <v>12.063700000000001</v>
      </c>
      <c r="N563" s="9">
        <v>4.9444999999999997</v>
      </c>
      <c r="O563" s="9">
        <v>0.37459999999999999</v>
      </c>
      <c r="P563" s="9">
        <v>1.2192000000000001</v>
      </c>
      <c r="Q563" s="9">
        <v>19.688099999999999</v>
      </c>
      <c r="R563" s="9"/>
      <c r="S563" s="11"/>
    </row>
    <row r="564" spans="1:19" ht="15.75">
      <c r="A564" s="13">
        <v>59049</v>
      </c>
      <c r="B564" s="8">
        <f>CHOOSE( CONTROL!$C$32, 13.894, 13.8894) * CHOOSE(CONTROL!$C$15, $D$11, 100%, $F$11)</f>
        <v>13.894</v>
      </c>
      <c r="C564" s="8">
        <f>CHOOSE( CONTROL!$C$32, 13.9043, 13.8998) * CHOOSE(CONTROL!$C$15, $D$11, 100%, $F$11)</f>
        <v>13.904299999999999</v>
      </c>
      <c r="D564" s="8">
        <f>CHOOSE( CONTROL!$C$32, 13.9155, 13.9109) * CHOOSE( CONTROL!$C$15, $D$11, 100%, $F$11)</f>
        <v>13.9155</v>
      </c>
      <c r="E564" s="12">
        <f>CHOOSE( CONTROL!$C$32, 13.9099, 13.9053) * CHOOSE( CONTROL!$C$15, $D$11, 100%, $F$11)</f>
        <v>13.9099</v>
      </c>
      <c r="F564" s="4">
        <f>CHOOSE( CONTROL!$C$32, 14.5823, 14.5777) * CHOOSE(CONTROL!$C$15, $D$11, 100%, $F$11)</f>
        <v>14.5823</v>
      </c>
      <c r="G564" s="8">
        <f>CHOOSE( CONTROL!$C$32, 13.6421, 13.6376) * CHOOSE( CONTROL!$C$15, $D$11, 100%, $F$11)</f>
        <v>13.642099999999999</v>
      </c>
      <c r="H564" s="4">
        <f>CHOOSE( CONTROL!$C$32, 14.5749, 14.5704) * CHOOSE(CONTROL!$C$15, $D$11, 100%, $F$11)</f>
        <v>14.5749</v>
      </c>
      <c r="I564" s="8">
        <f>CHOOSE( CONTROL!$C$32, 13.4864, 13.482) * CHOOSE(CONTROL!$C$15, $D$11, 100%, $F$11)</f>
        <v>13.4864</v>
      </c>
      <c r="J564" s="4">
        <f>CHOOSE( CONTROL!$C$32, 13.4117, 13.4074) * CHOOSE(CONTROL!$C$15, $D$11, 100%, $F$11)</f>
        <v>13.4117</v>
      </c>
      <c r="K564" s="4"/>
      <c r="L564" s="9">
        <v>29.520499999999998</v>
      </c>
      <c r="M564" s="9">
        <v>12.063700000000001</v>
      </c>
      <c r="N564" s="9">
        <v>4.9444999999999997</v>
      </c>
      <c r="O564" s="9">
        <v>0.37459999999999999</v>
      </c>
      <c r="P564" s="9">
        <v>1.2192000000000001</v>
      </c>
      <c r="Q564" s="9">
        <v>19.688099999999999</v>
      </c>
      <c r="R564" s="9"/>
      <c r="S564" s="11"/>
    </row>
    <row r="565" spans="1:19" ht="15.75">
      <c r="A565" s="13">
        <v>59079</v>
      </c>
      <c r="B565" s="8">
        <f>CHOOSE( CONTROL!$C$32, 13.6036, 13.599) * CHOOSE(CONTROL!$C$15, $D$11, 100%, $F$11)</f>
        <v>13.6036</v>
      </c>
      <c r="C565" s="8">
        <f>CHOOSE( CONTROL!$C$32, 13.6139, 13.6094) * CHOOSE(CONTROL!$C$15, $D$11, 100%, $F$11)</f>
        <v>13.613899999999999</v>
      </c>
      <c r="D565" s="8">
        <f>CHOOSE( CONTROL!$C$32, 13.6252, 13.6206) * CHOOSE( CONTROL!$C$15, $D$11, 100%, $F$11)</f>
        <v>13.6252</v>
      </c>
      <c r="E565" s="12">
        <f>CHOOSE( CONTROL!$C$32, 13.6195, 13.615) * CHOOSE( CONTROL!$C$15, $D$11, 100%, $F$11)</f>
        <v>13.6195</v>
      </c>
      <c r="F565" s="4">
        <f>CHOOSE( CONTROL!$C$32, 14.2919, 14.2873) * CHOOSE(CONTROL!$C$15, $D$11, 100%, $F$11)</f>
        <v>14.2919</v>
      </c>
      <c r="G565" s="8">
        <f>CHOOSE( CONTROL!$C$32, 13.3565, 13.3521) * CHOOSE( CONTROL!$C$15, $D$11, 100%, $F$11)</f>
        <v>13.3565</v>
      </c>
      <c r="H565" s="4">
        <f>CHOOSE( CONTROL!$C$32, 14.2892, 14.2847) * CHOOSE(CONTROL!$C$15, $D$11, 100%, $F$11)</f>
        <v>14.289199999999999</v>
      </c>
      <c r="I565" s="8">
        <f>CHOOSE( CONTROL!$C$32, 13.2058, 13.2014) * CHOOSE(CONTROL!$C$15, $D$11, 100%, $F$11)</f>
        <v>13.2058</v>
      </c>
      <c r="J565" s="4">
        <f>CHOOSE( CONTROL!$C$32, 13.1309, 13.1265) * CHOOSE(CONTROL!$C$15, $D$11, 100%, $F$11)</f>
        <v>13.1309</v>
      </c>
      <c r="K565" s="4"/>
      <c r="L565" s="9">
        <v>28.568200000000001</v>
      </c>
      <c r="M565" s="9">
        <v>11.6745</v>
      </c>
      <c r="N565" s="9">
        <v>4.7850000000000001</v>
      </c>
      <c r="O565" s="9">
        <v>0.36249999999999999</v>
      </c>
      <c r="P565" s="9">
        <v>1.1798</v>
      </c>
      <c r="Q565" s="9">
        <v>19.053000000000001</v>
      </c>
      <c r="R565" s="9"/>
      <c r="S565" s="11"/>
    </row>
    <row r="566" spans="1:19" ht="15.75">
      <c r="A566" s="13">
        <v>59110</v>
      </c>
      <c r="B566" s="8">
        <f>14.202 * CHOOSE(CONTROL!$C$15, $D$11, 100%, $F$11)</f>
        <v>14.202</v>
      </c>
      <c r="C566" s="8">
        <f>14.2123 * CHOOSE(CONTROL!$C$15, $D$11, 100%, $F$11)</f>
        <v>14.212300000000001</v>
      </c>
      <c r="D566" s="8">
        <f>14.2248 * CHOOSE( CONTROL!$C$15, $D$11, 100%, $F$11)</f>
        <v>14.2248</v>
      </c>
      <c r="E566" s="12">
        <f>14.2196 * CHOOSE( CONTROL!$C$15, $D$11, 100%, $F$11)</f>
        <v>14.2196</v>
      </c>
      <c r="F566" s="4">
        <f>14.8903 * CHOOSE(CONTROL!$C$15, $D$11, 100%, $F$11)</f>
        <v>14.8903</v>
      </c>
      <c r="G566" s="8">
        <f>13.9447 * CHOOSE( CONTROL!$C$15, $D$11, 100%, $F$11)</f>
        <v>13.944699999999999</v>
      </c>
      <c r="H566" s="4">
        <f>14.878 * CHOOSE(CONTROL!$C$15, $D$11, 100%, $F$11)</f>
        <v>14.878</v>
      </c>
      <c r="I566" s="8">
        <f>13.7861 * CHOOSE(CONTROL!$C$15, $D$11, 100%, $F$11)</f>
        <v>13.786099999999999</v>
      </c>
      <c r="J566" s="4">
        <f>13.7097 * CHOOSE(CONTROL!$C$15, $D$11, 100%, $F$11)</f>
        <v>13.7097</v>
      </c>
      <c r="K566" s="4"/>
      <c r="L566" s="9">
        <v>28.921800000000001</v>
      </c>
      <c r="M566" s="9">
        <v>12.063700000000001</v>
      </c>
      <c r="N566" s="9">
        <v>4.9444999999999997</v>
      </c>
      <c r="O566" s="9">
        <v>0.37459999999999999</v>
      </c>
      <c r="P566" s="9">
        <v>1.2192000000000001</v>
      </c>
      <c r="Q566" s="9">
        <v>19.688099999999999</v>
      </c>
      <c r="R566" s="9"/>
      <c r="S566" s="11"/>
    </row>
    <row r="567" spans="1:19" ht="15.75">
      <c r="A567" s="13">
        <v>59140</v>
      </c>
      <c r="B567" s="8">
        <f>15.315 * CHOOSE(CONTROL!$C$15, $D$11, 100%, $F$11)</f>
        <v>15.315</v>
      </c>
      <c r="C567" s="8">
        <f>15.3253 * CHOOSE(CONTROL!$C$15, $D$11, 100%, $F$11)</f>
        <v>15.3253</v>
      </c>
      <c r="D567" s="8">
        <f>15.3113 * CHOOSE( CONTROL!$C$15, $D$11, 100%, $F$11)</f>
        <v>15.311299999999999</v>
      </c>
      <c r="E567" s="12">
        <f>15.3153 * CHOOSE( CONTROL!$C$15, $D$11, 100%, $F$11)</f>
        <v>15.315300000000001</v>
      </c>
      <c r="F567" s="4">
        <f>15.9692 * CHOOSE(CONTROL!$C$15, $D$11, 100%, $F$11)</f>
        <v>15.969200000000001</v>
      </c>
      <c r="G567" s="8">
        <f>15.0569 * CHOOSE( CONTROL!$C$15, $D$11, 100%, $F$11)</f>
        <v>15.056900000000001</v>
      </c>
      <c r="H567" s="4">
        <f>15.9394 * CHOOSE(CONTROL!$C$15, $D$11, 100%, $F$11)</f>
        <v>15.939399999999999</v>
      </c>
      <c r="I567" s="8">
        <f>14.896 * CHOOSE(CONTROL!$C$15, $D$11, 100%, $F$11)</f>
        <v>14.896000000000001</v>
      </c>
      <c r="J567" s="4">
        <f>14.786 * CHOOSE(CONTROL!$C$15, $D$11, 100%, $F$11)</f>
        <v>14.786</v>
      </c>
      <c r="K567" s="4"/>
      <c r="L567" s="9">
        <v>26.515499999999999</v>
      </c>
      <c r="M567" s="9">
        <v>11.6745</v>
      </c>
      <c r="N567" s="9">
        <v>4.7850000000000001</v>
      </c>
      <c r="O567" s="9">
        <v>0.36249999999999999</v>
      </c>
      <c r="P567" s="9">
        <v>1.2522</v>
      </c>
      <c r="Q567" s="9">
        <v>19.053000000000001</v>
      </c>
      <c r="R567" s="9"/>
      <c r="S567" s="11"/>
    </row>
    <row r="568" spans="1:19" ht="15.75">
      <c r="A568" s="13">
        <v>59171</v>
      </c>
      <c r="B568" s="8">
        <f>15.2871 * CHOOSE(CONTROL!$C$15, $D$11, 100%, $F$11)</f>
        <v>15.287100000000001</v>
      </c>
      <c r="C568" s="8">
        <f>15.2975 * CHOOSE(CONTROL!$C$15, $D$11, 100%, $F$11)</f>
        <v>15.297499999999999</v>
      </c>
      <c r="D568" s="8">
        <f>15.286 * CHOOSE( CONTROL!$C$15, $D$11, 100%, $F$11)</f>
        <v>15.286</v>
      </c>
      <c r="E568" s="12">
        <f>15.2891 * CHOOSE( CONTROL!$C$15, $D$11, 100%, $F$11)</f>
        <v>15.289099999999999</v>
      </c>
      <c r="F568" s="4">
        <f>15.9414 * CHOOSE(CONTROL!$C$15, $D$11, 100%, $F$11)</f>
        <v>15.9414</v>
      </c>
      <c r="G568" s="8">
        <f>15.0313 * CHOOSE( CONTROL!$C$15, $D$11, 100%, $F$11)</f>
        <v>15.0313</v>
      </c>
      <c r="H568" s="4">
        <f>15.9121 * CHOOSE(CONTROL!$C$15, $D$11, 100%, $F$11)</f>
        <v>15.912100000000001</v>
      </c>
      <c r="I568" s="8">
        <f>14.8771 * CHOOSE(CONTROL!$C$15, $D$11, 100%, $F$11)</f>
        <v>14.8771</v>
      </c>
      <c r="J568" s="4">
        <f>14.7591 * CHOOSE(CONTROL!$C$15, $D$11, 100%, $F$11)</f>
        <v>14.7591</v>
      </c>
      <c r="K568" s="4"/>
      <c r="L568" s="9">
        <v>27.3993</v>
      </c>
      <c r="M568" s="9">
        <v>12.063700000000001</v>
      </c>
      <c r="N568" s="9">
        <v>4.9444999999999997</v>
      </c>
      <c r="O568" s="9">
        <v>0.37459999999999999</v>
      </c>
      <c r="P568" s="9">
        <v>1.2939000000000001</v>
      </c>
      <c r="Q568" s="9">
        <v>19.688099999999999</v>
      </c>
      <c r="R568" s="9"/>
      <c r="S568" s="11"/>
    </row>
    <row r="569" spans="1:19" ht="15.75">
      <c r="A569" s="13">
        <v>59202</v>
      </c>
      <c r="B569" s="8">
        <f>15.8704 * CHOOSE(CONTROL!$C$15, $D$11, 100%, $F$11)</f>
        <v>15.8704</v>
      </c>
      <c r="C569" s="8">
        <f>15.8808 * CHOOSE(CONTROL!$C$15, $D$11, 100%, $F$11)</f>
        <v>15.880800000000001</v>
      </c>
      <c r="D569" s="8">
        <f>15.8792 * CHOOSE( CONTROL!$C$15, $D$11, 100%, $F$11)</f>
        <v>15.879200000000001</v>
      </c>
      <c r="E569" s="12">
        <f>15.8787 * CHOOSE( CONTROL!$C$15, $D$11, 100%, $F$11)</f>
        <v>15.8787</v>
      </c>
      <c r="F569" s="4">
        <f>16.5531 * CHOOSE(CONTROL!$C$15, $D$11, 100%, $F$11)</f>
        <v>16.553100000000001</v>
      </c>
      <c r="G569" s="8">
        <f>15.6155 * CHOOSE( CONTROL!$C$15, $D$11, 100%, $F$11)</f>
        <v>15.615500000000001</v>
      </c>
      <c r="H569" s="4">
        <f>16.5139 * CHOOSE(CONTROL!$C$15, $D$11, 100%, $F$11)</f>
        <v>16.5139</v>
      </c>
      <c r="I569" s="8">
        <f>15.4394 * CHOOSE(CONTROL!$C$15, $D$11, 100%, $F$11)</f>
        <v>15.439399999999999</v>
      </c>
      <c r="J569" s="4">
        <f>15.3232 * CHOOSE(CONTROL!$C$15, $D$11, 100%, $F$11)</f>
        <v>15.3232</v>
      </c>
      <c r="K569" s="4"/>
      <c r="L569" s="9">
        <v>27.3993</v>
      </c>
      <c r="M569" s="9">
        <v>12.063700000000001</v>
      </c>
      <c r="N569" s="9">
        <v>4.9444999999999997</v>
      </c>
      <c r="O569" s="9">
        <v>0.37459999999999999</v>
      </c>
      <c r="P569" s="9">
        <v>1.2939000000000001</v>
      </c>
      <c r="Q569" s="9">
        <v>19.688099999999999</v>
      </c>
      <c r="R569" s="9"/>
      <c r="S569" s="11"/>
    </row>
    <row r="570" spans="1:19" ht="15.75">
      <c r="A570" s="13">
        <v>59230</v>
      </c>
      <c r="B570" s="8">
        <f>14.8461 * CHOOSE(CONTROL!$C$15, $D$11, 100%, $F$11)</f>
        <v>14.8461</v>
      </c>
      <c r="C570" s="8">
        <f>14.8564 * CHOOSE(CONTROL!$C$15, $D$11, 100%, $F$11)</f>
        <v>14.856400000000001</v>
      </c>
      <c r="D570" s="8">
        <f>14.857 * CHOOSE( CONTROL!$C$15, $D$11, 100%, $F$11)</f>
        <v>14.856999999999999</v>
      </c>
      <c r="E570" s="12">
        <f>14.8557 * CHOOSE( CONTROL!$C$15, $D$11, 100%, $F$11)</f>
        <v>14.855700000000001</v>
      </c>
      <c r="F570" s="4">
        <f>15.521 * CHOOSE(CONTROL!$C$15, $D$11, 100%, $F$11)</f>
        <v>15.521000000000001</v>
      </c>
      <c r="G570" s="8">
        <f>14.6075 * CHOOSE( CONTROL!$C$15, $D$11, 100%, $F$11)</f>
        <v>14.6075</v>
      </c>
      <c r="H570" s="4">
        <f>15.4985 * CHOOSE(CONTROL!$C$15, $D$11, 100%, $F$11)</f>
        <v>15.4985</v>
      </c>
      <c r="I570" s="8">
        <f>14.4374 * CHOOSE(CONTROL!$C$15, $D$11, 100%, $F$11)</f>
        <v>14.4374</v>
      </c>
      <c r="J570" s="4">
        <f>14.3326 * CHOOSE(CONTROL!$C$15, $D$11, 100%, $F$11)</f>
        <v>14.332599999999999</v>
      </c>
      <c r="K570" s="4"/>
      <c r="L570" s="9">
        <v>24.747800000000002</v>
      </c>
      <c r="M570" s="9">
        <v>10.8962</v>
      </c>
      <c r="N570" s="9">
        <v>4.4660000000000002</v>
      </c>
      <c r="O570" s="9">
        <v>0.33829999999999999</v>
      </c>
      <c r="P570" s="9">
        <v>1.1687000000000001</v>
      </c>
      <c r="Q570" s="9">
        <v>17.782800000000002</v>
      </c>
      <c r="R570" s="9"/>
      <c r="S570" s="11"/>
    </row>
    <row r="571" spans="1:19" ht="15.75">
      <c r="A571" s="13">
        <v>59261</v>
      </c>
      <c r="B571" s="8">
        <f>14.5306 * CHOOSE(CONTROL!$C$15, $D$11, 100%, $F$11)</f>
        <v>14.5306</v>
      </c>
      <c r="C571" s="8">
        <f>14.541 * CHOOSE(CONTROL!$C$15, $D$11, 100%, $F$11)</f>
        <v>14.541</v>
      </c>
      <c r="D571" s="8">
        <f>14.521 * CHOOSE( CONTROL!$C$15, $D$11, 100%, $F$11)</f>
        <v>14.521000000000001</v>
      </c>
      <c r="E571" s="12">
        <f>14.5272 * CHOOSE( CONTROL!$C$15, $D$11, 100%, $F$11)</f>
        <v>14.527200000000001</v>
      </c>
      <c r="F571" s="4">
        <f>15.1895 * CHOOSE(CONTROL!$C$15, $D$11, 100%, $F$11)</f>
        <v>15.189500000000001</v>
      </c>
      <c r="G571" s="8">
        <f>14.2764 * CHOOSE( CONTROL!$C$15, $D$11, 100%, $F$11)</f>
        <v>14.276400000000001</v>
      </c>
      <c r="H571" s="4">
        <f>15.1723 * CHOOSE(CONTROL!$C$15, $D$11, 100%, $F$11)</f>
        <v>15.1723</v>
      </c>
      <c r="I571" s="8">
        <f>14.0926 * CHOOSE(CONTROL!$C$15, $D$11, 100%, $F$11)</f>
        <v>14.092599999999999</v>
      </c>
      <c r="J571" s="4">
        <f>14.0275 * CHOOSE(CONTROL!$C$15, $D$11, 100%, $F$11)</f>
        <v>14.0275</v>
      </c>
      <c r="K571" s="4"/>
      <c r="L571" s="9">
        <v>27.3993</v>
      </c>
      <c r="M571" s="9">
        <v>12.063700000000001</v>
      </c>
      <c r="N571" s="9">
        <v>4.9444999999999997</v>
      </c>
      <c r="O571" s="9">
        <v>0.37459999999999999</v>
      </c>
      <c r="P571" s="9">
        <v>1.2939000000000001</v>
      </c>
      <c r="Q571" s="9">
        <v>19.688099999999999</v>
      </c>
      <c r="R571" s="9"/>
      <c r="S571" s="11"/>
    </row>
    <row r="572" spans="1:19" ht="15.75">
      <c r="A572" s="13">
        <v>59291</v>
      </c>
      <c r="B572" s="8">
        <f>14.7511 * CHOOSE(CONTROL!$C$15, $D$11, 100%, $F$11)</f>
        <v>14.751099999999999</v>
      </c>
      <c r="C572" s="8">
        <f>14.7614 * CHOOSE(CONTROL!$C$15, $D$11, 100%, $F$11)</f>
        <v>14.7614</v>
      </c>
      <c r="D572" s="8">
        <f>14.7529 * CHOOSE( CONTROL!$C$15, $D$11, 100%, $F$11)</f>
        <v>14.7529</v>
      </c>
      <c r="E572" s="12">
        <f>14.7545 * CHOOSE( CONTROL!$C$15, $D$11, 100%, $F$11)</f>
        <v>14.7545</v>
      </c>
      <c r="F572" s="4">
        <f>15.4002 * CHOOSE(CONTROL!$C$15, $D$11, 100%, $F$11)</f>
        <v>15.4002</v>
      </c>
      <c r="G572" s="8">
        <f>14.4781 * CHOOSE( CONTROL!$C$15, $D$11, 100%, $F$11)</f>
        <v>14.4781</v>
      </c>
      <c r="H572" s="4">
        <f>15.3796 * CHOOSE(CONTROL!$C$15, $D$11, 100%, $F$11)</f>
        <v>15.3796</v>
      </c>
      <c r="I572" s="8">
        <f>14.3027 * CHOOSE(CONTROL!$C$15, $D$11, 100%, $F$11)</f>
        <v>14.3027</v>
      </c>
      <c r="J572" s="4">
        <f>14.2407 * CHOOSE(CONTROL!$C$15, $D$11, 100%, $F$11)</f>
        <v>14.2407</v>
      </c>
      <c r="K572" s="4"/>
      <c r="L572" s="9">
        <v>27.988800000000001</v>
      </c>
      <c r="M572" s="9">
        <v>11.6745</v>
      </c>
      <c r="N572" s="9">
        <v>4.7850000000000001</v>
      </c>
      <c r="O572" s="9">
        <v>0.36249999999999999</v>
      </c>
      <c r="P572" s="9">
        <v>1.1798</v>
      </c>
      <c r="Q572" s="9">
        <v>19.053000000000001</v>
      </c>
      <c r="R572" s="9"/>
      <c r="S572" s="11"/>
    </row>
    <row r="573" spans="1:19" ht="15.75">
      <c r="A573" s="13">
        <v>59322</v>
      </c>
      <c r="B573" s="8">
        <f>CHOOSE( CONTROL!$C$32, 15.148, 15.1434) * CHOOSE(CONTROL!$C$15, $D$11, 100%, $F$11)</f>
        <v>15.148</v>
      </c>
      <c r="C573" s="8">
        <f>CHOOSE( CONTROL!$C$32, 15.1583, 15.1538) * CHOOSE(CONTROL!$C$15, $D$11, 100%, $F$11)</f>
        <v>15.158300000000001</v>
      </c>
      <c r="D573" s="8">
        <f>CHOOSE( CONTROL!$C$32, 15.168, 15.1635) * CHOOSE( CONTROL!$C$15, $D$11, 100%, $F$11)</f>
        <v>15.167999999999999</v>
      </c>
      <c r="E573" s="12">
        <f>CHOOSE( CONTROL!$C$32, 15.1629, 15.1584) * CHOOSE( CONTROL!$C$15, $D$11, 100%, $F$11)</f>
        <v>15.1629</v>
      </c>
      <c r="F573" s="4">
        <f>CHOOSE( CONTROL!$C$32, 15.8362, 15.8317) * CHOOSE(CONTROL!$C$15, $D$11, 100%, $F$11)</f>
        <v>15.8362</v>
      </c>
      <c r="G573" s="8">
        <f>CHOOSE( CONTROL!$C$32, 14.8736, 14.8691) * CHOOSE( CONTROL!$C$15, $D$11, 100%, $F$11)</f>
        <v>14.8736</v>
      </c>
      <c r="H573" s="4">
        <f>CHOOSE( CONTROL!$C$32, 15.8086, 15.8042) * CHOOSE(CONTROL!$C$15, $D$11, 100%, $F$11)</f>
        <v>15.8086</v>
      </c>
      <c r="I573" s="8">
        <f>CHOOSE( CONTROL!$C$32, 14.6926, 14.6882) * CHOOSE(CONTROL!$C$15, $D$11, 100%, $F$11)</f>
        <v>14.692600000000001</v>
      </c>
      <c r="J573" s="4">
        <f>CHOOSE( CONTROL!$C$32, 14.6245, 14.6201) * CHOOSE(CONTROL!$C$15, $D$11, 100%, $F$11)</f>
        <v>14.624499999999999</v>
      </c>
      <c r="K573" s="4"/>
      <c r="L573" s="9">
        <v>29.520499999999998</v>
      </c>
      <c r="M573" s="9">
        <v>12.063700000000001</v>
      </c>
      <c r="N573" s="9">
        <v>4.9444999999999997</v>
      </c>
      <c r="O573" s="9">
        <v>0.37459999999999999</v>
      </c>
      <c r="P573" s="9">
        <v>1.2192000000000001</v>
      </c>
      <c r="Q573" s="9">
        <v>19.688099999999999</v>
      </c>
      <c r="R573" s="9"/>
      <c r="S573" s="11"/>
    </row>
    <row r="574" spans="1:19" ht="15.75">
      <c r="A574" s="13">
        <v>59352</v>
      </c>
      <c r="B574" s="8">
        <f>CHOOSE( CONTROL!$C$32, 14.9049, 14.9004) * CHOOSE(CONTROL!$C$15, $D$11, 100%, $F$11)</f>
        <v>14.9049</v>
      </c>
      <c r="C574" s="8">
        <f>CHOOSE( CONTROL!$C$32, 14.9152, 14.9107) * CHOOSE(CONTROL!$C$15, $D$11, 100%, $F$11)</f>
        <v>14.9152</v>
      </c>
      <c r="D574" s="8">
        <f>CHOOSE( CONTROL!$C$32, 14.9256, 14.921) * CHOOSE( CONTROL!$C$15, $D$11, 100%, $F$11)</f>
        <v>14.925599999999999</v>
      </c>
      <c r="E574" s="12">
        <f>CHOOSE( CONTROL!$C$32, 14.9203, 14.9157) * CHOOSE( CONTROL!$C$15, $D$11, 100%, $F$11)</f>
        <v>14.920299999999999</v>
      </c>
      <c r="F574" s="4">
        <f>CHOOSE( CONTROL!$C$32, 15.5932, 15.5887) * CHOOSE(CONTROL!$C$15, $D$11, 100%, $F$11)</f>
        <v>15.5932</v>
      </c>
      <c r="G574" s="8">
        <f>CHOOSE( CONTROL!$C$32, 14.6354, 14.6309) * CHOOSE( CONTROL!$C$15, $D$11, 100%, $F$11)</f>
        <v>14.635400000000001</v>
      </c>
      <c r="H574" s="4">
        <f>CHOOSE( CONTROL!$C$32, 15.5695, 15.565) * CHOOSE(CONTROL!$C$15, $D$11, 100%, $F$11)</f>
        <v>15.5695</v>
      </c>
      <c r="I574" s="8">
        <f>CHOOSE( CONTROL!$C$32, 14.4604, 14.456) * CHOOSE(CONTROL!$C$15, $D$11, 100%, $F$11)</f>
        <v>14.4604</v>
      </c>
      <c r="J574" s="4">
        <f>CHOOSE( CONTROL!$C$32, 14.3894, 14.385) * CHOOSE(CONTROL!$C$15, $D$11, 100%, $F$11)</f>
        <v>14.3894</v>
      </c>
      <c r="K574" s="4"/>
      <c r="L574" s="9">
        <v>28.568200000000001</v>
      </c>
      <c r="M574" s="9">
        <v>11.6745</v>
      </c>
      <c r="N574" s="9">
        <v>4.7850000000000001</v>
      </c>
      <c r="O574" s="9">
        <v>0.36249999999999999</v>
      </c>
      <c r="P574" s="9">
        <v>1.1798</v>
      </c>
      <c r="Q574" s="9">
        <v>19.053000000000001</v>
      </c>
      <c r="R574" s="9"/>
      <c r="S574" s="11"/>
    </row>
    <row r="575" spans="1:19" ht="15.75">
      <c r="A575" s="13">
        <v>59383</v>
      </c>
      <c r="B575" s="8">
        <f>CHOOSE( CONTROL!$C$32, 15.545, 15.5404) * CHOOSE(CONTROL!$C$15, $D$11, 100%, $F$11)</f>
        <v>15.545</v>
      </c>
      <c r="C575" s="8">
        <f>CHOOSE( CONTROL!$C$32, 15.5553, 15.5508) * CHOOSE(CONTROL!$C$15, $D$11, 100%, $F$11)</f>
        <v>15.555300000000001</v>
      </c>
      <c r="D575" s="8">
        <f>CHOOSE( CONTROL!$C$32, 15.5662, 15.5616) * CHOOSE( CONTROL!$C$15, $D$11, 100%, $F$11)</f>
        <v>15.5662</v>
      </c>
      <c r="E575" s="12">
        <f>CHOOSE( CONTROL!$C$32, 15.5607, 15.5561) * CHOOSE( CONTROL!$C$15, $D$11, 100%, $F$11)</f>
        <v>15.560700000000001</v>
      </c>
      <c r="F575" s="4">
        <f>CHOOSE( CONTROL!$C$32, 16.2332, 16.2287) * CHOOSE(CONTROL!$C$15, $D$11, 100%, $F$11)</f>
        <v>16.2332</v>
      </c>
      <c r="G575" s="8">
        <f>CHOOSE( CONTROL!$C$32, 15.2659, 15.2615) * CHOOSE( CONTROL!$C$15, $D$11, 100%, $F$11)</f>
        <v>15.2659</v>
      </c>
      <c r="H575" s="4">
        <f>CHOOSE( CONTROL!$C$32, 16.1992, 16.1947) * CHOOSE(CONTROL!$C$15, $D$11, 100%, $F$11)</f>
        <v>16.199200000000001</v>
      </c>
      <c r="I575" s="8">
        <f>CHOOSE( CONTROL!$C$32, 15.0824, 15.078) * CHOOSE(CONTROL!$C$15, $D$11, 100%, $F$11)</f>
        <v>15.0824</v>
      </c>
      <c r="J575" s="4">
        <f>CHOOSE( CONTROL!$C$32, 15.0084, 15.004) * CHOOSE(CONTROL!$C$15, $D$11, 100%, $F$11)</f>
        <v>15.0084</v>
      </c>
      <c r="K575" s="4"/>
      <c r="L575" s="9">
        <v>29.520499999999998</v>
      </c>
      <c r="M575" s="9">
        <v>12.063700000000001</v>
      </c>
      <c r="N575" s="9">
        <v>4.9444999999999997</v>
      </c>
      <c r="O575" s="9">
        <v>0.37459999999999999</v>
      </c>
      <c r="P575" s="9">
        <v>1.2192000000000001</v>
      </c>
      <c r="Q575" s="9">
        <v>19.688099999999999</v>
      </c>
      <c r="R575" s="9"/>
      <c r="S575" s="11"/>
    </row>
    <row r="576" spans="1:19" ht="15.75">
      <c r="A576" s="13">
        <v>59414</v>
      </c>
      <c r="B576" s="8">
        <f>CHOOSE( CONTROL!$C$32, 14.3473, 14.3428) * CHOOSE(CONTROL!$C$15, $D$11, 100%, $F$11)</f>
        <v>14.347300000000001</v>
      </c>
      <c r="C576" s="8">
        <f>CHOOSE( CONTROL!$C$32, 14.3577, 14.3532) * CHOOSE(CONTROL!$C$15, $D$11, 100%, $F$11)</f>
        <v>14.357699999999999</v>
      </c>
      <c r="D576" s="8">
        <f>CHOOSE( CONTROL!$C$32, 14.3689, 14.3643) * CHOOSE( CONTROL!$C$15, $D$11, 100%, $F$11)</f>
        <v>14.3689</v>
      </c>
      <c r="E576" s="12">
        <f>CHOOSE( CONTROL!$C$32, 14.3633, 14.3587) * CHOOSE( CONTROL!$C$15, $D$11, 100%, $F$11)</f>
        <v>14.363300000000001</v>
      </c>
      <c r="F576" s="4">
        <f>CHOOSE( CONTROL!$C$32, 15.0356, 15.0311) * CHOOSE(CONTROL!$C$15, $D$11, 100%, $F$11)</f>
        <v>15.035600000000001</v>
      </c>
      <c r="G576" s="8">
        <f>CHOOSE( CONTROL!$C$32, 14.0881, 14.0837) * CHOOSE( CONTROL!$C$15, $D$11, 100%, $F$11)</f>
        <v>14.088100000000001</v>
      </c>
      <c r="H576" s="4">
        <f>CHOOSE( CONTROL!$C$32, 15.0209, 15.0165) * CHOOSE(CONTROL!$C$15, $D$11, 100%, $F$11)</f>
        <v>15.020899999999999</v>
      </c>
      <c r="I576" s="8">
        <f>CHOOSE( CONTROL!$C$32, 13.9251, 13.9207) * CHOOSE(CONTROL!$C$15, $D$11, 100%, $F$11)</f>
        <v>13.9251</v>
      </c>
      <c r="J576" s="4">
        <f>CHOOSE( CONTROL!$C$32, 13.8502, 13.8458) * CHOOSE(CONTROL!$C$15, $D$11, 100%, $F$11)</f>
        <v>13.850199999999999</v>
      </c>
      <c r="K576" s="4"/>
      <c r="L576" s="9">
        <v>29.520499999999998</v>
      </c>
      <c r="M576" s="9">
        <v>12.063700000000001</v>
      </c>
      <c r="N576" s="9">
        <v>4.9444999999999997</v>
      </c>
      <c r="O576" s="9">
        <v>0.37459999999999999</v>
      </c>
      <c r="P576" s="9">
        <v>1.2192000000000001</v>
      </c>
      <c r="Q576" s="9">
        <v>19.688099999999999</v>
      </c>
      <c r="R576" s="9"/>
      <c r="S576" s="11"/>
    </row>
    <row r="577" spans="1:19" ht="15.75">
      <c r="A577" s="13">
        <v>59444</v>
      </c>
      <c r="B577" s="8">
        <f>CHOOSE( CONTROL!$C$32, 14.0475, 14.0429) * CHOOSE(CONTROL!$C$15, $D$11, 100%, $F$11)</f>
        <v>14.047499999999999</v>
      </c>
      <c r="C577" s="8">
        <f>CHOOSE( CONTROL!$C$32, 14.0578, 14.0533) * CHOOSE(CONTROL!$C$15, $D$11, 100%, $F$11)</f>
        <v>14.0578</v>
      </c>
      <c r="D577" s="8">
        <f>CHOOSE( CONTROL!$C$32, 14.0691, 14.0645) * CHOOSE( CONTROL!$C$15, $D$11, 100%, $F$11)</f>
        <v>14.069100000000001</v>
      </c>
      <c r="E577" s="12">
        <f>CHOOSE( CONTROL!$C$32, 14.0634, 14.0589) * CHOOSE( CONTROL!$C$15, $D$11, 100%, $F$11)</f>
        <v>14.0634</v>
      </c>
      <c r="F577" s="4">
        <f>CHOOSE( CONTROL!$C$32, 14.7357, 14.7312) * CHOOSE(CONTROL!$C$15, $D$11, 100%, $F$11)</f>
        <v>14.7357</v>
      </c>
      <c r="G577" s="8">
        <f>CHOOSE( CONTROL!$C$32, 13.7932, 13.7888) * CHOOSE( CONTROL!$C$15, $D$11, 100%, $F$11)</f>
        <v>13.793200000000001</v>
      </c>
      <c r="H577" s="4">
        <f>CHOOSE( CONTROL!$C$32, 14.7259, 14.7215) * CHOOSE(CONTROL!$C$15, $D$11, 100%, $F$11)</f>
        <v>14.725899999999999</v>
      </c>
      <c r="I577" s="8">
        <f>CHOOSE( CONTROL!$C$32, 13.6353, 13.6309) * CHOOSE(CONTROL!$C$15, $D$11, 100%, $F$11)</f>
        <v>13.635300000000001</v>
      </c>
      <c r="J577" s="4">
        <f>CHOOSE( CONTROL!$C$32, 13.5602, 13.5558) * CHOOSE(CONTROL!$C$15, $D$11, 100%, $F$11)</f>
        <v>13.5602</v>
      </c>
      <c r="K577" s="4"/>
      <c r="L577" s="9">
        <v>28.568200000000001</v>
      </c>
      <c r="M577" s="9">
        <v>11.6745</v>
      </c>
      <c r="N577" s="9">
        <v>4.7850000000000001</v>
      </c>
      <c r="O577" s="9">
        <v>0.36249999999999999</v>
      </c>
      <c r="P577" s="9">
        <v>1.1798</v>
      </c>
      <c r="Q577" s="9">
        <v>19.053000000000001</v>
      </c>
      <c r="R577" s="9"/>
      <c r="S577" s="11"/>
    </row>
    <row r="578" spans="1:19" ht="15.75">
      <c r="A578" s="13">
        <v>59475</v>
      </c>
      <c r="B578" s="8">
        <f>14.6656 * CHOOSE(CONTROL!$C$15, $D$11, 100%, $F$11)</f>
        <v>14.6656</v>
      </c>
      <c r="C578" s="8">
        <f>14.676 * CHOOSE(CONTROL!$C$15, $D$11, 100%, $F$11)</f>
        <v>14.676</v>
      </c>
      <c r="D578" s="8">
        <f>14.6884 * CHOOSE( CONTROL!$C$15, $D$11, 100%, $F$11)</f>
        <v>14.6884</v>
      </c>
      <c r="E578" s="12">
        <f>14.6832 * CHOOSE( CONTROL!$C$15, $D$11, 100%, $F$11)</f>
        <v>14.683199999999999</v>
      </c>
      <c r="F578" s="4">
        <f>15.3539 * CHOOSE(CONTROL!$C$15, $D$11, 100%, $F$11)</f>
        <v>15.353899999999999</v>
      </c>
      <c r="G578" s="8">
        <f>14.4009 * CHOOSE( CONTROL!$C$15, $D$11, 100%, $F$11)</f>
        <v>14.4009</v>
      </c>
      <c r="H578" s="4">
        <f>15.3341 * CHOOSE(CONTROL!$C$15, $D$11, 100%, $F$11)</f>
        <v>15.334099999999999</v>
      </c>
      <c r="I578" s="8">
        <f>14.2347 * CHOOSE(CONTROL!$C$15, $D$11, 100%, $F$11)</f>
        <v>14.2347</v>
      </c>
      <c r="J578" s="4">
        <f>14.158 * CHOOSE(CONTROL!$C$15, $D$11, 100%, $F$11)</f>
        <v>14.157999999999999</v>
      </c>
      <c r="K578" s="4"/>
      <c r="L578" s="9">
        <v>28.921800000000001</v>
      </c>
      <c r="M578" s="9">
        <v>12.063700000000001</v>
      </c>
      <c r="N578" s="9">
        <v>4.9444999999999997</v>
      </c>
      <c r="O578" s="9">
        <v>0.37459999999999999</v>
      </c>
      <c r="P578" s="9">
        <v>1.2192000000000001</v>
      </c>
      <c r="Q578" s="9">
        <v>19.688099999999999</v>
      </c>
      <c r="R578" s="9"/>
      <c r="S578" s="11"/>
    </row>
    <row r="579" spans="1:19" ht="15.75">
      <c r="A579" s="13">
        <v>59505</v>
      </c>
      <c r="B579" s="8">
        <f>15.815 * CHOOSE(CONTROL!$C$15, $D$11, 100%, $F$11)</f>
        <v>15.815</v>
      </c>
      <c r="C579" s="8">
        <f>15.8253 * CHOOSE(CONTROL!$C$15, $D$11, 100%, $F$11)</f>
        <v>15.8253</v>
      </c>
      <c r="D579" s="8">
        <f>15.8113 * CHOOSE( CONTROL!$C$15, $D$11, 100%, $F$11)</f>
        <v>15.811299999999999</v>
      </c>
      <c r="E579" s="12">
        <f>15.8153 * CHOOSE( CONTROL!$C$15, $D$11, 100%, $F$11)</f>
        <v>15.815300000000001</v>
      </c>
      <c r="F579" s="4">
        <f>16.4692 * CHOOSE(CONTROL!$C$15, $D$11, 100%, $F$11)</f>
        <v>16.469200000000001</v>
      </c>
      <c r="G579" s="8">
        <f>15.5488 * CHOOSE( CONTROL!$C$15, $D$11, 100%, $F$11)</f>
        <v>15.5488</v>
      </c>
      <c r="H579" s="4">
        <f>16.4313 * CHOOSE(CONTROL!$C$15, $D$11, 100%, $F$11)</f>
        <v>16.4313</v>
      </c>
      <c r="I579" s="8">
        <f>15.3798 * CHOOSE(CONTROL!$C$15, $D$11, 100%, $F$11)</f>
        <v>15.379799999999999</v>
      </c>
      <c r="J579" s="4">
        <f>15.2695 * CHOOSE(CONTROL!$C$15, $D$11, 100%, $F$11)</f>
        <v>15.269500000000001</v>
      </c>
      <c r="K579" s="4"/>
      <c r="L579" s="9">
        <v>26.515499999999999</v>
      </c>
      <c r="M579" s="9">
        <v>11.6745</v>
      </c>
      <c r="N579" s="9">
        <v>4.7850000000000001</v>
      </c>
      <c r="O579" s="9">
        <v>0.36249999999999999</v>
      </c>
      <c r="P579" s="9">
        <v>1.2522</v>
      </c>
      <c r="Q579" s="9">
        <v>19.053000000000001</v>
      </c>
      <c r="R579" s="9"/>
      <c r="S579" s="11"/>
    </row>
    <row r="580" spans="1:19" ht="15.75">
      <c r="A580" s="13">
        <v>59536</v>
      </c>
      <c r="B580" s="8">
        <f>15.7862 * CHOOSE(CONTROL!$C$15, $D$11, 100%, $F$11)</f>
        <v>15.786199999999999</v>
      </c>
      <c r="C580" s="8">
        <f>15.7966 * CHOOSE(CONTROL!$C$15, $D$11, 100%, $F$11)</f>
        <v>15.7966</v>
      </c>
      <c r="D580" s="8">
        <f>15.7851 * CHOOSE( CONTROL!$C$15, $D$11, 100%, $F$11)</f>
        <v>15.7851</v>
      </c>
      <c r="E580" s="12">
        <f>15.7882 * CHOOSE( CONTROL!$C$15, $D$11, 100%, $F$11)</f>
        <v>15.7882</v>
      </c>
      <c r="F580" s="4">
        <f>16.4405 * CHOOSE(CONTROL!$C$15, $D$11, 100%, $F$11)</f>
        <v>16.4405</v>
      </c>
      <c r="G580" s="8">
        <f>15.5224 * CHOOSE( CONTROL!$C$15, $D$11, 100%, $F$11)</f>
        <v>15.522399999999999</v>
      </c>
      <c r="H580" s="4">
        <f>16.4031 * CHOOSE(CONTROL!$C$15, $D$11, 100%, $F$11)</f>
        <v>16.403099999999998</v>
      </c>
      <c r="I580" s="8">
        <f>15.36 * CHOOSE(CONTROL!$C$15, $D$11, 100%, $F$11)</f>
        <v>15.36</v>
      </c>
      <c r="J580" s="4">
        <f>15.2418 * CHOOSE(CONTROL!$C$15, $D$11, 100%, $F$11)</f>
        <v>15.2418</v>
      </c>
      <c r="K580" s="4"/>
      <c r="L580" s="9">
        <v>27.3993</v>
      </c>
      <c r="M580" s="9">
        <v>12.063700000000001</v>
      </c>
      <c r="N580" s="9">
        <v>4.9444999999999997</v>
      </c>
      <c r="O580" s="9">
        <v>0.37459999999999999</v>
      </c>
      <c r="P580" s="9">
        <v>1.2939000000000001</v>
      </c>
      <c r="Q580" s="9">
        <v>19.688099999999999</v>
      </c>
      <c r="R580" s="9"/>
      <c r="S580" s="11"/>
    </row>
    <row r="581" spans="1:19" ht="15.75">
      <c r="A581" s="13">
        <v>59567</v>
      </c>
      <c r="B581" s="8">
        <f>16.3886 * CHOOSE(CONTROL!$C$15, $D$11, 100%, $F$11)</f>
        <v>16.3886</v>
      </c>
      <c r="C581" s="8">
        <f>16.3989 * CHOOSE(CONTROL!$C$15, $D$11, 100%, $F$11)</f>
        <v>16.398900000000001</v>
      </c>
      <c r="D581" s="8">
        <f>16.3974 * CHOOSE( CONTROL!$C$15, $D$11, 100%, $F$11)</f>
        <v>16.397400000000001</v>
      </c>
      <c r="E581" s="12">
        <f>16.3969 * CHOOSE( CONTROL!$C$15, $D$11, 100%, $F$11)</f>
        <v>16.396899999999999</v>
      </c>
      <c r="F581" s="4">
        <f>17.0713 * CHOOSE(CONTROL!$C$15, $D$11, 100%, $F$11)</f>
        <v>17.071300000000001</v>
      </c>
      <c r="G581" s="8">
        <f>16.1252 * CHOOSE( CONTROL!$C$15, $D$11, 100%, $F$11)</f>
        <v>16.1252</v>
      </c>
      <c r="H581" s="4">
        <f>17.0237 * CHOOSE(CONTROL!$C$15, $D$11, 100%, $F$11)</f>
        <v>17.023700000000002</v>
      </c>
      <c r="I581" s="8">
        <f>15.9408 * CHOOSE(CONTROL!$C$15, $D$11, 100%, $F$11)</f>
        <v>15.940799999999999</v>
      </c>
      <c r="J581" s="4">
        <f>15.8243 * CHOOSE(CONTROL!$C$15, $D$11, 100%, $F$11)</f>
        <v>15.824299999999999</v>
      </c>
      <c r="K581" s="4"/>
      <c r="L581" s="9">
        <v>27.3993</v>
      </c>
      <c r="M581" s="9">
        <v>12.063700000000001</v>
      </c>
      <c r="N581" s="9">
        <v>4.9444999999999997</v>
      </c>
      <c r="O581" s="9">
        <v>0.37459999999999999</v>
      </c>
      <c r="P581" s="9">
        <v>1.2939000000000001</v>
      </c>
      <c r="Q581" s="9">
        <v>19.688099999999999</v>
      </c>
      <c r="R581" s="9"/>
      <c r="S581" s="11"/>
    </row>
    <row r="582" spans="1:19" ht="15.75">
      <c r="A582" s="13">
        <v>59595</v>
      </c>
      <c r="B582" s="8">
        <f>15.3308 * CHOOSE(CONTROL!$C$15, $D$11, 100%, $F$11)</f>
        <v>15.3308</v>
      </c>
      <c r="C582" s="8">
        <f>15.3411 * CHOOSE(CONTROL!$C$15, $D$11, 100%, $F$11)</f>
        <v>15.341100000000001</v>
      </c>
      <c r="D582" s="8">
        <f>15.3416 * CHOOSE( CONTROL!$C$15, $D$11, 100%, $F$11)</f>
        <v>15.3416</v>
      </c>
      <c r="E582" s="12">
        <f>15.3403 * CHOOSE( CONTROL!$C$15, $D$11, 100%, $F$11)</f>
        <v>15.340299999999999</v>
      </c>
      <c r="F582" s="4">
        <f>16.0057 * CHOOSE(CONTROL!$C$15, $D$11, 100%, $F$11)</f>
        <v>16.005700000000001</v>
      </c>
      <c r="G582" s="8">
        <f>15.0843 * CHOOSE( CONTROL!$C$15, $D$11, 100%, $F$11)</f>
        <v>15.084300000000001</v>
      </c>
      <c r="H582" s="4">
        <f>15.9753 * CHOOSE(CONTROL!$C$15, $D$11, 100%, $F$11)</f>
        <v>15.975300000000001</v>
      </c>
      <c r="I582" s="8">
        <f>14.9063 * CHOOSE(CONTROL!$C$15, $D$11, 100%, $F$11)</f>
        <v>14.9063</v>
      </c>
      <c r="J582" s="4">
        <f>14.8013 * CHOOSE(CONTROL!$C$15, $D$11, 100%, $F$11)</f>
        <v>14.801299999999999</v>
      </c>
      <c r="K582" s="4"/>
      <c r="L582" s="9">
        <v>24.747800000000002</v>
      </c>
      <c r="M582" s="9">
        <v>10.8962</v>
      </c>
      <c r="N582" s="9">
        <v>4.4660000000000002</v>
      </c>
      <c r="O582" s="9">
        <v>0.33829999999999999</v>
      </c>
      <c r="P582" s="9">
        <v>1.1687000000000001</v>
      </c>
      <c r="Q582" s="9">
        <v>17.782800000000002</v>
      </c>
      <c r="R582" s="9"/>
      <c r="S582" s="11"/>
    </row>
    <row r="583" spans="1:19" ht="15.75">
      <c r="A583" s="13">
        <v>59626</v>
      </c>
      <c r="B583" s="8">
        <f>15.005 * CHOOSE(CONTROL!$C$15, $D$11, 100%, $F$11)</f>
        <v>15.005000000000001</v>
      </c>
      <c r="C583" s="8">
        <f>15.0153 * CHOOSE(CONTROL!$C$15, $D$11, 100%, $F$11)</f>
        <v>15.0153</v>
      </c>
      <c r="D583" s="8">
        <f>14.9954 * CHOOSE( CONTROL!$C$15, $D$11, 100%, $F$11)</f>
        <v>14.9954</v>
      </c>
      <c r="E583" s="12">
        <f>15.0016 * CHOOSE( CONTROL!$C$15, $D$11, 100%, $F$11)</f>
        <v>15.0016</v>
      </c>
      <c r="F583" s="4">
        <f>15.6639 * CHOOSE(CONTROL!$C$15, $D$11, 100%, $F$11)</f>
        <v>15.6639</v>
      </c>
      <c r="G583" s="8">
        <f>14.743 * CHOOSE( CONTROL!$C$15, $D$11, 100%, $F$11)</f>
        <v>14.743</v>
      </c>
      <c r="H583" s="4">
        <f>15.639 * CHOOSE(CONTROL!$C$15, $D$11, 100%, $F$11)</f>
        <v>15.638999999999999</v>
      </c>
      <c r="I583" s="8">
        <f>14.5516 * CHOOSE(CONTROL!$C$15, $D$11, 100%, $F$11)</f>
        <v>14.551600000000001</v>
      </c>
      <c r="J583" s="4">
        <f>14.4862 * CHOOSE(CONTROL!$C$15, $D$11, 100%, $F$11)</f>
        <v>14.4862</v>
      </c>
      <c r="K583" s="4"/>
      <c r="L583" s="9">
        <v>27.3993</v>
      </c>
      <c r="M583" s="9">
        <v>12.063700000000001</v>
      </c>
      <c r="N583" s="9">
        <v>4.9444999999999997</v>
      </c>
      <c r="O583" s="9">
        <v>0.37459999999999999</v>
      </c>
      <c r="P583" s="9">
        <v>1.2939000000000001</v>
      </c>
      <c r="Q583" s="9">
        <v>19.688099999999999</v>
      </c>
      <c r="R583" s="9"/>
      <c r="S583" s="11"/>
    </row>
    <row r="584" spans="1:19" ht="15.75">
      <c r="A584" s="13">
        <v>59656</v>
      </c>
      <c r="B584" s="8">
        <f>15.2326 * CHOOSE(CONTROL!$C$15, $D$11, 100%, $F$11)</f>
        <v>15.2326</v>
      </c>
      <c r="C584" s="8">
        <f>15.243 * CHOOSE(CONTROL!$C$15, $D$11, 100%, $F$11)</f>
        <v>15.243</v>
      </c>
      <c r="D584" s="8">
        <f>15.2345 * CHOOSE( CONTROL!$C$15, $D$11, 100%, $F$11)</f>
        <v>15.234500000000001</v>
      </c>
      <c r="E584" s="12">
        <f>15.2361 * CHOOSE( CONTROL!$C$15, $D$11, 100%, $F$11)</f>
        <v>15.2361</v>
      </c>
      <c r="F584" s="4">
        <f>15.8817 * CHOOSE(CONTROL!$C$15, $D$11, 100%, $F$11)</f>
        <v>15.8817</v>
      </c>
      <c r="G584" s="8">
        <f>14.9518 * CHOOSE( CONTROL!$C$15, $D$11, 100%, $F$11)</f>
        <v>14.9518</v>
      </c>
      <c r="H584" s="4">
        <f>15.8533 * CHOOSE(CONTROL!$C$15, $D$11, 100%, $F$11)</f>
        <v>15.853300000000001</v>
      </c>
      <c r="I584" s="8">
        <f>14.7687 * CHOOSE(CONTROL!$C$15, $D$11, 100%, $F$11)</f>
        <v>14.768700000000001</v>
      </c>
      <c r="J584" s="4">
        <f>14.7064 * CHOOSE(CONTROL!$C$15, $D$11, 100%, $F$11)</f>
        <v>14.7064</v>
      </c>
      <c r="K584" s="4"/>
      <c r="L584" s="9">
        <v>27.988800000000001</v>
      </c>
      <c r="M584" s="9">
        <v>11.6745</v>
      </c>
      <c r="N584" s="9">
        <v>4.7850000000000001</v>
      </c>
      <c r="O584" s="9">
        <v>0.36249999999999999</v>
      </c>
      <c r="P584" s="9">
        <v>1.1798</v>
      </c>
      <c r="Q584" s="9">
        <v>19.053000000000001</v>
      </c>
      <c r="R584" s="9"/>
      <c r="S584" s="11"/>
    </row>
    <row r="585" spans="1:19" ht="15.75">
      <c r="A585" s="13">
        <v>59687</v>
      </c>
      <c r="B585" s="8">
        <f>CHOOSE( CONTROL!$C$32, 15.6424, 15.6378) * CHOOSE(CONTROL!$C$15, $D$11, 100%, $F$11)</f>
        <v>15.6424</v>
      </c>
      <c r="C585" s="8">
        <f>CHOOSE( CONTROL!$C$32, 15.6527, 15.6482) * CHOOSE(CONTROL!$C$15, $D$11, 100%, $F$11)</f>
        <v>15.652699999999999</v>
      </c>
      <c r="D585" s="8">
        <f>CHOOSE( CONTROL!$C$32, 15.6624, 15.6579) * CHOOSE( CONTROL!$C$15, $D$11, 100%, $F$11)</f>
        <v>15.6624</v>
      </c>
      <c r="E585" s="12">
        <f>CHOOSE( CONTROL!$C$32, 15.6573, 15.6528) * CHOOSE( CONTROL!$C$15, $D$11, 100%, $F$11)</f>
        <v>15.657299999999999</v>
      </c>
      <c r="F585" s="4">
        <f>CHOOSE( CONTROL!$C$32, 16.3306, 16.3261) * CHOOSE(CONTROL!$C$15, $D$11, 100%, $F$11)</f>
        <v>16.3306</v>
      </c>
      <c r="G585" s="8">
        <f>CHOOSE( CONTROL!$C$32, 15.36, 15.3555) * CHOOSE( CONTROL!$C$15, $D$11, 100%, $F$11)</f>
        <v>15.36</v>
      </c>
      <c r="H585" s="4">
        <f>CHOOSE( CONTROL!$C$32, 16.295, 16.2906) * CHOOSE(CONTROL!$C$15, $D$11, 100%, $F$11)</f>
        <v>16.295000000000002</v>
      </c>
      <c r="I585" s="8">
        <f>CHOOSE( CONTROL!$C$32, 15.171, 15.1666) * CHOOSE(CONTROL!$C$15, $D$11, 100%, $F$11)</f>
        <v>15.170999999999999</v>
      </c>
      <c r="J585" s="4">
        <f>CHOOSE( CONTROL!$C$32, 15.1026, 15.0982) * CHOOSE(CONTROL!$C$15, $D$11, 100%, $F$11)</f>
        <v>15.102600000000001</v>
      </c>
      <c r="K585" s="4"/>
      <c r="L585" s="9">
        <v>29.520499999999998</v>
      </c>
      <c r="M585" s="9">
        <v>12.063700000000001</v>
      </c>
      <c r="N585" s="9">
        <v>4.9444999999999997</v>
      </c>
      <c r="O585" s="9">
        <v>0.37459999999999999</v>
      </c>
      <c r="P585" s="9">
        <v>1.2192000000000001</v>
      </c>
      <c r="Q585" s="9">
        <v>19.688099999999999</v>
      </c>
      <c r="R585" s="9"/>
      <c r="S585" s="11"/>
    </row>
    <row r="586" spans="1:19" ht="15.75">
      <c r="A586" s="13">
        <v>59717</v>
      </c>
      <c r="B586" s="8">
        <f>CHOOSE( CONTROL!$C$32, 15.3913, 15.3868) * CHOOSE(CONTROL!$C$15, $D$11, 100%, $F$11)</f>
        <v>15.391299999999999</v>
      </c>
      <c r="C586" s="8">
        <f>CHOOSE( CONTROL!$C$32, 15.4017, 15.3972) * CHOOSE(CONTROL!$C$15, $D$11, 100%, $F$11)</f>
        <v>15.4017</v>
      </c>
      <c r="D586" s="8">
        <f>CHOOSE( CONTROL!$C$32, 15.412, 15.4075) * CHOOSE( CONTROL!$C$15, $D$11, 100%, $F$11)</f>
        <v>15.412000000000001</v>
      </c>
      <c r="E586" s="12">
        <f>CHOOSE( CONTROL!$C$32, 15.4067, 15.4022) * CHOOSE( CONTROL!$C$15, $D$11, 100%, $F$11)</f>
        <v>15.406700000000001</v>
      </c>
      <c r="F586" s="4">
        <f>CHOOSE( CONTROL!$C$32, 16.0796, 16.0751) * CHOOSE(CONTROL!$C$15, $D$11, 100%, $F$11)</f>
        <v>16.079599999999999</v>
      </c>
      <c r="G586" s="8">
        <f>CHOOSE( CONTROL!$C$32, 15.114, 15.1095) * CHOOSE( CONTROL!$C$15, $D$11, 100%, $F$11)</f>
        <v>15.114000000000001</v>
      </c>
      <c r="H586" s="4">
        <f>CHOOSE( CONTROL!$C$32, 16.0481, 16.0436) * CHOOSE(CONTROL!$C$15, $D$11, 100%, $F$11)</f>
        <v>16.048100000000002</v>
      </c>
      <c r="I586" s="8">
        <f>CHOOSE( CONTROL!$C$32, 14.9311, 14.9267) * CHOOSE(CONTROL!$C$15, $D$11, 100%, $F$11)</f>
        <v>14.931100000000001</v>
      </c>
      <c r="J586" s="4">
        <f>CHOOSE( CONTROL!$C$32, 14.8599, 14.8555) * CHOOSE(CONTROL!$C$15, $D$11, 100%, $F$11)</f>
        <v>14.8599</v>
      </c>
      <c r="K586" s="4"/>
      <c r="L586" s="9">
        <v>28.568200000000001</v>
      </c>
      <c r="M586" s="9">
        <v>11.6745</v>
      </c>
      <c r="N586" s="9">
        <v>4.7850000000000001</v>
      </c>
      <c r="O586" s="9">
        <v>0.36249999999999999</v>
      </c>
      <c r="P586" s="9">
        <v>1.1798</v>
      </c>
      <c r="Q586" s="9">
        <v>19.053000000000001</v>
      </c>
      <c r="R586" s="9"/>
      <c r="S586" s="11"/>
    </row>
    <row r="587" spans="1:19" ht="15.75">
      <c r="A587" s="13">
        <v>59748</v>
      </c>
      <c r="B587" s="8">
        <f>CHOOSE( CONTROL!$C$32, 16.0523, 16.0478) * CHOOSE(CONTROL!$C$15, $D$11, 100%, $F$11)</f>
        <v>16.052299999999999</v>
      </c>
      <c r="C587" s="8">
        <f>CHOOSE( CONTROL!$C$32, 16.0627, 16.0581) * CHOOSE(CONTROL!$C$15, $D$11, 100%, $F$11)</f>
        <v>16.0627</v>
      </c>
      <c r="D587" s="8">
        <f>CHOOSE( CONTROL!$C$32, 16.0735, 16.069) * CHOOSE( CONTROL!$C$15, $D$11, 100%, $F$11)</f>
        <v>16.073499999999999</v>
      </c>
      <c r="E587" s="12">
        <f>CHOOSE( CONTROL!$C$32, 16.068, 16.0635) * CHOOSE( CONTROL!$C$15, $D$11, 100%, $F$11)</f>
        <v>16.068000000000001</v>
      </c>
      <c r="F587" s="4">
        <f>CHOOSE( CONTROL!$C$32, 16.7406, 16.7361) * CHOOSE(CONTROL!$C$15, $D$11, 100%, $F$11)</f>
        <v>16.740600000000001</v>
      </c>
      <c r="G587" s="8">
        <f>CHOOSE( CONTROL!$C$32, 15.7651, 15.7606) * CHOOSE( CONTROL!$C$15, $D$11, 100%, $F$11)</f>
        <v>15.7651</v>
      </c>
      <c r="H587" s="4">
        <f>CHOOSE( CONTROL!$C$32, 16.6984, 16.6939) * CHOOSE(CONTROL!$C$15, $D$11, 100%, $F$11)</f>
        <v>16.698399999999999</v>
      </c>
      <c r="I587" s="8">
        <f>CHOOSE( CONTROL!$C$32, 15.5734, 15.569) * CHOOSE(CONTROL!$C$15, $D$11, 100%, $F$11)</f>
        <v>15.573399999999999</v>
      </c>
      <c r="J587" s="4">
        <f>CHOOSE( CONTROL!$C$32, 15.4991, 15.4947) * CHOOSE(CONTROL!$C$15, $D$11, 100%, $F$11)</f>
        <v>15.4991</v>
      </c>
      <c r="K587" s="4"/>
      <c r="L587" s="9">
        <v>29.520499999999998</v>
      </c>
      <c r="M587" s="9">
        <v>12.063700000000001</v>
      </c>
      <c r="N587" s="9">
        <v>4.9444999999999997</v>
      </c>
      <c r="O587" s="9">
        <v>0.37459999999999999</v>
      </c>
      <c r="P587" s="9">
        <v>1.2192000000000001</v>
      </c>
      <c r="Q587" s="9">
        <v>19.688099999999999</v>
      </c>
      <c r="R587" s="9"/>
      <c r="S587" s="11"/>
    </row>
    <row r="588" spans="1:19" ht="15.75">
      <c r="A588" s="13">
        <v>59779</v>
      </c>
      <c r="B588" s="8">
        <f>CHOOSE( CONTROL!$C$32, 14.8156, 14.811) * CHOOSE(CONTROL!$C$15, $D$11, 100%, $F$11)</f>
        <v>14.8156</v>
      </c>
      <c r="C588" s="8">
        <f>CHOOSE( CONTROL!$C$32, 14.8259, 14.8214) * CHOOSE(CONTROL!$C$15, $D$11, 100%, $F$11)</f>
        <v>14.825900000000001</v>
      </c>
      <c r="D588" s="8">
        <f>CHOOSE( CONTROL!$C$32, 14.8371, 14.8325) * CHOOSE( CONTROL!$C$15, $D$11, 100%, $F$11)</f>
        <v>14.8371</v>
      </c>
      <c r="E588" s="12">
        <f>CHOOSE( CONTROL!$C$32, 14.8315, 14.8269) * CHOOSE( CONTROL!$C$15, $D$11, 100%, $F$11)</f>
        <v>14.8315</v>
      </c>
      <c r="F588" s="4">
        <f>CHOOSE( CONTROL!$C$32, 15.5039, 15.4993) * CHOOSE(CONTROL!$C$15, $D$11, 100%, $F$11)</f>
        <v>15.5039</v>
      </c>
      <c r="G588" s="8">
        <f>CHOOSE( CONTROL!$C$32, 14.5488, 14.5443) * CHOOSE( CONTROL!$C$15, $D$11, 100%, $F$11)</f>
        <v>14.5488</v>
      </c>
      <c r="H588" s="4">
        <f>CHOOSE( CONTROL!$C$32, 15.4816, 15.4771) * CHOOSE(CONTROL!$C$15, $D$11, 100%, $F$11)</f>
        <v>15.4816</v>
      </c>
      <c r="I588" s="8">
        <f>CHOOSE( CONTROL!$C$32, 14.3781, 14.3737) * CHOOSE(CONTROL!$C$15, $D$11, 100%, $F$11)</f>
        <v>14.3781</v>
      </c>
      <c r="J588" s="4">
        <f>CHOOSE( CONTROL!$C$32, 14.303, 14.2987) * CHOOSE(CONTROL!$C$15, $D$11, 100%, $F$11)</f>
        <v>14.303000000000001</v>
      </c>
      <c r="K588" s="4"/>
      <c r="L588" s="9">
        <v>29.520499999999998</v>
      </c>
      <c r="M588" s="9">
        <v>12.063700000000001</v>
      </c>
      <c r="N588" s="9">
        <v>4.9444999999999997</v>
      </c>
      <c r="O588" s="9">
        <v>0.37459999999999999</v>
      </c>
      <c r="P588" s="9">
        <v>1.2192000000000001</v>
      </c>
      <c r="Q588" s="9">
        <v>19.688099999999999</v>
      </c>
      <c r="R588" s="9"/>
      <c r="S588" s="11"/>
    </row>
    <row r="589" spans="1:19" ht="15.75">
      <c r="A589" s="13">
        <v>59809</v>
      </c>
      <c r="B589" s="8">
        <f>CHOOSE( CONTROL!$C$32, 14.5059, 14.5013) * CHOOSE(CONTROL!$C$15, $D$11, 100%, $F$11)</f>
        <v>14.5059</v>
      </c>
      <c r="C589" s="8">
        <f>CHOOSE( CONTROL!$C$32, 14.5162, 14.5117) * CHOOSE(CONTROL!$C$15, $D$11, 100%, $F$11)</f>
        <v>14.5162</v>
      </c>
      <c r="D589" s="8">
        <f>CHOOSE( CONTROL!$C$32, 14.5275, 14.5229) * CHOOSE( CONTROL!$C$15, $D$11, 100%, $F$11)</f>
        <v>14.5275</v>
      </c>
      <c r="E589" s="12">
        <f>CHOOSE( CONTROL!$C$32, 14.5218, 14.5173) * CHOOSE( CONTROL!$C$15, $D$11, 100%, $F$11)</f>
        <v>14.521800000000001</v>
      </c>
      <c r="F589" s="4">
        <f>CHOOSE( CONTROL!$C$32, 15.1942, 15.1896) * CHOOSE(CONTROL!$C$15, $D$11, 100%, $F$11)</f>
        <v>15.1942</v>
      </c>
      <c r="G589" s="8">
        <f>CHOOSE( CONTROL!$C$32, 14.2442, 14.2398) * CHOOSE( CONTROL!$C$15, $D$11, 100%, $F$11)</f>
        <v>14.244199999999999</v>
      </c>
      <c r="H589" s="4">
        <f>CHOOSE( CONTROL!$C$32, 15.1769, 15.1724) * CHOOSE(CONTROL!$C$15, $D$11, 100%, $F$11)</f>
        <v>15.1769</v>
      </c>
      <c r="I589" s="8">
        <f>CHOOSE( CONTROL!$C$32, 14.0789, 14.0745) * CHOOSE(CONTROL!$C$15, $D$11, 100%, $F$11)</f>
        <v>14.078900000000001</v>
      </c>
      <c r="J589" s="4">
        <f>CHOOSE( CONTROL!$C$32, 14.0035, 13.9991) * CHOOSE(CONTROL!$C$15, $D$11, 100%, $F$11)</f>
        <v>14.003500000000001</v>
      </c>
      <c r="K589" s="4"/>
      <c r="L589" s="9">
        <v>28.568200000000001</v>
      </c>
      <c r="M589" s="9">
        <v>11.6745</v>
      </c>
      <c r="N589" s="9">
        <v>4.7850000000000001</v>
      </c>
      <c r="O589" s="9">
        <v>0.36249999999999999</v>
      </c>
      <c r="P589" s="9">
        <v>1.1798</v>
      </c>
      <c r="Q589" s="9">
        <v>19.053000000000001</v>
      </c>
      <c r="R589" s="9"/>
      <c r="S589" s="11"/>
    </row>
    <row r="590" spans="1:19" ht="15.75">
      <c r="A590" s="13">
        <v>59840</v>
      </c>
      <c r="B590" s="8">
        <f>15.1444 * CHOOSE(CONTROL!$C$15, $D$11, 100%, $F$11)</f>
        <v>15.144399999999999</v>
      </c>
      <c r="C590" s="8">
        <f>15.1547 * CHOOSE(CONTROL!$C$15, $D$11, 100%, $F$11)</f>
        <v>15.1547</v>
      </c>
      <c r="D590" s="8">
        <f>15.1671 * CHOOSE( CONTROL!$C$15, $D$11, 100%, $F$11)</f>
        <v>15.1671</v>
      </c>
      <c r="E590" s="12">
        <f>15.1619 * CHOOSE( CONTROL!$C$15, $D$11, 100%, $F$11)</f>
        <v>15.161899999999999</v>
      </c>
      <c r="F590" s="4">
        <f>15.8327 * CHOOSE(CONTROL!$C$15, $D$11, 100%, $F$11)</f>
        <v>15.832700000000001</v>
      </c>
      <c r="G590" s="8">
        <f>14.8719 * CHOOSE( CONTROL!$C$15, $D$11, 100%, $F$11)</f>
        <v>14.8719</v>
      </c>
      <c r="H590" s="4">
        <f>15.8051 * CHOOSE(CONTROL!$C$15, $D$11, 100%, $F$11)</f>
        <v>15.805099999999999</v>
      </c>
      <c r="I590" s="8">
        <f>14.698 * CHOOSE(CONTROL!$C$15, $D$11, 100%, $F$11)</f>
        <v>14.698</v>
      </c>
      <c r="J590" s="4">
        <f>14.621 * CHOOSE(CONTROL!$C$15, $D$11, 100%, $F$11)</f>
        <v>14.621</v>
      </c>
      <c r="K590" s="4"/>
      <c r="L590" s="9">
        <v>28.921800000000001</v>
      </c>
      <c r="M590" s="9">
        <v>12.063700000000001</v>
      </c>
      <c r="N590" s="9">
        <v>4.9444999999999997</v>
      </c>
      <c r="O590" s="9">
        <v>0.37459999999999999</v>
      </c>
      <c r="P590" s="9">
        <v>1.2192000000000001</v>
      </c>
      <c r="Q590" s="9">
        <v>19.688099999999999</v>
      </c>
      <c r="R590" s="9"/>
      <c r="S590" s="11"/>
    </row>
    <row r="591" spans="1:19" ht="15.75">
      <c r="A591" s="13">
        <v>59870</v>
      </c>
      <c r="B591" s="8">
        <f>16.3313 * CHOOSE(CONTROL!$C$15, $D$11, 100%, $F$11)</f>
        <v>16.331299999999999</v>
      </c>
      <c r="C591" s="8">
        <f>16.3417 * CHOOSE(CONTROL!$C$15, $D$11, 100%, $F$11)</f>
        <v>16.341699999999999</v>
      </c>
      <c r="D591" s="8">
        <f>16.3277 * CHOOSE( CONTROL!$C$15, $D$11, 100%, $F$11)</f>
        <v>16.3277</v>
      </c>
      <c r="E591" s="12">
        <f>16.3317 * CHOOSE( CONTROL!$C$15, $D$11, 100%, $F$11)</f>
        <v>16.331700000000001</v>
      </c>
      <c r="F591" s="4">
        <f>16.9856 * CHOOSE(CONTROL!$C$15, $D$11, 100%, $F$11)</f>
        <v>16.985600000000002</v>
      </c>
      <c r="G591" s="8">
        <f>16.0568 * CHOOSE( CONTROL!$C$15, $D$11, 100%, $F$11)</f>
        <v>16.056799999999999</v>
      </c>
      <c r="H591" s="4">
        <f>16.9393 * CHOOSE(CONTROL!$C$15, $D$11, 100%, $F$11)</f>
        <v>16.939299999999999</v>
      </c>
      <c r="I591" s="8">
        <f>15.8794 * CHOOSE(CONTROL!$C$15, $D$11, 100%, $F$11)</f>
        <v>15.8794</v>
      </c>
      <c r="J591" s="4">
        <f>15.7689 * CHOOSE(CONTROL!$C$15, $D$11, 100%, $F$11)</f>
        <v>15.7689</v>
      </c>
      <c r="K591" s="4"/>
      <c r="L591" s="9">
        <v>26.515499999999999</v>
      </c>
      <c r="M591" s="9">
        <v>11.6745</v>
      </c>
      <c r="N591" s="9">
        <v>4.7850000000000001</v>
      </c>
      <c r="O591" s="9">
        <v>0.36249999999999999</v>
      </c>
      <c r="P591" s="9">
        <v>1.2522</v>
      </c>
      <c r="Q591" s="9">
        <v>19.053000000000001</v>
      </c>
      <c r="R591" s="9"/>
      <c r="S591" s="11"/>
    </row>
    <row r="592" spans="1:19" ht="15.75">
      <c r="A592" s="13">
        <v>59901</v>
      </c>
      <c r="B592" s="8">
        <f>16.3017 * CHOOSE(CONTROL!$C$15, $D$11, 100%, $F$11)</f>
        <v>16.3017</v>
      </c>
      <c r="C592" s="8">
        <f>16.312 * CHOOSE(CONTROL!$C$15, $D$11, 100%, $F$11)</f>
        <v>16.312000000000001</v>
      </c>
      <c r="D592" s="8">
        <f>16.3005 * CHOOSE( CONTROL!$C$15, $D$11, 100%, $F$11)</f>
        <v>16.3005</v>
      </c>
      <c r="E592" s="12">
        <f>16.3036 * CHOOSE( CONTROL!$C$15, $D$11, 100%, $F$11)</f>
        <v>16.303599999999999</v>
      </c>
      <c r="F592" s="4">
        <f>16.9559 * CHOOSE(CONTROL!$C$15, $D$11, 100%, $F$11)</f>
        <v>16.9559</v>
      </c>
      <c r="G592" s="8">
        <f>16.0294 * CHOOSE( CONTROL!$C$15, $D$11, 100%, $F$11)</f>
        <v>16.029399999999999</v>
      </c>
      <c r="H592" s="4">
        <f>16.9102 * CHOOSE(CONTROL!$C$15, $D$11, 100%, $F$11)</f>
        <v>16.9102</v>
      </c>
      <c r="I592" s="8">
        <f>15.8587 * CHOOSE(CONTROL!$C$15, $D$11, 100%, $F$11)</f>
        <v>15.858700000000001</v>
      </c>
      <c r="J592" s="4">
        <f>15.7402 * CHOOSE(CONTROL!$C$15, $D$11, 100%, $F$11)</f>
        <v>15.7402</v>
      </c>
      <c r="K592" s="4"/>
      <c r="L592" s="9">
        <v>27.3993</v>
      </c>
      <c r="M592" s="9">
        <v>12.063700000000001</v>
      </c>
      <c r="N592" s="9">
        <v>4.9444999999999997</v>
      </c>
      <c r="O592" s="9">
        <v>0.37459999999999999</v>
      </c>
      <c r="P592" s="9">
        <v>1.2939000000000001</v>
      </c>
      <c r="Q592" s="9">
        <v>19.688099999999999</v>
      </c>
      <c r="R592" s="9"/>
      <c r="S592" s="11"/>
    </row>
    <row r="593" spans="1:19" ht="15.75">
      <c r="A593" s="13">
        <v>59932</v>
      </c>
      <c r="B593" s="8">
        <f>16.9237 * CHOOSE(CONTROL!$C$15, $D$11, 100%, $F$11)</f>
        <v>16.9237</v>
      </c>
      <c r="C593" s="8">
        <f>16.9341 * CHOOSE(CONTROL!$C$15, $D$11, 100%, $F$11)</f>
        <v>16.934100000000001</v>
      </c>
      <c r="D593" s="8">
        <f>16.9325 * CHOOSE( CONTROL!$C$15, $D$11, 100%, $F$11)</f>
        <v>16.932500000000001</v>
      </c>
      <c r="E593" s="12">
        <f>16.932 * CHOOSE( CONTROL!$C$15, $D$11, 100%, $F$11)</f>
        <v>16.931999999999999</v>
      </c>
      <c r="F593" s="4">
        <f>17.6064 * CHOOSE(CONTROL!$C$15, $D$11, 100%, $F$11)</f>
        <v>17.606400000000001</v>
      </c>
      <c r="G593" s="8">
        <f>16.6517 * CHOOSE( CONTROL!$C$15, $D$11, 100%, $F$11)</f>
        <v>16.651700000000002</v>
      </c>
      <c r="H593" s="4">
        <f>17.5501 * CHOOSE(CONTROL!$C$15, $D$11, 100%, $F$11)</f>
        <v>17.5501</v>
      </c>
      <c r="I593" s="8">
        <f>16.4586 * CHOOSE(CONTROL!$C$15, $D$11, 100%, $F$11)</f>
        <v>16.458600000000001</v>
      </c>
      <c r="J593" s="4">
        <f>16.3418 * CHOOSE(CONTROL!$C$15, $D$11, 100%, $F$11)</f>
        <v>16.341799999999999</v>
      </c>
      <c r="K593" s="4"/>
      <c r="L593" s="9">
        <v>27.3993</v>
      </c>
      <c r="M593" s="9">
        <v>12.063700000000001</v>
      </c>
      <c r="N593" s="9">
        <v>4.9444999999999997</v>
      </c>
      <c r="O593" s="9">
        <v>0.37459999999999999</v>
      </c>
      <c r="P593" s="9">
        <v>1.2939000000000001</v>
      </c>
      <c r="Q593" s="9">
        <v>19.688099999999999</v>
      </c>
      <c r="R593" s="9"/>
      <c r="S593" s="11"/>
    </row>
    <row r="594" spans="1:19" ht="15.75">
      <c r="A594" s="13">
        <v>59961</v>
      </c>
      <c r="B594" s="8">
        <f>15.8313 * CHOOSE(CONTROL!$C$15, $D$11, 100%, $F$11)</f>
        <v>15.831300000000001</v>
      </c>
      <c r="C594" s="8">
        <f>15.8416 * CHOOSE(CONTROL!$C$15, $D$11, 100%, $F$11)</f>
        <v>15.8416</v>
      </c>
      <c r="D594" s="8">
        <f>15.8422 * CHOOSE( CONTROL!$C$15, $D$11, 100%, $F$11)</f>
        <v>15.8422</v>
      </c>
      <c r="E594" s="12">
        <f>15.8409 * CHOOSE( CONTROL!$C$15, $D$11, 100%, $F$11)</f>
        <v>15.8409</v>
      </c>
      <c r="F594" s="4">
        <f>16.5062 * CHOOSE(CONTROL!$C$15, $D$11, 100%, $F$11)</f>
        <v>16.5062</v>
      </c>
      <c r="G594" s="8">
        <f>15.5767 * CHOOSE( CONTROL!$C$15, $D$11, 100%, $F$11)</f>
        <v>15.576700000000001</v>
      </c>
      <c r="H594" s="4">
        <f>16.4678 * CHOOSE(CONTROL!$C$15, $D$11, 100%, $F$11)</f>
        <v>16.4678</v>
      </c>
      <c r="I594" s="8">
        <f>15.3906 * CHOOSE(CONTROL!$C$15, $D$11, 100%, $F$11)</f>
        <v>15.390599999999999</v>
      </c>
      <c r="J594" s="4">
        <f>15.2853 * CHOOSE(CONTROL!$C$15, $D$11, 100%, $F$11)</f>
        <v>15.285299999999999</v>
      </c>
      <c r="K594" s="4"/>
      <c r="L594" s="9">
        <v>25.631599999999999</v>
      </c>
      <c r="M594" s="9">
        <v>11.285299999999999</v>
      </c>
      <c r="N594" s="9">
        <v>4.6254999999999997</v>
      </c>
      <c r="O594" s="9">
        <v>0.35039999999999999</v>
      </c>
      <c r="P594" s="9">
        <v>1.2104999999999999</v>
      </c>
      <c r="Q594" s="9">
        <v>18.417899999999999</v>
      </c>
      <c r="R594" s="9"/>
      <c r="S594" s="11"/>
    </row>
    <row r="595" spans="1:19" ht="15.75">
      <c r="A595" s="13">
        <v>59992</v>
      </c>
      <c r="B595" s="8">
        <f>15.4948 * CHOOSE(CONTROL!$C$15, $D$11, 100%, $F$11)</f>
        <v>15.4948</v>
      </c>
      <c r="C595" s="8">
        <f>15.5052 * CHOOSE(CONTROL!$C$15, $D$11, 100%, $F$11)</f>
        <v>15.5052</v>
      </c>
      <c r="D595" s="8">
        <f>15.4853 * CHOOSE( CONTROL!$C$15, $D$11, 100%, $F$11)</f>
        <v>15.485300000000001</v>
      </c>
      <c r="E595" s="12">
        <f>15.4915 * CHOOSE( CONTROL!$C$15, $D$11, 100%, $F$11)</f>
        <v>15.4915</v>
      </c>
      <c r="F595" s="4">
        <f>16.1538 * CHOOSE(CONTROL!$C$15, $D$11, 100%, $F$11)</f>
        <v>16.1538</v>
      </c>
      <c r="G595" s="8">
        <f>15.225 * CHOOSE( CONTROL!$C$15, $D$11, 100%, $F$11)</f>
        <v>15.225</v>
      </c>
      <c r="H595" s="4">
        <f>16.121 * CHOOSE(CONTROL!$C$15, $D$11, 100%, $F$11)</f>
        <v>16.120999999999999</v>
      </c>
      <c r="I595" s="8">
        <f>15.0256 * CHOOSE(CONTROL!$C$15, $D$11, 100%, $F$11)</f>
        <v>15.025600000000001</v>
      </c>
      <c r="J595" s="4">
        <f>14.96 * CHOOSE(CONTROL!$C$15, $D$11, 100%, $F$11)</f>
        <v>14.96</v>
      </c>
      <c r="K595" s="4"/>
      <c r="L595" s="9">
        <v>27.3993</v>
      </c>
      <c r="M595" s="9">
        <v>12.063700000000001</v>
      </c>
      <c r="N595" s="9">
        <v>4.9444999999999997</v>
      </c>
      <c r="O595" s="9">
        <v>0.37459999999999999</v>
      </c>
      <c r="P595" s="9">
        <v>1.2939000000000001</v>
      </c>
      <c r="Q595" s="9">
        <v>19.688099999999999</v>
      </c>
      <c r="R595" s="9"/>
      <c r="S595" s="11"/>
    </row>
    <row r="596" spans="1:19" ht="15.75">
      <c r="A596" s="13">
        <v>60022</v>
      </c>
      <c r="B596" s="8">
        <f>15.73 * CHOOSE(CONTROL!$C$15, $D$11, 100%, $F$11)</f>
        <v>15.73</v>
      </c>
      <c r="C596" s="8">
        <f>15.7403 * CHOOSE(CONTROL!$C$15, $D$11, 100%, $F$11)</f>
        <v>15.7403</v>
      </c>
      <c r="D596" s="8">
        <f>15.7318 * CHOOSE( CONTROL!$C$15, $D$11, 100%, $F$11)</f>
        <v>15.7318</v>
      </c>
      <c r="E596" s="12">
        <f>15.7334 * CHOOSE( CONTROL!$C$15, $D$11, 100%, $F$11)</f>
        <v>15.7334</v>
      </c>
      <c r="F596" s="4">
        <f>16.379 * CHOOSE(CONTROL!$C$15, $D$11, 100%, $F$11)</f>
        <v>16.379000000000001</v>
      </c>
      <c r="G596" s="8">
        <f>15.4411 * CHOOSE( CONTROL!$C$15, $D$11, 100%, $F$11)</f>
        <v>15.4411</v>
      </c>
      <c r="H596" s="4">
        <f>16.3426 * CHOOSE(CONTROL!$C$15, $D$11, 100%, $F$11)</f>
        <v>16.342600000000001</v>
      </c>
      <c r="I596" s="8">
        <f>15.2499 * CHOOSE(CONTROL!$C$15, $D$11, 100%, $F$11)</f>
        <v>15.2499</v>
      </c>
      <c r="J596" s="4">
        <f>15.1873 * CHOOSE(CONTROL!$C$15, $D$11, 100%, $F$11)</f>
        <v>15.1873</v>
      </c>
      <c r="K596" s="4"/>
      <c r="L596" s="9">
        <v>27.988800000000001</v>
      </c>
      <c r="M596" s="9">
        <v>11.6745</v>
      </c>
      <c r="N596" s="9">
        <v>4.7850000000000001</v>
      </c>
      <c r="O596" s="9">
        <v>0.36249999999999999</v>
      </c>
      <c r="P596" s="9">
        <v>1.1798</v>
      </c>
      <c r="Q596" s="9">
        <v>19.053000000000001</v>
      </c>
      <c r="R596" s="9"/>
      <c r="S596" s="11"/>
    </row>
    <row r="597" spans="1:19" ht="15.75">
      <c r="A597" s="13">
        <v>60053</v>
      </c>
      <c r="B597" s="8">
        <f>CHOOSE( CONTROL!$C$32, 16.1529, 16.1484) * CHOOSE(CONTROL!$C$15, $D$11, 100%, $F$11)</f>
        <v>16.152899999999999</v>
      </c>
      <c r="C597" s="8">
        <f>CHOOSE( CONTROL!$C$32, 16.1633, 16.1587) * CHOOSE(CONTROL!$C$15, $D$11, 100%, $F$11)</f>
        <v>16.1633</v>
      </c>
      <c r="D597" s="8">
        <f>CHOOSE( CONTROL!$C$32, 16.173, 16.1684) * CHOOSE( CONTROL!$C$15, $D$11, 100%, $F$11)</f>
        <v>16.172999999999998</v>
      </c>
      <c r="E597" s="12">
        <f>CHOOSE( CONTROL!$C$32, 16.1679, 16.1633) * CHOOSE( CONTROL!$C$15, $D$11, 100%, $F$11)</f>
        <v>16.167899999999999</v>
      </c>
      <c r="F597" s="4">
        <f>CHOOSE( CONTROL!$C$32, 16.8412, 16.8367) * CHOOSE(CONTROL!$C$15, $D$11, 100%, $F$11)</f>
        <v>16.841200000000001</v>
      </c>
      <c r="G597" s="8">
        <f>CHOOSE( CONTROL!$C$32, 15.8623, 15.8578) * CHOOSE( CONTROL!$C$15, $D$11, 100%, $F$11)</f>
        <v>15.862299999999999</v>
      </c>
      <c r="H597" s="4">
        <f>CHOOSE( CONTROL!$C$32, 16.7973, 16.7929) * CHOOSE(CONTROL!$C$15, $D$11, 100%, $F$11)</f>
        <v>16.7973</v>
      </c>
      <c r="I597" s="8">
        <f>CHOOSE( CONTROL!$C$32, 15.665, 15.6606) * CHOOSE(CONTROL!$C$15, $D$11, 100%, $F$11)</f>
        <v>15.664999999999999</v>
      </c>
      <c r="J597" s="4">
        <f>CHOOSE( CONTROL!$C$32, 15.5964, 15.592) * CHOOSE(CONTROL!$C$15, $D$11, 100%, $F$11)</f>
        <v>15.596399999999999</v>
      </c>
      <c r="K597" s="4"/>
      <c r="L597" s="9">
        <v>29.520499999999998</v>
      </c>
      <c r="M597" s="9">
        <v>12.063700000000001</v>
      </c>
      <c r="N597" s="9">
        <v>4.9444999999999997</v>
      </c>
      <c r="O597" s="9">
        <v>0.37459999999999999</v>
      </c>
      <c r="P597" s="9">
        <v>1.2192000000000001</v>
      </c>
      <c r="Q597" s="9">
        <v>19.688099999999999</v>
      </c>
      <c r="R597" s="9"/>
      <c r="S597" s="11"/>
    </row>
    <row r="598" spans="1:19" ht="15.75">
      <c r="A598" s="13">
        <v>60083</v>
      </c>
      <c r="B598" s="8">
        <f>CHOOSE( CONTROL!$C$32, 15.8937, 15.8892) * CHOOSE(CONTROL!$C$15, $D$11, 100%, $F$11)</f>
        <v>15.893700000000001</v>
      </c>
      <c r="C598" s="8">
        <f>CHOOSE( CONTROL!$C$32, 15.904, 15.8995) * CHOOSE(CONTROL!$C$15, $D$11, 100%, $F$11)</f>
        <v>15.904</v>
      </c>
      <c r="D598" s="8">
        <f>CHOOSE( CONTROL!$C$32, 15.9144, 15.9098) * CHOOSE( CONTROL!$C$15, $D$11, 100%, $F$11)</f>
        <v>15.914400000000001</v>
      </c>
      <c r="E598" s="12">
        <f>CHOOSE( CONTROL!$C$32, 15.9091, 15.9045) * CHOOSE( CONTROL!$C$15, $D$11, 100%, $F$11)</f>
        <v>15.9091</v>
      </c>
      <c r="F598" s="4">
        <f>CHOOSE( CONTROL!$C$32, 16.582, 16.5775) * CHOOSE(CONTROL!$C$15, $D$11, 100%, $F$11)</f>
        <v>16.582000000000001</v>
      </c>
      <c r="G598" s="8">
        <f>CHOOSE( CONTROL!$C$32, 15.6082, 15.6037) * CHOOSE( CONTROL!$C$15, $D$11, 100%, $F$11)</f>
        <v>15.6082</v>
      </c>
      <c r="H598" s="4">
        <f>CHOOSE( CONTROL!$C$32, 16.5423, 16.5378) * CHOOSE(CONTROL!$C$15, $D$11, 100%, $F$11)</f>
        <v>16.542300000000001</v>
      </c>
      <c r="I598" s="8">
        <f>CHOOSE( CONTROL!$C$32, 15.4172, 15.4128) * CHOOSE(CONTROL!$C$15, $D$11, 100%, $F$11)</f>
        <v>15.417199999999999</v>
      </c>
      <c r="J598" s="4">
        <f>CHOOSE( CONTROL!$C$32, 15.3457, 15.3413) * CHOOSE(CONTROL!$C$15, $D$11, 100%, $F$11)</f>
        <v>15.345700000000001</v>
      </c>
      <c r="K598" s="4"/>
      <c r="L598" s="9">
        <v>28.568200000000001</v>
      </c>
      <c r="M598" s="9">
        <v>11.6745</v>
      </c>
      <c r="N598" s="9">
        <v>4.7850000000000001</v>
      </c>
      <c r="O598" s="9">
        <v>0.36249999999999999</v>
      </c>
      <c r="P598" s="9">
        <v>1.1798</v>
      </c>
      <c r="Q598" s="9">
        <v>19.053000000000001</v>
      </c>
      <c r="R598" s="9"/>
      <c r="S598" s="11"/>
    </row>
    <row r="599" spans="1:19" ht="15.75">
      <c r="A599" s="13">
        <v>60114</v>
      </c>
      <c r="B599" s="8">
        <f>CHOOSE( CONTROL!$C$32, 16.5763, 16.5718) * CHOOSE(CONTROL!$C$15, $D$11, 100%, $F$11)</f>
        <v>16.5763</v>
      </c>
      <c r="C599" s="8">
        <f>CHOOSE( CONTROL!$C$32, 16.5866, 16.5821) * CHOOSE(CONTROL!$C$15, $D$11, 100%, $F$11)</f>
        <v>16.586600000000001</v>
      </c>
      <c r="D599" s="8">
        <f>CHOOSE( CONTROL!$C$32, 16.5975, 16.593) * CHOOSE( CONTROL!$C$15, $D$11, 100%, $F$11)</f>
        <v>16.5975</v>
      </c>
      <c r="E599" s="12">
        <f>CHOOSE( CONTROL!$C$32, 16.592, 16.5875) * CHOOSE( CONTROL!$C$15, $D$11, 100%, $F$11)</f>
        <v>16.591999999999999</v>
      </c>
      <c r="F599" s="4">
        <f>CHOOSE( CONTROL!$C$32, 17.2646, 17.2601) * CHOOSE(CONTROL!$C$15, $D$11, 100%, $F$11)</f>
        <v>17.264600000000002</v>
      </c>
      <c r="G599" s="8">
        <f>CHOOSE( CONTROL!$C$32, 16.2806, 16.2761) * CHOOSE( CONTROL!$C$15, $D$11, 100%, $F$11)</f>
        <v>16.2806</v>
      </c>
      <c r="H599" s="4">
        <f>CHOOSE( CONTROL!$C$32, 17.2139, 17.2094) * CHOOSE(CONTROL!$C$15, $D$11, 100%, $F$11)</f>
        <v>17.213899999999999</v>
      </c>
      <c r="I599" s="8">
        <f>CHOOSE( CONTROL!$C$32, 16.0803, 16.076) * CHOOSE(CONTROL!$C$15, $D$11, 100%, $F$11)</f>
        <v>16.080300000000001</v>
      </c>
      <c r="J599" s="4">
        <f>CHOOSE( CONTROL!$C$32, 16.0058, 16.0015) * CHOOSE(CONTROL!$C$15, $D$11, 100%, $F$11)</f>
        <v>16.005800000000001</v>
      </c>
      <c r="K599" s="4"/>
      <c r="L599" s="9">
        <v>29.520499999999998</v>
      </c>
      <c r="M599" s="9">
        <v>12.063700000000001</v>
      </c>
      <c r="N599" s="9">
        <v>4.9444999999999997</v>
      </c>
      <c r="O599" s="9">
        <v>0.37459999999999999</v>
      </c>
      <c r="P599" s="9">
        <v>1.2192000000000001</v>
      </c>
      <c r="Q599" s="9">
        <v>19.688099999999999</v>
      </c>
      <c r="R599" s="9"/>
      <c r="S599" s="11"/>
    </row>
    <row r="600" spans="1:19" ht="15.75">
      <c r="A600" s="13">
        <v>60145</v>
      </c>
      <c r="B600" s="8">
        <f>CHOOSE( CONTROL!$C$32, 15.2991, 15.2946) * CHOOSE(CONTROL!$C$15, $D$11, 100%, $F$11)</f>
        <v>15.299099999999999</v>
      </c>
      <c r="C600" s="8">
        <f>CHOOSE( CONTROL!$C$32, 15.3094, 15.3049) * CHOOSE(CONTROL!$C$15, $D$11, 100%, $F$11)</f>
        <v>15.3094</v>
      </c>
      <c r="D600" s="8">
        <f>CHOOSE( CONTROL!$C$32, 15.3206, 15.3161) * CHOOSE( CONTROL!$C$15, $D$11, 100%, $F$11)</f>
        <v>15.320600000000001</v>
      </c>
      <c r="E600" s="12">
        <f>CHOOSE( CONTROL!$C$32, 15.315, 15.3105) * CHOOSE( CONTROL!$C$15, $D$11, 100%, $F$11)</f>
        <v>15.315</v>
      </c>
      <c r="F600" s="4">
        <f>CHOOSE( CONTROL!$C$32, 15.9874, 15.9829) * CHOOSE(CONTROL!$C$15, $D$11, 100%, $F$11)</f>
        <v>15.987399999999999</v>
      </c>
      <c r="G600" s="8">
        <f>CHOOSE( CONTROL!$C$32, 15.0245, 15.02) * CHOOSE( CONTROL!$C$15, $D$11, 100%, $F$11)</f>
        <v>15.0245</v>
      </c>
      <c r="H600" s="4">
        <f>CHOOSE( CONTROL!$C$32, 15.9573, 15.9528) * CHOOSE(CONTROL!$C$15, $D$11, 100%, $F$11)</f>
        <v>15.9573</v>
      </c>
      <c r="I600" s="8">
        <f>CHOOSE( CONTROL!$C$32, 14.8459, 14.8416) * CHOOSE(CONTROL!$C$15, $D$11, 100%, $F$11)</f>
        <v>14.8459</v>
      </c>
      <c r="J600" s="4">
        <f>CHOOSE( CONTROL!$C$32, 14.7706, 14.7663) * CHOOSE(CONTROL!$C$15, $D$11, 100%, $F$11)</f>
        <v>14.7706</v>
      </c>
      <c r="K600" s="4"/>
      <c r="L600" s="9">
        <v>29.520499999999998</v>
      </c>
      <c r="M600" s="9">
        <v>12.063700000000001</v>
      </c>
      <c r="N600" s="9">
        <v>4.9444999999999997</v>
      </c>
      <c r="O600" s="9">
        <v>0.37459999999999999</v>
      </c>
      <c r="P600" s="9">
        <v>1.2192000000000001</v>
      </c>
      <c r="Q600" s="9">
        <v>19.688099999999999</v>
      </c>
      <c r="R600" s="9"/>
      <c r="S600" s="11"/>
    </row>
    <row r="601" spans="1:19" ht="15.75">
      <c r="A601" s="13">
        <v>60175</v>
      </c>
      <c r="B601" s="8">
        <f>CHOOSE( CONTROL!$C$32, 14.9793, 14.9747) * CHOOSE(CONTROL!$C$15, $D$11, 100%, $F$11)</f>
        <v>14.9793</v>
      </c>
      <c r="C601" s="8">
        <f>CHOOSE( CONTROL!$C$32, 14.9896, 14.9851) * CHOOSE(CONTROL!$C$15, $D$11, 100%, $F$11)</f>
        <v>14.989599999999999</v>
      </c>
      <c r="D601" s="8">
        <f>CHOOSE( CONTROL!$C$32, 15.0009, 14.9963) * CHOOSE( CONTROL!$C$15, $D$11, 100%, $F$11)</f>
        <v>15.0009</v>
      </c>
      <c r="E601" s="12">
        <f>CHOOSE( CONTROL!$C$32, 14.9952, 14.9907) * CHOOSE( CONTROL!$C$15, $D$11, 100%, $F$11)</f>
        <v>14.995200000000001</v>
      </c>
      <c r="F601" s="4">
        <f>CHOOSE( CONTROL!$C$32, 15.6676, 15.663) * CHOOSE(CONTROL!$C$15, $D$11, 100%, $F$11)</f>
        <v>15.6676</v>
      </c>
      <c r="G601" s="8">
        <f>CHOOSE( CONTROL!$C$32, 14.71, 14.7055) * CHOOSE( CONTROL!$C$15, $D$11, 100%, $F$11)</f>
        <v>14.71</v>
      </c>
      <c r="H601" s="4">
        <f>CHOOSE( CONTROL!$C$32, 15.6426, 15.6382) * CHOOSE(CONTROL!$C$15, $D$11, 100%, $F$11)</f>
        <v>15.6426</v>
      </c>
      <c r="I601" s="8">
        <f>CHOOSE( CONTROL!$C$32, 14.5369, 14.5325) * CHOOSE(CONTROL!$C$15, $D$11, 100%, $F$11)</f>
        <v>14.536899999999999</v>
      </c>
      <c r="J601" s="4">
        <f>CHOOSE( CONTROL!$C$32, 14.4613, 14.457) * CHOOSE(CONTROL!$C$15, $D$11, 100%, $F$11)</f>
        <v>14.4613</v>
      </c>
      <c r="K601" s="4"/>
      <c r="L601" s="9">
        <v>28.568200000000001</v>
      </c>
      <c r="M601" s="9">
        <v>11.6745</v>
      </c>
      <c r="N601" s="9">
        <v>4.7850000000000001</v>
      </c>
      <c r="O601" s="9">
        <v>0.36249999999999999</v>
      </c>
      <c r="P601" s="9">
        <v>1.1798</v>
      </c>
      <c r="Q601" s="9">
        <v>19.053000000000001</v>
      </c>
      <c r="R601" s="9"/>
      <c r="S601" s="11"/>
    </row>
    <row r="602" spans="1:19" ht="15.75">
      <c r="A602" s="13">
        <v>60206</v>
      </c>
      <c r="B602" s="8">
        <f>15.6388 * CHOOSE(CONTROL!$C$15, $D$11, 100%, $F$11)</f>
        <v>15.6388</v>
      </c>
      <c r="C602" s="8">
        <f>15.6492 * CHOOSE(CONTROL!$C$15, $D$11, 100%, $F$11)</f>
        <v>15.6492</v>
      </c>
      <c r="D602" s="8">
        <f>15.6616 * CHOOSE( CONTROL!$C$15, $D$11, 100%, $F$11)</f>
        <v>15.6616</v>
      </c>
      <c r="E602" s="12">
        <f>15.6564 * CHOOSE( CONTROL!$C$15, $D$11, 100%, $F$11)</f>
        <v>15.6564</v>
      </c>
      <c r="F602" s="4">
        <f>16.3271 * CHOOSE(CONTROL!$C$15, $D$11, 100%, $F$11)</f>
        <v>16.327100000000002</v>
      </c>
      <c r="G602" s="8">
        <f>15.3583 * CHOOSE( CONTROL!$C$15, $D$11, 100%, $F$11)</f>
        <v>15.3583</v>
      </c>
      <c r="H602" s="4">
        <f>16.2915 * CHOOSE(CONTROL!$C$15, $D$11, 100%, $F$11)</f>
        <v>16.291499999999999</v>
      </c>
      <c r="I602" s="8">
        <f>15.1764 * CHOOSE(CONTROL!$C$15, $D$11, 100%, $F$11)</f>
        <v>15.176399999999999</v>
      </c>
      <c r="J602" s="4">
        <f>15.0992 * CHOOSE(CONTROL!$C$15, $D$11, 100%, $F$11)</f>
        <v>15.0992</v>
      </c>
      <c r="K602" s="4"/>
      <c r="L602" s="9">
        <v>28.921800000000001</v>
      </c>
      <c r="M602" s="9">
        <v>12.063700000000001</v>
      </c>
      <c r="N602" s="9">
        <v>4.9444999999999997</v>
      </c>
      <c r="O602" s="9">
        <v>0.37459999999999999</v>
      </c>
      <c r="P602" s="9">
        <v>1.2192000000000001</v>
      </c>
      <c r="Q602" s="9">
        <v>19.688099999999999</v>
      </c>
      <c r="R602" s="9"/>
      <c r="S602" s="11"/>
    </row>
    <row r="603" spans="1:19" ht="15.75">
      <c r="A603" s="13">
        <v>60236</v>
      </c>
      <c r="B603" s="8">
        <f>16.8646 * CHOOSE(CONTROL!$C$15, $D$11, 100%, $F$11)</f>
        <v>16.864599999999999</v>
      </c>
      <c r="C603" s="8">
        <f>16.8749 * CHOOSE(CONTROL!$C$15, $D$11, 100%, $F$11)</f>
        <v>16.8749</v>
      </c>
      <c r="D603" s="8">
        <f>16.8609 * CHOOSE( CONTROL!$C$15, $D$11, 100%, $F$11)</f>
        <v>16.860900000000001</v>
      </c>
      <c r="E603" s="12">
        <f>16.8649 * CHOOSE( CONTROL!$C$15, $D$11, 100%, $F$11)</f>
        <v>16.864899999999999</v>
      </c>
      <c r="F603" s="4">
        <f>17.5188 * CHOOSE(CONTROL!$C$15, $D$11, 100%, $F$11)</f>
        <v>17.518799999999999</v>
      </c>
      <c r="G603" s="8">
        <f>16.5814 * CHOOSE( CONTROL!$C$15, $D$11, 100%, $F$11)</f>
        <v>16.581399999999999</v>
      </c>
      <c r="H603" s="4">
        <f>17.464 * CHOOSE(CONTROL!$C$15, $D$11, 100%, $F$11)</f>
        <v>17.463999999999999</v>
      </c>
      <c r="I603" s="8">
        <f>16.3954 * CHOOSE(CONTROL!$C$15, $D$11, 100%, $F$11)</f>
        <v>16.395399999999999</v>
      </c>
      <c r="J603" s="4">
        <f>16.2846 * CHOOSE(CONTROL!$C$15, $D$11, 100%, $F$11)</f>
        <v>16.284600000000001</v>
      </c>
      <c r="K603" s="4"/>
      <c r="L603" s="9">
        <v>26.515499999999999</v>
      </c>
      <c r="M603" s="9">
        <v>11.6745</v>
      </c>
      <c r="N603" s="9">
        <v>4.7850000000000001</v>
      </c>
      <c r="O603" s="9">
        <v>0.36249999999999999</v>
      </c>
      <c r="P603" s="9">
        <v>1.2522</v>
      </c>
      <c r="Q603" s="9">
        <v>19.053000000000001</v>
      </c>
      <c r="R603" s="9"/>
      <c r="S603" s="11"/>
    </row>
    <row r="604" spans="1:19" ht="15.75">
      <c r="A604" s="13">
        <v>60267</v>
      </c>
      <c r="B604" s="8">
        <f>16.8339 * CHOOSE(CONTROL!$C$15, $D$11, 100%, $F$11)</f>
        <v>16.8339</v>
      </c>
      <c r="C604" s="8">
        <f>16.8443 * CHOOSE(CONTROL!$C$15, $D$11, 100%, $F$11)</f>
        <v>16.8443</v>
      </c>
      <c r="D604" s="8">
        <f>16.8328 * CHOOSE( CONTROL!$C$15, $D$11, 100%, $F$11)</f>
        <v>16.832799999999999</v>
      </c>
      <c r="E604" s="12">
        <f>16.8359 * CHOOSE( CONTROL!$C$15, $D$11, 100%, $F$11)</f>
        <v>16.835899999999999</v>
      </c>
      <c r="F604" s="4">
        <f>17.4882 * CHOOSE(CONTROL!$C$15, $D$11, 100%, $F$11)</f>
        <v>17.488199999999999</v>
      </c>
      <c r="G604" s="8">
        <f>16.5531 * CHOOSE( CONTROL!$C$15, $D$11, 100%, $F$11)</f>
        <v>16.553100000000001</v>
      </c>
      <c r="H604" s="4">
        <f>17.4338 * CHOOSE(CONTROL!$C$15, $D$11, 100%, $F$11)</f>
        <v>17.433800000000002</v>
      </c>
      <c r="I604" s="8">
        <f>16.3737 * CHOOSE(CONTROL!$C$15, $D$11, 100%, $F$11)</f>
        <v>16.373699999999999</v>
      </c>
      <c r="J604" s="4">
        <f>16.255 * CHOOSE(CONTROL!$C$15, $D$11, 100%, $F$11)</f>
        <v>16.254999999999999</v>
      </c>
      <c r="K604" s="4"/>
      <c r="L604" s="9">
        <v>27.3993</v>
      </c>
      <c r="M604" s="9">
        <v>12.063700000000001</v>
      </c>
      <c r="N604" s="9">
        <v>4.9444999999999997</v>
      </c>
      <c r="O604" s="9">
        <v>0.37459999999999999</v>
      </c>
      <c r="P604" s="9">
        <v>1.2939000000000001</v>
      </c>
      <c r="Q604" s="9">
        <v>19.688099999999999</v>
      </c>
      <c r="R604" s="9"/>
      <c r="S604" s="11"/>
    </row>
    <row r="605" spans="1:19" ht="15.75">
      <c r="A605" s="13">
        <v>60298</v>
      </c>
      <c r="B605" s="8">
        <f>17.4763 * CHOOSE(CONTROL!$C$15, $D$11, 100%, $F$11)</f>
        <v>17.476299999999998</v>
      </c>
      <c r="C605" s="8">
        <f>17.4867 * CHOOSE(CONTROL!$C$15, $D$11, 100%, $F$11)</f>
        <v>17.486699999999999</v>
      </c>
      <c r="D605" s="8">
        <f>17.4851 * CHOOSE( CONTROL!$C$15, $D$11, 100%, $F$11)</f>
        <v>17.485099999999999</v>
      </c>
      <c r="E605" s="12">
        <f>17.4846 * CHOOSE( CONTROL!$C$15, $D$11, 100%, $F$11)</f>
        <v>17.4846</v>
      </c>
      <c r="F605" s="4">
        <f>18.159 * CHOOSE(CONTROL!$C$15, $D$11, 100%, $F$11)</f>
        <v>18.158999999999999</v>
      </c>
      <c r="G605" s="8">
        <f>17.1954 * CHOOSE( CONTROL!$C$15, $D$11, 100%, $F$11)</f>
        <v>17.195399999999999</v>
      </c>
      <c r="H605" s="4">
        <f>18.0938 * CHOOSE(CONTROL!$C$15, $D$11, 100%, $F$11)</f>
        <v>18.093800000000002</v>
      </c>
      <c r="I605" s="8">
        <f>16.9933 * CHOOSE(CONTROL!$C$15, $D$11, 100%, $F$11)</f>
        <v>16.993300000000001</v>
      </c>
      <c r="J605" s="4">
        <f>16.8763 * CHOOSE(CONTROL!$C$15, $D$11, 100%, $F$11)</f>
        <v>16.876300000000001</v>
      </c>
      <c r="K605" s="4"/>
      <c r="L605" s="9">
        <v>27.3993</v>
      </c>
      <c r="M605" s="9">
        <v>12.063700000000001</v>
      </c>
      <c r="N605" s="9">
        <v>4.9444999999999997</v>
      </c>
      <c r="O605" s="9">
        <v>0.37459999999999999</v>
      </c>
      <c r="P605" s="9">
        <v>1.2939000000000001</v>
      </c>
      <c r="Q605" s="9">
        <v>19.688099999999999</v>
      </c>
      <c r="R605" s="9"/>
      <c r="S605" s="11"/>
    </row>
    <row r="606" spans="1:19" ht="15.75">
      <c r="A606" s="13">
        <v>60326</v>
      </c>
      <c r="B606" s="8">
        <f>16.3482 * CHOOSE(CONTROL!$C$15, $D$11, 100%, $F$11)</f>
        <v>16.348199999999999</v>
      </c>
      <c r="C606" s="8">
        <f>16.3585 * CHOOSE(CONTROL!$C$15, $D$11, 100%, $F$11)</f>
        <v>16.358499999999999</v>
      </c>
      <c r="D606" s="8">
        <f>16.3591 * CHOOSE( CONTROL!$C$15, $D$11, 100%, $F$11)</f>
        <v>16.359100000000002</v>
      </c>
      <c r="E606" s="12">
        <f>16.3578 * CHOOSE( CONTROL!$C$15, $D$11, 100%, $F$11)</f>
        <v>16.357800000000001</v>
      </c>
      <c r="F606" s="4">
        <f>17.0231 * CHOOSE(CONTROL!$C$15, $D$11, 100%, $F$11)</f>
        <v>17.023099999999999</v>
      </c>
      <c r="G606" s="8">
        <f>16.0853 * CHOOSE( CONTROL!$C$15, $D$11, 100%, $F$11)</f>
        <v>16.0853</v>
      </c>
      <c r="H606" s="4">
        <f>16.9763 * CHOOSE(CONTROL!$C$15, $D$11, 100%, $F$11)</f>
        <v>16.976299999999998</v>
      </c>
      <c r="I606" s="8">
        <f>15.8908 * CHOOSE(CONTROL!$C$15, $D$11, 100%, $F$11)</f>
        <v>15.8908</v>
      </c>
      <c r="J606" s="4">
        <f>15.7852 * CHOOSE(CONTROL!$C$15, $D$11, 100%, $F$11)</f>
        <v>15.7852</v>
      </c>
      <c r="K606" s="4"/>
      <c r="L606" s="9">
        <v>24.747800000000002</v>
      </c>
      <c r="M606" s="9">
        <v>10.8962</v>
      </c>
      <c r="N606" s="9">
        <v>4.4660000000000002</v>
      </c>
      <c r="O606" s="9">
        <v>0.33829999999999999</v>
      </c>
      <c r="P606" s="9">
        <v>1.1687000000000001</v>
      </c>
      <c r="Q606" s="9">
        <v>17.782800000000002</v>
      </c>
      <c r="R606" s="9"/>
      <c r="S606" s="11"/>
    </row>
    <row r="607" spans="1:19" ht="15.75">
      <c r="A607" s="13">
        <v>60357</v>
      </c>
      <c r="B607" s="8">
        <f>16.0007 * CHOOSE(CONTROL!$C$15, $D$11, 100%, $F$11)</f>
        <v>16.000699999999998</v>
      </c>
      <c r="C607" s="8">
        <f>16.0111 * CHOOSE(CONTROL!$C$15, $D$11, 100%, $F$11)</f>
        <v>16.011099999999999</v>
      </c>
      <c r="D607" s="8">
        <f>15.9911 * CHOOSE( CONTROL!$C$15, $D$11, 100%, $F$11)</f>
        <v>15.991099999999999</v>
      </c>
      <c r="E607" s="12">
        <f>15.9973 * CHOOSE( CONTROL!$C$15, $D$11, 100%, $F$11)</f>
        <v>15.997299999999999</v>
      </c>
      <c r="F607" s="4">
        <f>16.6596 * CHOOSE(CONTROL!$C$15, $D$11, 100%, $F$11)</f>
        <v>16.659600000000001</v>
      </c>
      <c r="G607" s="8">
        <f>15.7227 * CHOOSE( CONTROL!$C$15, $D$11, 100%, $F$11)</f>
        <v>15.7227</v>
      </c>
      <c r="H607" s="4">
        <f>16.6187 * CHOOSE(CONTROL!$C$15, $D$11, 100%, $F$11)</f>
        <v>16.6187</v>
      </c>
      <c r="I607" s="8">
        <f>15.5151 * CHOOSE(CONTROL!$C$15, $D$11, 100%, $F$11)</f>
        <v>15.5151</v>
      </c>
      <c r="J607" s="4">
        <f>15.4492 * CHOOSE(CONTROL!$C$15, $D$11, 100%, $F$11)</f>
        <v>15.449199999999999</v>
      </c>
      <c r="K607" s="4"/>
      <c r="L607" s="9">
        <v>27.3993</v>
      </c>
      <c r="M607" s="9">
        <v>12.063700000000001</v>
      </c>
      <c r="N607" s="9">
        <v>4.9444999999999997</v>
      </c>
      <c r="O607" s="9">
        <v>0.37459999999999999</v>
      </c>
      <c r="P607" s="9">
        <v>1.2939000000000001</v>
      </c>
      <c r="Q607" s="9">
        <v>19.688099999999999</v>
      </c>
      <c r="R607" s="9"/>
      <c r="S607" s="11"/>
    </row>
    <row r="608" spans="1:19" ht="15.75">
      <c r="A608" s="13">
        <v>60387</v>
      </c>
      <c r="B608" s="8">
        <f>16.2435 * CHOOSE(CONTROL!$C$15, $D$11, 100%, $F$11)</f>
        <v>16.243500000000001</v>
      </c>
      <c r="C608" s="8">
        <f>16.2539 * CHOOSE(CONTROL!$C$15, $D$11, 100%, $F$11)</f>
        <v>16.253900000000002</v>
      </c>
      <c r="D608" s="8">
        <f>16.2454 * CHOOSE( CONTROL!$C$15, $D$11, 100%, $F$11)</f>
        <v>16.2454</v>
      </c>
      <c r="E608" s="12">
        <f>16.247 * CHOOSE( CONTROL!$C$15, $D$11, 100%, $F$11)</f>
        <v>16.247</v>
      </c>
      <c r="F608" s="4">
        <f>16.8926 * CHOOSE(CONTROL!$C$15, $D$11, 100%, $F$11)</f>
        <v>16.892600000000002</v>
      </c>
      <c r="G608" s="8">
        <f>15.9464 * CHOOSE( CONTROL!$C$15, $D$11, 100%, $F$11)</f>
        <v>15.946400000000001</v>
      </c>
      <c r="H608" s="4">
        <f>16.8479 * CHOOSE(CONTROL!$C$15, $D$11, 100%, $F$11)</f>
        <v>16.847899999999999</v>
      </c>
      <c r="I608" s="8">
        <f>15.7468 * CHOOSE(CONTROL!$C$15, $D$11, 100%, $F$11)</f>
        <v>15.7468</v>
      </c>
      <c r="J608" s="4">
        <f>15.684 * CHOOSE(CONTROL!$C$15, $D$11, 100%, $F$11)</f>
        <v>15.683999999999999</v>
      </c>
      <c r="K608" s="4"/>
      <c r="L608" s="9">
        <v>27.988800000000001</v>
      </c>
      <c r="M608" s="9">
        <v>11.6745</v>
      </c>
      <c r="N608" s="9">
        <v>4.7850000000000001</v>
      </c>
      <c r="O608" s="9">
        <v>0.36249999999999999</v>
      </c>
      <c r="P608" s="9">
        <v>1.1798</v>
      </c>
      <c r="Q608" s="9">
        <v>19.053000000000001</v>
      </c>
      <c r="R608" s="9"/>
      <c r="S608" s="11"/>
    </row>
    <row r="609" spans="1:19" ht="15.75">
      <c r="A609" s="13">
        <v>60418</v>
      </c>
      <c r="B609" s="8">
        <f>CHOOSE( CONTROL!$C$32, 16.6802, 16.6757) * CHOOSE(CONTROL!$C$15, $D$11, 100%, $F$11)</f>
        <v>16.680199999999999</v>
      </c>
      <c r="C609" s="8">
        <f>CHOOSE( CONTROL!$C$32, 16.6905, 16.686) * CHOOSE(CONTROL!$C$15, $D$11, 100%, $F$11)</f>
        <v>16.6905</v>
      </c>
      <c r="D609" s="8">
        <f>CHOOSE( CONTROL!$C$32, 16.7002, 16.6957) * CHOOSE( CONTROL!$C$15, $D$11, 100%, $F$11)</f>
        <v>16.700199999999999</v>
      </c>
      <c r="E609" s="12">
        <f>CHOOSE( CONTROL!$C$32, 16.6951, 16.6906) * CHOOSE( CONTROL!$C$15, $D$11, 100%, $F$11)</f>
        <v>16.6951</v>
      </c>
      <c r="F609" s="4">
        <f>CHOOSE( CONTROL!$C$32, 17.3685, 17.364) * CHOOSE(CONTROL!$C$15, $D$11, 100%, $F$11)</f>
        <v>17.368500000000001</v>
      </c>
      <c r="G609" s="8">
        <f>CHOOSE( CONTROL!$C$32, 16.381, 16.3766) * CHOOSE( CONTROL!$C$15, $D$11, 100%, $F$11)</f>
        <v>16.381</v>
      </c>
      <c r="H609" s="4">
        <f>CHOOSE( CONTROL!$C$32, 17.316, 17.3116) * CHOOSE(CONTROL!$C$15, $D$11, 100%, $F$11)</f>
        <v>17.315999999999999</v>
      </c>
      <c r="I609" s="8">
        <f>CHOOSE( CONTROL!$C$32, 16.1752, 16.1708) * CHOOSE(CONTROL!$C$15, $D$11, 100%, $F$11)</f>
        <v>16.1752</v>
      </c>
      <c r="J609" s="4">
        <f>CHOOSE( CONTROL!$C$32, 16.1063, 16.1019) * CHOOSE(CONTROL!$C$15, $D$11, 100%, $F$11)</f>
        <v>16.106300000000001</v>
      </c>
      <c r="K609" s="4"/>
      <c r="L609" s="9">
        <v>29.520499999999998</v>
      </c>
      <c r="M609" s="9">
        <v>12.063700000000001</v>
      </c>
      <c r="N609" s="9">
        <v>4.9444999999999997</v>
      </c>
      <c r="O609" s="9">
        <v>0.37459999999999999</v>
      </c>
      <c r="P609" s="9">
        <v>1.2192000000000001</v>
      </c>
      <c r="Q609" s="9">
        <v>19.688099999999999</v>
      </c>
      <c r="R609" s="9"/>
      <c r="S609" s="11"/>
    </row>
    <row r="610" spans="1:19" ht="15.75">
      <c r="A610" s="13">
        <v>60448</v>
      </c>
      <c r="B610" s="8">
        <f>CHOOSE( CONTROL!$C$32, 16.4125, 16.408) * CHOOSE(CONTROL!$C$15, $D$11, 100%, $F$11)</f>
        <v>16.412500000000001</v>
      </c>
      <c r="C610" s="8">
        <f>CHOOSE( CONTROL!$C$32, 16.4228, 16.4183) * CHOOSE(CONTROL!$C$15, $D$11, 100%, $F$11)</f>
        <v>16.422799999999999</v>
      </c>
      <c r="D610" s="8">
        <f>CHOOSE( CONTROL!$C$32, 16.4331, 16.4286) * CHOOSE( CONTROL!$C$15, $D$11, 100%, $F$11)</f>
        <v>16.4331</v>
      </c>
      <c r="E610" s="12">
        <f>CHOOSE( CONTROL!$C$32, 16.4278, 16.4233) * CHOOSE( CONTROL!$C$15, $D$11, 100%, $F$11)</f>
        <v>16.427800000000001</v>
      </c>
      <c r="F610" s="4">
        <f>CHOOSE( CONTROL!$C$32, 17.1008, 17.0963) * CHOOSE(CONTROL!$C$15, $D$11, 100%, $F$11)</f>
        <v>17.1008</v>
      </c>
      <c r="G610" s="8">
        <f>CHOOSE( CONTROL!$C$32, 16.1186, 16.1141) * CHOOSE( CONTROL!$C$15, $D$11, 100%, $F$11)</f>
        <v>16.118600000000001</v>
      </c>
      <c r="H610" s="4">
        <f>CHOOSE( CONTROL!$C$32, 17.0527, 17.0482) * CHOOSE(CONTROL!$C$15, $D$11, 100%, $F$11)</f>
        <v>17.052700000000002</v>
      </c>
      <c r="I610" s="8">
        <f>CHOOSE( CONTROL!$C$32, 15.9191, 15.9148) * CHOOSE(CONTROL!$C$15, $D$11, 100%, $F$11)</f>
        <v>15.9191</v>
      </c>
      <c r="J610" s="4">
        <f>CHOOSE( CONTROL!$C$32, 15.8474, 15.843) * CHOOSE(CONTROL!$C$15, $D$11, 100%, $F$11)</f>
        <v>15.8474</v>
      </c>
      <c r="K610" s="4"/>
      <c r="L610" s="9">
        <v>28.568200000000001</v>
      </c>
      <c r="M610" s="9">
        <v>11.6745</v>
      </c>
      <c r="N610" s="9">
        <v>4.7850000000000001</v>
      </c>
      <c r="O610" s="9">
        <v>0.36249999999999999</v>
      </c>
      <c r="P610" s="9">
        <v>1.1798</v>
      </c>
      <c r="Q610" s="9">
        <v>19.053000000000001</v>
      </c>
      <c r="R610" s="9"/>
      <c r="S610" s="11"/>
    </row>
    <row r="611" spans="1:19" ht="15.75">
      <c r="A611" s="13">
        <v>60479</v>
      </c>
      <c r="B611" s="8">
        <f>CHOOSE( CONTROL!$C$32, 17.1174, 17.1129) * CHOOSE(CONTROL!$C$15, $D$11, 100%, $F$11)</f>
        <v>17.1174</v>
      </c>
      <c r="C611" s="8">
        <f>CHOOSE( CONTROL!$C$32, 17.1278, 17.1232) * CHOOSE(CONTROL!$C$15, $D$11, 100%, $F$11)</f>
        <v>17.127800000000001</v>
      </c>
      <c r="D611" s="8">
        <f>CHOOSE( CONTROL!$C$32, 17.1386, 17.1341) * CHOOSE( CONTROL!$C$15, $D$11, 100%, $F$11)</f>
        <v>17.1386</v>
      </c>
      <c r="E611" s="12">
        <f>CHOOSE( CONTROL!$C$32, 17.1331, 17.1286) * CHOOSE( CONTROL!$C$15, $D$11, 100%, $F$11)</f>
        <v>17.133099999999999</v>
      </c>
      <c r="F611" s="4">
        <f>CHOOSE( CONTROL!$C$32, 17.8057, 17.8012) * CHOOSE(CONTROL!$C$15, $D$11, 100%, $F$11)</f>
        <v>17.805700000000002</v>
      </c>
      <c r="G611" s="8">
        <f>CHOOSE( CONTROL!$C$32, 16.813, 16.8085) * CHOOSE( CONTROL!$C$15, $D$11, 100%, $F$11)</f>
        <v>16.812999999999999</v>
      </c>
      <c r="H611" s="4">
        <f>CHOOSE( CONTROL!$C$32, 17.7462, 17.7418) * CHOOSE(CONTROL!$C$15, $D$11, 100%, $F$11)</f>
        <v>17.746200000000002</v>
      </c>
      <c r="I611" s="8">
        <f>CHOOSE( CONTROL!$C$32, 16.6039, 16.5995) * CHOOSE(CONTROL!$C$15, $D$11, 100%, $F$11)</f>
        <v>16.603899999999999</v>
      </c>
      <c r="J611" s="4">
        <f>CHOOSE( CONTROL!$C$32, 16.5291, 16.5248) * CHOOSE(CONTROL!$C$15, $D$11, 100%, $F$11)</f>
        <v>16.5291</v>
      </c>
      <c r="K611" s="4"/>
      <c r="L611" s="9">
        <v>29.520499999999998</v>
      </c>
      <c r="M611" s="9">
        <v>12.063700000000001</v>
      </c>
      <c r="N611" s="9">
        <v>4.9444999999999997</v>
      </c>
      <c r="O611" s="9">
        <v>0.37459999999999999</v>
      </c>
      <c r="P611" s="9">
        <v>1.2192000000000001</v>
      </c>
      <c r="Q611" s="9">
        <v>19.688099999999999</v>
      </c>
      <c r="R611" s="9"/>
      <c r="S611" s="11"/>
    </row>
    <row r="612" spans="1:19" ht="15.75">
      <c r="A612" s="13">
        <v>60510</v>
      </c>
      <c r="B612" s="8">
        <f>CHOOSE( CONTROL!$C$32, 15.7984, 15.7939) * CHOOSE(CONTROL!$C$15, $D$11, 100%, $F$11)</f>
        <v>15.798400000000001</v>
      </c>
      <c r="C612" s="8">
        <f>CHOOSE( CONTROL!$C$32, 15.8088, 15.8042) * CHOOSE(CONTROL!$C$15, $D$11, 100%, $F$11)</f>
        <v>15.8088</v>
      </c>
      <c r="D612" s="8">
        <f>CHOOSE( CONTROL!$C$32, 15.8199, 15.8154) * CHOOSE( CONTROL!$C$15, $D$11, 100%, $F$11)</f>
        <v>15.819900000000001</v>
      </c>
      <c r="E612" s="12">
        <f>CHOOSE( CONTROL!$C$32, 15.8143, 15.8098) * CHOOSE( CONTROL!$C$15, $D$11, 100%, $F$11)</f>
        <v>15.814299999999999</v>
      </c>
      <c r="F612" s="4">
        <f>CHOOSE( CONTROL!$C$32, 16.4867, 16.4822) * CHOOSE(CONTROL!$C$15, $D$11, 100%, $F$11)</f>
        <v>16.486699999999999</v>
      </c>
      <c r="G612" s="8">
        <f>CHOOSE( CONTROL!$C$32, 15.5157, 15.5113) * CHOOSE( CONTROL!$C$15, $D$11, 100%, $F$11)</f>
        <v>15.515700000000001</v>
      </c>
      <c r="H612" s="4">
        <f>CHOOSE( CONTROL!$C$32, 16.4486, 16.4441) * CHOOSE(CONTROL!$C$15, $D$11, 100%, $F$11)</f>
        <v>16.448599999999999</v>
      </c>
      <c r="I612" s="8">
        <f>CHOOSE( CONTROL!$C$32, 15.3291, 15.3247) * CHOOSE(CONTROL!$C$15, $D$11, 100%, $F$11)</f>
        <v>15.3291</v>
      </c>
      <c r="J612" s="4">
        <f>CHOOSE( CONTROL!$C$32, 15.2536, 15.2492) * CHOOSE(CONTROL!$C$15, $D$11, 100%, $F$11)</f>
        <v>15.2536</v>
      </c>
      <c r="K612" s="4"/>
      <c r="L612" s="9">
        <v>29.520499999999998</v>
      </c>
      <c r="M612" s="9">
        <v>12.063700000000001</v>
      </c>
      <c r="N612" s="9">
        <v>4.9444999999999997</v>
      </c>
      <c r="O612" s="9">
        <v>0.37459999999999999</v>
      </c>
      <c r="P612" s="9">
        <v>1.2192000000000001</v>
      </c>
      <c r="Q612" s="9">
        <v>19.688099999999999</v>
      </c>
      <c r="R612" s="9"/>
      <c r="S612" s="11"/>
    </row>
    <row r="613" spans="1:19" ht="15.75">
      <c r="A613" s="13">
        <v>60540</v>
      </c>
      <c r="B613" s="8">
        <f>CHOOSE( CONTROL!$C$32, 15.4681, 15.4636) * CHOOSE(CONTROL!$C$15, $D$11, 100%, $F$11)</f>
        <v>15.4681</v>
      </c>
      <c r="C613" s="8">
        <f>CHOOSE( CONTROL!$C$32, 15.4785, 15.474) * CHOOSE(CONTROL!$C$15, $D$11, 100%, $F$11)</f>
        <v>15.4785</v>
      </c>
      <c r="D613" s="8">
        <f>CHOOSE( CONTROL!$C$32, 15.4897, 15.4852) * CHOOSE( CONTROL!$C$15, $D$11, 100%, $F$11)</f>
        <v>15.489699999999999</v>
      </c>
      <c r="E613" s="12">
        <f>CHOOSE( CONTROL!$C$32, 15.4841, 15.4796) * CHOOSE( CONTROL!$C$15, $D$11, 100%, $F$11)</f>
        <v>15.4841</v>
      </c>
      <c r="F613" s="4">
        <f>CHOOSE( CONTROL!$C$32, 16.1564, 16.1519) * CHOOSE(CONTROL!$C$15, $D$11, 100%, $F$11)</f>
        <v>16.156400000000001</v>
      </c>
      <c r="G613" s="8">
        <f>CHOOSE( CONTROL!$C$32, 15.1909, 15.1865) * CHOOSE( CONTROL!$C$15, $D$11, 100%, $F$11)</f>
        <v>15.190899999999999</v>
      </c>
      <c r="H613" s="4">
        <f>CHOOSE( CONTROL!$C$32, 16.1236, 16.1192) * CHOOSE(CONTROL!$C$15, $D$11, 100%, $F$11)</f>
        <v>16.1236</v>
      </c>
      <c r="I613" s="8">
        <f>CHOOSE( CONTROL!$C$32, 15.0099, 15.0056) * CHOOSE(CONTROL!$C$15, $D$11, 100%, $F$11)</f>
        <v>15.0099</v>
      </c>
      <c r="J613" s="4">
        <f>CHOOSE( CONTROL!$C$32, 14.9341, 14.9298) * CHOOSE(CONTROL!$C$15, $D$11, 100%, $F$11)</f>
        <v>14.934100000000001</v>
      </c>
      <c r="K613" s="4"/>
      <c r="L613" s="9">
        <v>28.568200000000001</v>
      </c>
      <c r="M613" s="9">
        <v>11.6745</v>
      </c>
      <c r="N613" s="9">
        <v>4.7850000000000001</v>
      </c>
      <c r="O613" s="9">
        <v>0.36249999999999999</v>
      </c>
      <c r="P613" s="9">
        <v>1.1798</v>
      </c>
      <c r="Q613" s="9">
        <v>19.053000000000001</v>
      </c>
      <c r="R613" s="9"/>
      <c r="S613" s="11"/>
    </row>
    <row r="614" spans="1:19" ht="15.75">
      <c r="A614" s="13">
        <v>60571</v>
      </c>
      <c r="B614" s="8">
        <f>16.1494 * CHOOSE(CONTROL!$C$15, $D$11, 100%, $F$11)</f>
        <v>16.1494</v>
      </c>
      <c r="C614" s="8">
        <f>16.1598 * CHOOSE(CONTROL!$C$15, $D$11, 100%, $F$11)</f>
        <v>16.159800000000001</v>
      </c>
      <c r="D614" s="8">
        <f>16.1722 * CHOOSE( CONTROL!$C$15, $D$11, 100%, $F$11)</f>
        <v>16.1722</v>
      </c>
      <c r="E614" s="12">
        <f>16.167 * CHOOSE( CONTROL!$C$15, $D$11, 100%, $F$11)</f>
        <v>16.167000000000002</v>
      </c>
      <c r="F614" s="4">
        <f>16.8377 * CHOOSE(CONTROL!$C$15, $D$11, 100%, $F$11)</f>
        <v>16.837700000000002</v>
      </c>
      <c r="G614" s="8">
        <f>15.8606 * CHOOSE( CONTROL!$C$15, $D$11, 100%, $F$11)</f>
        <v>15.8606</v>
      </c>
      <c r="H614" s="4">
        <f>16.7939 * CHOOSE(CONTROL!$C$15, $D$11, 100%, $F$11)</f>
        <v>16.793900000000001</v>
      </c>
      <c r="I614" s="8">
        <f>15.6704 * CHOOSE(CONTROL!$C$15, $D$11, 100%, $F$11)</f>
        <v>15.670400000000001</v>
      </c>
      <c r="J614" s="4">
        <f>15.593 * CHOOSE(CONTROL!$C$15, $D$11, 100%, $F$11)</f>
        <v>15.593</v>
      </c>
      <c r="K614" s="4"/>
      <c r="L614" s="9">
        <v>28.921800000000001</v>
      </c>
      <c r="M614" s="9">
        <v>12.063700000000001</v>
      </c>
      <c r="N614" s="9">
        <v>4.9444999999999997</v>
      </c>
      <c r="O614" s="9">
        <v>0.37459999999999999</v>
      </c>
      <c r="P614" s="9">
        <v>1.2192000000000001</v>
      </c>
      <c r="Q614" s="9">
        <v>19.688099999999999</v>
      </c>
      <c r="R614" s="9"/>
      <c r="S614" s="11"/>
    </row>
    <row r="615" spans="1:19" ht="15.75">
      <c r="A615" s="13">
        <v>60601</v>
      </c>
      <c r="B615" s="8">
        <f>17.4153 * CHOOSE(CONTROL!$C$15, $D$11, 100%, $F$11)</f>
        <v>17.415299999999998</v>
      </c>
      <c r="C615" s="8">
        <f>17.4256 * CHOOSE(CONTROL!$C$15, $D$11, 100%, $F$11)</f>
        <v>17.425599999999999</v>
      </c>
      <c r="D615" s="8">
        <f>17.4116 * CHOOSE( CONTROL!$C$15, $D$11, 100%, $F$11)</f>
        <v>17.4116</v>
      </c>
      <c r="E615" s="12">
        <f>17.4156 * CHOOSE( CONTROL!$C$15, $D$11, 100%, $F$11)</f>
        <v>17.415600000000001</v>
      </c>
      <c r="F615" s="4">
        <f>18.0695 * CHOOSE(CONTROL!$C$15, $D$11, 100%, $F$11)</f>
        <v>18.069500000000001</v>
      </c>
      <c r="G615" s="8">
        <f>17.1232 * CHOOSE( CONTROL!$C$15, $D$11, 100%, $F$11)</f>
        <v>17.123200000000001</v>
      </c>
      <c r="H615" s="4">
        <f>18.0057 * CHOOSE(CONTROL!$C$15, $D$11, 100%, $F$11)</f>
        <v>18.005700000000001</v>
      </c>
      <c r="I615" s="8">
        <f>16.9282 * CHOOSE(CONTROL!$C$15, $D$11, 100%, $F$11)</f>
        <v>16.9282</v>
      </c>
      <c r="J615" s="4">
        <f>16.8172 * CHOOSE(CONTROL!$C$15, $D$11, 100%, $F$11)</f>
        <v>16.8172</v>
      </c>
      <c r="K615" s="4"/>
      <c r="L615" s="9">
        <v>26.515499999999999</v>
      </c>
      <c r="M615" s="9">
        <v>11.6745</v>
      </c>
      <c r="N615" s="9">
        <v>4.7850000000000001</v>
      </c>
      <c r="O615" s="9">
        <v>0.36249999999999999</v>
      </c>
      <c r="P615" s="9">
        <v>1.2522</v>
      </c>
      <c r="Q615" s="9">
        <v>19.053000000000001</v>
      </c>
      <c r="R615" s="9"/>
      <c r="S615" s="11"/>
    </row>
    <row r="616" spans="1:19" ht="15.75">
      <c r="A616" s="13">
        <v>60632</v>
      </c>
      <c r="B616" s="8">
        <f>17.3836 * CHOOSE(CONTROL!$C$15, $D$11, 100%, $F$11)</f>
        <v>17.383600000000001</v>
      </c>
      <c r="C616" s="8">
        <f>17.394 * CHOOSE(CONTROL!$C$15, $D$11, 100%, $F$11)</f>
        <v>17.393999999999998</v>
      </c>
      <c r="D616" s="8">
        <f>17.3825 * CHOOSE( CONTROL!$C$15, $D$11, 100%, $F$11)</f>
        <v>17.3825</v>
      </c>
      <c r="E616" s="12">
        <f>17.3856 * CHOOSE( CONTROL!$C$15, $D$11, 100%, $F$11)</f>
        <v>17.3856</v>
      </c>
      <c r="F616" s="4">
        <f>18.0379 * CHOOSE(CONTROL!$C$15, $D$11, 100%, $F$11)</f>
        <v>18.0379</v>
      </c>
      <c r="G616" s="8">
        <f>17.0939 * CHOOSE( CONTROL!$C$15, $D$11, 100%, $F$11)</f>
        <v>17.093900000000001</v>
      </c>
      <c r="H616" s="4">
        <f>17.9746 * CHOOSE(CONTROL!$C$15, $D$11, 100%, $F$11)</f>
        <v>17.974599999999999</v>
      </c>
      <c r="I616" s="8">
        <f>16.9056 * CHOOSE(CONTROL!$C$15, $D$11, 100%, $F$11)</f>
        <v>16.9056</v>
      </c>
      <c r="J616" s="4">
        <f>16.7866 * CHOOSE(CONTROL!$C$15, $D$11, 100%, $F$11)</f>
        <v>16.7866</v>
      </c>
      <c r="K616" s="4"/>
      <c r="L616" s="9">
        <v>27.3993</v>
      </c>
      <c r="M616" s="9">
        <v>12.063700000000001</v>
      </c>
      <c r="N616" s="9">
        <v>4.9444999999999997</v>
      </c>
      <c r="O616" s="9">
        <v>0.37459999999999999</v>
      </c>
      <c r="P616" s="9">
        <v>1.2939000000000001</v>
      </c>
      <c r="Q616" s="9">
        <v>19.688099999999999</v>
      </c>
      <c r="R616" s="9"/>
      <c r="S616" s="11"/>
    </row>
    <row r="617" spans="1:19" ht="15.75">
      <c r="A617" s="13">
        <v>60663</v>
      </c>
      <c r="B617" s="8">
        <f>18.047 * CHOOSE(CONTROL!$C$15, $D$11, 100%, $F$11)</f>
        <v>18.047000000000001</v>
      </c>
      <c r="C617" s="8">
        <f>18.0574 * CHOOSE(CONTROL!$C$15, $D$11, 100%, $F$11)</f>
        <v>18.057400000000001</v>
      </c>
      <c r="D617" s="8">
        <f>18.0558 * CHOOSE( CONTROL!$C$15, $D$11, 100%, $F$11)</f>
        <v>18.055800000000001</v>
      </c>
      <c r="E617" s="12">
        <f>18.0553 * CHOOSE( CONTROL!$C$15, $D$11, 100%, $F$11)</f>
        <v>18.055299999999999</v>
      </c>
      <c r="F617" s="4">
        <f>18.7297 * CHOOSE(CONTROL!$C$15, $D$11, 100%, $F$11)</f>
        <v>18.729700000000001</v>
      </c>
      <c r="G617" s="8">
        <f>17.7568 * CHOOSE( CONTROL!$C$15, $D$11, 100%, $F$11)</f>
        <v>17.756799999999998</v>
      </c>
      <c r="H617" s="4">
        <f>18.6553 * CHOOSE(CONTROL!$C$15, $D$11, 100%, $F$11)</f>
        <v>18.6553</v>
      </c>
      <c r="I617" s="8">
        <f>17.5455 * CHOOSE(CONTROL!$C$15, $D$11, 100%, $F$11)</f>
        <v>17.545500000000001</v>
      </c>
      <c r="J617" s="4">
        <f>17.4282 * CHOOSE(CONTROL!$C$15, $D$11, 100%, $F$11)</f>
        <v>17.4282</v>
      </c>
      <c r="K617" s="4"/>
      <c r="L617" s="9">
        <v>27.3993</v>
      </c>
      <c r="M617" s="9">
        <v>12.063700000000001</v>
      </c>
      <c r="N617" s="9">
        <v>4.9444999999999997</v>
      </c>
      <c r="O617" s="9">
        <v>0.37459999999999999</v>
      </c>
      <c r="P617" s="9">
        <v>1.2939000000000001</v>
      </c>
      <c r="Q617" s="9">
        <v>19.688099999999999</v>
      </c>
      <c r="R617" s="9"/>
      <c r="S617" s="11"/>
    </row>
    <row r="618" spans="1:19" ht="15.75">
      <c r="A618" s="13">
        <v>60691</v>
      </c>
      <c r="B618" s="8">
        <f>16.882 * CHOOSE(CONTROL!$C$15, $D$11, 100%, $F$11)</f>
        <v>16.882000000000001</v>
      </c>
      <c r="C618" s="8">
        <f>16.8923 * CHOOSE(CONTROL!$C$15, $D$11, 100%, $F$11)</f>
        <v>16.892299999999999</v>
      </c>
      <c r="D618" s="8">
        <f>16.8929 * CHOOSE( CONTROL!$C$15, $D$11, 100%, $F$11)</f>
        <v>16.892900000000001</v>
      </c>
      <c r="E618" s="12">
        <f>16.8916 * CHOOSE( CONTROL!$C$15, $D$11, 100%, $F$11)</f>
        <v>16.8916</v>
      </c>
      <c r="F618" s="4">
        <f>17.5569 * CHOOSE(CONTROL!$C$15, $D$11, 100%, $F$11)</f>
        <v>17.556899999999999</v>
      </c>
      <c r="G618" s="8">
        <f>16.6104 * CHOOSE( CONTROL!$C$15, $D$11, 100%, $F$11)</f>
        <v>16.610399999999998</v>
      </c>
      <c r="H618" s="4">
        <f>17.5015 * CHOOSE(CONTROL!$C$15, $D$11, 100%, $F$11)</f>
        <v>17.5015</v>
      </c>
      <c r="I618" s="8">
        <f>16.4073 * CHOOSE(CONTROL!$C$15, $D$11, 100%, $F$11)</f>
        <v>16.407299999999999</v>
      </c>
      <c r="J618" s="4">
        <f>16.3015 * CHOOSE(CONTROL!$C$15, $D$11, 100%, $F$11)</f>
        <v>16.301500000000001</v>
      </c>
      <c r="K618" s="4"/>
      <c r="L618" s="9">
        <v>24.747800000000002</v>
      </c>
      <c r="M618" s="9">
        <v>10.8962</v>
      </c>
      <c r="N618" s="9">
        <v>4.4660000000000002</v>
      </c>
      <c r="O618" s="9">
        <v>0.33829999999999999</v>
      </c>
      <c r="P618" s="9">
        <v>1.1687000000000001</v>
      </c>
      <c r="Q618" s="9">
        <v>17.782800000000002</v>
      </c>
      <c r="R618" s="9"/>
      <c r="S618" s="11"/>
    </row>
    <row r="619" spans="1:19" ht="15.75">
      <c r="A619" s="13">
        <v>60722</v>
      </c>
      <c r="B619" s="8">
        <f>16.5232 * CHOOSE(CONTROL!$C$15, $D$11, 100%, $F$11)</f>
        <v>16.523199999999999</v>
      </c>
      <c r="C619" s="8">
        <f>16.5335 * CHOOSE(CONTROL!$C$15, $D$11, 100%, $F$11)</f>
        <v>16.5335</v>
      </c>
      <c r="D619" s="8">
        <f>16.5136 * CHOOSE( CONTROL!$C$15, $D$11, 100%, $F$11)</f>
        <v>16.5136</v>
      </c>
      <c r="E619" s="12">
        <f>16.5198 * CHOOSE( CONTROL!$C$15, $D$11, 100%, $F$11)</f>
        <v>16.5198</v>
      </c>
      <c r="F619" s="4">
        <f>17.1821 * CHOOSE(CONTROL!$C$15, $D$11, 100%, $F$11)</f>
        <v>17.182099999999998</v>
      </c>
      <c r="G619" s="8">
        <f>16.2367 * CHOOSE( CONTROL!$C$15, $D$11, 100%, $F$11)</f>
        <v>16.236699999999999</v>
      </c>
      <c r="H619" s="4">
        <f>17.1327 * CHOOSE(CONTROL!$C$15, $D$11, 100%, $F$11)</f>
        <v>17.1327</v>
      </c>
      <c r="I619" s="8">
        <f>16.0206 * CHOOSE(CONTROL!$C$15, $D$11, 100%, $F$11)</f>
        <v>16.020600000000002</v>
      </c>
      <c r="J619" s="4">
        <f>15.9544 * CHOOSE(CONTROL!$C$15, $D$11, 100%, $F$11)</f>
        <v>15.9544</v>
      </c>
      <c r="K619" s="4"/>
      <c r="L619" s="9">
        <v>27.3993</v>
      </c>
      <c r="M619" s="9">
        <v>12.063700000000001</v>
      </c>
      <c r="N619" s="9">
        <v>4.9444999999999997</v>
      </c>
      <c r="O619" s="9">
        <v>0.37459999999999999</v>
      </c>
      <c r="P619" s="9">
        <v>1.2939000000000001</v>
      </c>
      <c r="Q619" s="9">
        <v>19.688099999999999</v>
      </c>
      <c r="R619" s="9"/>
      <c r="S619" s="11"/>
    </row>
    <row r="620" spans="1:19" ht="15.75">
      <c r="A620" s="13">
        <v>60752</v>
      </c>
      <c r="B620" s="8">
        <f>16.7739 * CHOOSE(CONTROL!$C$15, $D$11, 100%, $F$11)</f>
        <v>16.773900000000001</v>
      </c>
      <c r="C620" s="8">
        <f>16.7842 * CHOOSE(CONTROL!$C$15, $D$11, 100%, $F$11)</f>
        <v>16.784199999999998</v>
      </c>
      <c r="D620" s="8">
        <f>16.7758 * CHOOSE( CONTROL!$C$15, $D$11, 100%, $F$11)</f>
        <v>16.7758</v>
      </c>
      <c r="E620" s="12">
        <f>16.7774 * CHOOSE( CONTROL!$C$15, $D$11, 100%, $F$11)</f>
        <v>16.7774</v>
      </c>
      <c r="F620" s="4">
        <f>17.423 * CHOOSE(CONTROL!$C$15, $D$11, 100%, $F$11)</f>
        <v>17.422999999999998</v>
      </c>
      <c r="G620" s="8">
        <f>16.4682 * CHOOSE( CONTROL!$C$15, $D$11, 100%, $F$11)</f>
        <v>16.4682</v>
      </c>
      <c r="H620" s="4">
        <f>17.3697 * CHOOSE(CONTROL!$C$15, $D$11, 100%, $F$11)</f>
        <v>17.369700000000002</v>
      </c>
      <c r="I620" s="8">
        <f>16.26 * CHOOSE(CONTROL!$C$15, $D$11, 100%, $F$11)</f>
        <v>16.260000000000002</v>
      </c>
      <c r="J620" s="4">
        <f>16.1969 * CHOOSE(CONTROL!$C$15, $D$11, 100%, $F$11)</f>
        <v>16.196899999999999</v>
      </c>
      <c r="K620" s="4"/>
      <c r="L620" s="9">
        <v>27.988800000000001</v>
      </c>
      <c r="M620" s="9">
        <v>11.6745</v>
      </c>
      <c r="N620" s="9">
        <v>4.7850000000000001</v>
      </c>
      <c r="O620" s="9">
        <v>0.36249999999999999</v>
      </c>
      <c r="P620" s="9">
        <v>1.1798</v>
      </c>
      <c r="Q620" s="9">
        <v>19.053000000000001</v>
      </c>
      <c r="R620" s="9"/>
      <c r="S620" s="11"/>
    </row>
    <row r="621" spans="1:19" ht="15.75">
      <c r="A621" s="13">
        <v>60783</v>
      </c>
      <c r="B621" s="8">
        <f>CHOOSE( CONTROL!$C$32, 17.2247, 17.2202) * CHOOSE(CONTROL!$C$15, $D$11, 100%, $F$11)</f>
        <v>17.224699999999999</v>
      </c>
      <c r="C621" s="8">
        <f>CHOOSE( CONTROL!$C$32, 17.235, 17.2305) * CHOOSE(CONTROL!$C$15, $D$11, 100%, $F$11)</f>
        <v>17.234999999999999</v>
      </c>
      <c r="D621" s="8">
        <f>CHOOSE( CONTROL!$C$32, 17.2447, 17.2402) * CHOOSE( CONTROL!$C$15, $D$11, 100%, $F$11)</f>
        <v>17.244700000000002</v>
      </c>
      <c r="E621" s="12">
        <f>CHOOSE( CONTROL!$C$32, 17.2396, 17.2351) * CHOOSE( CONTROL!$C$15, $D$11, 100%, $F$11)</f>
        <v>17.239599999999999</v>
      </c>
      <c r="F621" s="4">
        <f>CHOOSE( CONTROL!$C$32, 17.913, 17.9085) * CHOOSE(CONTROL!$C$15, $D$11, 100%, $F$11)</f>
        <v>17.913</v>
      </c>
      <c r="G621" s="8">
        <f>CHOOSE( CONTROL!$C$32, 16.9167, 16.9123) * CHOOSE( CONTROL!$C$15, $D$11, 100%, $F$11)</f>
        <v>16.916699999999999</v>
      </c>
      <c r="H621" s="4">
        <f>CHOOSE( CONTROL!$C$32, 17.8517, 17.8473) * CHOOSE(CONTROL!$C$15, $D$11, 100%, $F$11)</f>
        <v>17.851700000000001</v>
      </c>
      <c r="I621" s="8">
        <f>CHOOSE( CONTROL!$C$32, 16.702, 16.6977) * CHOOSE(CONTROL!$C$15, $D$11, 100%, $F$11)</f>
        <v>16.702000000000002</v>
      </c>
      <c r="J621" s="4">
        <f>CHOOSE( CONTROL!$C$32, 16.6329, 16.6285) * CHOOSE(CONTROL!$C$15, $D$11, 100%, $F$11)</f>
        <v>16.632899999999999</v>
      </c>
      <c r="K621" s="4"/>
      <c r="L621" s="9">
        <v>29.520499999999998</v>
      </c>
      <c r="M621" s="9">
        <v>12.063700000000001</v>
      </c>
      <c r="N621" s="9">
        <v>4.9444999999999997</v>
      </c>
      <c r="O621" s="9">
        <v>0.37459999999999999</v>
      </c>
      <c r="P621" s="9">
        <v>1.2192000000000001</v>
      </c>
      <c r="Q621" s="9">
        <v>19.688099999999999</v>
      </c>
      <c r="R621" s="9"/>
      <c r="S621" s="11"/>
    </row>
    <row r="622" spans="1:19" ht="15.75">
      <c r="A622" s="13">
        <v>60813</v>
      </c>
      <c r="B622" s="8">
        <f>CHOOSE( CONTROL!$C$32, 16.9482, 16.9437) * CHOOSE(CONTROL!$C$15, $D$11, 100%, $F$11)</f>
        <v>16.9482</v>
      </c>
      <c r="C622" s="8">
        <f>CHOOSE( CONTROL!$C$32, 16.9586, 16.9541) * CHOOSE(CONTROL!$C$15, $D$11, 100%, $F$11)</f>
        <v>16.958600000000001</v>
      </c>
      <c r="D622" s="8">
        <f>CHOOSE( CONTROL!$C$32, 16.9689, 16.9644) * CHOOSE( CONTROL!$C$15, $D$11, 100%, $F$11)</f>
        <v>16.968900000000001</v>
      </c>
      <c r="E622" s="12">
        <f>CHOOSE( CONTROL!$C$32, 16.9636, 16.9591) * CHOOSE( CONTROL!$C$15, $D$11, 100%, $F$11)</f>
        <v>16.9636</v>
      </c>
      <c r="F622" s="4">
        <f>CHOOSE( CONTROL!$C$32, 17.6365, 17.632) * CHOOSE(CONTROL!$C$15, $D$11, 100%, $F$11)</f>
        <v>17.636500000000002</v>
      </c>
      <c r="G622" s="8">
        <f>CHOOSE( CONTROL!$C$32, 16.6457, 16.6412) * CHOOSE( CONTROL!$C$15, $D$11, 100%, $F$11)</f>
        <v>16.645700000000001</v>
      </c>
      <c r="H622" s="4">
        <f>CHOOSE( CONTROL!$C$32, 17.5798, 17.5753) * CHOOSE(CONTROL!$C$15, $D$11, 100%, $F$11)</f>
        <v>17.579799999999999</v>
      </c>
      <c r="I622" s="8">
        <f>CHOOSE( CONTROL!$C$32, 16.4375, 16.4331) * CHOOSE(CONTROL!$C$15, $D$11, 100%, $F$11)</f>
        <v>16.4375</v>
      </c>
      <c r="J622" s="4">
        <f>CHOOSE( CONTROL!$C$32, 16.3655, 16.3612) * CHOOSE(CONTROL!$C$15, $D$11, 100%, $F$11)</f>
        <v>16.365500000000001</v>
      </c>
      <c r="K622" s="4"/>
      <c r="L622" s="9">
        <v>28.568200000000001</v>
      </c>
      <c r="M622" s="9">
        <v>11.6745</v>
      </c>
      <c r="N622" s="9">
        <v>4.7850000000000001</v>
      </c>
      <c r="O622" s="9">
        <v>0.36249999999999999</v>
      </c>
      <c r="P622" s="9">
        <v>1.1798</v>
      </c>
      <c r="Q622" s="9">
        <v>19.053000000000001</v>
      </c>
      <c r="R622" s="9"/>
      <c r="S622" s="11"/>
    </row>
    <row r="623" spans="1:19" ht="15.75">
      <c r="A623" s="13">
        <v>60844</v>
      </c>
      <c r="B623" s="8">
        <f>CHOOSE( CONTROL!$C$32, 17.6762, 17.6717) * CHOOSE(CONTROL!$C$15, $D$11, 100%, $F$11)</f>
        <v>17.676200000000001</v>
      </c>
      <c r="C623" s="8">
        <f>CHOOSE( CONTROL!$C$32, 17.6866, 17.682) * CHOOSE(CONTROL!$C$15, $D$11, 100%, $F$11)</f>
        <v>17.686599999999999</v>
      </c>
      <c r="D623" s="8">
        <f>CHOOSE( CONTROL!$C$32, 17.6974, 17.6929) * CHOOSE( CONTROL!$C$15, $D$11, 100%, $F$11)</f>
        <v>17.697399999999998</v>
      </c>
      <c r="E623" s="12">
        <f>CHOOSE( CONTROL!$C$32, 17.6919, 17.6874) * CHOOSE( CONTROL!$C$15, $D$11, 100%, $F$11)</f>
        <v>17.6919</v>
      </c>
      <c r="F623" s="4">
        <f>CHOOSE( CONTROL!$C$32, 18.3645, 18.36) * CHOOSE(CONTROL!$C$15, $D$11, 100%, $F$11)</f>
        <v>18.3645</v>
      </c>
      <c r="G623" s="8">
        <f>CHOOSE( CONTROL!$C$32, 17.3627, 17.3583) * CHOOSE( CONTROL!$C$15, $D$11, 100%, $F$11)</f>
        <v>17.3627</v>
      </c>
      <c r="H623" s="4">
        <f>CHOOSE( CONTROL!$C$32, 18.296, 18.2915) * CHOOSE(CONTROL!$C$15, $D$11, 100%, $F$11)</f>
        <v>18.295999999999999</v>
      </c>
      <c r="I623" s="8">
        <f>CHOOSE( CONTROL!$C$32, 17.1446, 17.1402) * CHOOSE(CONTROL!$C$15, $D$11, 100%, $F$11)</f>
        <v>17.144600000000001</v>
      </c>
      <c r="J623" s="4">
        <f>CHOOSE( CONTROL!$C$32, 17.0696, 17.0652) * CHOOSE(CONTROL!$C$15, $D$11, 100%, $F$11)</f>
        <v>17.069600000000001</v>
      </c>
      <c r="K623" s="4"/>
      <c r="L623" s="9">
        <v>29.520499999999998</v>
      </c>
      <c r="M623" s="9">
        <v>12.063700000000001</v>
      </c>
      <c r="N623" s="9">
        <v>4.9444999999999997</v>
      </c>
      <c r="O623" s="9">
        <v>0.37459999999999999</v>
      </c>
      <c r="P623" s="9">
        <v>1.2192000000000001</v>
      </c>
      <c r="Q623" s="9">
        <v>19.688099999999999</v>
      </c>
      <c r="R623" s="9"/>
      <c r="S623" s="11"/>
    </row>
    <row r="624" spans="1:19" ht="15.75">
      <c r="A624" s="13">
        <v>60875</v>
      </c>
      <c r="B624" s="8">
        <f>CHOOSE( CONTROL!$C$32, 16.3141, 16.3096) * CHOOSE(CONTROL!$C$15, $D$11, 100%, $F$11)</f>
        <v>16.3141</v>
      </c>
      <c r="C624" s="8">
        <f>CHOOSE( CONTROL!$C$32, 16.3244, 16.3199) * CHOOSE(CONTROL!$C$15, $D$11, 100%, $F$11)</f>
        <v>16.324400000000001</v>
      </c>
      <c r="D624" s="8">
        <f>CHOOSE( CONTROL!$C$32, 16.3356, 16.3311) * CHOOSE( CONTROL!$C$15, $D$11, 100%, $F$11)</f>
        <v>16.335599999999999</v>
      </c>
      <c r="E624" s="12">
        <f>CHOOSE( CONTROL!$C$32, 16.33, 16.3255) * CHOOSE( CONTROL!$C$15, $D$11, 100%, $F$11)</f>
        <v>16.329999999999998</v>
      </c>
      <c r="F624" s="4">
        <f>CHOOSE( CONTROL!$C$32, 17.0024, 16.9979) * CHOOSE(CONTROL!$C$15, $D$11, 100%, $F$11)</f>
        <v>17.002400000000002</v>
      </c>
      <c r="G624" s="8">
        <f>CHOOSE( CONTROL!$C$32, 16.0231, 16.0186) * CHOOSE( CONTROL!$C$15, $D$11, 100%, $F$11)</f>
        <v>16.023099999999999</v>
      </c>
      <c r="H624" s="4">
        <f>CHOOSE( CONTROL!$C$32, 16.9559, 16.9514) * CHOOSE(CONTROL!$C$15, $D$11, 100%, $F$11)</f>
        <v>16.9559</v>
      </c>
      <c r="I624" s="8">
        <f>CHOOSE( CONTROL!$C$32, 15.828, 15.8237) * CHOOSE(CONTROL!$C$15, $D$11, 100%, $F$11)</f>
        <v>15.827999999999999</v>
      </c>
      <c r="J624" s="4">
        <f>CHOOSE( CONTROL!$C$32, 15.7523, 15.7479) * CHOOSE(CONTROL!$C$15, $D$11, 100%, $F$11)</f>
        <v>15.7523</v>
      </c>
      <c r="K624" s="4"/>
      <c r="L624" s="9">
        <v>29.520499999999998</v>
      </c>
      <c r="M624" s="9">
        <v>12.063700000000001</v>
      </c>
      <c r="N624" s="9">
        <v>4.9444999999999997</v>
      </c>
      <c r="O624" s="9">
        <v>0.37459999999999999</v>
      </c>
      <c r="P624" s="9">
        <v>1.2192000000000001</v>
      </c>
      <c r="Q624" s="9">
        <v>19.688099999999999</v>
      </c>
      <c r="R624" s="9"/>
      <c r="S624" s="11"/>
    </row>
    <row r="625" spans="1:19" ht="15.75">
      <c r="A625" s="13">
        <v>60905</v>
      </c>
      <c r="B625" s="8">
        <f>CHOOSE( CONTROL!$C$32, 15.973, 15.9685) * CHOOSE(CONTROL!$C$15, $D$11, 100%, $F$11)</f>
        <v>15.973000000000001</v>
      </c>
      <c r="C625" s="8">
        <f>CHOOSE( CONTROL!$C$32, 15.9833, 15.9788) * CHOOSE(CONTROL!$C$15, $D$11, 100%, $F$11)</f>
        <v>15.9833</v>
      </c>
      <c r="D625" s="8">
        <f>CHOOSE( CONTROL!$C$32, 15.9946, 15.9901) * CHOOSE( CONTROL!$C$15, $D$11, 100%, $F$11)</f>
        <v>15.9946</v>
      </c>
      <c r="E625" s="12">
        <f>CHOOSE( CONTROL!$C$32, 15.9889, 15.9844) * CHOOSE( CONTROL!$C$15, $D$11, 100%, $F$11)</f>
        <v>15.988899999999999</v>
      </c>
      <c r="F625" s="4">
        <f>CHOOSE( CONTROL!$C$32, 16.6613, 16.6568) * CHOOSE(CONTROL!$C$15, $D$11, 100%, $F$11)</f>
        <v>16.661300000000001</v>
      </c>
      <c r="G625" s="8">
        <f>CHOOSE( CONTROL!$C$32, 15.6876, 15.6832) * CHOOSE( CONTROL!$C$15, $D$11, 100%, $F$11)</f>
        <v>15.6876</v>
      </c>
      <c r="H625" s="4">
        <f>CHOOSE( CONTROL!$C$32, 16.6203, 16.6159) * CHOOSE(CONTROL!$C$15, $D$11, 100%, $F$11)</f>
        <v>16.6203</v>
      </c>
      <c r="I625" s="8">
        <f>CHOOSE( CONTROL!$C$32, 15.4984, 15.4941) * CHOOSE(CONTROL!$C$15, $D$11, 100%, $F$11)</f>
        <v>15.4984</v>
      </c>
      <c r="J625" s="4">
        <f>CHOOSE( CONTROL!$C$32, 15.4224, 15.418) * CHOOSE(CONTROL!$C$15, $D$11, 100%, $F$11)</f>
        <v>15.4224</v>
      </c>
      <c r="K625" s="4"/>
      <c r="L625" s="9">
        <v>28.568200000000001</v>
      </c>
      <c r="M625" s="9">
        <v>11.6745</v>
      </c>
      <c r="N625" s="9">
        <v>4.7850000000000001</v>
      </c>
      <c r="O625" s="9">
        <v>0.36249999999999999</v>
      </c>
      <c r="P625" s="9">
        <v>1.1798</v>
      </c>
      <c r="Q625" s="9">
        <v>19.053000000000001</v>
      </c>
      <c r="R625" s="9"/>
      <c r="S625" s="11"/>
    </row>
    <row r="626" spans="1:19" ht="15.75">
      <c r="A626" s="13">
        <v>60936</v>
      </c>
      <c r="B626" s="8">
        <f>16.6767 * CHOOSE(CONTROL!$C$15, $D$11, 100%, $F$11)</f>
        <v>16.6767</v>
      </c>
      <c r="C626" s="8">
        <f>16.687 * CHOOSE(CONTROL!$C$15, $D$11, 100%, $F$11)</f>
        <v>16.687000000000001</v>
      </c>
      <c r="D626" s="8">
        <f>16.6995 * CHOOSE( CONTROL!$C$15, $D$11, 100%, $F$11)</f>
        <v>16.6995</v>
      </c>
      <c r="E626" s="12">
        <f>16.6943 * CHOOSE( CONTROL!$C$15, $D$11, 100%, $F$11)</f>
        <v>16.694299999999998</v>
      </c>
      <c r="F626" s="4">
        <f>17.365 * CHOOSE(CONTROL!$C$15, $D$11, 100%, $F$11)</f>
        <v>17.364999999999998</v>
      </c>
      <c r="G626" s="8">
        <f>16.3794 * CHOOSE( CONTROL!$C$15, $D$11, 100%, $F$11)</f>
        <v>16.3794</v>
      </c>
      <c r="H626" s="4">
        <f>17.3126 * CHOOSE(CONTROL!$C$15, $D$11, 100%, $F$11)</f>
        <v>17.3126</v>
      </c>
      <c r="I626" s="8">
        <f>16.1806 * CHOOSE(CONTROL!$C$15, $D$11, 100%, $F$11)</f>
        <v>16.180599999999998</v>
      </c>
      <c r="J626" s="4">
        <f>16.1029 * CHOOSE(CONTROL!$C$15, $D$11, 100%, $F$11)</f>
        <v>16.102900000000002</v>
      </c>
      <c r="K626" s="4"/>
      <c r="L626" s="9">
        <v>28.921800000000001</v>
      </c>
      <c r="M626" s="9">
        <v>12.063700000000001</v>
      </c>
      <c r="N626" s="9">
        <v>4.9444999999999997</v>
      </c>
      <c r="O626" s="9">
        <v>0.37459999999999999</v>
      </c>
      <c r="P626" s="9">
        <v>1.2192000000000001</v>
      </c>
      <c r="Q626" s="9">
        <v>19.688099999999999</v>
      </c>
      <c r="R626" s="9"/>
      <c r="S626" s="11"/>
    </row>
    <row r="627" spans="1:19" ht="15.75">
      <c r="A627" s="13">
        <v>60966</v>
      </c>
      <c r="B627" s="8">
        <f>17.9839 * CHOOSE(CONTROL!$C$15, $D$11, 100%, $F$11)</f>
        <v>17.983899999999998</v>
      </c>
      <c r="C627" s="8">
        <f>17.9943 * CHOOSE(CONTROL!$C$15, $D$11, 100%, $F$11)</f>
        <v>17.994299999999999</v>
      </c>
      <c r="D627" s="8">
        <f>17.9803 * CHOOSE( CONTROL!$C$15, $D$11, 100%, $F$11)</f>
        <v>17.9803</v>
      </c>
      <c r="E627" s="12">
        <f>17.9843 * CHOOSE( CONTROL!$C$15, $D$11, 100%, $F$11)</f>
        <v>17.984300000000001</v>
      </c>
      <c r="F627" s="4">
        <f>18.6382 * CHOOSE(CONTROL!$C$15, $D$11, 100%, $F$11)</f>
        <v>18.638200000000001</v>
      </c>
      <c r="G627" s="8">
        <f>17.6827 * CHOOSE( CONTROL!$C$15, $D$11, 100%, $F$11)</f>
        <v>17.682700000000001</v>
      </c>
      <c r="H627" s="4">
        <f>18.5652 * CHOOSE(CONTROL!$C$15, $D$11, 100%, $F$11)</f>
        <v>18.565200000000001</v>
      </c>
      <c r="I627" s="8">
        <f>17.4785 * CHOOSE(CONTROL!$C$15, $D$11, 100%, $F$11)</f>
        <v>17.4785</v>
      </c>
      <c r="J627" s="4">
        <f>17.3672 * CHOOSE(CONTROL!$C$15, $D$11, 100%, $F$11)</f>
        <v>17.3672</v>
      </c>
      <c r="K627" s="4"/>
      <c r="L627" s="9">
        <v>26.515499999999999</v>
      </c>
      <c r="M627" s="9">
        <v>11.6745</v>
      </c>
      <c r="N627" s="9">
        <v>4.7850000000000001</v>
      </c>
      <c r="O627" s="9">
        <v>0.36249999999999999</v>
      </c>
      <c r="P627" s="9">
        <v>1.2522</v>
      </c>
      <c r="Q627" s="9">
        <v>19.053000000000001</v>
      </c>
      <c r="R627" s="9"/>
      <c r="S627" s="11"/>
    </row>
    <row r="628" spans="1:19" ht="15.75">
      <c r="A628" s="13">
        <v>60997</v>
      </c>
      <c r="B628" s="8">
        <f>17.9513 * CHOOSE(CONTROL!$C$15, $D$11, 100%, $F$11)</f>
        <v>17.9513</v>
      </c>
      <c r="C628" s="8">
        <f>17.9616 * CHOOSE(CONTROL!$C$15, $D$11, 100%, $F$11)</f>
        <v>17.961600000000001</v>
      </c>
      <c r="D628" s="8">
        <f>17.9501 * CHOOSE( CONTROL!$C$15, $D$11, 100%, $F$11)</f>
        <v>17.950099999999999</v>
      </c>
      <c r="E628" s="12">
        <f>17.9532 * CHOOSE( CONTROL!$C$15, $D$11, 100%, $F$11)</f>
        <v>17.953199999999999</v>
      </c>
      <c r="F628" s="4">
        <f>18.6055 * CHOOSE(CONTROL!$C$15, $D$11, 100%, $F$11)</f>
        <v>18.605499999999999</v>
      </c>
      <c r="G628" s="8">
        <f>17.6524 * CHOOSE( CONTROL!$C$15, $D$11, 100%, $F$11)</f>
        <v>17.6524</v>
      </c>
      <c r="H628" s="4">
        <f>18.5331 * CHOOSE(CONTROL!$C$15, $D$11, 100%, $F$11)</f>
        <v>18.533100000000001</v>
      </c>
      <c r="I628" s="8">
        <f>17.4549 * CHOOSE(CONTROL!$C$15, $D$11, 100%, $F$11)</f>
        <v>17.454899999999999</v>
      </c>
      <c r="J628" s="4">
        <f>17.3356 * CHOOSE(CONTROL!$C$15, $D$11, 100%, $F$11)</f>
        <v>17.335599999999999</v>
      </c>
      <c r="K628" s="4"/>
      <c r="L628" s="9">
        <v>27.3993</v>
      </c>
      <c r="M628" s="9">
        <v>12.063700000000001</v>
      </c>
      <c r="N628" s="9">
        <v>4.9444999999999997</v>
      </c>
      <c r="O628" s="9">
        <v>0.37459999999999999</v>
      </c>
      <c r="P628" s="9">
        <v>1.2939000000000001</v>
      </c>
      <c r="Q628" s="9">
        <v>19.688099999999999</v>
      </c>
      <c r="R628" s="9"/>
      <c r="S628" s="11"/>
    </row>
    <row r="629" spans="1:19" ht="15.75">
      <c r="A629" s="13">
        <v>61028</v>
      </c>
      <c r="B629" s="8">
        <f>18.6364 * CHOOSE(CONTROL!$C$15, $D$11, 100%, $F$11)</f>
        <v>18.636399999999998</v>
      </c>
      <c r="C629" s="8">
        <f>18.6467 * CHOOSE(CONTROL!$C$15, $D$11, 100%, $F$11)</f>
        <v>18.646699999999999</v>
      </c>
      <c r="D629" s="8">
        <f>18.6451 * CHOOSE( CONTROL!$C$15, $D$11, 100%, $F$11)</f>
        <v>18.645099999999999</v>
      </c>
      <c r="E629" s="12">
        <f>18.6446 * CHOOSE( CONTROL!$C$15, $D$11, 100%, $F$11)</f>
        <v>18.644600000000001</v>
      </c>
      <c r="F629" s="4">
        <f>19.3191 * CHOOSE(CONTROL!$C$15, $D$11, 100%, $F$11)</f>
        <v>19.319099999999999</v>
      </c>
      <c r="G629" s="8">
        <f>18.3367 * CHOOSE( CONTROL!$C$15, $D$11, 100%, $F$11)</f>
        <v>18.3367</v>
      </c>
      <c r="H629" s="4">
        <f>19.2351 * CHOOSE(CONTROL!$C$15, $D$11, 100%, $F$11)</f>
        <v>19.235099999999999</v>
      </c>
      <c r="I629" s="8">
        <f>18.1157 * CHOOSE(CONTROL!$C$15, $D$11, 100%, $F$11)</f>
        <v>18.1157</v>
      </c>
      <c r="J629" s="4">
        <f>17.9981 * CHOOSE(CONTROL!$C$15, $D$11, 100%, $F$11)</f>
        <v>17.998100000000001</v>
      </c>
      <c r="K629" s="4"/>
      <c r="L629" s="9">
        <v>27.3993</v>
      </c>
      <c r="M629" s="9">
        <v>12.063700000000001</v>
      </c>
      <c r="N629" s="9">
        <v>4.9444999999999997</v>
      </c>
      <c r="O629" s="9">
        <v>0.37459999999999999</v>
      </c>
      <c r="P629" s="9">
        <v>1.2939000000000001</v>
      </c>
      <c r="Q629" s="9">
        <v>19.688099999999999</v>
      </c>
      <c r="R629" s="9"/>
      <c r="S629" s="11"/>
    </row>
    <row r="630" spans="1:19" ht="15.75">
      <c r="A630" s="13">
        <v>61056</v>
      </c>
      <c r="B630" s="8">
        <f>17.4332 * CHOOSE(CONTROL!$C$15, $D$11, 100%, $F$11)</f>
        <v>17.433199999999999</v>
      </c>
      <c r="C630" s="8">
        <f>17.4436 * CHOOSE(CONTROL!$C$15, $D$11, 100%, $F$11)</f>
        <v>17.4436</v>
      </c>
      <c r="D630" s="8">
        <f>17.4441 * CHOOSE( CONTROL!$C$15, $D$11, 100%, $F$11)</f>
        <v>17.444099999999999</v>
      </c>
      <c r="E630" s="12">
        <f>17.4428 * CHOOSE( CONTROL!$C$15, $D$11, 100%, $F$11)</f>
        <v>17.442799999999998</v>
      </c>
      <c r="F630" s="4">
        <f>18.1082 * CHOOSE(CONTROL!$C$15, $D$11, 100%, $F$11)</f>
        <v>18.1082</v>
      </c>
      <c r="G630" s="8">
        <f>17.1528 * CHOOSE( CONTROL!$C$15, $D$11, 100%, $F$11)</f>
        <v>17.152799999999999</v>
      </c>
      <c r="H630" s="4">
        <f>18.0438 * CHOOSE(CONTROL!$C$15, $D$11, 100%, $F$11)</f>
        <v>18.043800000000001</v>
      </c>
      <c r="I630" s="8">
        <f>16.9407 * CHOOSE(CONTROL!$C$15, $D$11, 100%, $F$11)</f>
        <v>16.9407</v>
      </c>
      <c r="J630" s="4">
        <f>16.8346 * CHOOSE(CONTROL!$C$15, $D$11, 100%, $F$11)</f>
        <v>16.834599999999998</v>
      </c>
      <c r="K630" s="4"/>
      <c r="L630" s="9">
        <v>24.747800000000002</v>
      </c>
      <c r="M630" s="9">
        <v>10.8962</v>
      </c>
      <c r="N630" s="9">
        <v>4.4660000000000002</v>
      </c>
      <c r="O630" s="9">
        <v>0.33829999999999999</v>
      </c>
      <c r="P630" s="9">
        <v>1.1687000000000001</v>
      </c>
      <c r="Q630" s="9">
        <v>17.782800000000002</v>
      </c>
      <c r="R630" s="9"/>
      <c r="S630" s="11"/>
    </row>
    <row r="631" spans="1:19" ht="15.75">
      <c r="A631" s="13">
        <v>61087</v>
      </c>
      <c r="B631" s="8">
        <f>17.0627 * CHOOSE(CONTROL!$C$15, $D$11, 100%, $F$11)</f>
        <v>17.0627</v>
      </c>
      <c r="C631" s="8">
        <f>17.073 * CHOOSE(CONTROL!$C$15, $D$11, 100%, $F$11)</f>
        <v>17.073</v>
      </c>
      <c r="D631" s="8">
        <f>17.0531 * CHOOSE( CONTROL!$C$15, $D$11, 100%, $F$11)</f>
        <v>17.053100000000001</v>
      </c>
      <c r="E631" s="12">
        <f>17.0593 * CHOOSE( CONTROL!$C$15, $D$11, 100%, $F$11)</f>
        <v>17.0593</v>
      </c>
      <c r="F631" s="4">
        <f>17.7216 * CHOOSE(CONTROL!$C$15, $D$11, 100%, $F$11)</f>
        <v>17.721599999999999</v>
      </c>
      <c r="G631" s="8">
        <f>16.7675 * CHOOSE( CONTROL!$C$15, $D$11, 100%, $F$11)</f>
        <v>16.767499999999998</v>
      </c>
      <c r="H631" s="4">
        <f>17.6635 * CHOOSE(CONTROL!$C$15, $D$11, 100%, $F$11)</f>
        <v>17.663499999999999</v>
      </c>
      <c r="I631" s="8">
        <f>16.5426 * CHOOSE(CONTROL!$C$15, $D$11, 100%, $F$11)</f>
        <v>16.5426</v>
      </c>
      <c r="J631" s="4">
        <f>16.4762 * CHOOSE(CONTROL!$C$15, $D$11, 100%, $F$11)</f>
        <v>16.476199999999999</v>
      </c>
      <c r="K631" s="4"/>
      <c r="L631" s="9">
        <v>27.3993</v>
      </c>
      <c r="M631" s="9">
        <v>12.063700000000001</v>
      </c>
      <c r="N631" s="9">
        <v>4.9444999999999997</v>
      </c>
      <c r="O631" s="9">
        <v>0.37459999999999999</v>
      </c>
      <c r="P631" s="9">
        <v>1.2939000000000001</v>
      </c>
      <c r="Q631" s="9">
        <v>19.688099999999999</v>
      </c>
      <c r="R631" s="9"/>
      <c r="S631" s="11"/>
    </row>
    <row r="632" spans="1:19" ht="15.75">
      <c r="A632" s="13">
        <v>61117</v>
      </c>
      <c r="B632" s="8">
        <f>17.3216 * CHOOSE(CONTROL!$C$15, $D$11, 100%, $F$11)</f>
        <v>17.3216</v>
      </c>
      <c r="C632" s="8">
        <f>17.332 * CHOOSE(CONTROL!$C$15, $D$11, 100%, $F$11)</f>
        <v>17.332000000000001</v>
      </c>
      <c r="D632" s="8">
        <f>17.3235 * CHOOSE( CONTROL!$C$15, $D$11, 100%, $F$11)</f>
        <v>17.323499999999999</v>
      </c>
      <c r="E632" s="12">
        <f>17.3251 * CHOOSE( CONTROL!$C$15, $D$11, 100%, $F$11)</f>
        <v>17.325099999999999</v>
      </c>
      <c r="F632" s="4">
        <f>17.9707 * CHOOSE(CONTROL!$C$15, $D$11, 100%, $F$11)</f>
        <v>17.970700000000001</v>
      </c>
      <c r="G632" s="8">
        <f>17.007 * CHOOSE( CONTROL!$C$15, $D$11, 100%, $F$11)</f>
        <v>17.007000000000001</v>
      </c>
      <c r="H632" s="4">
        <f>17.9085 * CHOOSE(CONTROL!$C$15, $D$11, 100%, $F$11)</f>
        <v>17.9085</v>
      </c>
      <c r="I632" s="8">
        <f>16.79 * CHOOSE(CONTROL!$C$15, $D$11, 100%, $F$11)</f>
        <v>16.79</v>
      </c>
      <c r="J632" s="4">
        <f>16.7266 * CHOOSE(CONTROL!$C$15, $D$11, 100%, $F$11)</f>
        <v>16.726600000000001</v>
      </c>
      <c r="K632" s="4"/>
      <c r="L632" s="9">
        <v>27.988800000000001</v>
      </c>
      <c r="M632" s="9">
        <v>11.6745</v>
      </c>
      <c r="N632" s="9">
        <v>4.7850000000000001</v>
      </c>
      <c r="O632" s="9">
        <v>0.36249999999999999</v>
      </c>
      <c r="P632" s="9">
        <v>1.1798</v>
      </c>
      <c r="Q632" s="9">
        <v>19.053000000000001</v>
      </c>
      <c r="R632" s="9"/>
      <c r="S632" s="11"/>
    </row>
    <row r="633" spans="1:19" ht="15.75">
      <c r="A633" s="13">
        <v>61148</v>
      </c>
      <c r="B633" s="8">
        <f>CHOOSE( CONTROL!$C$32, 17.787, 17.7825) * CHOOSE(CONTROL!$C$15, $D$11, 100%, $F$11)</f>
        <v>17.786999999999999</v>
      </c>
      <c r="C633" s="8">
        <f>CHOOSE( CONTROL!$C$32, 17.7973, 17.7928) * CHOOSE(CONTROL!$C$15, $D$11, 100%, $F$11)</f>
        <v>17.7973</v>
      </c>
      <c r="D633" s="8">
        <f>CHOOSE( CONTROL!$C$32, 17.807, 17.8025) * CHOOSE( CONTROL!$C$15, $D$11, 100%, $F$11)</f>
        <v>17.806999999999999</v>
      </c>
      <c r="E633" s="12">
        <f>CHOOSE( CONTROL!$C$32, 17.8019, 17.7974) * CHOOSE( CONTROL!$C$15, $D$11, 100%, $F$11)</f>
        <v>17.8019</v>
      </c>
      <c r="F633" s="4">
        <f>CHOOSE( CONTROL!$C$32, 18.4753, 18.4708) * CHOOSE(CONTROL!$C$15, $D$11, 100%, $F$11)</f>
        <v>18.475300000000001</v>
      </c>
      <c r="G633" s="8">
        <f>CHOOSE( CONTROL!$C$32, 17.4699, 17.4655) * CHOOSE( CONTROL!$C$15, $D$11, 100%, $F$11)</f>
        <v>17.469899999999999</v>
      </c>
      <c r="H633" s="4">
        <f>CHOOSE( CONTROL!$C$32, 18.405, 18.4005) * CHOOSE(CONTROL!$C$15, $D$11, 100%, $F$11)</f>
        <v>18.405000000000001</v>
      </c>
      <c r="I633" s="8">
        <f>CHOOSE( CONTROL!$C$32, 17.2461, 17.2417) * CHOOSE(CONTROL!$C$15, $D$11, 100%, $F$11)</f>
        <v>17.246099999999998</v>
      </c>
      <c r="J633" s="4">
        <f>CHOOSE( CONTROL!$C$32, 17.1767, 17.1723) * CHOOSE(CONTROL!$C$15, $D$11, 100%, $F$11)</f>
        <v>17.1767</v>
      </c>
      <c r="K633" s="4"/>
      <c r="L633" s="9">
        <v>29.520499999999998</v>
      </c>
      <c r="M633" s="9">
        <v>12.063700000000001</v>
      </c>
      <c r="N633" s="9">
        <v>4.9444999999999997</v>
      </c>
      <c r="O633" s="9">
        <v>0.37459999999999999</v>
      </c>
      <c r="P633" s="9">
        <v>1.2192000000000001</v>
      </c>
      <c r="Q633" s="9">
        <v>19.688099999999999</v>
      </c>
      <c r="R633" s="9"/>
      <c r="S633" s="11"/>
    </row>
    <row r="634" spans="1:19" ht="15.75">
      <c r="A634" s="13">
        <v>61178</v>
      </c>
      <c r="B634" s="8">
        <f>CHOOSE( CONTROL!$C$32, 17.5015, 17.497) * CHOOSE(CONTROL!$C$15, $D$11, 100%, $F$11)</f>
        <v>17.5015</v>
      </c>
      <c r="C634" s="8">
        <f>CHOOSE( CONTROL!$C$32, 17.5119, 17.5073) * CHOOSE(CONTROL!$C$15, $D$11, 100%, $F$11)</f>
        <v>17.511900000000001</v>
      </c>
      <c r="D634" s="8">
        <f>CHOOSE( CONTROL!$C$32, 17.5222, 17.5176) * CHOOSE( CONTROL!$C$15, $D$11, 100%, $F$11)</f>
        <v>17.522200000000002</v>
      </c>
      <c r="E634" s="12">
        <f>CHOOSE( CONTROL!$C$32, 17.5169, 17.5123) * CHOOSE( CONTROL!$C$15, $D$11, 100%, $F$11)</f>
        <v>17.5169</v>
      </c>
      <c r="F634" s="4">
        <f>CHOOSE( CONTROL!$C$32, 18.1898, 18.1853) * CHOOSE(CONTROL!$C$15, $D$11, 100%, $F$11)</f>
        <v>18.189800000000002</v>
      </c>
      <c r="G634" s="8">
        <f>CHOOSE( CONTROL!$C$32, 17.19, 17.1855) * CHOOSE( CONTROL!$C$15, $D$11, 100%, $F$11)</f>
        <v>17.190000000000001</v>
      </c>
      <c r="H634" s="4">
        <f>CHOOSE( CONTROL!$C$32, 18.1241, 18.1197) * CHOOSE(CONTROL!$C$15, $D$11, 100%, $F$11)</f>
        <v>18.124099999999999</v>
      </c>
      <c r="I634" s="8">
        <f>CHOOSE( CONTROL!$C$32, 16.9729, 16.9685) * CHOOSE(CONTROL!$C$15, $D$11, 100%, $F$11)</f>
        <v>16.972899999999999</v>
      </c>
      <c r="J634" s="4">
        <f>CHOOSE( CONTROL!$C$32, 16.9006, 16.8962) * CHOOSE(CONTROL!$C$15, $D$11, 100%, $F$11)</f>
        <v>16.900600000000001</v>
      </c>
      <c r="K634" s="4"/>
      <c r="L634" s="9">
        <v>28.568200000000001</v>
      </c>
      <c r="M634" s="9">
        <v>11.6745</v>
      </c>
      <c r="N634" s="9">
        <v>4.7850000000000001</v>
      </c>
      <c r="O634" s="9">
        <v>0.36249999999999999</v>
      </c>
      <c r="P634" s="9">
        <v>1.1798</v>
      </c>
      <c r="Q634" s="9">
        <v>19.053000000000001</v>
      </c>
      <c r="R634" s="9"/>
      <c r="S634" s="11"/>
    </row>
    <row r="635" spans="1:19" ht="15.75">
      <c r="A635" s="13">
        <v>61209</v>
      </c>
      <c r="B635" s="8">
        <f>CHOOSE( CONTROL!$C$32, 18.2533, 18.2488) * CHOOSE(CONTROL!$C$15, $D$11, 100%, $F$11)</f>
        <v>18.253299999999999</v>
      </c>
      <c r="C635" s="8">
        <f>CHOOSE( CONTROL!$C$32, 18.2636, 18.2591) * CHOOSE(CONTROL!$C$15, $D$11, 100%, $F$11)</f>
        <v>18.2636</v>
      </c>
      <c r="D635" s="8">
        <f>CHOOSE( CONTROL!$C$32, 18.2745, 18.27) * CHOOSE( CONTROL!$C$15, $D$11, 100%, $F$11)</f>
        <v>18.2745</v>
      </c>
      <c r="E635" s="12">
        <f>CHOOSE( CONTROL!$C$32, 18.269, 18.2645) * CHOOSE( CONTROL!$C$15, $D$11, 100%, $F$11)</f>
        <v>18.268999999999998</v>
      </c>
      <c r="F635" s="4">
        <f>CHOOSE( CONTROL!$C$32, 18.9416, 18.9371) * CHOOSE(CONTROL!$C$15, $D$11, 100%, $F$11)</f>
        <v>18.941600000000001</v>
      </c>
      <c r="G635" s="8">
        <f>CHOOSE( CONTROL!$C$32, 17.9305, 17.926) * CHOOSE( CONTROL!$C$15, $D$11, 100%, $F$11)</f>
        <v>17.930499999999999</v>
      </c>
      <c r="H635" s="4">
        <f>CHOOSE( CONTROL!$C$32, 18.8637, 18.8593) * CHOOSE(CONTROL!$C$15, $D$11, 100%, $F$11)</f>
        <v>18.863700000000001</v>
      </c>
      <c r="I635" s="8">
        <f>CHOOSE( CONTROL!$C$32, 17.703, 17.6986) * CHOOSE(CONTROL!$C$15, $D$11, 100%, $F$11)</f>
        <v>17.702999999999999</v>
      </c>
      <c r="J635" s="4">
        <f>CHOOSE( CONTROL!$C$32, 17.6277, 17.6233) * CHOOSE(CONTROL!$C$15, $D$11, 100%, $F$11)</f>
        <v>17.627700000000001</v>
      </c>
      <c r="K635" s="4"/>
      <c r="L635" s="9">
        <v>29.520499999999998</v>
      </c>
      <c r="M635" s="9">
        <v>12.063700000000001</v>
      </c>
      <c r="N635" s="9">
        <v>4.9444999999999997</v>
      </c>
      <c r="O635" s="9">
        <v>0.37459999999999999</v>
      </c>
      <c r="P635" s="9">
        <v>1.2192000000000001</v>
      </c>
      <c r="Q635" s="9">
        <v>19.688099999999999</v>
      </c>
      <c r="R635" s="9"/>
      <c r="S635" s="11"/>
    </row>
    <row r="636" spans="1:19" ht="15.75">
      <c r="A636" s="13">
        <v>61240</v>
      </c>
      <c r="B636" s="8">
        <f>CHOOSE( CONTROL!$C$32, 16.8466, 16.8421) * CHOOSE(CONTROL!$C$15, $D$11, 100%, $F$11)</f>
        <v>16.846599999999999</v>
      </c>
      <c r="C636" s="8">
        <f>CHOOSE( CONTROL!$C$32, 16.857, 16.8525) * CHOOSE(CONTROL!$C$15, $D$11, 100%, $F$11)</f>
        <v>16.856999999999999</v>
      </c>
      <c r="D636" s="8">
        <f>CHOOSE( CONTROL!$C$32, 16.8681, 16.8636) * CHOOSE( CONTROL!$C$15, $D$11, 100%, $F$11)</f>
        <v>16.868099999999998</v>
      </c>
      <c r="E636" s="12">
        <f>CHOOSE( CONTROL!$C$32, 16.8625, 16.858) * CHOOSE( CONTROL!$C$15, $D$11, 100%, $F$11)</f>
        <v>16.862500000000001</v>
      </c>
      <c r="F636" s="4">
        <f>CHOOSE( CONTROL!$C$32, 17.5349, 17.5304) * CHOOSE(CONTROL!$C$15, $D$11, 100%, $F$11)</f>
        <v>17.5349</v>
      </c>
      <c r="G636" s="8">
        <f>CHOOSE( CONTROL!$C$32, 16.547, 16.5425) * CHOOSE( CONTROL!$C$15, $D$11, 100%, $F$11)</f>
        <v>16.547000000000001</v>
      </c>
      <c r="H636" s="4">
        <f>CHOOSE( CONTROL!$C$32, 17.4798, 17.4754) * CHOOSE(CONTROL!$C$15, $D$11, 100%, $F$11)</f>
        <v>17.479800000000001</v>
      </c>
      <c r="I636" s="8">
        <f>CHOOSE( CONTROL!$C$32, 16.3433, 16.3389) * CHOOSE(CONTROL!$C$15, $D$11, 100%, $F$11)</f>
        <v>16.343299999999999</v>
      </c>
      <c r="J636" s="4">
        <f>CHOOSE( CONTROL!$C$32, 16.2673, 16.2629) * CHOOSE(CONTROL!$C$15, $D$11, 100%, $F$11)</f>
        <v>16.267299999999999</v>
      </c>
      <c r="K636" s="4"/>
      <c r="L636" s="9">
        <v>29.520499999999998</v>
      </c>
      <c r="M636" s="9">
        <v>12.063700000000001</v>
      </c>
      <c r="N636" s="9">
        <v>4.9444999999999997</v>
      </c>
      <c r="O636" s="9">
        <v>0.37459999999999999</v>
      </c>
      <c r="P636" s="9">
        <v>1.2192000000000001</v>
      </c>
      <c r="Q636" s="9">
        <v>19.688099999999999</v>
      </c>
      <c r="R636" s="9"/>
      <c r="S636" s="11"/>
    </row>
    <row r="637" spans="1:19" ht="15.75">
      <c r="A637" s="13">
        <v>61270</v>
      </c>
      <c r="B637" s="8">
        <f>CHOOSE( CONTROL!$C$32, 16.4944, 16.4899) * CHOOSE(CONTROL!$C$15, $D$11, 100%, $F$11)</f>
        <v>16.494399999999999</v>
      </c>
      <c r="C637" s="8">
        <f>CHOOSE( CONTROL!$C$32, 16.5047, 16.5002) * CHOOSE(CONTROL!$C$15, $D$11, 100%, $F$11)</f>
        <v>16.5047</v>
      </c>
      <c r="D637" s="8">
        <f>CHOOSE( CONTROL!$C$32, 16.516, 16.5115) * CHOOSE( CONTROL!$C$15, $D$11, 100%, $F$11)</f>
        <v>16.515999999999998</v>
      </c>
      <c r="E637" s="12">
        <f>CHOOSE( CONTROL!$C$32, 16.5103, 16.5058) * CHOOSE( CONTROL!$C$15, $D$11, 100%, $F$11)</f>
        <v>16.510300000000001</v>
      </c>
      <c r="F637" s="4">
        <f>CHOOSE( CONTROL!$C$32, 17.1827, 17.1782) * CHOOSE(CONTROL!$C$15, $D$11, 100%, $F$11)</f>
        <v>17.182700000000001</v>
      </c>
      <c r="G637" s="8">
        <f>CHOOSE( CONTROL!$C$32, 16.2006, 16.1961) * CHOOSE( CONTROL!$C$15, $D$11, 100%, $F$11)</f>
        <v>16.200600000000001</v>
      </c>
      <c r="H637" s="4">
        <f>CHOOSE( CONTROL!$C$32, 17.1333, 17.1288) * CHOOSE(CONTROL!$C$15, $D$11, 100%, $F$11)</f>
        <v>17.133299999999998</v>
      </c>
      <c r="I637" s="8">
        <f>CHOOSE( CONTROL!$C$32, 16.0029, 15.9985) * CHOOSE(CONTROL!$C$15, $D$11, 100%, $F$11)</f>
        <v>16.0029</v>
      </c>
      <c r="J637" s="4">
        <f>CHOOSE( CONTROL!$C$32, 15.9266, 15.9222) * CHOOSE(CONTROL!$C$15, $D$11, 100%, $F$11)</f>
        <v>15.926600000000001</v>
      </c>
      <c r="K637" s="4"/>
      <c r="L637" s="9">
        <v>28.568200000000001</v>
      </c>
      <c r="M637" s="9">
        <v>11.6745</v>
      </c>
      <c r="N637" s="9">
        <v>4.7850000000000001</v>
      </c>
      <c r="O637" s="9">
        <v>0.36249999999999999</v>
      </c>
      <c r="P637" s="9">
        <v>1.1798</v>
      </c>
      <c r="Q637" s="9">
        <v>19.053000000000001</v>
      </c>
      <c r="R637" s="9"/>
      <c r="S637" s="11"/>
    </row>
    <row r="638" spans="1:19" ht="15.75">
      <c r="A638" s="13">
        <v>61301</v>
      </c>
      <c r="B638" s="8">
        <f>17.2212 * CHOOSE(CONTROL!$C$15, $D$11, 100%, $F$11)</f>
        <v>17.2212</v>
      </c>
      <c r="C638" s="8">
        <f>17.2316 * CHOOSE(CONTROL!$C$15, $D$11, 100%, $F$11)</f>
        <v>17.2316</v>
      </c>
      <c r="D638" s="8">
        <f>17.244 * CHOOSE( CONTROL!$C$15, $D$11, 100%, $F$11)</f>
        <v>17.244</v>
      </c>
      <c r="E638" s="12">
        <f>17.2388 * CHOOSE( CONTROL!$C$15, $D$11, 100%, $F$11)</f>
        <v>17.238800000000001</v>
      </c>
      <c r="F638" s="4">
        <f>17.9095 * CHOOSE(CONTROL!$C$15, $D$11, 100%, $F$11)</f>
        <v>17.909500000000001</v>
      </c>
      <c r="G638" s="8">
        <f>16.9151 * CHOOSE( CONTROL!$C$15, $D$11, 100%, $F$11)</f>
        <v>16.915099999999999</v>
      </c>
      <c r="H638" s="4">
        <f>17.8484 * CHOOSE(CONTROL!$C$15, $D$11, 100%, $F$11)</f>
        <v>17.848400000000002</v>
      </c>
      <c r="I638" s="8">
        <f>16.7075 * CHOOSE(CONTROL!$C$15, $D$11, 100%, $F$11)</f>
        <v>16.7075</v>
      </c>
      <c r="J638" s="4">
        <f>16.6296 * CHOOSE(CONTROL!$C$15, $D$11, 100%, $F$11)</f>
        <v>16.6296</v>
      </c>
      <c r="K638" s="4"/>
      <c r="L638" s="9">
        <v>28.921800000000001</v>
      </c>
      <c r="M638" s="9">
        <v>12.063700000000001</v>
      </c>
      <c r="N638" s="9">
        <v>4.9444999999999997</v>
      </c>
      <c r="O638" s="9">
        <v>0.37459999999999999</v>
      </c>
      <c r="P638" s="9">
        <v>1.2192000000000001</v>
      </c>
      <c r="Q638" s="9">
        <v>19.688099999999999</v>
      </c>
      <c r="R638" s="9"/>
      <c r="S638" s="11"/>
    </row>
    <row r="639" spans="1:19" ht="15.75">
      <c r="A639" s="13">
        <v>61331</v>
      </c>
      <c r="B639" s="8">
        <f>18.5712 * CHOOSE(CONTROL!$C$15, $D$11, 100%, $F$11)</f>
        <v>18.571200000000001</v>
      </c>
      <c r="C639" s="8">
        <f>18.5816 * CHOOSE(CONTROL!$C$15, $D$11, 100%, $F$11)</f>
        <v>18.581600000000002</v>
      </c>
      <c r="D639" s="8">
        <f>18.5676 * CHOOSE( CONTROL!$C$15, $D$11, 100%, $F$11)</f>
        <v>18.567599999999999</v>
      </c>
      <c r="E639" s="12">
        <f>18.5716 * CHOOSE( CONTROL!$C$15, $D$11, 100%, $F$11)</f>
        <v>18.5716</v>
      </c>
      <c r="F639" s="4">
        <f>19.2255 * CHOOSE(CONTROL!$C$15, $D$11, 100%, $F$11)</f>
        <v>19.2255</v>
      </c>
      <c r="G639" s="8">
        <f>18.2605 * CHOOSE( CONTROL!$C$15, $D$11, 100%, $F$11)</f>
        <v>18.2605</v>
      </c>
      <c r="H639" s="4">
        <f>19.143 * CHOOSE(CONTROL!$C$15, $D$11, 100%, $F$11)</f>
        <v>19.143000000000001</v>
      </c>
      <c r="I639" s="8">
        <f>18.0468 * CHOOSE(CONTROL!$C$15, $D$11, 100%, $F$11)</f>
        <v>18.046800000000001</v>
      </c>
      <c r="J639" s="4">
        <f>17.9351 * CHOOSE(CONTROL!$C$15, $D$11, 100%, $F$11)</f>
        <v>17.935099999999998</v>
      </c>
      <c r="K639" s="4"/>
      <c r="L639" s="9">
        <v>26.515499999999999</v>
      </c>
      <c r="M639" s="9">
        <v>11.6745</v>
      </c>
      <c r="N639" s="9">
        <v>4.7850000000000001</v>
      </c>
      <c r="O639" s="9">
        <v>0.36249999999999999</v>
      </c>
      <c r="P639" s="9">
        <v>1.2522</v>
      </c>
      <c r="Q639" s="9">
        <v>19.053000000000001</v>
      </c>
      <c r="R639" s="9"/>
      <c r="S639" s="11"/>
    </row>
    <row r="640" spans="1:19" ht="15.75">
      <c r="A640" s="13">
        <v>61362</v>
      </c>
      <c r="B640" s="8">
        <f>18.5375 * CHOOSE(CONTROL!$C$15, $D$11, 100%, $F$11)</f>
        <v>18.537500000000001</v>
      </c>
      <c r="C640" s="8">
        <f>18.5478 * CHOOSE(CONTROL!$C$15, $D$11, 100%, $F$11)</f>
        <v>18.547799999999999</v>
      </c>
      <c r="D640" s="8">
        <f>18.5364 * CHOOSE( CONTROL!$C$15, $D$11, 100%, $F$11)</f>
        <v>18.5364</v>
      </c>
      <c r="E640" s="12">
        <f>18.5395 * CHOOSE( CONTROL!$C$15, $D$11, 100%, $F$11)</f>
        <v>18.5395</v>
      </c>
      <c r="F640" s="4">
        <f>19.1918 * CHOOSE(CONTROL!$C$15, $D$11, 100%, $F$11)</f>
        <v>19.191800000000001</v>
      </c>
      <c r="G640" s="8">
        <f>18.2291 * CHOOSE( CONTROL!$C$15, $D$11, 100%, $F$11)</f>
        <v>18.229099999999999</v>
      </c>
      <c r="H640" s="4">
        <f>19.1098 * CHOOSE(CONTROL!$C$15, $D$11, 100%, $F$11)</f>
        <v>19.1098</v>
      </c>
      <c r="I640" s="8">
        <f>18.0221 * CHOOSE(CONTROL!$C$15, $D$11, 100%, $F$11)</f>
        <v>18.022099999999998</v>
      </c>
      <c r="J640" s="4">
        <f>17.9025 * CHOOSE(CONTROL!$C$15, $D$11, 100%, $F$11)</f>
        <v>17.9025</v>
      </c>
      <c r="K640" s="4"/>
      <c r="L640" s="9">
        <v>27.3993</v>
      </c>
      <c r="M640" s="9">
        <v>12.063700000000001</v>
      </c>
      <c r="N640" s="9">
        <v>4.9444999999999997</v>
      </c>
      <c r="O640" s="9">
        <v>0.37459999999999999</v>
      </c>
      <c r="P640" s="9">
        <v>1.2939000000000001</v>
      </c>
      <c r="Q640" s="9">
        <v>19.688099999999999</v>
      </c>
      <c r="R640" s="9"/>
      <c r="S640" s="11"/>
    </row>
    <row r="641" spans="1:19" ht="15.75">
      <c r="A641" s="13">
        <v>61393</v>
      </c>
      <c r="B641" s="8">
        <f>19.245 * CHOOSE(CONTROL!$C$15, $D$11, 100%, $F$11)</f>
        <v>19.245000000000001</v>
      </c>
      <c r="C641" s="8">
        <f>19.2553 * CHOOSE(CONTROL!$C$15, $D$11, 100%, $F$11)</f>
        <v>19.255299999999998</v>
      </c>
      <c r="D641" s="8">
        <f>19.2538 * CHOOSE( CONTROL!$C$15, $D$11, 100%, $F$11)</f>
        <v>19.253799999999998</v>
      </c>
      <c r="E641" s="12">
        <f>19.2533 * CHOOSE( CONTROL!$C$15, $D$11, 100%, $F$11)</f>
        <v>19.253299999999999</v>
      </c>
      <c r="F641" s="4">
        <f>19.9277 * CHOOSE(CONTROL!$C$15, $D$11, 100%, $F$11)</f>
        <v>19.927700000000002</v>
      </c>
      <c r="G641" s="8">
        <f>18.9355 * CHOOSE( CONTROL!$C$15, $D$11, 100%, $F$11)</f>
        <v>18.935500000000001</v>
      </c>
      <c r="H641" s="4">
        <f>19.8339 * CHOOSE(CONTROL!$C$15, $D$11, 100%, $F$11)</f>
        <v>19.8339</v>
      </c>
      <c r="I641" s="8">
        <f>18.7046 * CHOOSE(CONTROL!$C$15, $D$11, 100%, $F$11)</f>
        <v>18.704599999999999</v>
      </c>
      <c r="J641" s="4">
        <f>18.5867 * CHOOSE(CONTROL!$C$15, $D$11, 100%, $F$11)</f>
        <v>18.5867</v>
      </c>
      <c r="K641" s="4"/>
      <c r="L641" s="9">
        <v>27.3993</v>
      </c>
      <c r="M641" s="9">
        <v>12.063700000000001</v>
      </c>
      <c r="N641" s="9">
        <v>4.9444999999999997</v>
      </c>
      <c r="O641" s="9">
        <v>0.37459999999999999</v>
      </c>
      <c r="P641" s="9">
        <v>1.2939000000000001</v>
      </c>
      <c r="Q641" s="9">
        <v>19.688099999999999</v>
      </c>
      <c r="R641" s="9"/>
      <c r="S641" s="11"/>
    </row>
    <row r="642" spans="1:19" ht="15.75">
      <c r="A642" s="13">
        <v>61422</v>
      </c>
      <c r="B642" s="8">
        <f>18.0025 * CHOOSE(CONTROL!$C$15, $D$11, 100%, $F$11)</f>
        <v>18.002500000000001</v>
      </c>
      <c r="C642" s="8">
        <f>18.0129 * CHOOSE(CONTROL!$C$15, $D$11, 100%, $F$11)</f>
        <v>18.012899999999998</v>
      </c>
      <c r="D642" s="8">
        <f>18.0134 * CHOOSE( CONTROL!$C$15, $D$11, 100%, $F$11)</f>
        <v>18.013400000000001</v>
      </c>
      <c r="E642" s="12">
        <f>18.0121 * CHOOSE( CONTROL!$C$15, $D$11, 100%, $F$11)</f>
        <v>18.0121</v>
      </c>
      <c r="F642" s="4">
        <f>18.6775 * CHOOSE(CONTROL!$C$15, $D$11, 100%, $F$11)</f>
        <v>18.677499999999998</v>
      </c>
      <c r="G642" s="8">
        <f>17.7128 * CHOOSE( CONTROL!$C$15, $D$11, 100%, $F$11)</f>
        <v>17.712800000000001</v>
      </c>
      <c r="H642" s="4">
        <f>18.6039 * CHOOSE(CONTROL!$C$15, $D$11, 100%, $F$11)</f>
        <v>18.603899999999999</v>
      </c>
      <c r="I642" s="8">
        <f>17.4915 * CHOOSE(CONTROL!$C$15, $D$11, 100%, $F$11)</f>
        <v>17.491499999999998</v>
      </c>
      <c r="J642" s="4">
        <f>17.3851 * CHOOSE(CONTROL!$C$15, $D$11, 100%, $F$11)</f>
        <v>17.385100000000001</v>
      </c>
      <c r="K642" s="4"/>
      <c r="L642" s="9">
        <v>25.631599999999999</v>
      </c>
      <c r="M642" s="9">
        <v>11.285299999999999</v>
      </c>
      <c r="N642" s="9">
        <v>4.6254999999999997</v>
      </c>
      <c r="O642" s="9">
        <v>0.35039999999999999</v>
      </c>
      <c r="P642" s="9">
        <v>1.2104999999999999</v>
      </c>
      <c r="Q642" s="9">
        <v>18.417899999999999</v>
      </c>
      <c r="R642" s="9"/>
      <c r="S642" s="11"/>
    </row>
    <row r="643" spans="1:19" ht="15.75">
      <c r="A643" s="13">
        <v>61453</v>
      </c>
      <c r="B643" s="8">
        <f>17.6199 * CHOOSE(CONTROL!$C$15, $D$11, 100%, $F$11)</f>
        <v>17.619900000000001</v>
      </c>
      <c r="C643" s="8">
        <f>17.6302 * CHOOSE(CONTROL!$C$15, $D$11, 100%, $F$11)</f>
        <v>17.630199999999999</v>
      </c>
      <c r="D643" s="8">
        <f>17.6103 * CHOOSE( CONTROL!$C$15, $D$11, 100%, $F$11)</f>
        <v>17.610299999999999</v>
      </c>
      <c r="E643" s="12">
        <f>17.6165 * CHOOSE( CONTROL!$C$15, $D$11, 100%, $F$11)</f>
        <v>17.616499999999998</v>
      </c>
      <c r="F643" s="4">
        <f>18.2788 * CHOOSE(CONTROL!$C$15, $D$11, 100%, $F$11)</f>
        <v>18.2788</v>
      </c>
      <c r="G643" s="8">
        <f>17.3156 * CHOOSE( CONTROL!$C$15, $D$11, 100%, $F$11)</f>
        <v>17.3156</v>
      </c>
      <c r="H643" s="4">
        <f>18.2116 * CHOOSE(CONTROL!$C$15, $D$11, 100%, $F$11)</f>
        <v>18.211600000000001</v>
      </c>
      <c r="I643" s="8">
        <f>17.0817 * CHOOSE(CONTROL!$C$15, $D$11, 100%, $F$11)</f>
        <v>17.081700000000001</v>
      </c>
      <c r="J643" s="4">
        <f>17.0151 * CHOOSE(CONTROL!$C$15, $D$11, 100%, $F$11)</f>
        <v>17.0151</v>
      </c>
      <c r="K643" s="4"/>
      <c r="L643" s="9">
        <v>27.3993</v>
      </c>
      <c r="M643" s="9">
        <v>12.063700000000001</v>
      </c>
      <c r="N643" s="9">
        <v>4.9444999999999997</v>
      </c>
      <c r="O643" s="9">
        <v>0.37459999999999999</v>
      </c>
      <c r="P643" s="9">
        <v>1.2939000000000001</v>
      </c>
      <c r="Q643" s="9">
        <v>19.688099999999999</v>
      </c>
      <c r="R643" s="9"/>
      <c r="S643" s="11"/>
    </row>
    <row r="644" spans="1:19" ht="15.75">
      <c r="A644" s="13">
        <v>61483</v>
      </c>
      <c r="B644" s="8">
        <f>17.8873 * CHOOSE(CONTROL!$C$15, $D$11, 100%, $F$11)</f>
        <v>17.8873</v>
      </c>
      <c r="C644" s="8">
        <f>17.8976 * CHOOSE(CONTROL!$C$15, $D$11, 100%, $F$11)</f>
        <v>17.897600000000001</v>
      </c>
      <c r="D644" s="8">
        <f>17.8891 * CHOOSE( CONTROL!$C$15, $D$11, 100%, $F$11)</f>
        <v>17.889099999999999</v>
      </c>
      <c r="E644" s="12">
        <f>17.8907 * CHOOSE( CONTROL!$C$15, $D$11, 100%, $F$11)</f>
        <v>17.890699999999999</v>
      </c>
      <c r="F644" s="4">
        <f>18.5363 * CHOOSE(CONTROL!$C$15, $D$11, 100%, $F$11)</f>
        <v>18.536300000000001</v>
      </c>
      <c r="G644" s="8">
        <f>17.5635 * CHOOSE( CONTROL!$C$15, $D$11, 100%, $F$11)</f>
        <v>17.563500000000001</v>
      </c>
      <c r="H644" s="4">
        <f>18.465 * CHOOSE(CONTROL!$C$15, $D$11, 100%, $F$11)</f>
        <v>18.465</v>
      </c>
      <c r="I644" s="8">
        <f>17.3373 * CHOOSE(CONTROL!$C$15, $D$11, 100%, $F$11)</f>
        <v>17.337299999999999</v>
      </c>
      <c r="J644" s="4">
        <f>17.2737 * CHOOSE(CONTROL!$C$15, $D$11, 100%, $F$11)</f>
        <v>17.273700000000002</v>
      </c>
      <c r="K644" s="4"/>
      <c r="L644" s="9">
        <v>27.988800000000001</v>
      </c>
      <c r="M644" s="9">
        <v>11.6745</v>
      </c>
      <c r="N644" s="9">
        <v>4.7850000000000001</v>
      </c>
      <c r="O644" s="9">
        <v>0.36249999999999999</v>
      </c>
      <c r="P644" s="9">
        <v>1.1798</v>
      </c>
      <c r="Q644" s="9">
        <v>19.053000000000001</v>
      </c>
      <c r="R644" s="9"/>
      <c r="S644" s="11"/>
    </row>
    <row r="645" spans="1:19" ht="15.75">
      <c r="A645" s="13">
        <v>61514</v>
      </c>
      <c r="B645" s="8">
        <f>CHOOSE( CONTROL!$C$32, 18.3677, 18.3632) * CHOOSE(CONTROL!$C$15, $D$11, 100%, $F$11)</f>
        <v>18.367699999999999</v>
      </c>
      <c r="C645" s="8">
        <f>CHOOSE( CONTROL!$C$32, 18.378, 18.3735) * CHOOSE(CONTROL!$C$15, $D$11, 100%, $F$11)</f>
        <v>18.378</v>
      </c>
      <c r="D645" s="8">
        <f>CHOOSE( CONTROL!$C$32, 18.3877, 18.3832) * CHOOSE( CONTROL!$C$15, $D$11, 100%, $F$11)</f>
        <v>18.387699999999999</v>
      </c>
      <c r="E645" s="12">
        <f>CHOOSE( CONTROL!$C$32, 18.3826, 18.3781) * CHOOSE( CONTROL!$C$15, $D$11, 100%, $F$11)</f>
        <v>18.3826</v>
      </c>
      <c r="F645" s="4">
        <f>CHOOSE( CONTROL!$C$32, 19.056, 19.0515) * CHOOSE(CONTROL!$C$15, $D$11, 100%, $F$11)</f>
        <v>19.056000000000001</v>
      </c>
      <c r="G645" s="8">
        <f>CHOOSE( CONTROL!$C$32, 18.0412, 18.0368) * CHOOSE( CONTROL!$C$15, $D$11, 100%, $F$11)</f>
        <v>18.0412</v>
      </c>
      <c r="H645" s="4">
        <f>CHOOSE( CONTROL!$C$32, 18.9763, 18.9718) * CHOOSE(CONTROL!$C$15, $D$11, 100%, $F$11)</f>
        <v>18.976299999999998</v>
      </c>
      <c r="I645" s="8">
        <f>CHOOSE( CONTROL!$C$32, 17.808, 17.8036) * CHOOSE(CONTROL!$C$15, $D$11, 100%, $F$11)</f>
        <v>17.808</v>
      </c>
      <c r="J645" s="4">
        <f>CHOOSE( CONTROL!$C$32, 17.7383, 17.7339) * CHOOSE(CONTROL!$C$15, $D$11, 100%, $F$11)</f>
        <v>17.738299999999999</v>
      </c>
      <c r="K645" s="4"/>
      <c r="L645" s="9">
        <v>29.520499999999998</v>
      </c>
      <c r="M645" s="9">
        <v>12.063700000000001</v>
      </c>
      <c r="N645" s="9">
        <v>4.9444999999999997</v>
      </c>
      <c r="O645" s="9">
        <v>0.37459999999999999</v>
      </c>
      <c r="P645" s="9">
        <v>1.2192000000000001</v>
      </c>
      <c r="Q645" s="9">
        <v>19.688099999999999</v>
      </c>
      <c r="R645" s="9"/>
      <c r="S645" s="11"/>
    </row>
    <row r="646" spans="1:19" ht="15.75">
      <c r="A646" s="13">
        <v>61544</v>
      </c>
      <c r="B646" s="8">
        <f>CHOOSE( CONTROL!$C$32, 18.0729, 18.0684) * CHOOSE(CONTROL!$C$15, $D$11, 100%, $F$11)</f>
        <v>18.072900000000001</v>
      </c>
      <c r="C646" s="8">
        <f>CHOOSE( CONTROL!$C$32, 18.0832, 18.0787) * CHOOSE(CONTROL!$C$15, $D$11, 100%, $F$11)</f>
        <v>18.083200000000001</v>
      </c>
      <c r="D646" s="8">
        <f>CHOOSE( CONTROL!$C$32, 18.0935, 18.089) * CHOOSE( CONTROL!$C$15, $D$11, 100%, $F$11)</f>
        <v>18.093499999999999</v>
      </c>
      <c r="E646" s="12">
        <f>CHOOSE( CONTROL!$C$32, 18.0882, 18.0837) * CHOOSE( CONTROL!$C$15, $D$11, 100%, $F$11)</f>
        <v>18.088200000000001</v>
      </c>
      <c r="F646" s="4">
        <f>CHOOSE( CONTROL!$C$32, 18.7612, 18.7567) * CHOOSE(CONTROL!$C$15, $D$11, 100%, $F$11)</f>
        <v>18.761199999999999</v>
      </c>
      <c r="G646" s="8">
        <f>CHOOSE( CONTROL!$C$32, 17.7521, 17.7477) * CHOOSE( CONTROL!$C$15, $D$11, 100%, $F$11)</f>
        <v>17.752099999999999</v>
      </c>
      <c r="H646" s="4">
        <f>CHOOSE( CONTROL!$C$32, 18.6862, 18.6818) * CHOOSE(CONTROL!$C$15, $D$11, 100%, $F$11)</f>
        <v>18.686199999999999</v>
      </c>
      <c r="I646" s="8">
        <f>CHOOSE( CONTROL!$C$32, 17.5257, 17.5213) * CHOOSE(CONTROL!$C$15, $D$11, 100%, $F$11)</f>
        <v>17.525700000000001</v>
      </c>
      <c r="J646" s="4">
        <f>CHOOSE( CONTROL!$C$32, 17.4532, 17.4488) * CHOOSE(CONTROL!$C$15, $D$11, 100%, $F$11)</f>
        <v>17.453199999999999</v>
      </c>
      <c r="K646" s="4"/>
      <c r="L646" s="9">
        <v>28.568200000000001</v>
      </c>
      <c r="M646" s="9">
        <v>11.6745</v>
      </c>
      <c r="N646" s="9">
        <v>4.7850000000000001</v>
      </c>
      <c r="O646" s="9">
        <v>0.36249999999999999</v>
      </c>
      <c r="P646" s="9">
        <v>1.1798</v>
      </c>
      <c r="Q646" s="9">
        <v>19.053000000000001</v>
      </c>
      <c r="R646" s="9"/>
      <c r="S646" s="11"/>
    </row>
    <row r="647" spans="1:19" ht="15.75">
      <c r="A647" s="13">
        <v>61575</v>
      </c>
      <c r="B647" s="8">
        <f>CHOOSE( CONTROL!$C$32, 18.8493, 18.8447) * CHOOSE(CONTROL!$C$15, $D$11, 100%, $F$11)</f>
        <v>18.849299999999999</v>
      </c>
      <c r="C647" s="8">
        <f>CHOOSE( CONTROL!$C$32, 18.8596, 18.8551) * CHOOSE(CONTROL!$C$15, $D$11, 100%, $F$11)</f>
        <v>18.8596</v>
      </c>
      <c r="D647" s="8">
        <f>CHOOSE( CONTROL!$C$32, 18.8705, 18.8659) * CHOOSE( CONTROL!$C$15, $D$11, 100%, $F$11)</f>
        <v>18.8705</v>
      </c>
      <c r="E647" s="12">
        <f>CHOOSE( CONTROL!$C$32, 18.865, 18.8604) * CHOOSE( CONTROL!$C$15, $D$11, 100%, $F$11)</f>
        <v>18.864999999999998</v>
      </c>
      <c r="F647" s="4">
        <f>CHOOSE( CONTROL!$C$32, 19.5375, 19.533) * CHOOSE(CONTROL!$C$15, $D$11, 100%, $F$11)</f>
        <v>19.537500000000001</v>
      </c>
      <c r="G647" s="8">
        <f>CHOOSE( CONTROL!$C$32, 18.5168, 18.5123) * CHOOSE( CONTROL!$C$15, $D$11, 100%, $F$11)</f>
        <v>18.5168</v>
      </c>
      <c r="H647" s="4">
        <f>CHOOSE( CONTROL!$C$32, 19.45, 19.4456) * CHOOSE(CONTROL!$C$15, $D$11, 100%, $F$11)</f>
        <v>19.45</v>
      </c>
      <c r="I647" s="8">
        <f>CHOOSE( CONTROL!$C$32, 18.2796, 18.2752) * CHOOSE(CONTROL!$C$15, $D$11, 100%, $F$11)</f>
        <v>18.279599999999999</v>
      </c>
      <c r="J647" s="4">
        <f>CHOOSE( CONTROL!$C$32, 18.204, 18.1996) * CHOOSE(CONTROL!$C$15, $D$11, 100%, $F$11)</f>
        <v>18.204000000000001</v>
      </c>
      <c r="K647" s="4"/>
      <c r="L647" s="9">
        <v>29.520499999999998</v>
      </c>
      <c r="M647" s="9">
        <v>12.063700000000001</v>
      </c>
      <c r="N647" s="9">
        <v>4.9444999999999997</v>
      </c>
      <c r="O647" s="9">
        <v>0.37459999999999999</v>
      </c>
      <c r="P647" s="9">
        <v>1.2192000000000001</v>
      </c>
      <c r="Q647" s="9">
        <v>19.688099999999999</v>
      </c>
      <c r="R647" s="9"/>
      <c r="S647" s="11"/>
    </row>
    <row r="648" spans="1:19" ht="15.75">
      <c r="A648" s="13">
        <v>61606</v>
      </c>
      <c r="B648" s="8">
        <f>CHOOSE( CONTROL!$C$32, 17.3966, 17.3921) * CHOOSE(CONTROL!$C$15, $D$11, 100%, $F$11)</f>
        <v>17.396599999999999</v>
      </c>
      <c r="C648" s="8">
        <f>CHOOSE( CONTROL!$C$32, 17.4069, 17.4024) * CHOOSE(CONTROL!$C$15, $D$11, 100%, $F$11)</f>
        <v>17.4069</v>
      </c>
      <c r="D648" s="8">
        <f>CHOOSE( CONTROL!$C$32, 17.4181, 17.4136) * CHOOSE( CONTROL!$C$15, $D$11, 100%, $F$11)</f>
        <v>17.418099999999999</v>
      </c>
      <c r="E648" s="12">
        <f>CHOOSE( CONTROL!$C$32, 17.4125, 17.408) * CHOOSE( CONTROL!$C$15, $D$11, 100%, $F$11)</f>
        <v>17.412500000000001</v>
      </c>
      <c r="F648" s="4">
        <f>CHOOSE( CONTROL!$C$32, 18.0849, 18.0804) * CHOOSE(CONTROL!$C$15, $D$11, 100%, $F$11)</f>
        <v>18.084900000000001</v>
      </c>
      <c r="G648" s="8">
        <f>CHOOSE( CONTROL!$C$32, 17.088, 17.0836) * CHOOSE( CONTROL!$C$15, $D$11, 100%, $F$11)</f>
        <v>17.088000000000001</v>
      </c>
      <c r="H648" s="4">
        <f>CHOOSE( CONTROL!$C$32, 18.0209, 18.0164) * CHOOSE(CONTROL!$C$15, $D$11, 100%, $F$11)</f>
        <v>18.020900000000001</v>
      </c>
      <c r="I648" s="8">
        <f>CHOOSE( CONTROL!$C$32, 16.8754, 16.8711) * CHOOSE(CONTROL!$C$15, $D$11, 100%, $F$11)</f>
        <v>16.875399999999999</v>
      </c>
      <c r="J648" s="4">
        <f>CHOOSE( CONTROL!$C$32, 16.7991, 16.7948) * CHOOSE(CONTROL!$C$15, $D$11, 100%, $F$11)</f>
        <v>16.799099999999999</v>
      </c>
      <c r="K648" s="4"/>
      <c r="L648" s="9">
        <v>29.520499999999998</v>
      </c>
      <c r="M648" s="9">
        <v>12.063700000000001</v>
      </c>
      <c r="N648" s="9">
        <v>4.9444999999999997</v>
      </c>
      <c r="O648" s="9">
        <v>0.37459999999999999</v>
      </c>
      <c r="P648" s="9">
        <v>1.2192000000000001</v>
      </c>
      <c r="Q648" s="9">
        <v>19.688099999999999</v>
      </c>
      <c r="R648" s="9"/>
      <c r="S648" s="11"/>
    </row>
    <row r="649" spans="1:19" ht="15.75">
      <c r="A649" s="13">
        <v>61636</v>
      </c>
      <c r="B649" s="8">
        <f>CHOOSE( CONTROL!$C$32, 17.0328, 17.0283) * CHOOSE(CONTROL!$C$15, $D$11, 100%, $F$11)</f>
        <v>17.032800000000002</v>
      </c>
      <c r="C649" s="8">
        <f>CHOOSE( CONTROL!$C$32, 17.0432, 17.0386) * CHOOSE(CONTROL!$C$15, $D$11, 100%, $F$11)</f>
        <v>17.043199999999999</v>
      </c>
      <c r="D649" s="8">
        <f>CHOOSE( CONTROL!$C$32, 17.0544, 17.0499) * CHOOSE( CONTROL!$C$15, $D$11, 100%, $F$11)</f>
        <v>17.054400000000001</v>
      </c>
      <c r="E649" s="12">
        <f>CHOOSE( CONTROL!$C$32, 17.0488, 17.0442) * CHOOSE( CONTROL!$C$15, $D$11, 100%, $F$11)</f>
        <v>17.0488</v>
      </c>
      <c r="F649" s="4">
        <f>CHOOSE( CONTROL!$C$32, 17.7211, 17.7166) * CHOOSE(CONTROL!$C$15, $D$11, 100%, $F$11)</f>
        <v>17.7211</v>
      </c>
      <c r="G649" s="8">
        <f>CHOOSE( CONTROL!$C$32, 16.7303, 16.7259) * CHOOSE( CONTROL!$C$15, $D$11, 100%, $F$11)</f>
        <v>16.7303</v>
      </c>
      <c r="H649" s="4">
        <f>CHOOSE( CONTROL!$C$32, 17.663, 17.6585) * CHOOSE(CONTROL!$C$15, $D$11, 100%, $F$11)</f>
        <v>17.663</v>
      </c>
      <c r="I649" s="8">
        <f>CHOOSE( CONTROL!$C$32, 16.5239, 16.5195) * CHOOSE(CONTROL!$C$15, $D$11, 100%, $F$11)</f>
        <v>16.523900000000001</v>
      </c>
      <c r="J649" s="4">
        <f>CHOOSE( CONTROL!$C$32, 16.4473, 16.443) * CHOOSE(CONTROL!$C$15, $D$11, 100%, $F$11)</f>
        <v>16.447299999999998</v>
      </c>
      <c r="K649" s="4"/>
      <c r="L649" s="9">
        <v>28.568200000000001</v>
      </c>
      <c r="M649" s="9">
        <v>11.6745</v>
      </c>
      <c r="N649" s="9">
        <v>4.7850000000000001</v>
      </c>
      <c r="O649" s="9">
        <v>0.36249999999999999</v>
      </c>
      <c r="P649" s="9">
        <v>1.1798</v>
      </c>
      <c r="Q649" s="9">
        <v>19.053000000000001</v>
      </c>
      <c r="R649" s="9"/>
      <c r="S649" s="11"/>
    </row>
    <row r="650" spans="1:19" ht="15.75">
      <c r="A650" s="13">
        <v>61667</v>
      </c>
      <c r="B650" s="8">
        <f>17.7836 * CHOOSE(CONTROL!$C$15, $D$11, 100%, $F$11)</f>
        <v>17.7836</v>
      </c>
      <c r="C650" s="8">
        <f>17.7939 * CHOOSE(CONTROL!$C$15, $D$11, 100%, $F$11)</f>
        <v>17.793900000000001</v>
      </c>
      <c r="D650" s="8">
        <f>17.8064 * CHOOSE( CONTROL!$C$15, $D$11, 100%, $F$11)</f>
        <v>17.8064</v>
      </c>
      <c r="E650" s="12">
        <f>17.8012 * CHOOSE( CONTROL!$C$15, $D$11, 100%, $F$11)</f>
        <v>17.801200000000001</v>
      </c>
      <c r="F650" s="4">
        <f>18.4719 * CHOOSE(CONTROL!$C$15, $D$11, 100%, $F$11)</f>
        <v>18.471900000000002</v>
      </c>
      <c r="G650" s="8">
        <f>17.4684 * CHOOSE( CONTROL!$C$15, $D$11, 100%, $F$11)</f>
        <v>17.468399999999999</v>
      </c>
      <c r="H650" s="4">
        <f>18.4016 * CHOOSE(CONTROL!$C$15, $D$11, 100%, $F$11)</f>
        <v>18.401599999999998</v>
      </c>
      <c r="I650" s="8">
        <f>17.2516 * CHOOSE(CONTROL!$C$15, $D$11, 100%, $F$11)</f>
        <v>17.2516</v>
      </c>
      <c r="J650" s="4">
        <f>17.1734 * CHOOSE(CONTROL!$C$15, $D$11, 100%, $F$11)</f>
        <v>17.173400000000001</v>
      </c>
      <c r="K650" s="4"/>
      <c r="L650" s="9">
        <v>28.921800000000001</v>
      </c>
      <c r="M650" s="9">
        <v>12.063700000000001</v>
      </c>
      <c r="N650" s="9">
        <v>4.9444999999999997</v>
      </c>
      <c r="O650" s="9">
        <v>0.37459999999999999</v>
      </c>
      <c r="P650" s="9">
        <v>1.2192000000000001</v>
      </c>
      <c r="Q650" s="9">
        <v>19.688099999999999</v>
      </c>
      <c r="R650" s="9"/>
      <c r="S650" s="11"/>
    </row>
    <row r="651" spans="1:19" ht="15.75">
      <c r="A651" s="13">
        <v>61697</v>
      </c>
      <c r="B651" s="8">
        <f>19.1777 * CHOOSE(CONTROL!$C$15, $D$11, 100%, $F$11)</f>
        <v>19.177700000000002</v>
      </c>
      <c r="C651" s="8">
        <f>19.1881 * CHOOSE(CONTROL!$C$15, $D$11, 100%, $F$11)</f>
        <v>19.188099999999999</v>
      </c>
      <c r="D651" s="8">
        <f>19.1741 * CHOOSE( CONTROL!$C$15, $D$11, 100%, $F$11)</f>
        <v>19.174099999999999</v>
      </c>
      <c r="E651" s="12">
        <f>19.1781 * CHOOSE( CONTROL!$C$15, $D$11, 100%, $F$11)</f>
        <v>19.178100000000001</v>
      </c>
      <c r="F651" s="4">
        <f>19.832 * CHOOSE(CONTROL!$C$15, $D$11, 100%, $F$11)</f>
        <v>19.832000000000001</v>
      </c>
      <c r="G651" s="8">
        <f>18.8572 * CHOOSE( CONTROL!$C$15, $D$11, 100%, $F$11)</f>
        <v>18.857199999999999</v>
      </c>
      <c r="H651" s="4">
        <f>19.7397 * CHOOSE(CONTROL!$C$15, $D$11, 100%, $F$11)</f>
        <v>19.739699999999999</v>
      </c>
      <c r="I651" s="8">
        <f>18.6336 * CHOOSE(CONTROL!$C$15, $D$11, 100%, $F$11)</f>
        <v>18.633600000000001</v>
      </c>
      <c r="J651" s="4">
        <f>18.5217 * CHOOSE(CONTROL!$C$15, $D$11, 100%, $F$11)</f>
        <v>18.521699999999999</v>
      </c>
      <c r="K651" s="4"/>
      <c r="L651" s="9">
        <v>26.515499999999999</v>
      </c>
      <c r="M651" s="9">
        <v>11.6745</v>
      </c>
      <c r="N651" s="9">
        <v>4.7850000000000001</v>
      </c>
      <c r="O651" s="9">
        <v>0.36249999999999999</v>
      </c>
      <c r="P651" s="9">
        <v>1.2522</v>
      </c>
      <c r="Q651" s="9">
        <v>19.053000000000001</v>
      </c>
      <c r="R651" s="9"/>
      <c r="S651" s="11"/>
    </row>
    <row r="652" spans="1:19" ht="15.75">
      <c r="A652" s="13">
        <v>61728</v>
      </c>
      <c r="B652" s="8">
        <f>19.1429 * CHOOSE(CONTROL!$C$15, $D$11, 100%, $F$11)</f>
        <v>19.142900000000001</v>
      </c>
      <c r="C652" s="8">
        <f>19.1532 * CHOOSE(CONTROL!$C$15, $D$11, 100%, $F$11)</f>
        <v>19.153199999999998</v>
      </c>
      <c r="D652" s="8">
        <f>19.1418 * CHOOSE( CONTROL!$C$15, $D$11, 100%, $F$11)</f>
        <v>19.1418</v>
      </c>
      <c r="E652" s="12">
        <f>19.1449 * CHOOSE( CONTROL!$C$15, $D$11, 100%, $F$11)</f>
        <v>19.1449</v>
      </c>
      <c r="F652" s="4">
        <f>19.7972 * CHOOSE(CONTROL!$C$15, $D$11, 100%, $F$11)</f>
        <v>19.7972</v>
      </c>
      <c r="G652" s="8">
        <f>18.8247 * CHOOSE( CONTROL!$C$15, $D$11, 100%, $F$11)</f>
        <v>18.8247</v>
      </c>
      <c r="H652" s="4">
        <f>19.7055 * CHOOSE(CONTROL!$C$15, $D$11, 100%, $F$11)</f>
        <v>19.705500000000001</v>
      </c>
      <c r="I652" s="8">
        <f>18.6078 * CHOOSE(CONTROL!$C$15, $D$11, 100%, $F$11)</f>
        <v>18.607800000000001</v>
      </c>
      <c r="J652" s="4">
        <f>18.488 * CHOOSE(CONTROL!$C$15, $D$11, 100%, $F$11)</f>
        <v>18.488</v>
      </c>
      <c r="K652" s="4"/>
      <c r="L652" s="9">
        <v>27.3993</v>
      </c>
      <c r="M652" s="9">
        <v>12.063700000000001</v>
      </c>
      <c r="N652" s="9">
        <v>4.9444999999999997</v>
      </c>
      <c r="O652" s="9">
        <v>0.37459999999999999</v>
      </c>
      <c r="P652" s="9">
        <v>1.2939000000000001</v>
      </c>
      <c r="Q652" s="9">
        <v>19.688099999999999</v>
      </c>
      <c r="R652" s="9"/>
      <c r="S652" s="11"/>
    </row>
    <row r="653" spans="1:19" ht="15.75">
      <c r="A653" s="13">
        <v>61759</v>
      </c>
      <c r="B653" s="8">
        <f>19.8735 * CHOOSE(CONTROL!$C$15, $D$11, 100%, $F$11)</f>
        <v>19.8735</v>
      </c>
      <c r="C653" s="8">
        <f>19.8839 * CHOOSE(CONTROL!$C$15, $D$11, 100%, $F$11)</f>
        <v>19.883900000000001</v>
      </c>
      <c r="D653" s="8">
        <f>19.8823 * CHOOSE( CONTROL!$C$15, $D$11, 100%, $F$11)</f>
        <v>19.882300000000001</v>
      </c>
      <c r="E653" s="12">
        <f>19.8818 * CHOOSE( CONTROL!$C$15, $D$11, 100%, $F$11)</f>
        <v>19.881799999999998</v>
      </c>
      <c r="F653" s="4">
        <f>20.5562 * CHOOSE(CONTROL!$C$15, $D$11, 100%, $F$11)</f>
        <v>20.5562</v>
      </c>
      <c r="G653" s="8">
        <f>19.5538 * CHOOSE( CONTROL!$C$15, $D$11, 100%, $F$11)</f>
        <v>19.553799999999999</v>
      </c>
      <c r="H653" s="4">
        <f>20.4522 * CHOOSE(CONTROL!$C$15, $D$11, 100%, $F$11)</f>
        <v>20.452200000000001</v>
      </c>
      <c r="I653" s="8">
        <f>19.3128 * CHOOSE(CONTROL!$C$15, $D$11, 100%, $F$11)</f>
        <v>19.312799999999999</v>
      </c>
      <c r="J653" s="4">
        <f>19.1946 * CHOOSE(CONTROL!$C$15, $D$11, 100%, $F$11)</f>
        <v>19.194600000000001</v>
      </c>
      <c r="K653" s="4"/>
      <c r="L653" s="9">
        <v>27.3993</v>
      </c>
      <c r="M653" s="9">
        <v>12.063700000000001</v>
      </c>
      <c r="N653" s="9">
        <v>4.9444999999999997</v>
      </c>
      <c r="O653" s="9">
        <v>0.37459999999999999</v>
      </c>
      <c r="P653" s="9">
        <v>1.2939000000000001</v>
      </c>
      <c r="Q653" s="9">
        <v>19.688099999999999</v>
      </c>
      <c r="R653" s="9"/>
      <c r="S653" s="11"/>
    </row>
    <row r="654" spans="1:19" ht="15.75">
      <c r="A654" s="13">
        <v>61787</v>
      </c>
      <c r="B654" s="8">
        <f>18.5904 * CHOOSE(CONTROL!$C$15, $D$11, 100%, $F$11)</f>
        <v>18.590399999999999</v>
      </c>
      <c r="C654" s="8">
        <f>18.6008 * CHOOSE(CONTROL!$C$15, $D$11, 100%, $F$11)</f>
        <v>18.6008</v>
      </c>
      <c r="D654" s="8">
        <f>18.6013 * CHOOSE( CONTROL!$C$15, $D$11, 100%, $F$11)</f>
        <v>18.601299999999998</v>
      </c>
      <c r="E654" s="12">
        <f>18.6 * CHOOSE( CONTROL!$C$15, $D$11, 100%, $F$11)</f>
        <v>18.600000000000001</v>
      </c>
      <c r="F654" s="4">
        <f>19.2654 * CHOOSE(CONTROL!$C$15, $D$11, 100%, $F$11)</f>
        <v>19.2654</v>
      </c>
      <c r="G654" s="8">
        <f>18.2912 * CHOOSE( CONTROL!$C$15, $D$11, 100%, $F$11)</f>
        <v>18.2912</v>
      </c>
      <c r="H654" s="4">
        <f>19.1823 * CHOOSE(CONTROL!$C$15, $D$11, 100%, $F$11)</f>
        <v>19.182300000000001</v>
      </c>
      <c r="I654" s="8">
        <f>18.0603 * CHOOSE(CONTROL!$C$15, $D$11, 100%, $F$11)</f>
        <v>18.060300000000002</v>
      </c>
      <c r="J654" s="4">
        <f>17.9537 * CHOOSE(CONTROL!$C$15, $D$11, 100%, $F$11)</f>
        <v>17.953700000000001</v>
      </c>
      <c r="K654" s="4"/>
      <c r="L654" s="9">
        <v>24.747800000000002</v>
      </c>
      <c r="M654" s="9">
        <v>10.8962</v>
      </c>
      <c r="N654" s="9">
        <v>4.4660000000000002</v>
      </c>
      <c r="O654" s="9">
        <v>0.33829999999999999</v>
      </c>
      <c r="P654" s="9">
        <v>1.1687000000000001</v>
      </c>
      <c r="Q654" s="9">
        <v>17.782800000000002</v>
      </c>
      <c r="R654" s="9"/>
      <c r="S654" s="11"/>
    </row>
    <row r="655" spans="1:19" ht="15.75">
      <c r="A655" s="13">
        <v>61818</v>
      </c>
      <c r="B655" s="8">
        <f>18.1952 * CHOOSE(CONTROL!$C$15, $D$11, 100%, $F$11)</f>
        <v>18.1952</v>
      </c>
      <c r="C655" s="8">
        <f>18.2056 * CHOOSE(CONTROL!$C$15, $D$11, 100%, $F$11)</f>
        <v>18.2056</v>
      </c>
      <c r="D655" s="8">
        <f>18.1857 * CHOOSE( CONTROL!$C$15, $D$11, 100%, $F$11)</f>
        <v>18.185700000000001</v>
      </c>
      <c r="E655" s="12">
        <f>18.1919 * CHOOSE( CONTROL!$C$15, $D$11, 100%, $F$11)</f>
        <v>18.1919</v>
      </c>
      <c r="F655" s="4">
        <f>18.8541 * CHOOSE(CONTROL!$C$15, $D$11, 100%, $F$11)</f>
        <v>18.854099999999999</v>
      </c>
      <c r="G655" s="8">
        <f>17.8817 * CHOOSE( CONTROL!$C$15, $D$11, 100%, $F$11)</f>
        <v>17.881699999999999</v>
      </c>
      <c r="H655" s="4">
        <f>18.7777 * CHOOSE(CONTROL!$C$15, $D$11, 100%, $F$11)</f>
        <v>18.777699999999999</v>
      </c>
      <c r="I655" s="8">
        <f>17.6384 * CHOOSE(CONTROL!$C$15, $D$11, 100%, $F$11)</f>
        <v>17.638400000000001</v>
      </c>
      <c r="J655" s="4">
        <f>17.5715 * CHOOSE(CONTROL!$C$15, $D$11, 100%, $F$11)</f>
        <v>17.5715</v>
      </c>
      <c r="K655" s="4"/>
      <c r="L655" s="9">
        <v>27.3993</v>
      </c>
      <c r="M655" s="9">
        <v>12.063700000000001</v>
      </c>
      <c r="N655" s="9">
        <v>4.9444999999999997</v>
      </c>
      <c r="O655" s="9">
        <v>0.37459999999999999</v>
      </c>
      <c r="P655" s="9">
        <v>1.2939000000000001</v>
      </c>
      <c r="Q655" s="9">
        <v>19.688099999999999</v>
      </c>
      <c r="R655" s="9"/>
      <c r="S655" s="11"/>
    </row>
    <row r="656" spans="1:19" ht="15.75">
      <c r="A656" s="13">
        <v>61848</v>
      </c>
      <c r="B656" s="8">
        <f>18.4714 * CHOOSE(CONTROL!$C$15, $D$11, 100%, $F$11)</f>
        <v>18.471399999999999</v>
      </c>
      <c r="C656" s="8">
        <f>18.4817 * CHOOSE(CONTROL!$C$15, $D$11, 100%, $F$11)</f>
        <v>18.4817</v>
      </c>
      <c r="D656" s="8">
        <f>18.4732 * CHOOSE( CONTROL!$C$15, $D$11, 100%, $F$11)</f>
        <v>18.473199999999999</v>
      </c>
      <c r="E656" s="12">
        <f>18.4748 * CHOOSE( CONTROL!$C$15, $D$11, 100%, $F$11)</f>
        <v>18.474799999999998</v>
      </c>
      <c r="F656" s="4">
        <f>19.1205 * CHOOSE(CONTROL!$C$15, $D$11, 100%, $F$11)</f>
        <v>19.1205</v>
      </c>
      <c r="G656" s="8">
        <f>18.1382 * CHOOSE( CONTROL!$C$15, $D$11, 100%, $F$11)</f>
        <v>18.138200000000001</v>
      </c>
      <c r="H656" s="4">
        <f>19.0397 * CHOOSE(CONTROL!$C$15, $D$11, 100%, $F$11)</f>
        <v>19.0397</v>
      </c>
      <c r="I656" s="8">
        <f>17.9025 * CHOOSE(CONTROL!$C$15, $D$11, 100%, $F$11)</f>
        <v>17.9025</v>
      </c>
      <c r="J656" s="4">
        <f>17.8386 * CHOOSE(CONTROL!$C$15, $D$11, 100%, $F$11)</f>
        <v>17.8386</v>
      </c>
      <c r="K656" s="4"/>
      <c r="L656" s="9">
        <v>27.988800000000001</v>
      </c>
      <c r="M656" s="9">
        <v>11.6745</v>
      </c>
      <c r="N656" s="9">
        <v>4.7850000000000001</v>
      </c>
      <c r="O656" s="9">
        <v>0.36249999999999999</v>
      </c>
      <c r="P656" s="9">
        <v>1.1798</v>
      </c>
      <c r="Q656" s="9">
        <v>19.053000000000001</v>
      </c>
      <c r="R656" s="9"/>
      <c r="S656" s="11"/>
    </row>
    <row r="657" spans="1:19" ht="15.75">
      <c r="A657" s="13">
        <v>61879</v>
      </c>
      <c r="B657" s="8">
        <f>CHOOSE( CONTROL!$C$32, 18.9674, 18.9629) * CHOOSE(CONTROL!$C$15, $D$11, 100%, $F$11)</f>
        <v>18.967400000000001</v>
      </c>
      <c r="C657" s="8">
        <f>CHOOSE( CONTROL!$C$32, 18.9777, 18.9732) * CHOOSE(CONTROL!$C$15, $D$11, 100%, $F$11)</f>
        <v>18.977699999999999</v>
      </c>
      <c r="D657" s="8">
        <f>CHOOSE( CONTROL!$C$32, 18.9874, 18.9829) * CHOOSE( CONTROL!$C$15, $D$11, 100%, $F$11)</f>
        <v>18.987400000000001</v>
      </c>
      <c r="E657" s="12">
        <f>CHOOSE( CONTROL!$C$32, 18.9823, 18.9778) * CHOOSE( CONTROL!$C$15, $D$11, 100%, $F$11)</f>
        <v>18.982299999999999</v>
      </c>
      <c r="F657" s="4">
        <f>CHOOSE( CONTROL!$C$32, 19.6557, 19.6512) * CHOOSE(CONTROL!$C$15, $D$11, 100%, $F$11)</f>
        <v>19.6557</v>
      </c>
      <c r="G657" s="8">
        <f>CHOOSE( CONTROL!$C$32, 18.6312, 18.6268) * CHOOSE( CONTROL!$C$15, $D$11, 100%, $F$11)</f>
        <v>18.6312</v>
      </c>
      <c r="H657" s="4">
        <f>CHOOSE( CONTROL!$C$32, 19.5663, 19.5618) * CHOOSE(CONTROL!$C$15, $D$11, 100%, $F$11)</f>
        <v>19.566299999999998</v>
      </c>
      <c r="I657" s="8">
        <f>CHOOSE( CONTROL!$C$32, 18.3882, 18.3839) * CHOOSE(CONTROL!$C$15, $D$11, 100%, $F$11)</f>
        <v>18.388200000000001</v>
      </c>
      <c r="J657" s="4">
        <f>CHOOSE( CONTROL!$C$32, 18.3183, 18.3139) * CHOOSE(CONTROL!$C$15, $D$11, 100%, $F$11)</f>
        <v>18.318300000000001</v>
      </c>
      <c r="K657" s="4"/>
      <c r="L657" s="9">
        <v>29.520499999999998</v>
      </c>
      <c r="M657" s="9">
        <v>12.063700000000001</v>
      </c>
      <c r="N657" s="9">
        <v>4.9444999999999997</v>
      </c>
      <c r="O657" s="9">
        <v>0.37459999999999999</v>
      </c>
      <c r="P657" s="9">
        <v>1.2192000000000001</v>
      </c>
      <c r="Q657" s="9">
        <v>19.688099999999999</v>
      </c>
      <c r="R657" s="9"/>
      <c r="S657" s="11"/>
    </row>
    <row r="658" spans="1:19" ht="15.75">
      <c r="A658" s="13">
        <v>61909</v>
      </c>
      <c r="B658" s="8">
        <f>CHOOSE( CONTROL!$C$32, 18.6629, 18.6584) * CHOOSE(CONTROL!$C$15, $D$11, 100%, $F$11)</f>
        <v>18.6629</v>
      </c>
      <c r="C658" s="8">
        <f>CHOOSE( CONTROL!$C$32, 18.6733, 18.6688) * CHOOSE(CONTROL!$C$15, $D$11, 100%, $F$11)</f>
        <v>18.673300000000001</v>
      </c>
      <c r="D658" s="8">
        <f>CHOOSE( CONTROL!$C$32, 18.6836, 18.6791) * CHOOSE( CONTROL!$C$15, $D$11, 100%, $F$11)</f>
        <v>18.683599999999998</v>
      </c>
      <c r="E658" s="12">
        <f>CHOOSE( CONTROL!$C$32, 18.6783, 18.6738) * CHOOSE( CONTROL!$C$15, $D$11, 100%, $F$11)</f>
        <v>18.6783</v>
      </c>
      <c r="F658" s="4">
        <f>CHOOSE( CONTROL!$C$32, 19.3512, 19.3467) * CHOOSE(CONTROL!$C$15, $D$11, 100%, $F$11)</f>
        <v>19.351199999999999</v>
      </c>
      <c r="G658" s="8">
        <f>CHOOSE( CONTROL!$C$32, 18.3326, 18.3282) * CHOOSE( CONTROL!$C$15, $D$11, 100%, $F$11)</f>
        <v>18.332599999999999</v>
      </c>
      <c r="H658" s="4">
        <f>CHOOSE( CONTROL!$C$32, 19.2667, 19.2623) * CHOOSE(CONTROL!$C$15, $D$11, 100%, $F$11)</f>
        <v>19.2667</v>
      </c>
      <c r="I658" s="8">
        <f>CHOOSE( CONTROL!$C$32, 18.0966, 18.0922) * CHOOSE(CONTROL!$C$15, $D$11, 100%, $F$11)</f>
        <v>18.096599999999999</v>
      </c>
      <c r="J658" s="4">
        <f>CHOOSE( CONTROL!$C$32, 18.0238, 18.0194) * CHOOSE(CONTROL!$C$15, $D$11, 100%, $F$11)</f>
        <v>18.023800000000001</v>
      </c>
      <c r="K658" s="4"/>
      <c r="L658" s="9">
        <v>28.568200000000001</v>
      </c>
      <c r="M658" s="9">
        <v>11.6745</v>
      </c>
      <c r="N658" s="9">
        <v>4.7850000000000001</v>
      </c>
      <c r="O658" s="9">
        <v>0.36249999999999999</v>
      </c>
      <c r="P658" s="9">
        <v>1.1798</v>
      </c>
      <c r="Q658" s="9">
        <v>19.053000000000001</v>
      </c>
      <c r="R658" s="9"/>
      <c r="S658" s="11"/>
    </row>
    <row r="659" spans="1:19" ht="15.75">
      <c r="A659" s="13">
        <v>61940</v>
      </c>
      <c r="B659" s="8">
        <f>CHOOSE( CONTROL!$C$32, 19.4647, 19.4602) * CHOOSE(CONTROL!$C$15, $D$11, 100%, $F$11)</f>
        <v>19.464700000000001</v>
      </c>
      <c r="C659" s="8">
        <f>CHOOSE( CONTROL!$C$32, 19.475, 19.4705) * CHOOSE(CONTROL!$C$15, $D$11, 100%, $F$11)</f>
        <v>19.475000000000001</v>
      </c>
      <c r="D659" s="8">
        <f>CHOOSE( CONTROL!$C$32, 19.4859, 19.4814) * CHOOSE( CONTROL!$C$15, $D$11, 100%, $F$11)</f>
        <v>19.485900000000001</v>
      </c>
      <c r="E659" s="12">
        <f>CHOOSE( CONTROL!$C$32, 19.4804, 19.4759) * CHOOSE( CONTROL!$C$15, $D$11, 100%, $F$11)</f>
        <v>19.480399999999999</v>
      </c>
      <c r="F659" s="4">
        <f>CHOOSE( CONTROL!$C$32, 20.153, 20.1485) * CHOOSE(CONTROL!$C$15, $D$11, 100%, $F$11)</f>
        <v>20.152999999999999</v>
      </c>
      <c r="G659" s="8">
        <f>CHOOSE( CONTROL!$C$32, 19.1223, 19.1178) * CHOOSE( CONTROL!$C$15, $D$11, 100%, $F$11)</f>
        <v>19.122299999999999</v>
      </c>
      <c r="H659" s="4">
        <f>CHOOSE( CONTROL!$C$32, 20.0555, 20.0511) * CHOOSE(CONTROL!$C$15, $D$11, 100%, $F$11)</f>
        <v>20.055499999999999</v>
      </c>
      <c r="I659" s="8">
        <f>CHOOSE( CONTROL!$C$32, 18.8751, 18.8707) * CHOOSE(CONTROL!$C$15, $D$11, 100%, $F$11)</f>
        <v>18.8751</v>
      </c>
      <c r="J659" s="4">
        <f>CHOOSE( CONTROL!$C$32, 18.7992, 18.7948) * CHOOSE(CONTROL!$C$15, $D$11, 100%, $F$11)</f>
        <v>18.799199999999999</v>
      </c>
      <c r="K659" s="4"/>
      <c r="L659" s="9">
        <v>29.520499999999998</v>
      </c>
      <c r="M659" s="9">
        <v>12.063700000000001</v>
      </c>
      <c r="N659" s="9">
        <v>4.9444999999999997</v>
      </c>
      <c r="O659" s="9">
        <v>0.37459999999999999</v>
      </c>
      <c r="P659" s="9">
        <v>1.2192000000000001</v>
      </c>
      <c r="Q659" s="9">
        <v>19.688099999999999</v>
      </c>
      <c r="R659" s="9"/>
      <c r="S659" s="11"/>
    </row>
    <row r="660" spans="1:19" ht="15.75">
      <c r="A660" s="13">
        <v>61971</v>
      </c>
      <c r="B660" s="8">
        <f>CHOOSE( CONTROL!$C$32, 17.9645, 17.96) * CHOOSE(CONTROL!$C$15, $D$11, 100%, $F$11)</f>
        <v>17.964500000000001</v>
      </c>
      <c r="C660" s="8">
        <f>CHOOSE( CONTROL!$C$32, 17.9749, 17.9703) * CHOOSE(CONTROL!$C$15, $D$11, 100%, $F$11)</f>
        <v>17.974900000000002</v>
      </c>
      <c r="D660" s="8">
        <f>CHOOSE( CONTROL!$C$32, 17.986, 17.9815) * CHOOSE( CONTROL!$C$15, $D$11, 100%, $F$11)</f>
        <v>17.986000000000001</v>
      </c>
      <c r="E660" s="12">
        <f>CHOOSE( CONTROL!$C$32, 17.9804, 17.9759) * CHOOSE( CONTROL!$C$15, $D$11, 100%, $F$11)</f>
        <v>17.980399999999999</v>
      </c>
      <c r="F660" s="4">
        <f>CHOOSE( CONTROL!$C$32, 18.6528, 18.6483) * CHOOSE(CONTROL!$C$15, $D$11, 100%, $F$11)</f>
        <v>18.652799999999999</v>
      </c>
      <c r="G660" s="8">
        <f>CHOOSE( CONTROL!$C$32, 17.6468, 17.6423) * CHOOSE( CONTROL!$C$15, $D$11, 100%, $F$11)</f>
        <v>17.646799999999999</v>
      </c>
      <c r="H660" s="4">
        <f>CHOOSE( CONTROL!$C$32, 18.5796, 18.5752) * CHOOSE(CONTROL!$C$15, $D$11, 100%, $F$11)</f>
        <v>18.579599999999999</v>
      </c>
      <c r="I660" s="8">
        <f>CHOOSE( CONTROL!$C$32, 17.425, 17.4206) * CHOOSE(CONTROL!$C$15, $D$11, 100%, $F$11)</f>
        <v>17.425000000000001</v>
      </c>
      <c r="J660" s="4">
        <f>CHOOSE( CONTROL!$C$32, 17.3484, 17.344) * CHOOSE(CONTROL!$C$15, $D$11, 100%, $F$11)</f>
        <v>17.348400000000002</v>
      </c>
      <c r="K660" s="4"/>
      <c r="L660" s="9">
        <v>29.520499999999998</v>
      </c>
      <c r="M660" s="9">
        <v>12.063700000000001</v>
      </c>
      <c r="N660" s="9">
        <v>4.9444999999999997</v>
      </c>
      <c r="O660" s="9">
        <v>0.37459999999999999</v>
      </c>
      <c r="P660" s="9">
        <v>1.2192000000000001</v>
      </c>
      <c r="Q660" s="9">
        <v>19.688099999999999</v>
      </c>
      <c r="R660" s="9"/>
      <c r="S660" s="11"/>
    </row>
    <row r="661" spans="1:19" ht="15.75">
      <c r="A661" s="13">
        <v>62001</v>
      </c>
      <c r="B661" s="8">
        <f>CHOOSE( CONTROL!$C$32, 17.5889, 17.5843) * CHOOSE(CONTROL!$C$15, $D$11, 100%, $F$11)</f>
        <v>17.588899999999999</v>
      </c>
      <c r="C661" s="8">
        <f>CHOOSE( CONTROL!$C$32, 17.5992, 17.5947) * CHOOSE(CONTROL!$C$15, $D$11, 100%, $F$11)</f>
        <v>17.5992</v>
      </c>
      <c r="D661" s="8">
        <f>CHOOSE( CONTROL!$C$32, 17.6105, 17.6059) * CHOOSE( CONTROL!$C$15, $D$11, 100%, $F$11)</f>
        <v>17.610499999999998</v>
      </c>
      <c r="E661" s="12">
        <f>CHOOSE( CONTROL!$C$32, 17.6048, 17.6003) * CHOOSE( CONTROL!$C$15, $D$11, 100%, $F$11)</f>
        <v>17.604800000000001</v>
      </c>
      <c r="F661" s="4">
        <f>CHOOSE( CONTROL!$C$32, 18.2772, 18.2726) * CHOOSE(CONTROL!$C$15, $D$11, 100%, $F$11)</f>
        <v>18.277200000000001</v>
      </c>
      <c r="G661" s="8">
        <f>CHOOSE( CONTROL!$C$32, 17.2773, 17.2729) * CHOOSE( CONTROL!$C$15, $D$11, 100%, $F$11)</f>
        <v>17.2773</v>
      </c>
      <c r="H661" s="4">
        <f>CHOOSE( CONTROL!$C$32, 18.21, 18.2056) * CHOOSE(CONTROL!$C$15, $D$11, 100%, $F$11)</f>
        <v>18.21</v>
      </c>
      <c r="I661" s="8">
        <f>CHOOSE( CONTROL!$C$32, 17.0619, 17.0575) * CHOOSE(CONTROL!$C$15, $D$11, 100%, $F$11)</f>
        <v>17.061900000000001</v>
      </c>
      <c r="J661" s="4">
        <f>CHOOSE( CONTROL!$C$32, 16.9851, 16.9807) * CHOOSE(CONTROL!$C$15, $D$11, 100%, $F$11)</f>
        <v>16.985099999999999</v>
      </c>
      <c r="K661" s="4"/>
      <c r="L661" s="9">
        <v>28.568200000000001</v>
      </c>
      <c r="M661" s="9">
        <v>11.6745</v>
      </c>
      <c r="N661" s="9">
        <v>4.7850000000000001</v>
      </c>
      <c r="O661" s="9">
        <v>0.36249999999999999</v>
      </c>
      <c r="P661" s="9">
        <v>1.1798</v>
      </c>
      <c r="Q661" s="9">
        <v>19.053000000000001</v>
      </c>
      <c r="R661" s="9"/>
      <c r="S661" s="11"/>
    </row>
    <row r="662" spans="1:19" ht="15.75">
      <c r="A662" s="13">
        <v>62032</v>
      </c>
      <c r="B662" s="8">
        <f>18.3643 * CHOOSE(CONTROL!$C$15, $D$11, 100%, $F$11)</f>
        <v>18.3643</v>
      </c>
      <c r="C662" s="8">
        <f>18.3747 * CHOOSE(CONTROL!$C$15, $D$11, 100%, $F$11)</f>
        <v>18.374700000000001</v>
      </c>
      <c r="D662" s="8">
        <f>18.3871 * CHOOSE( CONTROL!$C$15, $D$11, 100%, $F$11)</f>
        <v>18.3871</v>
      </c>
      <c r="E662" s="12">
        <f>18.3819 * CHOOSE( CONTROL!$C$15, $D$11, 100%, $F$11)</f>
        <v>18.381900000000002</v>
      </c>
      <c r="F662" s="4">
        <f>19.0526 * CHOOSE(CONTROL!$C$15, $D$11, 100%, $F$11)</f>
        <v>19.052600000000002</v>
      </c>
      <c r="G662" s="8">
        <f>18.0398 * CHOOSE( CONTROL!$C$15, $D$11, 100%, $F$11)</f>
        <v>18.0398</v>
      </c>
      <c r="H662" s="4">
        <f>18.973 * CHOOSE(CONTROL!$C$15, $D$11, 100%, $F$11)</f>
        <v>18.972999999999999</v>
      </c>
      <c r="I662" s="8">
        <f>17.8135 * CHOOSE(CONTROL!$C$15, $D$11, 100%, $F$11)</f>
        <v>17.813500000000001</v>
      </c>
      <c r="J662" s="4">
        <f>17.735 * CHOOSE(CONTROL!$C$15, $D$11, 100%, $F$11)</f>
        <v>17.734999999999999</v>
      </c>
      <c r="K662" s="4"/>
      <c r="L662" s="9">
        <v>28.921800000000001</v>
      </c>
      <c r="M662" s="9">
        <v>12.063700000000001</v>
      </c>
      <c r="N662" s="9">
        <v>4.9444999999999997</v>
      </c>
      <c r="O662" s="9">
        <v>0.37459999999999999</v>
      </c>
      <c r="P662" s="9">
        <v>1.2192000000000001</v>
      </c>
      <c r="Q662" s="9">
        <v>19.688099999999999</v>
      </c>
      <c r="R662" s="9"/>
      <c r="S662" s="11"/>
    </row>
    <row r="663" spans="1:19" ht="15.75">
      <c r="A663" s="13">
        <v>62062</v>
      </c>
      <c r="B663" s="8">
        <f>19.8041 * CHOOSE(CONTROL!$C$15, $D$11, 100%, $F$11)</f>
        <v>19.804099999999998</v>
      </c>
      <c r="C663" s="8">
        <f>19.8144 * CHOOSE(CONTROL!$C$15, $D$11, 100%, $F$11)</f>
        <v>19.814399999999999</v>
      </c>
      <c r="D663" s="8">
        <f>19.8005 * CHOOSE( CONTROL!$C$15, $D$11, 100%, $F$11)</f>
        <v>19.8005</v>
      </c>
      <c r="E663" s="12">
        <f>19.8045 * CHOOSE( CONTROL!$C$15, $D$11, 100%, $F$11)</f>
        <v>19.804500000000001</v>
      </c>
      <c r="F663" s="4">
        <f>20.4583 * CHOOSE(CONTROL!$C$15, $D$11, 100%, $F$11)</f>
        <v>20.458300000000001</v>
      </c>
      <c r="G663" s="8">
        <f>19.4734 * CHOOSE( CONTROL!$C$15, $D$11, 100%, $F$11)</f>
        <v>19.473400000000002</v>
      </c>
      <c r="H663" s="4">
        <f>20.3559 * CHOOSE(CONTROL!$C$15, $D$11, 100%, $F$11)</f>
        <v>20.355899999999998</v>
      </c>
      <c r="I663" s="8">
        <f>19.2396 * CHOOSE(CONTROL!$C$15, $D$11, 100%, $F$11)</f>
        <v>19.239599999999999</v>
      </c>
      <c r="J663" s="4">
        <f>19.1274 * CHOOSE(CONTROL!$C$15, $D$11, 100%, $F$11)</f>
        <v>19.127400000000002</v>
      </c>
      <c r="K663" s="4"/>
      <c r="L663" s="9">
        <v>26.515499999999999</v>
      </c>
      <c r="M663" s="9">
        <v>11.6745</v>
      </c>
      <c r="N663" s="9">
        <v>4.7850000000000001</v>
      </c>
      <c r="O663" s="9">
        <v>0.36249999999999999</v>
      </c>
      <c r="P663" s="9">
        <v>1.2522</v>
      </c>
      <c r="Q663" s="9">
        <v>19.053000000000001</v>
      </c>
      <c r="R663" s="9"/>
      <c r="S663" s="11"/>
    </row>
    <row r="664" spans="1:19" ht="15.75">
      <c r="A664" s="13">
        <v>62093</v>
      </c>
      <c r="B664" s="8">
        <f>19.7681 * CHOOSE(CONTROL!$C$15, $D$11, 100%, $F$11)</f>
        <v>19.7681</v>
      </c>
      <c r="C664" s="8">
        <f>19.7784 * CHOOSE(CONTROL!$C$15, $D$11, 100%, $F$11)</f>
        <v>19.778400000000001</v>
      </c>
      <c r="D664" s="8">
        <f>19.767 * CHOOSE( CONTROL!$C$15, $D$11, 100%, $F$11)</f>
        <v>19.766999999999999</v>
      </c>
      <c r="E664" s="12">
        <f>19.7701 * CHOOSE( CONTROL!$C$15, $D$11, 100%, $F$11)</f>
        <v>19.770099999999999</v>
      </c>
      <c r="F664" s="4">
        <f>20.4224 * CHOOSE(CONTROL!$C$15, $D$11, 100%, $F$11)</f>
        <v>20.4224</v>
      </c>
      <c r="G664" s="8">
        <f>19.4398 * CHOOSE( CONTROL!$C$15, $D$11, 100%, $F$11)</f>
        <v>19.439800000000002</v>
      </c>
      <c r="H664" s="4">
        <f>20.3205 * CHOOSE(CONTROL!$C$15, $D$11, 100%, $F$11)</f>
        <v>20.320499999999999</v>
      </c>
      <c r="I664" s="8">
        <f>19.2128 * CHOOSE(CONTROL!$C$15, $D$11, 100%, $F$11)</f>
        <v>19.212800000000001</v>
      </c>
      <c r="J664" s="4">
        <f>19.0926 * CHOOSE(CONTROL!$C$15, $D$11, 100%, $F$11)</f>
        <v>19.092600000000001</v>
      </c>
      <c r="K664" s="4"/>
      <c r="L664" s="9">
        <v>27.3993</v>
      </c>
      <c r="M664" s="9">
        <v>12.063700000000001</v>
      </c>
      <c r="N664" s="9">
        <v>4.9444999999999997</v>
      </c>
      <c r="O664" s="9">
        <v>0.37459999999999999</v>
      </c>
      <c r="P664" s="9">
        <v>1.2939000000000001</v>
      </c>
      <c r="Q664" s="9">
        <v>19.688099999999999</v>
      </c>
      <c r="R664" s="9"/>
      <c r="S664" s="11"/>
    </row>
    <row r="665" spans="1:19" ht="15.75">
      <c r="A665" s="13">
        <v>62124</v>
      </c>
      <c r="B665" s="8">
        <f>20.5226 * CHOOSE(CONTROL!$C$15, $D$11, 100%, $F$11)</f>
        <v>20.522600000000001</v>
      </c>
      <c r="C665" s="8">
        <f>20.533 * CHOOSE(CONTROL!$C$15, $D$11, 100%, $F$11)</f>
        <v>20.533000000000001</v>
      </c>
      <c r="D665" s="8">
        <f>20.5314 * CHOOSE( CONTROL!$C$15, $D$11, 100%, $F$11)</f>
        <v>20.531400000000001</v>
      </c>
      <c r="E665" s="12">
        <f>20.5309 * CHOOSE( CONTROL!$C$15, $D$11, 100%, $F$11)</f>
        <v>20.530899999999999</v>
      </c>
      <c r="F665" s="4">
        <f>21.2053 * CHOOSE(CONTROL!$C$15, $D$11, 100%, $F$11)</f>
        <v>21.205300000000001</v>
      </c>
      <c r="G665" s="8">
        <f>20.1924 * CHOOSE( CONTROL!$C$15, $D$11, 100%, $F$11)</f>
        <v>20.192399999999999</v>
      </c>
      <c r="H665" s="4">
        <f>21.0908 * CHOOSE(CONTROL!$C$15, $D$11, 100%, $F$11)</f>
        <v>21.090800000000002</v>
      </c>
      <c r="I665" s="8">
        <f>19.9408 * CHOOSE(CONTROL!$C$15, $D$11, 100%, $F$11)</f>
        <v>19.940799999999999</v>
      </c>
      <c r="J665" s="4">
        <f>19.8223 * CHOOSE(CONTROL!$C$15, $D$11, 100%, $F$11)</f>
        <v>19.822299999999998</v>
      </c>
      <c r="K665" s="4"/>
      <c r="L665" s="9">
        <v>27.3993</v>
      </c>
      <c r="M665" s="9">
        <v>12.063700000000001</v>
      </c>
      <c r="N665" s="9">
        <v>4.9444999999999997</v>
      </c>
      <c r="O665" s="9">
        <v>0.37459999999999999</v>
      </c>
      <c r="P665" s="9">
        <v>1.2939000000000001</v>
      </c>
      <c r="Q665" s="9">
        <v>19.688099999999999</v>
      </c>
      <c r="R665" s="9"/>
      <c r="S665" s="11"/>
    </row>
    <row r="666" spans="1:19" ht="15.75">
      <c r="A666" s="13">
        <v>62152</v>
      </c>
      <c r="B666" s="8">
        <f>19.1976 * CHOOSE(CONTROL!$C$15, $D$11, 100%, $F$11)</f>
        <v>19.197600000000001</v>
      </c>
      <c r="C666" s="8">
        <f>19.2079 * CHOOSE(CONTROL!$C$15, $D$11, 100%, $F$11)</f>
        <v>19.207899999999999</v>
      </c>
      <c r="D666" s="8">
        <f>19.2084 * CHOOSE( CONTROL!$C$15, $D$11, 100%, $F$11)</f>
        <v>19.208400000000001</v>
      </c>
      <c r="E666" s="12">
        <f>19.2071 * CHOOSE( CONTROL!$C$15, $D$11, 100%, $F$11)</f>
        <v>19.207100000000001</v>
      </c>
      <c r="F666" s="4">
        <f>19.8725 * CHOOSE(CONTROL!$C$15, $D$11, 100%, $F$11)</f>
        <v>19.872499999999999</v>
      </c>
      <c r="G666" s="8">
        <f>18.8885 * CHOOSE( CONTROL!$C$15, $D$11, 100%, $F$11)</f>
        <v>18.888500000000001</v>
      </c>
      <c r="H666" s="4">
        <f>19.7796 * CHOOSE(CONTROL!$C$15, $D$11, 100%, $F$11)</f>
        <v>19.779599999999999</v>
      </c>
      <c r="I666" s="8">
        <f>18.6478 * CHOOSE(CONTROL!$C$15, $D$11, 100%, $F$11)</f>
        <v>18.6478</v>
      </c>
      <c r="J666" s="4">
        <f>18.5409 * CHOOSE(CONTROL!$C$15, $D$11, 100%, $F$11)</f>
        <v>18.540900000000001</v>
      </c>
      <c r="K666" s="4"/>
      <c r="L666" s="9">
        <v>24.747800000000002</v>
      </c>
      <c r="M666" s="9">
        <v>10.8962</v>
      </c>
      <c r="N666" s="9">
        <v>4.4660000000000002</v>
      </c>
      <c r="O666" s="9">
        <v>0.33829999999999999</v>
      </c>
      <c r="P666" s="9">
        <v>1.1687000000000001</v>
      </c>
      <c r="Q666" s="9">
        <v>17.782800000000002</v>
      </c>
      <c r="R666" s="9"/>
      <c r="S666" s="11"/>
    </row>
    <row r="667" spans="1:19" ht="15.75">
      <c r="A667" s="13">
        <v>62183</v>
      </c>
      <c r="B667" s="8">
        <f>18.7894 * CHOOSE(CONTROL!$C$15, $D$11, 100%, $F$11)</f>
        <v>18.789400000000001</v>
      </c>
      <c r="C667" s="8">
        <f>18.7998 * CHOOSE(CONTROL!$C$15, $D$11, 100%, $F$11)</f>
        <v>18.799800000000001</v>
      </c>
      <c r="D667" s="8">
        <f>18.7799 * CHOOSE( CONTROL!$C$15, $D$11, 100%, $F$11)</f>
        <v>18.779900000000001</v>
      </c>
      <c r="E667" s="12">
        <f>18.7861 * CHOOSE( CONTROL!$C$15, $D$11, 100%, $F$11)</f>
        <v>18.786100000000001</v>
      </c>
      <c r="F667" s="4">
        <f>19.4483 * CHOOSE(CONTROL!$C$15, $D$11, 100%, $F$11)</f>
        <v>19.4483</v>
      </c>
      <c r="G667" s="8">
        <f>18.4663 * CHOOSE( CONTROL!$C$15, $D$11, 100%, $F$11)</f>
        <v>18.4663</v>
      </c>
      <c r="H667" s="4">
        <f>19.3623 * CHOOSE(CONTROL!$C$15, $D$11, 100%, $F$11)</f>
        <v>19.362300000000001</v>
      </c>
      <c r="I667" s="8">
        <f>18.2134 * CHOOSE(CONTROL!$C$15, $D$11, 100%, $F$11)</f>
        <v>18.2134</v>
      </c>
      <c r="J667" s="4">
        <f>18.1462 * CHOOSE(CONTROL!$C$15, $D$11, 100%, $F$11)</f>
        <v>18.1462</v>
      </c>
      <c r="K667" s="4"/>
      <c r="L667" s="9">
        <v>27.3993</v>
      </c>
      <c r="M667" s="9">
        <v>12.063700000000001</v>
      </c>
      <c r="N667" s="9">
        <v>4.9444999999999997</v>
      </c>
      <c r="O667" s="9">
        <v>0.37459999999999999</v>
      </c>
      <c r="P667" s="9">
        <v>1.2939000000000001</v>
      </c>
      <c r="Q667" s="9">
        <v>19.688099999999999</v>
      </c>
      <c r="R667" s="9"/>
      <c r="S667" s="11"/>
    </row>
    <row r="668" spans="1:19" ht="15.75">
      <c r="A668" s="13">
        <v>62213</v>
      </c>
      <c r="B668" s="8">
        <f>19.0746 * CHOOSE(CONTROL!$C$15, $D$11, 100%, $F$11)</f>
        <v>19.0746</v>
      </c>
      <c r="C668" s="8">
        <f>19.085 * CHOOSE(CONTROL!$C$15, $D$11, 100%, $F$11)</f>
        <v>19.085000000000001</v>
      </c>
      <c r="D668" s="8">
        <f>19.0765 * CHOOSE( CONTROL!$C$15, $D$11, 100%, $F$11)</f>
        <v>19.076499999999999</v>
      </c>
      <c r="E668" s="12">
        <f>19.0781 * CHOOSE( CONTROL!$C$15, $D$11, 100%, $F$11)</f>
        <v>19.078099999999999</v>
      </c>
      <c r="F668" s="4">
        <f>19.7237 * CHOOSE(CONTROL!$C$15, $D$11, 100%, $F$11)</f>
        <v>19.723700000000001</v>
      </c>
      <c r="G668" s="8">
        <f>18.7317 * CHOOSE( CONTROL!$C$15, $D$11, 100%, $F$11)</f>
        <v>18.7317</v>
      </c>
      <c r="H668" s="4">
        <f>19.6332 * CHOOSE(CONTROL!$C$15, $D$11, 100%, $F$11)</f>
        <v>19.633199999999999</v>
      </c>
      <c r="I668" s="8">
        <f>18.4861 * CHOOSE(CONTROL!$C$15, $D$11, 100%, $F$11)</f>
        <v>18.4861</v>
      </c>
      <c r="J668" s="4">
        <f>18.422 * CHOOSE(CONTROL!$C$15, $D$11, 100%, $F$11)</f>
        <v>18.422000000000001</v>
      </c>
      <c r="K668" s="4"/>
      <c r="L668" s="9">
        <v>27.988800000000001</v>
      </c>
      <c r="M668" s="9">
        <v>11.6745</v>
      </c>
      <c r="N668" s="9">
        <v>4.7850000000000001</v>
      </c>
      <c r="O668" s="9">
        <v>0.36249999999999999</v>
      </c>
      <c r="P668" s="9">
        <v>1.1798</v>
      </c>
      <c r="Q668" s="9">
        <v>19.053000000000001</v>
      </c>
      <c r="R668" s="9"/>
      <c r="S668" s="11"/>
    </row>
    <row r="669" spans="1:19" ht="15.75">
      <c r="A669" s="13">
        <v>62244</v>
      </c>
      <c r="B669" s="8">
        <f>CHOOSE( CONTROL!$C$32, 19.5867, 19.5822) * CHOOSE(CONTROL!$C$15, $D$11, 100%, $F$11)</f>
        <v>19.5867</v>
      </c>
      <c r="C669" s="8">
        <f>CHOOSE( CONTROL!$C$32, 19.597, 19.5925) * CHOOSE(CONTROL!$C$15, $D$11, 100%, $F$11)</f>
        <v>19.597000000000001</v>
      </c>
      <c r="D669" s="8">
        <f>CHOOSE( CONTROL!$C$32, 19.6067, 19.6022) * CHOOSE( CONTROL!$C$15, $D$11, 100%, $F$11)</f>
        <v>19.6067</v>
      </c>
      <c r="E669" s="12">
        <f>CHOOSE( CONTROL!$C$32, 19.6016, 19.5971) * CHOOSE( CONTROL!$C$15, $D$11, 100%, $F$11)</f>
        <v>19.601600000000001</v>
      </c>
      <c r="F669" s="4">
        <f>CHOOSE( CONTROL!$C$32, 20.275, 20.2705) * CHOOSE(CONTROL!$C$15, $D$11, 100%, $F$11)</f>
        <v>20.274999999999999</v>
      </c>
      <c r="G669" s="8">
        <f>CHOOSE( CONTROL!$C$32, 19.2405, 19.2361) * CHOOSE( CONTROL!$C$15, $D$11, 100%, $F$11)</f>
        <v>19.240500000000001</v>
      </c>
      <c r="H669" s="4">
        <f>CHOOSE( CONTROL!$C$32, 20.1756, 20.1711) * CHOOSE(CONTROL!$C$15, $D$11, 100%, $F$11)</f>
        <v>20.175599999999999</v>
      </c>
      <c r="I669" s="8">
        <f>CHOOSE( CONTROL!$C$32, 18.9875, 18.9831) * CHOOSE(CONTROL!$C$15, $D$11, 100%, $F$11)</f>
        <v>18.987500000000001</v>
      </c>
      <c r="J669" s="4">
        <f>CHOOSE( CONTROL!$C$32, 18.9172, 18.9128) * CHOOSE(CONTROL!$C$15, $D$11, 100%, $F$11)</f>
        <v>18.917200000000001</v>
      </c>
      <c r="K669" s="4"/>
      <c r="L669" s="9">
        <v>29.520499999999998</v>
      </c>
      <c r="M669" s="9">
        <v>12.063700000000001</v>
      </c>
      <c r="N669" s="9">
        <v>4.9444999999999997</v>
      </c>
      <c r="O669" s="9">
        <v>0.37459999999999999</v>
      </c>
      <c r="P669" s="9">
        <v>1.2192000000000001</v>
      </c>
      <c r="Q669" s="9">
        <v>19.688099999999999</v>
      </c>
      <c r="R669" s="9"/>
      <c r="S669" s="11"/>
    </row>
    <row r="670" spans="1:19" ht="15.75">
      <c r="A670" s="13">
        <v>62274</v>
      </c>
      <c r="B670" s="8">
        <f>CHOOSE( CONTROL!$C$32, 19.2723, 19.2678) * CHOOSE(CONTROL!$C$15, $D$11, 100%, $F$11)</f>
        <v>19.272300000000001</v>
      </c>
      <c r="C670" s="8">
        <f>CHOOSE( CONTROL!$C$32, 19.2826, 19.2781) * CHOOSE(CONTROL!$C$15, $D$11, 100%, $F$11)</f>
        <v>19.282599999999999</v>
      </c>
      <c r="D670" s="8">
        <f>CHOOSE( CONTROL!$C$32, 19.2929, 19.2884) * CHOOSE( CONTROL!$C$15, $D$11, 100%, $F$11)</f>
        <v>19.292899999999999</v>
      </c>
      <c r="E670" s="12">
        <f>CHOOSE( CONTROL!$C$32, 19.2876, 19.2831) * CHOOSE( CONTROL!$C$15, $D$11, 100%, $F$11)</f>
        <v>19.287600000000001</v>
      </c>
      <c r="F670" s="4">
        <f>CHOOSE( CONTROL!$C$32, 19.9606, 19.9561) * CHOOSE(CONTROL!$C$15, $D$11, 100%, $F$11)</f>
        <v>19.960599999999999</v>
      </c>
      <c r="G670" s="8">
        <f>CHOOSE( CONTROL!$C$32, 18.9321, 18.9277) * CHOOSE( CONTROL!$C$15, $D$11, 100%, $F$11)</f>
        <v>18.932099999999998</v>
      </c>
      <c r="H670" s="4">
        <f>CHOOSE( CONTROL!$C$32, 19.8662, 19.8618) * CHOOSE(CONTROL!$C$15, $D$11, 100%, $F$11)</f>
        <v>19.866199999999999</v>
      </c>
      <c r="I670" s="8">
        <f>CHOOSE( CONTROL!$C$32, 18.6862, 18.6818) * CHOOSE(CONTROL!$C$15, $D$11, 100%, $F$11)</f>
        <v>18.686199999999999</v>
      </c>
      <c r="J670" s="4">
        <f>CHOOSE( CONTROL!$C$32, 18.6131, 18.6088) * CHOOSE(CONTROL!$C$15, $D$11, 100%, $F$11)</f>
        <v>18.613099999999999</v>
      </c>
      <c r="K670" s="4"/>
      <c r="L670" s="9">
        <v>28.568200000000001</v>
      </c>
      <c r="M670" s="9">
        <v>11.6745</v>
      </c>
      <c r="N670" s="9">
        <v>4.7850000000000001</v>
      </c>
      <c r="O670" s="9">
        <v>0.36249999999999999</v>
      </c>
      <c r="P670" s="9">
        <v>1.1798</v>
      </c>
      <c r="Q670" s="9">
        <v>19.053000000000001</v>
      </c>
      <c r="R670" s="9"/>
      <c r="S670" s="11"/>
    </row>
    <row r="671" spans="1:19" ht="15.75">
      <c r="A671" s="13">
        <v>62305</v>
      </c>
      <c r="B671" s="8">
        <f>CHOOSE( CONTROL!$C$32, 20.1003, 20.0957) * CHOOSE(CONTROL!$C$15, $D$11, 100%, $F$11)</f>
        <v>20.100300000000001</v>
      </c>
      <c r="C671" s="8">
        <f>CHOOSE( CONTROL!$C$32, 20.1106, 20.1061) * CHOOSE(CONTROL!$C$15, $D$11, 100%, $F$11)</f>
        <v>20.110600000000002</v>
      </c>
      <c r="D671" s="8">
        <f>CHOOSE( CONTROL!$C$32, 20.1215, 20.117) * CHOOSE( CONTROL!$C$15, $D$11, 100%, $F$11)</f>
        <v>20.121500000000001</v>
      </c>
      <c r="E671" s="12">
        <f>CHOOSE( CONTROL!$C$32, 20.116, 20.1115) * CHOOSE( CONTROL!$C$15, $D$11, 100%, $F$11)</f>
        <v>20.116</v>
      </c>
      <c r="F671" s="4">
        <f>CHOOSE( CONTROL!$C$32, 20.7886, 20.784) * CHOOSE(CONTROL!$C$15, $D$11, 100%, $F$11)</f>
        <v>20.788599999999999</v>
      </c>
      <c r="G671" s="8">
        <f>CHOOSE( CONTROL!$C$32, 19.7476, 19.7431) * CHOOSE( CONTROL!$C$15, $D$11, 100%, $F$11)</f>
        <v>19.747599999999998</v>
      </c>
      <c r="H671" s="4">
        <f>CHOOSE( CONTROL!$C$32, 20.6808, 20.6764) * CHOOSE(CONTROL!$C$15, $D$11, 100%, $F$11)</f>
        <v>20.680800000000001</v>
      </c>
      <c r="I671" s="8">
        <f>CHOOSE( CONTROL!$C$32, 19.4901, 19.4857) * CHOOSE(CONTROL!$C$15, $D$11, 100%, $F$11)</f>
        <v>19.490100000000002</v>
      </c>
      <c r="J671" s="4">
        <f>CHOOSE( CONTROL!$C$32, 19.4139, 19.4095) * CHOOSE(CONTROL!$C$15, $D$11, 100%, $F$11)</f>
        <v>19.413900000000002</v>
      </c>
      <c r="K671" s="4"/>
      <c r="L671" s="9">
        <v>29.520499999999998</v>
      </c>
      <c r="M671" s="9">
        <v>12.063700000000001</v>
      </c>
      <c r="N671" s="9">
        <v>4.9444999999999997</v>
      </c>
      <c r="O671" s="9">
        <v>0.37459999999999999</v>
      </c>
      <c r="P671" s="9">
        <v>1.2192000000000001</v>
      </c>
      <c r="Q671" s="9">
        <v>19.688099999999999</v>
      </c>
      <c r="R671" s="9"/>
      <c r="S671" s="11"/>
    </row>
    <row r="672" spans="1:19" ht="15.75">
      <c r="A672" s="13">
        <v>62336</v>
      </c>
      <c r="B672" s="8">
        <f>CHOOSE( CONTROL!$C$32, 18.551, 18.5465) * CHOOSE(CONTROL!$C$15, $D$11, 100%, $F$11)</f>
        <v>18.550999999999998</v>
      </c>
      <c r="C672" s="8">
        <f>CHOOSE( CONTROL!$C$32, 18.5614, 18.5568) * CHOOSE(CONTROL!$C$15, $D$11, 100%, $F$11)</f>
        <v>18.561399999999999</v>
      </c>
      <c r="D672" s="8">
        <f>CHOOSE( CONTROL!$C$32, 18.5725, 18.568) * CHOOSE( CONTROL!$C$15, $D$11, 100%, $F$11)</f>
        <v>18.572500000000002</v>
      </c>
      <c r="E672" s="12">
        <f>CHOOSE( CONTROL!$C$32, 18.5669, 18.5624) * CHOOSE( CONTROL!$C$15, $D$11, 100%, $F$11)</f>
        <v>18.5669</v>
      </c>
      <c r="F672" s="4">
        <f>CHOOSE( CONTROL!$C$32, 19.2393, 19.2348) * CHOOSE(CONTROL!$C$15, $D$11, 100%, $F$11)</f>
        <v>19.2393</v>
      </c>
      <c r="G672" s="8">
        <f>CHOOSE( CONTROL!$C$32, 18.2238, 18.2194) * CHOOSE( CONTROL!$C$15, $D$11, 100%, $F$11)</f>
        <v>18.223800000000001</v>
      </c>
      <c r="H672" s="4">
        <f>CHOOSE( CONTROL!$C$32, 19.1566, 19.1522) * CHOOSE(CONTROL!$C$15, $D$11, 100%, $F$11)</f>
        <v>19.156600000000001</v>
      </c>
      <c r="I672" s="8">
        <f>CHOOSE( CONTROL!$C$32, 17.9925, 17.9881) * CHOOSE(CONTROL!$C$15, $D$11, 100%, $F$11)</f>
        <v>17.9925</v>
      </c>
      <c r="J672" s="4">
        <f>CHOOSE( CONTROL!$C$32, 17.9156, 17.9112) * CHOOSE(CONTROL!$C$15, $D$11, 100%, $F$11)</f>
        <v>17.915600000000001</v>
      </c>
      <c r="K672" s="4"/>
      <c r="L672" s="9">
        <v>29.520499999999998</v>
      </c>
      <c r="M672" s="9">
        <v>12.063700000000001</v>
      </c>
      <c r="N672" s="9">
        <v>4.9444999999999997</v>
      </c>
      <c r="O672" s="9">
        <v>0.37459999999999999</v>
      </c>
      <c r="P672" s="9">
        <v>1.2192000000000001</v>
      </c>
      <c r="Q672" s="9">
        <v>19.688099999999999</v>
      </c>
      <c r="R672" s="9"/>
      <c r="S672" s="11"/>
    </row>
    <row r="673" spans="1:19" ht="15.75">
      <c r="A673" s="13">
        <v>62366</v>
      </c>
      <c r="B673" s="8">
        <f>CHOOSE( CONTROL!$C$32, 18.1631, 18.1586) * CHOOSE(CONTROL!$C$15, $D$11, 100%, $F$11)</f>
        <v>18.1631</v>
      </c>
      <c r="C673" s="8">
        <f>CHOOSE( CONTROL!$C$32, 18.1734, 18.1689) * CHOOSE(CONTROL!$C$15, $D$11, 100%, $F$11)</f>
        <v>18.173400000000001</v>
      </c>
      <c r="D673" s="8">
        <f>CHOOSE( CONTROL!$C$32, 18.1847, 18.1802) * CHOOSE( CONTROL!$C$15, $D$11, 100%, $F$11)</f>
        <v>18.184699999999999</v>
      </c>
      <c r="E673" s="12">
        <f>CHOOSE( CONTROL!$C$32, 18.179, 18.1745) * CHOOSE( CONTROL!$C$15, $D$11, 100%, $F$11)</f>
        <v>18.178999999999998</v>
      </c>
      <c r="F673" s="4">
        <f>CHOOSE( CONTROL!$C$32, 18.8514, 18.8469) * CHOOSE(CONTROL!$C$15, $D$11, 100%, $F$11)</f>
        <v>18.851400000000002</v>
      </c>
      <c r="G673" s="8">
        <f>CHOOSE( CONTROL!$C$32, 17.8423, 17.8378) * CHOOSE( CONTROL!$C$15, $D$11, 100%, $F$11)</f>
        <v>17.842300000000002</v>
      </c>
      <c r="H673" s="4">
        <f>CHOOSE( CONTROL!$C$32, 18.775, 18.7705) * CHOOSE(CONTROL!$C$15, $D$11, 100%, $F$11)</f>
        <v>18.774999999999999</v>
      </c>
      <c r="I673" s="8">
        <f>CHOOSE( CONTROL!$C$32, 17.6175, 17.6131) * CHOOSE(CONTROL!$C$15, $D$11, 100%, $F$11)</f>
        <v>17.6175</v>
      </c>
      <c r="J673" s="4">
        <f>CHOOSE( CONTROL!$C$32, 17.5404, 17.536) * CHOOSE(CONTROL!$C$15, $D$11, 100%, $F$11)</f>
        <v>17.540400000000002</v>
      </c>
      <c r="K673" s="4"/>
      <c r="L673" s="9">
        <v>28.568200000000001</v>
      </c>
      <c r="M673" s="9">
        <v>11.6745</v>
      </c>
      <c r="N673" s="9">
        <v>4.7850000000000001</v>
      </c>
      <c r="O673" s="9">
        <v>0.36249999999999999</v>
      </c>
      <c r="P673" s="9">
        <v>1.1798</v>
      </c>
      <c r="Q673" s="9">
        <v>19.053000000000001</v>
      </c>
      <c r="R673" s="9"/>
      <c r="S673" s="11"/>
    </row>
    <row r="674" spans="1:19" ht="15.75">
      <c r="A674" s="13">
        <v>62397</v>
      </c>
      <c r="B674" s="8">
        <f>18.9641 * CHOOSE(CONTROL!$C$15, $D$11, 100%, $F$11)</f>
        <v>18.964099999999998</v>
      </c>
      <c r="C674" s="8">
        <f>18.9744 * CHOOSE(CONTROL!$C$15, $D$11, 100%, $F$11)</f>
        <v>18.974399999999999</v>
      </c>
      <c r="D674" s="8">
        <f>18.9868 * CHOOSE( CONTROL!$C$15, $D$11, 100%, $F$11)</f>
        <v>18.986799999999999</v>
      </c>
      <c r="E674" s="12">
        <f>18.9816 * CHOOSE( CONTROL!$C$15, $D$11, 100%, $F$11)</f>
        <v>18.9816</v>
      </c>
      <c r="F674" s="4">
        <f>19.6524 * CHOOSE(CONTROL!$C$15, $D$11, 100%, $F$11)</f>
        <v>19.6524</v>
      </c>
      <c r="G674" s="8">
        <f>18.6298 * CHOOSE( CONTROL!$C$15, $D$11, 100%, $F$11)</f>
        <v>18.629799999999999</v>
      </c>
      <c r="H674" s="4">
        <f>19.563 * CHOOSE(CONTROL!$C$15, $D$11, 100%, $F$11)</f>
        <v>19.562999999999999</v>
      </c>
      <c r="I674" s="8">
        <f>18.3938 * CHOOSE(CONTROL!$C$15, $D$11, 100%, $F$11)</f>
        <v>18.393799999999999</v>
      </c>
      <c r="J674" s="4">
        <f>18.315 * CHOOSE(CONTROL!$C$15, $D$11, 100%, $F$11)</f>
        <v>18.315000000000001</v>
      </c>
      <c r="K674" s="4"/>
      <c r="L674" s="9">
        <v>28.921800000000001</v>
      </c>
      <c r="M674" s="9">
        <v>12.063700000000001</v>
      </c>
      <c r="N674" s="9">
        <v>4.9444999999999997</v>
      </c>
      <c r="O674" s="9">
        <v>0.37459999999999999</v>
      </c>
      <c r="P674" s="9">
        <v>1.2192000000000001</v>
      </c>
      <c r="Q674" s="9">
        <v>19.688099999999999</v>
      </c>
      <c r="R674" s="9"/>
      <c r="S674" s="11"/>
    </row>
    <row r="675" spans="1:19" ht="15.75">
      <c r="A675" s="13">
        <v>62427</v>
      </c>
      <c r="B675" s="8">
        <f>20.4509 * CHOOSE(CONTROL!$C$15, $D$11, 100%, $F$11)</f>
        <v>20.450900000000001</v>
      </c>
      <c r="C675" s="8">
        <f>20.4612 * CHOOSE(CONTROL!$C$15, $D$11, 100%, $F$11)</f>
        <v>20.461200000000002</v>
      </c>
      <c r="D675" s="8">
        <f>20.4473 * CHOOSE( CONTROL!$C$15, $D$11, 100%, $F$11)</f>
        <v>20.447299999999998</v>
      </c>
      <c r="E675" s="12">
        <f>20.4513 * CHOOSE( CONTROL!$C$15, $D$11, 100%, $F$11)</f>
        <v>20.4513</v>
      </c>
      <c r="F675" s="4">
        <f>21.1051 * CHOOSE(CONTROL!$C$15, $D$11, 100%, $F$11)</f>
        <v>21.1051</v>
      </c>
      <c r="G675" s="8">
        <f>20.1097 * CHOOSE( CONTROL!$C$15, $D$11, 100%, $F$11)</f>
        <v>20.1097</v>
      </c>
      <c r="H675" s="4">
        <f>20.9923 * CHOOSE(CONTROL!$C$15, $D$11, 100%, $F$11)</f>
        <v>20.9923</v>
      </c>
      <c r="I675" s="8">
        <f>19.8655 * CHOOSE(CONTROL!$C$15, $D$11, 100%, $F$11)</f>
        <v>19.865500000000001</v>
      </c>
      <c r="J675" s="4">
        <f>19.7529 * CHOOSE(CONTROL!$C$15, $D$11, 100%, $F$11)</f>
        <v>19.7529</v>
      </c>
      <c r="K675" s="4"/>
      <c r="L675" s="9">
        <v>26.515499999999999</v>
      </c>
      <c r="M675" s="9">
        <v>11.6745</v>
      </c>
      <c r="N675" s="9">
        <v>4.7850000000000001</v>
      </c>
      <c r="O675" s="9">
        <v>0.36249999999999999</v>
      </c>
      <c r="P675" s="9">
        <v>1.2522</v>
      </c>
      <c r="Q675" s="9">
        <v>19.053000000000001</v>
      </c>
      <c r="R675" s="9"/>
      <c r="S675" s="11"/>
    </row>
    <row r="676" spans="1:19" ht="15.75">
      <c r="A676" s="13">
        <v>62458</v>
      </c>
      <c r="B676" s="8">
        <f>20.4137 * CHOOSE(CONTROL!$C$15, $D$11, 100%, $F$11)</f>
        <v>20.413699999999999</v>
      </c>
      <c r="C676" s="8">
        <f>20.4241 * CHOOSE(CONTROL!$C$15, $D$11, 100%, $F$11)</f>
        <v>20.424099999999999</v>
      </c>
      <c r="D676" s="8">
        <f>20.4126 * CHOOSE( CONTROL!$C$15, $D$11, 100%, $F$11)</f>
        <v>20.412600000000001</v>
      </c>
      <c r="E676" s="12">
        <f>20.4157 * CHOOSE( CONTROL!$C$15, $D$11, 100%, $F$11)</f>
        <v>20.415700000000001</v>
      </c>
      <c r="F676" s="4">
        <f>21.068 * CHOOSE(CONTROL!$C$15, $D$11, 100%, $F$11)</f>
        <v>21.068000000000001</v>
      </c>
      <c r="G676" s="8">
        <f>20.075 * CHOOSE( CONTROL!$C$15, $D$11, 100%, $F$11)</f>
        <v>20.074999999999999</v>
      </c>
      <c r="H676" s="4">
        <f>20.9557 * CHOOSE(CONTROL!$C$15, $D$11, 100%, $F$11)</f>
        <v>20.9557</v>
      </c>
      <c r="I676" s="8">
        <f>19.8375 * CHOOSE(CONTROL!$C$15, $D$11, 100%, $F$11)</f>
        <v>19.837499999999999</v>
      </c>
      <c r="J676" s="4">
        <f>19.717 * CHOOSE(CONTROL!$C$15, $D$11, 100%, $F$11)</f>
        <v>19.716999999999999</v>
      </c>
      <c r="K676" s="4"/>
      <c r="L676" s="9">
        <v>27.3993</v>
      </c>
      <c r="M676" s="9">
        <v>12.063700000000001</v>
      </c>
      <c r="N676" s="9">
        <v>4.9444999999999997</v>
      </c>
      <c r="O676" s="9">
        <v>0.37459999999999999</v>
      </c>
      <c r="P676" s="9">
        <v>1.2939000000000001</v>
      </c>
      <c r="Q676" s="9">
        <v>19.688099999999999</v>
      </c>
      <c r="R676" s="9"/>
      <c r="S676" s="11"/>
    </row>
    <row r="677" spans="1:19" ht="15.75">
      <c r="A677" s="13">
        <v>62489</v>
      </c>
      <c r="B677" s="8">
        <f>21.193 * CHOOSE(CONTROL!$C$15, $D$11, 100%, $F$11)</f>
        <v>21.193000000000001</v>
      </c>
      <c r="C677" s="8">
        <f>21.2033 * CHOOSE(CONTROL!$C$15, $D$11, 100%, $F$11)</f>
        <v>21.203299999999999</v>
      </c>
      <c r="D677" s="8">
        <f>21.2017 * CHOOSE( CONTROL!$C$15, $D$11, 100%, $F$11)</f>
        <v>21.201699999999999</v>
      </c>
      <c r="E677" s="12">
        <f>21.2012 * CHOOSE( CONTROL!$C$15, $D$11, 100%, $F$11)</f>
        <v>21.2012</v>
      </c>
      <c r="F677" s="4">
        <f>21.8756 * CHOOSE(CONTROL!$C$15, $D$11, 100%, $F$11)</f>
        <v>21.875599999999999</v>
      </c>
      <c r="G677" s="8">
        <f>20.8519 * CHOOSE( CONTROL!$C$15, $D$11, 100%, $F$11)</f>
        <v>20.851900000000001</v>
      </c>
      <c r="H677" s="4">
        <f>21.7503 * CHOOSE(CONTROL!$C$15, $D$11, 100%, $F$11)</f>
        <v>21.750299999999999</v>
      </c>
      <c r="I677" s="8">
        <f>20.5894 * CHOOSE(CONTROL!$C$15, $D$11, 100%, $F$11)</f>
        <v>20.589400000000001</v>
      </c>
      <c r="J677" s="4">
        <f>20.4706 * CHOOSE(CONTROL!$C$15, $D$11, 100%, $F$11)</f>
        <v>20.470600000000001</v>
      </c>
      <c r="K677" s="4"/>
      <c r="L677" s="9">
        <v>27.3993</v>
      </c>
      <c r="M677" s="9">
        <v>12.063700000000001</v>
      </c>
      <c r="N677" s="9">
        <v>4.9444999999999997</v>
      </c>
      <c r="O677" s="9">
        <v>0.37459999999999999</v>
      </c>
      <c r="P677" s="9">
        <v>1.2939000000000001</v>
      </c>
      <c r="Q677" s="9">
        <v>19.688099999999999</v>
      </c>
      <c r="R677" s="9"/>
      <c r="S677" s="11"/>
    </row>
    <row r="678" spans="1:19" ht="15.75">
      <c r="A678" s="13">
        <v>62517</v>
      </c>
      <c r="B678" s="8">
        <f>19.8245 * CHOOSE(CONTROL!$C$15, $D$11, 100%, $F$11)</f>
        <v>19.8245</v>
      </c>
      <c r="C678" s="8">
        <f>19.8349 * CHOOSE(CONTROL!$C$15, $D$11, 100%, $F$11)</f>
        <v>19.834900000000001</v>
      </c>
      <c r="D678" s="8">
        <f>19.8354 * CHOOSE( CONTROL!$C$15, $D$11, 100%, $F$11)</f>
        <v>19.8354</v>
      </c>
      <c r="E678" s="12">
        <f>19.8341 * CHOOSE( CONTROL!$C$15, $D$11, 100%, $F$11)</f>
        <v>19.834099999999999</v>
      </c>
      <c r="F678" s="4">
        <f>20.4995 * CHOOSE(CONTROL!$C$15, $D$11, 100%, $F$11)</f>
        <v>20.499500000000001</v>
      </c>
      <c r="G678" s="8">
        <f>19.5054 * CHOOSE( CONTROL!$C$15, $D$11, 100%, $F$11)</f>
        <v>19.505400000000002</v>
      </c>
      <c r="H678" s="4">
        <f>20.3964 * CHOOSE(CONTROL!$C$15, $D$11, 100%, $F$11)</f>
        <v>20.3964</v>
      </c>
      <c r="I678" s="8">
        <f>19.2544 * CHOOSE(CONTROL!$C$15, $D$11, 100%, $F$11)</f>
        <v>19.2544</v>
      </c>
      <c r="J678" s="4">
        <f>19.1472 * CHOOSE(CONTROL!$C$15, $D$11, 100%, $F$11)</f>
        <v>19.147200000000002</v>
      </c>
      <c r="K678" s="4"/>
      <c r="L678" s="9">
        <v>24.747800000000002</v>
      </c>
      <c r="M678" s="9">
        <v>10.8962</v>
      </c>
      <c r="N678" s="9">
        <v>4.4660000000000002</v>
      </c>
      <c r="O678" s="9">
        <v>0.33829999999999999</v>
      </c>
      <c r="P678" s="9">
        <v>1.1687000000000001</v>
      </c>
      <c r="Q678" s="9">
        <v>17.782800000000002</v>
      </c>
      <c r="R678" s="9"/>
      <c r="S678" s="11"/>
    </row>
    <row r="679" spans="1:19" ht="15.75">
      <c r="A679" s="13">
        <v>62548</v>
      </c>
      <c r="B679" s="8">
        <f>19.4031 * CHOOSE(CONTROL!$C$15, $D$11, 100%, $F$11)</f>
        <v>19.403099999999998</v>
      </c>
      <c r="C679" s="8">
        <f>19.4134 * CHOOSE(CONTROL!$C$15, $D$11, 100%, $F$11)</f>
        <v>19.413399999999999</v>
      </c>
      <c r="D679" s="8">
        <f>19.3935 * CHOOSE( CONTROL!$C$15, $D$11, 100%, $F$11)</f>
        <v>19.3935</v>
      </c>
      <c r="E679" s="12">
        <f>19.3997 * CHOOSE( CONTROL!$C$15, $D$11, 100%, $F$11)</f>
        <v>19.399699999999999</v>
      </c>
      <c r="F679" s="4">
        <f>20.062 * CHOOSE(CONTROL!$C$15, $D$11, 100%, $F$11)</f>
        <v>20.062000000000001</v>
      </c>
      <c r="G679" s="8">
        <f>19.07 * CHOOSE( CONTROL!$C$15, $D$11, 100%, $F$11)</f>
        <v>19.07</v>
      </c>
      <c r="H679" s="4">
        <f>19.966 * CHOOSE(CONTROL!$C$15, $D$11, 100%, $F$11)</f>
        <v>19.966000000000001</v>
      </c>
      <c r="I679" s="8">
        <f>18.8071 * CHOOSE(CONTROL!$C$15, $D$11, 100%, $F$11)</f>
        <v>18.807099999999998</v>
      </c>
      <c r="J679" s="4">
        <f>18.7396 * CHOOSE(CONTROL!$C$15, $D$11, 100%, $F$11)</f>
        <v>18.739599999999999</v>
      </c>
      <c r="K679" s="4"/>
      <c r="L679" s="9">
        <v>27.3993</v>
      </c>
      <c r="M679" s="9">
        <v>12.063700000000001</v>
      </c>
      <c r="N679" s="9">
        <v>4.9444999999999997</v>
      </c>
      <c r="O679" s="9">
        <v>0.37459999999999999</v>
      </c>
      <c r="P679" s="9">
        <v>1.2939000000000001</v>
      </c>
      <c r="Q679" s="9">
        <v>19.688099999999999</v>
      </c>
      <c r="R679" s="9"/>
      <c r="S679" s="11"/>
    </row>
    <row r="680" spans="1:19" ht="15.75">
      <c r="A680" s="13">
        <v>62578</v>
      </c>
      <c r="B680" s="8">
        <f>19.6976 * CHOOSE(CONTROL!$C$15, $D$11, 100%, $F$11)</f>
        <v>19.697600000000001</v>
      </c>
      <c r="C680" s="8">
        <f>19.7079 * CHOOSE(CONTROL!$C$15, $D$11, 100%, $F$11)</f>
        <v>19.707899999999999</v>
      </c>
      <c r="D680" s="8">
        <f>19.6994 * CHOOSE( CONTROL!$C$15, $D$11, 100%, $F$11)</f>
        <v>19.699400000000001</v>
      </c>
      <c r="E680" s="12">
        <f>19.701 * CHOOSE( CONTROL!$C$15, $D$11, 100%, $F$11)</f>
        <v>19.701000000000001</v>
      </c>
      <c r="F680" s="4">
        <f>20.3467 * CHOOSE(CONTROL!$C$15, $D$11, 100%, $F$11)</f>
        <v>20.346699999999998</v>
      </c>
      <c r="G680" s="8">
        <f>19.3446 * CHOOSE( CONTROL!$C$15, $D$11, 100%, $F$11)</f>
        <v>19.3446</v>
      </c>
      <c r="H680" s="4">
        <f>20.2461 * CHOOSE(CONTROL!$C$15, $D$11, 100%, $F$11)</f>
        <v>20.246099999999998</v>
      </c>
      <c r="I680" s="8">
        <f>19.0889 * CHOOSE(CONTROL!$C$15, $D$11, 100%, $F$11)</f>
        <v>19.088899999999999</v>
      </c>
      <c r="J680" s="4">
        <f>19.0244 * CHOOSE(CONTROL!$C$15, $D$11, 100%, $F$11)</f>
        <v>19.0244</v>
      </c>
      <c r="K680" s="4"/>
      <c r="L680" s="9">
        <v>27.988800000000001</v>
      </c>
      <c r="M680" s="9">
        <v>11.6745</v>
      </c>
      <c r="N680" s="9">
        <v>4.7850000000000001</v>
      </c>
      <c r="O680" s="9">
        <v>0.36249999999999999</v>
      </c>
      <c r="P680" s="9">
        <v>1.1798</v>
      </c>
      <c r="Q680" s="9">
        <v>19.053000000000001</v>
      </c>
      <c r="R680" s="9"/>
      <c r="S680" s="11"/>
    </row>
    <row r="681" spans="1:19" ht="15.75">
      <c r="A681" s="13">
        <v>62609</v>
      </c>
      <c r="B681" s="8">
        <f>CHOOSE( CONTROL!$C$32, 20.2263, 20.2217) * CHOOSE(CONTROL!$C$15, $D$11, 100%, $F$11)</f>
        <v>20.226299999999998</v>
      </c>
      <c r="C681" s="8">
        <f>CHOOSE( CONTROL!$C$32, 20.2366, 20.2321) * CHOOSE(CONTROL!$C$15, $D$11, 100%, $F$11)</f>
        <v>20.236599999999999</v>
      </c>
      <c r="D681" s="8">
        <f>CHOOSE( CONTROL!$C$32, 20.2463, 20.2418) * CHOOSE( CONTROL!$C$15, $D$11, 100%, $F$11)</f>
        <v>20.246300000000002</v>
      </c>
      <c r="E681" s="12">
        <f>CHOOSE( CONTROL!$C$32, 20.2412, 20.2367) * CHOOSE( CONTROL!$C$15, $D$11, 100%, $F$11)</f>
        <v>20.241199999999999</v>
      </c>
      <c r="F681" s="4">
        <f>CHOOSE( CONTROL!$C$32, 20.9146, 20.91) * CHOOSE(CONTROL!$C$15, $D$11, 100%, $F$11)</f>
        <v>20.9146</v>
      </c>
      <c r="G681" s="8">
        <f>CHOOSE( CONTROL!$C$32, 19.8698, 19.8653) * CHOOSE( CONTROL!$C$15, $D$11, 100%, $F$11)</f>
        <v>19.869800000000001</v>
      </c>
      <c r="H681" s="4">
        <f>CHOOSE( CONTROL!$C$32, 20.8048, 20.8003) * CHOOSE(CONTROL!$C$15, $D$11, 100%, $F$11)</f>
        <v>20.8048</v>
      </c>
      <c r="I681" s="8">
        <f>CHOOSE( CONTROL!$C$32, 19.6063, 19.6019) * CHOOSE(CONTROL!$C$15, $D$11, 100%, $F$11)</f>
        <v>19.606300000000001</v>
      </c>
      <c r="J681" s="4">
        <f>CHOOSE( CONTROL!$C$32, 19.5357, 19.5313) * CHOOSE(CONTROL!$C$15, $D$11, 100%, $F$11)</f>
        <v>19.535699999999999</v>
      </c>
      <c r="K681" s="4"/>
      <c r="L681" s="9">
        <v>29.520499999999998</v>
      </c>
      <c r="M681" s="9">
        <v>12.063700000000001</v>
      </c>
      <c r="N681" s="9">
        <v>4.9444999999999997</v>
      </c>
      <c r="O681" s="9">
        <v>0.37459999999999999</v>
      </c>
      <c r="P681" s="9">
        <v>1.2192000000000001</v>
      </c>
      <c r="Q681" s="9">
        <v>19.688099999999999</v>
      </c>
      <c r="R681" s="9"/>
      <c r="S681" s="11"/>
    </row>
    <row r="682" spans="1:19" ht="15.75">
      <c r="A682" s="13">
        <v>62639</v>
      </c>
      <c r="B682" s="8">
        <f>CHOOSE( CONTROL!$C$32, 19.9016, 19.897) * CHOOSE(CONTROL!$C$15, $D$11, 100%, $F$11)</f>
        <v>19.901599999999998</v>
      </c>
      <c r="C682" s="8">
        <f>CHOOSE( CONTROL!$C$32, 19.9119, 19.9074) * CHOOSE(CONTROL!$C$15, $D$11, 100%, $F$11)</f>
        <v>19.911899999999999</v>
      </c>
      <c r="D682" s="8">
        <f>CHOOSE( CONTROL!$C$32, 19.9222, 19.9177) * CHOOSE( CONTROL!$C$15, $D$11, 100%, $F$11)</f>
        <v>19.9222</v>
      </c>
      <c r="E682" s="12">
        <f>CHOOSE( CONTROL!$C$32, 19.9169, 19.9124) * CHOOSE( CONTROL!$C$15, $D$11, 100%, $F$11)</f>
        <v>19.916899999999998</v>
      </c>
      <c r="F682" s="4">
        <f>CHOOSE( CONTROL!$C$32, 20.5899, 20.5853) * CHOOSE(CONTROL!$C$15, $D$11, 100%, $F$11)</f>
        <v>20.5899</v>
      </c>
      <c r="G682" s="8">
        <f>CHOOSE( CONTROL!$C$32, 19.5512, 19.5468) * CHOOSE( CONTROL!$C$15, $D$11, 100%, $F$11)</f>
        <v>19.551200000000001</v>
      </c>
      <c r="H682" s="4">
        <f>CHOOSE( CONTROL!$C$32, 20.4853, 20.4809) * CHOOSE(CONTROL!$C$15, $D$11, 100%, $F$11)</f>
        <v>20.485299999999999</v>
      </c>
      <c r="I682" s="8">
        <f>CHOOSE( CONTROL!$C$32, 19.2951, 19.2907) * CHOOSE(CONTROL!$C$15, $D$11, 100%, $F$11)</f>
        <v>19.295100000000001</v>
      </c>
      <c r="J682" s="4">
        <f>CHOOSE( CONTROL!$C$32, 19.2217, 19.2173) * CHOOSE(CONTROL!$C$15, $D$11, 100%, $F$11)</f>
        <v>19.221699999999998</v>
      </c>
      <c r="K682" s="4"/>
      <c r="L682" s="9">
        <v>28.568200000000001</v>
      </c>
      <c r="M682" s="9">
        <v>11.6745</v>
      </c>
      <c r="N682" s="9">
        <v>4.7850000000000001</v>
      </c>
      <c r="O682" s="9">
        <v>0.36249999999999999</v>
      </c>
      <c r="P682" s="9">
        <v>1.1798</v>
      </c>
      <c r="Q682" s="9">
        <v>19.053000000000001</v>
      </c>
      <c r="R682" s="9"/>
      <c r="S682" s="11"/>
    </row>
    <row r="683" spans="1:19" ht="15.75">
      <c r="A683" s="13">
        <v>62670</v>
      </c>
      <c r="B683" s="8">
        <f>CHOOSE( CONTROL!$C$32, 20.7566, 20.7521) * CHOOSE(CONTROL!$C$15, $D$11, 100%, $F$11)</f>
        <v>20.756599999999999</v>
      </c>
      <c r="C683" s="8">
        <f>CHOOSE( CONTROL!$C$32, 20.767, 20.7624) * CHOOSE(CONTROL!$C$15, $D$11, 100%, $F$11)</f>
        <v>20.766999999999999</v>
      </c>
      <c r="D683" s="8">
        <f>CHOOSE( CONTROL!$C$32, 20.7778, 20.7733) * CHOOSE( CONTROL!$C$15, $D$11, 100%, $F$11)</f>
        <v>20.777799999999999</v>
      </c>
      <c r="E683" s="12">
        <f>CHOOSE( CONTROL!$C$32, 20.7723, 20.7678) * CHOOSE( CONTROL!$C$15, $D$11, 100%, $F$11)</f>
        <v>20.772300000000001</v>
      </c>
      <c r="F683" s="4">
        <f>CHOOSE( CONTROL!$C$32, 21.4449, 21.4404) * CHOOSE(CONTROL!$C$15, $D$11, 100%, $F$11)</f>
        <v>21.444900000000001</v>
      </c>
      <c r="G683" s="8">
        <f>CHOOSE( CONTROL!$C$32, 20.3933, 20.3889) * CHOOSE( CONTROL!$C$15, $D$11, 100%, $F$11)</f>
        <v>20.3933</v>
      </c>
      <c r="H683" s="4">
        <f>CHOOSE( CONTROL!$C$32, 21.3266, 21.3221) * CHOOSE(CONTROL!$C$15, $D$11, 100%, $F$11)</f>
        <v>21.326599999999999</v>
      </c>
      <c r="I683" s="8">
        <f>CHOOSE( CONTROL!$C$32, 20.1252, 20.1208) * CHOOSE(CONTROL!$C$15, $D$11, 100%, $F$11)</f>
        <v>20.1252</v>
      </c>
      <c r="J683" s="4">
        <f>CHOOSE( CONTROL!$C$32, 20.0486, 20.0443) * CHOOSE(CONTROL!$C$15, $D$11, 100%, $F$11)</f>
        <v>20.0486</v>
      </c>
      <c r="K683" s="4"/>
      <c r="L683" s="9">
        <v>29.520499999999998</v>
      </c>
      <c r="M683" s="9">
        <v>12.063700000000001</v>
      </c>
      <c r="N683" s="9">
        <v>4.9444999999999997</v>
      </c>
      <c r="O683" s="9">
        <v>0.37459999999999999</v>
      </c>
      <c r="P683" s="9">
        <v>1.2192000000000001</v>
      </c>
      <c r="Q683" s="9">
        <v>19.688099999999999</v>
      </c>
      <c r="R683" s="9"/>
      <c r="S683" s="11"/>
    </row>
    <row r="684" spans="1:19" ht="15.75">
      <c r="A684" s="13">
        <v>62701</v>
      </c>
      <c r="B684" s="8">
        <f>CHOOSE( CONTROL!$C$32, 19.1567, 19.1522) * CHOOSE(CONTROL!$C$15, $D$11, 100%, $F$11)</f>
        <v>19.156700000000001</v>
      </c>
      <c r="C684" s="8">
        <f>CHOOSE( CONTROL!$C$32, 19.1671, 19.1625) * CHOOSE(CONTROL!$C$15, $D$11, 100%, $F$11)</f>
        <v>19.167100000000001</v>
      </c>
      <c r="D684" s="8">
        <f>CHOOSE( CONTROL!$C$32, 19.1782, 19.1737) * CHOOSE( CONTROL!$C$15, $D$11, 100%, $F$11)</f>
        <v>19.1782</v>
      </c>
      <c r="E684" s="12">
        <f>CHOOSE( CONTROL!$C$32, 19.1726, 19.1681) * CHOOSE( CONTROL!$C$15, $D$11, 100%, $F$11)</f>
        <v>19.172599999999999</v>
      </c>
      <c r="F684" s="4">
        <f>CHOOSE( CONTROL!$C$32, 19.845, 19.8405) * CHOOSE(CONTROL!$C$15, $D$11, 100%, $F$11)</f>
        <v>19.844999999999999</v>
      </c>
      <c r="G684" s="8">
        <f>CHOOSE( CONTROL!$C$32, 18.8197, 18.8153) * CHOOSE( CONTROL!$C$15, $D$11, 100%, $F$11)</f>
        <v>18.819700000000001</v>
      </c>
      <c r="H684" s="4">
        <f>CHOOSE( CONTROL!$C$32, 19.7525, 19.7481) * CHOOSE(CONTROL!$C$15, $D$11, 100%, $F$11)</f>
        <v>19.752500000000001</v>
      </c>
      <c r="I684" s="8">
        <f>CHOOSE( CONTROL!$C$32, 18.5785, 18.5741) * CHOOSE(CONTROL!$C$15, $D$11, 100%, $F$11)</f>
        <v>18.578499999999998</v>
      </c>
      <c r="J684" s="4">
        <f>CHOOSE( CONTROL!$C$32, 18.5014, 18.497) * CHOOSE(CONTROL!$C$15, $D$11, 100%, $F$11)</f>
        <v>18.5014</v>
      </c>
      <c r="K684" s="4"/>
      <c r="L684" s="9">
        <v>29.520499999999998</v>
      </c>
      <c r="M684" s="9">
        <v>12.063700000000001</v>
      </c>
      <c r="N684" s="9">
        <v>4.9444999999999997</v>
      </c>
      <c r="O684" s="9">
        <v>0.37459999999999999</v>
      </c>
      <c r="P684" s="9">
        <v>1.2192000000000001</v>
      </c>
      <c r="Q684" s="9">
        <v>19.688099999999999</v>
      </c>
      <c r="R684" s="9"/>
      <c r="S684" s="11"/>
    </row>
    <row r="685" spans="1:19" ht="15.75">
      <c r="A685" s="13">
        <v>62731</v>
      </c>
      <c r="B685" s="8">
        <f>CHOOSE( CONTROL!$C$32, 18.7561, 18.7516) * CHOOSE(CONTROL!$C$15, $D$11, 100%, $F$11)</f>
        <v>18.7561</v>
      </c>
      <c r="C685" s="8">
        <f>CHOOSE( CONTROL!$C$32, 18.7664, 18.7619) * CHOOSE(CONTROL!$C$15, $D$11, 100%, $F$11)</f>
        <v>18.766400000000001</v>
      </c>
      <c r="D685" s="8">
        <f>CHOOSE( CONTROL!$C$32, 18.7777, 18.7732) * CHOOSE( CONTROL!$C$15, $D$11, 100%, $F$11)</f>
        <v>18.777699999999999</v>
      </c>
      <c r="E685" s="12">
        <f>CHOOSE( CONTROL!$C$32, 18.772, 18.7675) * CHOOSE( CONTROL!$C$15, $D$11, 100%, $F$11)</f>
        <v>18.771999999999998</v>
      </c>
      <c r="F685" s="4">
        <f>CHOOSE( CONTROL!$C$32, 19.4444, 19.4399) * CHOOSE(CONTROL!$C$15, $D$11, 100%, $F$11)</f>
        <v>19.444400000000002</v>
      </c>
      <c r="G685" s="8">
        <f>CHOOSE( CONTROL!$C$32, 18.4257, 18.4212) * CHOOSE( CONTROL!$C$15, $D$11, 100%, $F$11)</f>
        <v>18.425699999999999</v>
      </c>
      <c r="H685" s="4">
        <f>CHOOSE( CONTROL!$C$32, 19.3584, 19.3539) * CHOOSE(CONTROL!$C$15, $D$11, 100%, $F$11)</f>
        <v>19.3584</v>
      </c>
      <c r="I685" s="8">
        <f>CHOOSE( CONTROL!$C$32, 18.1913, 18.1869) * CHOOSE(CONTROL!$C$15, $D$11, 100%, $F$11)</f>
        <v>18.191299999999998</v>
      </c>
      <c r="J685" s="4">
        <f>CHOOSE( CONTROL!$C$32, 18.1139, 18.1095) * CHOOSE(CONTROL!$C$15, $D$11, 100%, $F$11)</f>
        <v>18.113900000000001</v>
      </c>
      <c r="K685" s="4"/>
      <c r="L685" s="9">
        <v>28.568200000000001</v>
      </c>
      <c r="M685" s="9">
        <v>11.6745</v>
      </c>
      <c r="N685" s="9">
        <v>4.7850000000000001</v>
      </c>
      <c r="O685" s="9">
        <v>0.36249999999999999</v>
      </c>
      <c r="P685" s="9">
        <v>1.1798</v>
      </c>
      <c r="Q685" s="9">
        <v>19.053000000000001</v>
      </c>
      <c r="R685" s="9"/>
      <c r="S685" s="11"/>
    </row>
    <row r="686" spans="1:19" ht="15.75">
      <c r="A686" s="13">
        <v>62762</v>
      </c>
      <c r="B686" s="8">
        <f>19.5834 * CHOOSE(CONTROL!$C$15, $D$11, 100%, $F$11)</f>
        <v>19.583400000000001</v>
      </c>
      <c r="C686" s="8">
        <f>19.5938 * CHOOSE(CONTROL!$C$15, $D$11, 100%, $F$11)</f>
        <v>19.593800000000002</v>
      </c>
      <c r="D686" s="8">
        <f>19.6062 * CHOOSE( CONTROL!$C$15, $D$11, 100%, $F$11)</f>
        <v>19.606200000000001</v>
      </c>
      <c r="E686" s="12">
        <f>19.601 * CHOOSE( CONTROL!$C$15, $D$11, 100%, $F$11)</f>
        <v>19.600999999999999</v>
      </c>
      <c r="F686" s="4">
        <f>20.2717 * CHOOSE(CONTROL!$C$15, $D$11, 100%, $F$11)</f>
        <v>20.271699999999999</v>
      </c>
      <c r="G686" s="8">
        <f>19.2391 * CHOOSE( CONTROL!$C$15, $D$11, 100%, $F$11)</f>
        <v>19.239100000000001</v>
      </c>
      <c r="H686" s="4">
        <f>20.1723 * CHOOSE(CONTROL!$C$15, $D$11, 100%, $F$11)</f>
        <v>20.1723</v>
      </c>
      <c r="I686" s="8">
        <f>18.9931 * CHOOSE(CONTROL!$C$15, $D$11, 100%, $F$11)</f>
        <v>18.993099999999998</v>
      </c>
      <c r="J686" s="4">
        <f>18.914 * CHOOSE(CONTROL!$C$15, $D$11, 100%, $F$11)</f>
        <v>18.914000000000001</v>
      </c>
      <c r="K686" s="4"/>
      <c r="L686" s="9">
        <v>28.921800000000001</v>
      </c>
      <c r="M686" s="9">
        <v>12.063700000000001</v>
      </c>
      <c r="N686" s="9">
        <v>4.9444999999999997</v>
      </c>
      <c r="O686" s="9">
        <v>0.37459999999999999</v>
      </c>
      <c r="P686" s="9">
        <v>1.2192000000000001</v>
      </c>
      <c r="Q686" s="9">
        <v>19.688099999999999</v>
      </c>
      <c r="R686" s="9"/>
      <c r="S686" s="11"/>
    </row>
    <row r="687" spans="1:19" ht="15.75">
      <c r="A687" s="13">
        <v>62792</v>
      </c>
      <c r="B687" s="8">
        <f>21.1189 * CHOOSE(CONTROL!$C$15, $D$11, 100%, $F$11)</f>
        <v>21.1189</v>
      </c>
      <c r="C687" s="8">
        <f>21.1292 * CHOOSE(CONTROL!$C$15, $D$11, 100%, $F$11)</f>
        <v>21.129200000000001</v>
      </c>
      <c r="D687" s="8">
        <f>21.1152 * CHOOSE( CONTROL!$C$15, $D$11, 100%, $F$11)</f>
        <v>21.115200000000002</v>
      </c>
      <c r="E687" s="12">
        <f>21.1192 * CHOOSE( CONTROL!$C$15, $D$11, 100%, $F$11)</f>
        <v>21.119199999999999</v>
      </c>
      <c r="F687" s="4">
        <f>21.7731 * CHOOSE(CONTROL!$C$15, $D$11, 100%, $F$11)</f>
        <v>21.773099999999999</v>
      </c>
      <c r="G687" s="8">
        <f>20.7669 * CHOOSE( CONTROL!$C$15, $D$11, 100%, $F$11)</f>
        <v>20.7669</v>
      </c>
      <c r="H687" s="4">
        <f>21.6494 * CHOOSE(CONTROL!$C$15, $D$11, 100%, $F$11)</f>
        <v>21.6494</v>
      </c>
      <c r="I687" s="8">
        <f>20.5118 * CHOOSE(CONTROL!$C$15, $D$11, 100%, $F$11)</f>
        <v>20.511800000000001</v>
      </c>
      <c r="J687" s="4">
        <f>20.3989 * CHOOSE(CONTROL!$C$15, $D$11, 100%, $F$11)</f>
        <v>20.398900000000001</v>
      </c>
      <c r="K687" s="4"/>
      <c r="L687" s="9">
        <v>26.515499999999999</v>
      </c>
      <c r="M687" s="9">
        <v>11.6745</v>
      </c>
      <c r="N687" s="9">
        <v>4.7850000000000001</v>
      </c>
      <c r="O687" s="9">
        <v>0.36249999999999999</v>
      </c>
      <c r="P687" s="9">
        <v>1.2522</v>
      </c>
      <c r="Q687" s="9">
        <v>19.053000000000001</v>
      </c>
      <c r="R687" s="9"/>
      <c r="S687" s="11"/>
    </row>
    <row r="688" spans="1:19" ht="15.75">
      <c r="A688" s="13">
        <v>62823</v>
      </c>
      <c r="B688" s="8">
        <f>21.0805 * CHOOSE(CONTROL!$C$15, $D$11, 100%, $F$11)</f>
        <v>21.080500000000001</v>
      </c>
      <c r="C688" s="8">
        <f>21.0908 * CHOOSE(CONTROL!$C$15, $D$11, 100%, $F$11)</f>
        <v>21.090800000000002</v>
      </c>
      <c r="D688" s="8">
        <f>21.0794 * CHOOSE( CONTROL!$C$15, $D$11, 100%, $F$11)</f>
        <v>21.0794</v>
      </c>
      <c r="E688" s="12">
        <f>21.0825 * CHOOSE( CONTROL!$C$15, $D$11, 100%, $F$11)</f>
        <v>21.0825</v>
      </c>
      <c r="F688" s="4">
        <f>21.7348 * CHOOSE(CONTROL!$C$15, $D$11, 100%, $F$11)</f>
        <v>21.7348</v>
      </c>
      <c r="G688" s="8">
        <f>20.731 * CHOOSE( CONTROL!$C$15, $D$11, 100%, $F$11)</f>
        <v>20.731000000000002</v>
      </c>
      <c r="H688" s="4">
        <f>21.6117 * CHOOSE(CONTROL!$C$15, $D$11, 100%, $F$11)</f>
        <v>21.611699999999999</v>
      </c>
      <c r="I688" s="8">
        <f>20.4826 * CHOOSE(CONTROL!$C$15, $D$11, 100%, $F$11)</f>
        <v>20.482600000000001</v>
      </c>
      <c r="J688" s="4">
        <f>20.3618 * CHOOSE(CONTROL!$C$15, $D$11, 100%, $F$11)</f>
        <v>20.361799999999999</v>
      </c>
      <c r="K688" s="4"/>
      <c r="L688" s="9">
        <v>27.3993</v>
      </c>
      <c r="M688" s="9">
        <v>12.063700000000001</v>
      </c>
      <c r="N688" s="9">
        <v>4.9444999999999997</v>
      </c>
      <c r="O688" s="9">
        <v>0.37459999999999999</v>
      </c>
      <c r="P688" s="9">
        <v>1.2939000000000001</v>
      </c>
      <c r="Q688" s="9">
        <v>19.688099999999999</v>
      </c>
      <c r="R688" s="9"/>
      <c r="S688" s="11"/>
    </row>
    <row r="689" spans="1:19" ht="15.75">
      <c r="A689" s="13">
        <v>62854</v>
      </c>
      <c r="B689" s="8">
        <f>21.8852 * CHOOSE(CONTROL!$C$15, $D$11, 100%, $F$11)</f>
        <v>21.885200000000001</v>
      </c>
      <c r="C689" s="8">
        <f>21.8955 * CHOOSE(CONTROL!$C$15, $D$11, 100%, $F$11)</f>
        <v>21.895499999999998</v>
      </c>
      <c r="D689" s="8">
        <f>21.894 * CHOOSE( CONTROL!$C$15, $D$11, 100%, $F$11)</f>
        <v>21.893999999999998</v>
      </c>
      <c r="E689" s="12">
        <f>21.8935 * CHOOSE( CONTROL!$C$15, $D$11, 100%, $F$11)</f>
        <v>21.8935</v>
      </c>
      <c r="F689" s="4">
        <f>22.5679 * CHOOSE(CONTROL!$C$15, $D$11, 100%, $F$11)</f>
        <v>22.567900000000002</v>
      </c>
      <c r="G689" s="8">
        <f>21.5329 * CHOOSE( CONTROL!$C$15, $D$11, 100%, $F$11)</f>
        <v>21.532900000000001</v>
      </c>
      <c r="H689" s="4">
        <f>22.4314 * CHOOSE(CONTROL!$C$15, $D$11, 100%, $F$11)</f>
        <v>22.4314</v>
      </c>
      <c r="I689" s="8">
        <f>21.2592 * CHOOSE(CONTROL!$C$15, $D$11, 100%, $F$11)</f>
        <v>21.2592</v>
      </c>
      <c r="J689" s="4">
        <f>21.1401 * CHOOSE(CONTROL!$C$15, $D$11, 100%, $F$11)</f>
        <v>21.1401</v>
      </c>
      <c r="K689" s="4"/>
      <c r="L689" s="9">
        <v>27.3993</v>
      </c>
      <c r="M689" s="9">
        <v>12.063700000000001</v>
      </c>
      <c r="N689" s="9">
        <v>4.9444999999999997</v>
      </c>
      <c r="O689" s="9">
        <v>0.37459999999999999</v>
      </c>
      <c r="P689" s="9">
        <v>1.2939000000000001</v>
      </c>
      <c r="Q689" s="9">
        <v>19.688099999999999</v>
      </c>
      <c r="R689" s="9"/>
      <c r="S689" s="11"/>
    </row>
    <row r="690" spans="1:19" ht="15.75">
      <c r="A690" s="13">
        <v>62883</v>
      </c>
      <c r="B690" s="8">
        <f>20.472 * CHOOSE(CONTROL!$C$15, $D$11, 100%, $F$11)</f>
        <v>20.472000000000001</v>
      </c>
      <c r="C690" s="8">
        <f>20.4824 * CHOOSE(CONTROL!$C$15, $D$11, 100%, $F$11)</f>
        <v>20.482399999999998</v>
      </c>
      <c r="D690" s="8">
        <f>20.4829 * CHOOSE( CONTROL!$C$15, $D$11, 100%, $F$11)</f>
        <v>20.482900000000001</v>
      </c>
      <c r="E690" s="12">
        <f>20.4816 * CHOOSE( CONTROL!$C$15, $D$11, 100%, $F$11)</f>
        <v>20.4816</v>
      </c>
      <c r="F690" s="4">
        <f>21.147 * CHOOSE(CONTROL!$C$15, $D$11, 100%, $F$11)</f>
        <v>21.146999999999998</v>
      </c>
      <c r="G690" s="8">
        <f>20.1424 * CHOOSE( CONTROL!$C$15, $D$11, 100%, $F$11)</f>
        <v>20.142399999999999</v>
      </c>
      <c r="H690" s="4">
        <f>21.0334 * CHOOSE(CONTROL!$C$15, $D$11, 100%, $F$11)</f>
        <v>21.0334</v>
      </c>
      <c r="I690" s="8">
        <f>19.8809 * CHOOSE(CONTROL!$C$15, $D$11, 100%, $F$11)</f>
        <v>19.8809</v>
      </c>
      <c r="J690" s="4">
        <f>19.7734 * CHOOSE(CONTROL!$C$15, $D$11, 100%, $F$11)</f>
        <v>19.773399999999999</v>
      </c>
      <c r="K690" s="4"/>
      <c r="L690" s="9">
        <v>25.631599999999999</v>
      </c>
      <c r="M690" s="9">
        <v>11.285299999999999</v>
      </c>
      <c r="N690" s="9">
        <v>4.6254999999999997</v>
      </c>
      <c r="O690" s="9">
        <v>0.35039999999999999</v>
      </c>
      <c r="P690" s="9">
        <v>1.2104999999999999</v>
      </c>
      <c r="Q690" s="9">
        <v>18.417899999999999</v>
      </c>
      <c r="R690" s="9"/>
      <c r="S690" s="11"/>
    </row>
    <row r="691" spans="1:19" ht="15.75">
      <c r="A691" s="13">
        <v>62914</v>
      </c>
      <c r="B691" s="8">
        <f>20.0368 * CHOOSE(CONTROL!$C$15, $D$11, 100%, $F$11)</f>
        <v>20.036799999999999</v>
      </c>
      <c r="C691" s="8">
        <f>20.0471 * CHOOSE(CONTROL!$C$15, $D$11, 100%, $F$11)</f>
        <v>20.0471</v>
      </c>
      <c r="D691" s="8">
        <f>20.0272 * CHOOSE( CONTROL!$C$15, $D$11, 100%, $F$11)</f>
        <v>20.027200000000001</v>
      </c>
      <c r="E691" s="12">
        <f>20.0334 * CHOOSE( CONTROL!$C$15, $D$11, 100%, $F$11)</f>
        <v>20.0334</v>
      </c>
      <c r="F691" s="4">
        <f>20.6957 * CHOOSE(CONTROL!$C$15, $D$11, 100%, $F$11)</f>
        <v>20.695699999999999</v>
      </c>
      <c r="G691" s="8">
        <f>19.6935 * CHOOSE( CONTROL!$C$15, $D$11, 100%, $F$11)</f>
        <v>19.6935</v>
      </c>
      <c r="H691" s="4">
        <f>20.5894 * CHOOSE(CONTROL!$C$15, $D$11, 100%, $F$11)</f>
        <v>20.589400000000001</v>
      </c>
      <c r="I691" s="8">
        <f>19.4203 * CHOOSE(CONTROL!$C$15, $D$11, 100%, $F$11)</f>
        <v>19.420300000000001</v>
      </c>
      <c r="J691" s="4">
        <f>19.3525 * CHOOSE(CONTROL!$C$15, $D$11, 100%, $F$11)</f>
        <v>19.352499999999999</v>
      </c>
      <c r="K691" s="4"/>
      <c r="L691" s="9">
        <v>27.3993</v>
      </c>
      <c r="M691" s="9">
        <v>12.063700000000001</v>
      </c>
      <c r="N691" s="9">
        <v>4.9444999999999997</v>
      </c>
      <c r="O691" s="9">
        <v>0.37459999999999999</v>
      </c>
      <c r="P691" s="9">
        <v>1.2939000000000001</v>
      </c>
      <c r="Q691" s="9">
        <v>19.688099999999999</v>
      </c>
      <c r="R691" s="9"/>
      <c r="S691" s="11"/>
    </row>
    <row r="692" spans="1:19" ht="15.75">
      <c r="A692" s="13">
        <v>62944</v>
      </c>
      <c r="B692" s="8">
        <f>20.3409 * CHOOSE(CONTROL!$C$15, $D$11, 100%, $F$11)</f>
        <v>20.340900000000001</v>
      </c>
      <c r="C692" s="8">
        <f>20.3513 * CHOOSE(CONTROL!$C$15, $D$11, 100%, $F$11)</f>
        <v>20.351299999999998</v>
      </c>
      <c r="D692" s="8">
        <f>20.3428 * CHOOSE( CONTROL!$C$15, $D$11, 100%, $F$11)</f>
        <v>20.3428</v>
      </c>
      <c r="E692" s="12">
        <f>20.3444 * CHOOSE( CONTROL!$C$15, $D$11, 100%, $F$11)</f>
        <v>20.3444</v>
      </c>
      <c r="F692" s="4">
        <f>20.99 * CHOOSE(CONTROL!$C$15, $D$11, 100%, $F$11)</f>
        <v>20.99</v>
      </c>
      <c r="G692" s="8">
        <f>19.9775 * CHOOSE( CONTROL!$C$15, $D$11, 100%, $F$11)</f>
        <v>19.977499999999999</v>
      </c>
      <c r="H692" s="4">
        <f>20.879 * CHOOSE(CONTROL!$C$15, $D$11, 100%, $F$11)</f>
        <v>20.879000000000001</v>
      </c>
      <c r="I692" s="8">
        <f>19.7114 * CHOOSE(CONTROL!$C$15, $D$11, 100%, $F$11)</f>
        <v>19.711400000000001</v>
      </c>
      <c r="J692" s="4">
        <f>19.6466 * CHOOSE(CONTROL!$C$15, $D$11, 100%, $F$11)</f>
        <v>19.646599999999999</v>
      </c>
      <c r="K692" s="4"/>
      <c r="L692" s="9">
        <v>27.988800000000001</v>
      </c>
      <c r="M692" s="9">
        <v>11.6745</v>
      </c>
      <c r="N692" s="9">
        <v>4.7850000000000001</v>
      </c>
      <c r="O692" s="9">
        <v>0.36249999999999999</v>
      </c>
      <c r="P692" s="9">
        <v>1.1798</v>
      </c>
      <c r="Q692" s="9">
        <v>19.053000000000001</v>
      </c>
      <c r="R692" s="9"/>
      <c r="S692" s="11"/>
    </row>
    <row r="693" spans="1:19" ht="15.75">
      <c r="A693" s="13">
        <v>62975</v>
      </c>
      <c r="B693" s="8">
        <f>CHOOSE( CONTROL!$C$32, 20.8867, 20.8822) * CHOOSE(CONTROL!$C$15, $D$11, 100%, $F$11)</f>
        <v>20.886700000000001</v>
      </c>
      <c r="C693" s="8">
        <f>CHOOSE( CONTROL!$C$32, 20.8971, 20.8926) * CHOOSE(CONTROL!$C$15, $D$11, 100%, $F$11)</f>
        <v>20.897099999999998</v>
      </c>
      <c r="D693" s="8">
        <f>CHOOSE( CONTROL!$C$32, 20.9068, 20.9023) * CHOOSE( CONTROL!$C$15, $D$11, 100%, $F$11)</f>
        <v>20.9068</v>
      </c>
      <c r="E693" s="12">
        <f>CHOOSE( CONTROL!$C$32, 20.9017, 20.8972) * CHOOSE( CONTROL!$C$15, $D$11, 100%, $F$11)</f>
        <v>20.901700000000002</v>
      </c>
      <c r="F693" s="4">
        <f>CHOOSE( CONTROL!$C$32, 21.575, 21.5705) * CHOOSE(CONTROL!$C$15, $D$11, 100%, $F$11)</f>
        <v>21.574999999999999</v>
      </c>
      <c r="G693" s="8">
        <f>CHOOSE( CONTROL!$C$32, 20.5195, 20.5151) * CHOOSE( CONTROL!$C$15, $D$11, 100%, $F$11)</f>
        <v>20.519500000000001</v>
      </c>
      <c r="H693" s="4">
        <f>CHOOSE( CONTROL!$C$32, 21.4546, 21.4501) * CHOOSE(CONTROL!$C$15, $D$11, 100%, $F$11)</f>
        <v>21.454599999999999</v>
      </c>
      <c r="I693" s="8">
        <f>CHOOSE( CONTROL!$C$32, 20.2454, 20.241) * CHOOSE(CONTROL!$C$15, $D$11, 100%, $F$11)</f>
        <v>20.2454</v>
      </c>
      <c r="J693" s="4">
        <f>CHOOSE( CONTROL!$C$32, 20.1745, 20.1701) * CHOOSE(CONTROL!$C$15, $D$11, 100%, $F$11)</f>
        <v>20.174499999999998</v>
      </c>
      <c r="K693" s="4"/>
      <c r="L693" s="9">
        <v>29.520499999999998</v>
      </c>
      <c r="M693" s="9">
        <v>12.063700000000001</v>
      </c>
      <c r="N693" s="9">
        <v>4.9444999999999997</v>
      </c>
      <c r="O693" s="9">
        <v>0.37459999999999999</v>
      </c>
      <c r="P693" s="9">
        <v>1.2192000000000001</v>
      </c>
      <c r="Q693" s="9">
        <v>19.688099999999999</v>
      </c>
      <c r="R693" s="9"/>
      <c r="S693" s="11"/>
    </row>
    <row r="694" spans="1:19" ht="15.75">
      <c r="A694" s="13">
        <v>63005</v>
      </c>
      <c r="B694" s="8">
        <f>CHOOSE( CONTROL!$C$32, 20.5514, 20.5469) * CHOOSE(CONTROL!$C$15, $D$11, 100%, $F$11)</f>
        <v>20.551400000000001</v>
      </c>
      <c r="C694" s="8">
        <f>CHOOSE( CONTROL!$C$32, 20.5618, 20.5572) * CHOOSE(CONTROL!$C$15, $D$11, 100%, $F$11)</f>
        <v>20.561800000000002</v>
      </c>
      <c r="D694" s="8">
        <f>CHOOSE( CONTROL!$C$32, 20.5721, 20.5676) * CHOOSE( CONTROL!$C$15, $D$11, 100%, $F$11)</f>
        <v>20.572099999999999</v>
      </c>
      <c r="E694" s="12">
        <f>CHOOSE( CONTROL!$C$32, 20.5668, 20.5623) * CHOOSE( CONTROL!$C$15, $D$11, 100%, $F$11)</f>
        <v>20.566800000000001</v>
      </c>
      <c r="F694" s="4">
        <f>CHOOSE( CONTROL!$C$32, 21.2397, 21.2352) * CHOOSE(CONTROL!$C$15, $D$11, 100%, $F$11)</f>
        <v>21.239699999999999</v>
      </c>
      <c r="G694" s="8">
        <f>CHOOSE( CONTROL!$C$32, 20.1906, 20.1861) * CHOOSE( CONTROL!$C$15, $D$11, 100%, $F$11)</f>
        <v>20.1906</v>
      </c>
      <c r="H694" s="4">
        <f>CHOOSE( CONTROL!$C$32, 21.1247, 21.1202) * CHOOSE(CONTROL!$C$15, $D$11, 100%, $F$11)</f>
        <v>21.124700000000001</v>
      </c>
      <c r="I694" s="8">
        <f>CHOOSE( CONTROL!$C$32, 19.9239, 19.9195) * CHOOSE(CONTROL!$C$15, $D$11, 100%, $F$11)</f>
        <v>19.9239</v>
      </c>
      <c r="J694" s="4">
        <f>CHOOSE( CONTROL!$C$32, 19.8502, 19.8458) * CHOOSE(CONTROL!$C$15, $D$11, 100%, $F$11)</f>
        <v>19.850200000000001</v>
      </c>
      <c r="K694" s="4"/>
      <c r="L694" s="9">
        <v>28.568200000000001</v>
      </c>
      <c r="M694" s="9">
        <v>11.6745</v>
      </c>
      <c r="N694" s="9">
        <v>4.7850000000000001</v>
      </c>
      <c r="O694" s="9">
        <v>0.36249999999999999</v>
      </c>
      <c r="P694" s="9">
        <v>1.1798</v>
      </c>
      <c r="Q694" s="9">
        <v>19.053000000000001</v>
      </c>
      <c r="R694" s="9"/>
      <c r="S694" s="11"/>
    </row>
    <row r="695" spans="1:19" ht="15.75">
      <c r="A695" s="13">
        <v>63036</v>
      </c>
      <c r="B695" s="8">
        <f>CHOOSE( CONTROL!$C$32, 21.4345, 21.4299) * CHOOSE(CONTROL!$C$15, $D$11, 100%, $F$11)</f>
        <v>21.4345</v>
      </c>
      <c r="C695" s="8">
        <f>CHOOSE( CONTROL!$C$32, 21.4448, 21.4403) * CHOOSE(CONTROL!$C$15, $D$11, 100%, $F$11)</f>
        <v>21.444800000000001</v>
      </c>
      <c r="D695" s="8">
        <f>CHOOSE( CONTROL!$C$32, 21.4557, 21.4511) * CHOOSE( CONTROL!$C$15, $D$11, 100%, $F$11)</f>
        <v>21.4557</v>
      </c>
      <c r="E695" s="12">
        <f>CHOOSE( CONTROL!$C$32, 21.4502, 21.4456) * CHOOSE( CONTROL!$C$15, $D$11, 100%, $F$11)</f>
        <v>21.450199999999999</v>
      </c>
      <c r="F695" s="4">
        <f>CHOOSE( CONTROL!$C$32, 22.1227, 22.1182) * CHOOSE(CONTROL!$C$15, $D$11, 100%, $F$11)</f>
        <v>22.122699999999998</v>
      </c>
      <c r="G695" s="8">
        <f>CHOOSE( CONTROL!$C$32, 21.0602, 21.0557) * CHOOSE( CONTROL!$C$15, $D$11, 100%, $F$11)</f>
        <v>21.060199999999998</v>
      </c>
      <c r="H695" s="4">
        <f>CHOOSE( CONTROL!$C$32, 21.9934, 21.989) * CHOOSE(CONTROL!$C$15, $D$11, 100%, $F$11)</f>
        <v>21.993400000000001</v>
      </c>
      <c r="I695" s="8">
        <f>CHOOSE( CONTROL!$C$32, 20.781, 20.7766) * CHOOSE(CONTROL!$C$15, $D$11, 100%, $F$11)</f>
        <v>20.780999999999999</v>
      </c>
      <c r="J695" s="4">
        <f>CHOOSE( CONTROL!$C$32, 20.7042, 20.6998) * CHOOSE(CONTROL!$C$15, $D$11, 100%, $F$11)</f>
        <v>20.7042</v>
      </c>
      <c r="K695" s="4"/>
      <c r="L695" s="9">
        <v>29.520499999999998</v>
      </c>
      <c r="M695" s="9">
        <v>12.063700000000001</v>
      </c>
      <c r="N695" s="9">
        <v>4.9444999999999997</v>
      </c>
      <c r="O695" s="9">
        <v>0.37459999999999999</v>
      </c>
      <c r="P695" s="9">
        <v>1.2192000000000001</v>
      </c>
      <c r="Q695" s="9">
        <v>19.688099999999999</v>
      </c>
      <c r="R695" s="9"/>
      <c r="S695" s="11"/>
    </row>
    <row r="696" spans="1:19" ht="15.75">
      <c r="A696" s="13">
        <v>63067</v>
      </c>
      <c r="B696" s="8">
        <f>CHOOSE( CONTROL!$C$32, 19.7822, 19.7777) * CHOOSE(CONTROL!$C$15, $D$11, 100%, $F$11)</f>
        <v>19.7822</v>
      </c>
      <c r="C696" s="8">
        <f>CHOOSE( CONTROL!$C$32, 19.7926, 19.788) * CHOOSE(CONTROL!$C$15, $D$11, 100%, $F$11)</f>
        <v>19.7926</v>
      </c>
      <c r="D696" s="8">
        <f>CHOOSE( CONTROL!$C$32, 19.8037, 19.7992) * CHOOSE( CONTROL!$C$15, $D$11, 100%, $F$11)</f>
        <v>19.803699999999999</v>
      </c>
      <c r="E696" s="12">
        <f>CHOOSE( CONTROL!$C$32, 19.7981, 19.7936) * CHOOSE( CONTROL!$C$15, $D$11, 100%, $F$11)</f>
        <v>19.798100000000002</v>
      </c>
      <c r="F696" s="4">
        <f>CHOOSE( CONTROL!$C$32, 20.4705, 20.466) * CHOOSE(CONTROL!$C$15, $D$11, 100%, $F$11)</f>
        <v>20.470500000000001</v>
      </c>
      <c r="G696" s="8">
        <f>CHOOSE( CONTROL!$C$32, 19.4351, 19.4306) * CHOOSE( CONTROL!$C$15, $D$11, 100%, $F$11)</f>
        <v>19.435099999999998</v>
      </c>
      <c r="H696" s="4">
        <f>CHOOSE( CONTROL!$C$32, 20.3679, 20.3635) * CHOOSE(CONTROL!$C$15, $D$11, 100%, $F$11)</f>
        <v>20.367899999999999</v>
      </c>
      <c r="I696" s="8">
        <f>CHOOSE( CONTROL!$C$32, 19.1837, 19.1794) * CHOOSE(CONTROL!$C$15, $D$11, 100%, $F$11)</f>
        <v>19.183700000000002</v>
      </c>
      <c r="J696" s="4">
        <f>CHOOSE( CONTROL!$C$32, 19.1063, 19.1019) * CHOOSE(CONTROL!$C$15, $D$11, 100%, $F$11)</f>
        <v>19.106300000000001</v>
      </c>
      <c r="K696" s="4"/>
      <c r="L696" s="9">
        <v>29.520499999999998</v>
      </c>
      <c r="M696" s="9">
        <v>12.063700000000001</v>
      </c>
      <c r="N696" s="9">
        <v>4.9444999999999997</v>
      </c>
      <c r="O696" s="9">
        <v>0.37459999999999999</v>
      </c>
      <c r="P696" s="9">
        <v>1.2192000000000001</v>
      </c>
      <c r="Q696" s="9">
        <v>19.688099999999999</v>
      </c>
      <c r="R696" s="9"/>
      <c r="S696" s="11"/>
    </row>
    <row r="697" spans="1:19" ht="15.75">
      <c r="A697" s="13">
        <v>63097</v>
      </c>
      <c r="B697" s="8">
        <f>CHOOSE( CONTROL!$C$32, 19.3685, 19.364) * CHOOSE(CONTROL!$C$15, $D$11, 100%, $F$11)</f>
        <v>19.368500000000001</v>
      </c>
      <c r="C697" s="8">
        <f>CHOOSE( CONTROL!$C$32, 19.3788, 19.3743) * CHOOSE(CONTROL!$C$15, $D$11, 100%, $F$11)</f>
        <v>19.378799999999998</v>
      </c>
      <c r="D697" s="8">
        <f>CHOOSE( CONTROL!$C$32, 19.3901, 19.3856) * CHOOSE( CONTROL!$C$15, $D$11, 100%, $F$11)</f>
        <v>19.3901</v>
      </c>
      <c r="E697" s="12">
        <f>CHOOSE( CONTROL!$C$32, 19.3844, 19.3799) * CHOOSE( CONTROL!$C$15, $D$11, 100%, $F$11)</f>
        <v>19.384399999999999</v>
      </c>
      <c r="F697" s="4">
        <f>CHOOSE( CONTROL!$C$32, 20.0568, 20.0523) * CHOOSE(CONTROL!$C$15, $D$11, 100%, $F$11)</f>
        <v>20.056799999999999</v>
      </c>
      <c r="G697" s="8">
        <f>CHOOSE( CONTROL!$C$32, 19.0282, 19.0237) * CHOOSE( CONTROL!$C$15, $D$11, 100%, $F$11)</f>
        <v>19.028199999999998</v>
      </c>
      <c r="H697" s="4">
        <f>CHOOSE( CONTROL!$C$32, 19.9609, 19.9564) * CHOOSE(CONTROL!$C$15, $D$11, 100%, $F$11)</f>
        <v>19.960899999999999</v>
      </c>
      <c r="I697" s="8">
        <f>CHOOSE( CONTROL!$C$32, 18.7839, 18.7795) * CHOOSE(CONTROL!$C$15, $D$11, 100%, $F$11)</f>
        <v>18.783899999999999</v>
      </c>
      <c r="J697" s="4">
        <f>CHOOSE( CONTROL!$C$32, 18.7062, 18.7018) * CHOOSE(CONTROL!$C$15, $D$11, 100%, $F$11)</f>
        <v>18.706199999999999</v>
      </c>
      <c r="K697" s="4"/>
      <c r="L697" s="9">
        <v>28.568200000000001</v>
      </c>
      <c r="M697" s="9">
        <v>11.6745</v>
      </c>
      <c r="N697" s="9">
        <v>4.7850000000000001</v>
      </c>
      <c r="O697" s="9">
        <v>0.36249999999999999</v>
      </c>
      <c r="P697" s="9">
        <v>1.1798</v>
      </c>
      <c r="Q697" s="9">
        <v>19.053000000000001</v>
      </c>
      <c r="R697" s="9"/>
      <c r="S697" s="11"/>
    </row>
    <row r="698" spans="1:19" ht="15.75">
      <c r="A698" s="13">
        <v>63128</v>
      </c>
      <c r="B698" s="8">
        <f>20.223 * CHOOSE(CONTROL!$C$15, $D$11, 100%, $F$11)</f>
        <v>20.222999999999999</v>
      </c>
      <c r="C698" s="8">
        <f>20.2334 * CHOOSE(CONTROL!$C$15, $D$11, 100%, $F$11)</f>
        <v>20.2334</v>
      </c>
      <c r="D698" s="8">
        <f>20.2458 * CHOOSE( CONTROL!$C$15, $D$11, 100%, $F$11)</f>
        <v>20.245799999999999</v>
      </c>
      <c r="E698" s="12">
        <f>20.2406 * CHOOSE( CONTROL!$C$15, $D$11, 100%, $F$11)</f>
        <v>20.240600000000001</v>
      </c>
      <c r="F698" s="4">
        <f>20.9113 * CHOOSE(CONTROL!$C$15, $D$11, 100%, $F$11)</f>
        <v>20.911300000000001</v>
      </c>
      <c r="G698" s="8">
        <f>19.8684 * CHOOSE( CONTROL!$C$15, $D$11, 100%, $F$11)</f>
        <v>19.868400000000001</v>
      </c>
      <c r="H698" s="4">
        <f>20.8016 * CHOOSE(CONTROL!$C$15, $D$11, 100%, $F$11)</f>
        <v>20.801600000000001</v>
      </c>
      <c r="I698" s="8">
        <f>19.612 * CHOOSE(CONTROL!$C$15, $D$11, 100%, $F$11)</f>
        <v>19.611999999999998</v>
      </c>
      <c r="J698" s="4">
        <f>19.5326 * CHOOSE(CONTROL!$C$15, $D$11, 100%, $F$11)</f>
        <v>19.532599999999999</v>
      </c>
      <c r="K698" s="4"/>
      <c r="L698" s="9">
        <v>28.921800000000001</v>
      </c>
      <c r="M698" s="9">
        <v>12.063700000000001</v>
      </c>
      <c r="N698" s="9">
        <v>4.9444999999999997</v>
      </c>
      <c r="O698" s="9">
        <v>0.37459999999999999</v>
      </c>
      <c r="P698" s="9">
        <v>1.2192000000000001</v>
      </c>
      <c r="Q698" s="9">
        <v>19.688099999999999</v>
      </c>
      <c r="R698" s="9"/>
      <c r="S698" s="11"/>
    </row>
    <row r="699" spans="1:19" ht="15.75">
      <c r="A699" s="13">
        <v>63158</v>
      </c>
      <c r="B699" s="8">
        <f>21.8087 * CHOOSE(CONTROL!$C$15, $D$11, 100%, $F$11)</f>
        <v>21.808700000000002</v>
      </c>
      <c r="C699" s="8">
        <f>21.819 * CHOOSE(CONTROL!$C$15, $D$11, 100%, $F$11)</f>
        <v>21.818999999999999</v>
      </c>
      <c r="D699" s="8">
        <f>21.8051 * CHOOSE( CONTROL!$C$15, $D$11, 100%, $F$11)</f>
        <v>21.805099999999999</v>
      </c>
      <c r="E699" s="12">
        <f>21.8091 * CHOOSE( CONTROL!$C$15, $D$11, 100%, $F$11)</f>
        <v>21.809100000000001</v>
      </c>
      <c r="F699" s="4">
        <f>22.4629 * CHOOSE(CONTROL!$C$15, $D$11, 100%, $F$11)</f>
        <v>22.462900000000001</v>
      </c>
      <c r="G699" s="8">
        <f>21.4456 * CHOOSE( CONTROL!$C$15, $D$11, 100%, $F$11)</f>
        <v>21.445599999999999</v>
      </c>
      <c r="H699" s="4">
        <f>22.3281 * CHOOSE(CONTROL!$C$15, $D$11, 100%, $F$11)</f>
        <v>22.328099999999999</v>
      </c>
      <c r="I699" s="8">
        <f>21.1792 * CHOOSE(CONTROL!$C$15, $D$11, 100%, $F$11)</f>
        <v>21.179200000000002</v>
      </c>
      <c r="J699" s="4">
        <f>21.0661 * CHOOSE(CONTROL!$C$15, $D$11, 100%, $F$11)</f>
        <v>21.066099999999999</v>
      </c>
      <c r="K699" s="4"/>
      <c r="L699" s="9">
        <v>26.515499999999999</v>
      </c>
      <c r="M699" s="9">
        <v>11.6745</v>
      </c>
      <c r="N699" s="9">
        <v>4.7850000000000001</v>
      </c>
      <c r="O699" s="9">
        <v>0.36249999999999999</v>
      </c>
      <c r="P699" s="9">
        <v>1.2522</v>
      </c>
      <c r="Q699" s="9">
        <v>19.053000000000001</v>
      </c>
      <c r="R699" s="9"/>
      <c r="S699" s="11"/>
    </row>
    <row r="700" spans="1:19" ht="15.75">
      <c r="A700" s="13">
        <v>63189</v>
      </c>
      <c r="B700" s="8">
        <f>21.7691 * CHOOSE(CONTROL!$C$15, $D$11, 100%, $F$11)</f>
        <v>21.769100000000002</v>
      </c>
      <c r="C700" s="8">
        <f>21.7794 * CHOOSE(CONTROL!$C$15, $D$11, 100%, $F$11)</f>
        <v>21.779399999999999</v>
      </c>
      <c r="D700" s="8">
        <f>21.7679 * CHOOSE( CONTROL!$C$15, $D$11, 100%, $F$11)</f>
        <v>21.767900000000001</v>
      </c>
      <c r="E700" s="12">
        <f>21.771 * CHOOSE( CONTROL!$C$15, $D$11, 100%, $F$11)</f>
        <v>21.771000000000001</v>
      </c>
      <c r="F700" s="4">
        <f>22.4233 * CHOOSE(CONTROL!$C$15, $D$11, 100%, $F$11)</f>
        <v>22.423300000000001</v>
      </c>
      <c r="G700" s="8">
        <f>21.4084 * CHOOSE( CONTROL!$C$15, $D$11, 100%, $F$11)</f>
        <v>21.4084</v>
      </c>
      <c r="H700" s="4">
        <f>22.2891 * CHOOSE(CONTROL!$C$15, $D$11, 100%, $F$11)</f>
        <v>22.289100000000001</v>
      </c>
      <c r="I700" s="8">
        <f>21.1489 * CHOOSE(CONTROL!$C$15, $D$11, 100%, $F$11)</f>
        <v>21.148900000000001</v>
      </c>
      <c r="J700" s="4">
        <f>21.0278 * CHOOSE(CONTROL!$C$15, $D$11, 100%, $F$11)</f>
        <v>21.027799999999999</v>
      </c>
      <c r="K700" s="4"/>
      <c r="L700" s="9">
        <v>27.3993</v>
      </c>
      <c r="M700" s="9">
        <v>12.063700000000001</v>
      </c>
      <c r="N700" s="9">
        <v>4.9444999999999997</v>
      </c>
      <c r="O700" s="9">
        <v>0.37459999999999999</v>
      </c>
      <c r="P700" s="9">
        <v>1.2939000000000001</v>
      </c>
      <c r="Q700" s="9">
        <v>19.688099999999999</v>
      </c>
      <c r="R700" s="9"/>
      <c r="S700" s="11"/>
    </row>
    <row r="701" spans="1:19" ht="15.75">
      <c r="A701" s="13">
        <v>63220</v>
      </c>
      <c r="B701" s="8">
        <f>22.6001 * CHOOSE(CONTROL!$C$15, $D$11, 100%, $F$11)</f>
        <v>22.600100000000001</v>
      </c>
      <c r="C701" s="8">
        <f>22.6104 * CHOOSE(CONTROL!$C$15, $D$11, 100%, $F$11)</f>
        <v>22.610399999999998</v>
      </c>
      <c r="D701" s="8">
        <f>22.6088 * CHOOSE( CONTROL!$C$15, $D$11, 100%, $F$11)</f>
        <v>22.608799999999999</v>
      </c>
      <c r="E701" s="12">
        <f>22.6083 * CHOOSE( CONTROL!$C$15, $D$11, 100%, $F$11)</f>
        <v>22.6083</v>
      </c>
      <c r="F701" s="4">
        <f>23.2828 * CHOOSE(CONTROL!$C$15, $D$11, 100%, $F$11)</f>
        <v>23.282800000000002</v>
      </c>
      <c r="G701" s="8">
        <f>22.2362 * CHOOSE( CONTROL!$C$15, $D$11, 100%, $F$11)</f>
        <v>22.2362</v>
      </c>
      <c r="H701" s="4">
        <f>23.1347 * CHOOSE(CONTROL!$C$15, $D$11, 100%, $F$11)</f>
        <v>23.134699999999999</v>
      </c>
      <c r="I701" s="8">
        <f>21.9509 * CHOOSE(CONTROL!$C$15, $D$11, 100%, $F$11)</f>
        <v>21.950900000000001</v>
      </c>
      <c r="J701" s="4">
        <f>21.8314 * CHOOSE(CONTROL!$C$15, $D$11, 100%, $F$11)</f>
        <v>21.831399999999999</v>
      </c>
      <c r="K701" s="4"/>
      <c r="L701" s="9">
        <v>27.3993</v>
      </c>
      <c r="M701" s="9">
        <v>12.063700000000001</v>
      </c>
      <c r="N701" s="9">
        <v>4.9444999999999997</v>
      </c>
      <c r="O701" s="9">
        <v>0.37459999999999999</v>
      </c>
      <c r="P701" s="9">
        <v>1.2939000000000001</v>
      </c>
      <c r="Q701" s="9">
        <v>19.688099999999999</v>
      </c>
      <c r="R701" s="9"/>
      <c r="S701" s="11"/>
    </row>
    <row r="702" spans="1:19" ht="15.75">
      <c r="A702" s="13">
        <v>63248</v>
      </c>
      <c r="B702" s="8">
        <f>21.1407 * CHOOSE(CONTROL!$C$15, $D$11, 100%, $F$11)</f>
        <v>21.140699999999999</v>
      </c>
      <c r="C702" s="8">
        <f>21.151 * CHOOSE(CONTROL!$C$15, $D$11, 100%, $F$11)</f>
        <v>21.151</v>
      </c>
      <c r="D702" s="8">
        <f>21.1516 * CHOOSE( CONTROL!$C$15, $D$11, 100%, $F$11)</f>
        <v>21.151599999999998</v>
      </c>
      <c r="E702" s="12">
        <f>21.1503 * CHOOSE( CONTROL!$C$15, $D$11, 100%, $F$11)</f>
        <v>21.150300000000001</v>
      </c>
      <c r="F702" s="4">
        <f>21.8156 * CHOOSE(CONTROL!$C$15, $D$11, 100%, $F$11)</f>
        <v>21.8156</v>
      </c>
      <c r="G702" s="8">
        <f>20.8002 * CHOOSE( CONTROL!$C$15, $D$11, 100%, $F$11)</f>
        <v>20.8002</v>
      </c>
      <c r="H702" s="4">
        <f>21.6913 * CHOOSE(CONTROL!$C$15, $D$11, 100%, $F$11)</f>
        <v>21.691299999999998</v>
      </c>
      <c r="I702" s="8">
        <f>20.5279 * CHOOSE(CONTROL!$C$15, $D$11, 100%, $F$11)</f>
        <v>20.527899999999999</v>
      </c>
      <c r="J702" s="4">
        <f>20.4201 * CHOOSE(CONTROL!$C$15, $D$11, 100%, $F$11)</f>
        <v>20.420100000000001</v>
      </c>
      <c r="K702" s="4"/>
      <c r="L702" s="9">
        <v>24.747800000000002</v>
      </c>
      <c r="M702" s="9">
        <v>10.8962</v>
      </c>
      <c r="N702" s="9">
        <v>4.4660000000000002</v>
      </c>
      <c r="O702" s="9">
        <v>0.33829999999999999</v>
      </c>
      <c r="P702" s="9">
        <v>1.1687000000000001</v>
      </c>
      <c r="Q702" s="9">
        <v>17.782800000000002</v>
      </c>
      <c r="R702" s="9"/>
      <c r="S702" s="11"/>
    </row>
    <row r="703" spans="1:19" ht="15.75">
      <c r="A703" s="13">
        <v>63279</v>
      </c>
      <c r="B703" s="8">
        <f>20.6912 * CHOOSE(CONTROL!$C$15, $D$11, 100%, $F$11)</f>
        <v>20.691199999999998</v>
      </c>
      <c r="C703" s="8">
        <f>20.7015 * CHOOSE(CONTROL!$C$15, $D$11, 100%, $F$11)</f>
        <v>20.701499999999999</v>
      </c>
      <c r="D703" s="8">
        <f>20.6816 * CHOOSE( CONTROL!$C$15, $D$11, 100%, $F$11)</f>
        <v>20.6816</v>
      </c>
      <c r="E703" s="12">
        <f>20.6878 * CHOOSE( CONTROL!$C$15, $D$11, 100%, $F$11)</f>
        <v>20.687799999999999</v>
      </c>
      <c r="F703" s="4">
        <f>21.3501 * CHOOSE(CONTROL!$C$15, $D$11, 100%, $F$11)</f>
        <v>21.350100000000001</v>
      </c>
      <c r="G703" s="8">
        <f>20.3373 * CHOOSE( CONTROL!$C$15, $D$11, 100%, $F$11)</f>
        <v>20.337299999999999</v>
      </c>
      <c r="H703" s="4">
        <f>21.2333 * CHOOSE(CONTROL!$C$15, $D$11, 100%, $F$11)</f>
        <v>21.2333</v>
      </c>
      <c r="I703" s="8">
        <f>20.0535 * CHOOSE(CONTROL!$C$15, $D$11, 100%, $F$11)</f>
        <v>20.0535</v>
      </c>
      <c r="J703" s="4">
        <f>19.9854 * CHOOSE(CONTROL!$C$15, $D$11, 100%, $F$11)</f>
        <v>19.985399999999998</v>
      </c>
      <c r="K703" s="4"/>
      <c r="L703" s="9">
        <v>27.3993</v>
      </c>
      <c r="M703" s="9">
        <v>12.063700000000001</v>
      </c>
      <c r="N703" s="9">
        <v>4.9444999999999997</v>
      </c>
      <c r="O703" s="9">
        <v>0.37459999999999999</v>
      </c>
      <c r="P703" s="9">
        <v>1.2939000000000001</v>
      </c>
      <c r="Q703" s="9">
        <v>19.688099999999999</v>
      </c>
      <c r="R703" s="9"/>
      <c r="S703" s="11"/>
    </row>
    <row r="704" spans="1:19" ht="15.75">
      <c r="A704" s="13">
        <v>63309</v>
      </c>
      <c r="B704" s="8">
        <f>21.0053 * CHOOSE(CONTROL!$C$15, $D$11, 100%, $F$11)</f>
        <v>21.005299999999998</v>
      </c>
      <c r="C704" s="8">
        <f>21.0156 * CHOOSE(CONTROL!$C$15, $D$11, 100%, $F$11)</f>
        <v>21.015599999999999</v>
      </c>
      <c r="D704" s="8">
        <f>21.0072 * CHOOSE( CONTROL!$C$15, $D$11, 100%, $F$11)</f>
        <v>21.007200000000001</v>
      </c>
      <c r="E704" s="12">
        <f>21.0088 * CHOOSE( CONTROL!$C$15, $D$11, 100%, $F$11)</f>
        <v>21.008800000000001</v>
      </c>
      <c r="F704" s="4">
        <f>21.6544 * CHOOSE(CONTROL!$C$15, $D$11, 100%, $F$11)</f>
        <v>21.654399999999999</v>
      </c>
      <c r="G704" s="8">
        <f>20.6311 * CHOOSE( CONTROL!$C$15, $D$11, 100%, $F$11)</f>
        <v>20.6311</v>
      </c>
      <c r="H704" s="4">
        <f>21.5326 * CHOOSE(CONTROL!$C$15, $D$11, 100%, $F$11)</f>
        <v>21.532599999999999</v>
      </c>
      <c r="I704" s="8">
        <f>20.3542 * CHOOSE(CONTROL!$C$15, $D$11, 100%, $F$11)</f>
        <v>20.354199999999999</v>
      </c>
      <c r="J704" s="4">
        <f>20.2891 * CHOOSE(CONTROL!$C$15, $D$11, 100%, $F$11)</f>
        <v>20.289100000000001</v>
      </c>
      <c r="K704" s="4"/>
      <c r="L704" s="9">
        <v>27.988800000000001</v>
      </c>
      <c r="M704" s="9">
        <v>11.6745</v>
      </c>
      <c r="N704" s="9">
        <v>4.7850000000000001</v>
      </c>
      <c r="O704" s="9">
        <v>0.36249999999999999</v>
      </c>
      <c r="P704" s="9">
        <v>1.1798</v>
      </c>
      <c r="Q704" s="9">
        <v>19.053000000000001</v>
      </c>
      <c r="R704" s="9"/>
      <c r="S704" s="11"/>
    </row>
    <row r="705" spans="1:19" ht="15.75">
      <c r="A705" s="13">
        <v>63340</v>
      </c>
      <c r="B705" s="8">
        <f>CHOOSE( CONTROL!$C$32, 21.5688, 21.5643) * CHOOSE(CONTROL!$C$15, $D$11, 100%, $F$11)</f>
        <v>21.5688</v>
      </c>
      <c r="C705" s="8">
        <f>CHOOSE( CONTROL!$C$32, 21.5792, 21.5746) * CHOOSE(CONTROL!$C$15, $D$11, 100%, $F$11)</f>
        <v>21.5792</v>
      </c>
      <c r="D705" s="8">
        <f>CHOOSE( CONTROL!$C$32, 21.5889, 21.5843) * CHOOSE( CONTROL!$C$15, $D$11, 100%, $F$11)</f>
        <v>21.588899999999999</v>
      </c>
      <c r="E705" s="12">
        <f>CHOOSE( CONTROL!$C$32, 21.5838, 21.5792) * CHOOSE( CONTROL!$C$15, $D$11, 100%, $F$11)</f>
        <v>21.5838</v>
      </c>
      <c r="F705" s="4">
        <f>CHOOSE( CONTROL!$C$32, 22.2571, 22.2526) * CHOOSE(CONTROL!$C$15, $D$11, 100%, $F$11)</f>
        <v>22.257100000000001</v>
      </c>
      <c r="G705" s="8">
        <f>CHOOSE( CONTROL!$C$32, 21.1906, 21.1861) * CHOOSE( CONTROL!$C$15, $D$11, 100%, $F$11)</f>
        <v>21.1906</v>
      </c>
      <c r="H705" s="4">
        <f>CHOOSE( CONTROL!$C$32, 22.1256, 22.1212) * CHOOSE(CONTROL!$C$15, $D$11, 100%, $F$11)</f>
        <v>22.125599999999999</v>
      </c>
      <c r="I705" s="8">
        <f>CHOOSE( CONTROL!$C$32, 20.9053, 20.901) * CHOOSE(CONTROL!$C$15, $D$11, 100%, $F$11)</f>
        <v>20.9053</v>
      </c>
      <c r="J705" s="4">
        <f>CHOOSE( CONTROL!$C$32, 20.8341, 20.8297) * CHOOSE(CONTROL!$C$15, $D$11, 100%, $F$11)</f>
        <v>20.834099999999999</v>
      </c>
      <c r="K705" s="4"/>
      <c r="L705" s="9">
        <v>29.520499999999998</v>
      </c>
      <c r="M705" s="9">
        <v>12.063700000000001</v>
      </c>
      <c r="N705" s="9">
        <v>4.9444999999999997</v>
      </c>
      <c r="O705" s="9">
        <v>0.37459999999999999</v>
      </c>
      <c r="P705" s="9">
        <v>1.2192000000000001</v>
      </c>
      <c r="Q705" s="9">
        <v>19.688099999999999</v>
      </c>
      <c r="R705" s="9"/>
      <c r="S705" s="11"/>
    </row>
    <row r="706" spans="1:19" ht="15.75">
      <c r="A706" s="13">
        <v>63370</v>
      </c>
      <c r="B706" s="8">
        <f>CHOOSE( CONTROL!$C$32, 21.2225, 21.218) * CHOOSE(CONTROL!$C$15, $D$11, 100%, $F$11)</f>
        <v>21.2225</v>
      </c>
      <c r="C706" s="8">
        <f>CHOOSE( CONTROL!$C$32, 21.2329, 21.2284) * CHOOSE(CONTROL!$C$15, $D$11, 100%, $F$11)</f>
        <v>21.232900000000001</v>
      </c>
      <c r="D706" s="8">
        <f>CHOOSE( CONTROL!$C$32, 21.2432, 21.2387) * CHOOSE( CONTROL!$C$15, $D$11, 100%, $F$11)</f>
        <v>21.243200000000002</v>
      </c>
      <c r="E706" s="12">
        <f>CHOOSE( CONTROL!$C$32, 21.2379, 21.2334) * CHOOSE( CONTROL!$C$15, $D$11, 100%, $F$11)</f>
        <v>21.2379</v>
      </c>
      <c r="F706" s="4">
        <f>CHOOSE( CONTROL!$C$32, 21.9108, 21.9063) * CHOOSE(CONTROL!$C$15, $D$11, 100%, $F$11)</f>
        <v>21.910799999999998</v>
      </c>
      <c r="G706" s="8">
        <f>CHOOSE( CONTROL!$C$32, 20.8508, 20.8464) * CHOOSE( CONTROL!$C$15, $D$11, 100%, $F$11)</f>
        <v>20.8508</v>
      </c>
      <c r="H706" s="4">
        <f>CHOOSE( CONTROL!$C$32, 21.7849, 21.7805) * CHOOSE(CONTROL!$C$15, $D$11, 100%, $F$11)</f>
        <v>21.7849</v>
      </c>
      <c r="I706" s="8">
        <f>CHOOSE( CONTROL!$C$32, 20.5733, 20.5689) * CHOOSE(CONTROL!$C$15, $D$11, 100%, $F$11)</f>
        <v>20.5733</v>
      </c>
      <c r="J706" s="4">
        <f>CHOOSE( CONTROL!$C$32, 20.4992, 20.4948) * CHOOSE(CONTROL!$C$15, $D$11, 100%, $F$11)</f>
        <v>20.499199999999998</v>
      </c>
      <c r="K706" s="4"/>
      <c r="L706" s="9">
        <v>28.568200000000001</v>
      </c>
      <c r="M706" s="9">
        <v>11.6745</v>
      </c>
      <c r="N706" s="9">
        <v>4.7850000000000001</v>
      </c>
      <c r="O706" s="9">
        <v>0.36249999999999999</v>
      </c>
      <c r="P706" s="9">
        <v>1.1798</v>
      </c>
      <c r="Q706" s="9">
        <v>19.053000000000001</v>
      </c>
      <c r="R706" s="9"/>
      <c r="S706" s="11"/>
    </row>
    <row r="707" spans="1:19" ht="15.75">
      <c r="A707" s="13">
        <v>63401</v>
      </c>
      <c r="B707" s="8">
        <f>CHOOSE( CONTROL!$C$32, 22.1344, 22.1299) * CHOOSE(CONTROL!$C$15, $D$11, 100%, $F$11)</f>
        <v>22.134399999999999</v>
      </c>
      <c r="C707" s="8">
        <f>CHOOSE( CONTROL!$C$32, 22.1448, 22.1403) * CHOOSE(CONTROL!$C$15, $D$11, 100%, $F$11)</f>
        <v>22.1448</v>
      </c>
      <c r="D707" s="8">
        <f>CHOOSE( CONTROL!$C$32, 22.1557, 22.1511) * CHOOSE( CONTROL!$C$15, $D$11, 100%, $F$11)</f>
        <v>22.1557</v>
      </c>
      <c r="E707" s="12">
        <f>CHOOSE( CONTROL!$C$32, 22.1502, 22.1456) * CHOOSE( CONTROL!$C$15, $D$11, 100%, $F$11)</f>
        <v>22.150200000000002</v>
      </c>
      <c r="F707" s="4">
        <f>CHOOSE( CONTROL!$C$32, 22.8227, 22.8182) * CHOOSE(CONTROL!$C$15, $D$11, 100%, $F$11)</f>
        <v>22.822700000000001</v>
      </c>
      <c r="G707" s="8">
        <f>CHOOSE( CONTROL!$C$32, 21.7488, 21.7444) * CHOOSE( CONTROL!$C$15, $D$11, 100%, $F$11)</f>
        <v>21.748799999999999</v>
      </c>
      <c r="H707" s="4">
        <f>CHOOSE( CONTROL!$C$32, 22.6821, 22.6776) * CHOOSE(CONTROL!$C$15, $D$11, 100%, $F$11)</f>
        <v>22.682099999999998</v>
      </c>
      <c r="I707" s="8">
        <f>CHOOSE( CONTROL!$C$32, 21.4583, 21.4539) * CHOOSE(CONTROL!$C$15, $D$11, 100%, $F$11)</f>
        <v>21.458300000000001</v>
      </c>
      <c r="J707" s="4">
        <f>CHOOSE( CONTROL!$C$32, 21.3811, 21.3767) * CHOOSE(CONTROL!$C$15, $D$11, 100%, $F$11)</f>
        <v>21.3811</v>
      </c>
      <c r="K707" s="4"/>
      <c r="L707" s="9">
        <v>29.520499999999998</v>
      </c>
      <c r="M707" s="9">
        <v>12.063700000000001</v>
      </c>
      <c r="N707" s="9">
        <v>4.9444999999999997</v>
      </c>
      <c r="O707" s="9">
        <v>0.37459999999999999</v>
      </c>
      <c r="P707" s="9">
        <v>1.2192000000000001</v>
      </c>
      <c r="Q707" s="9">
        <v>19.688099999999999</v>
      </c>
      <c r="R707" s="9"/>
      <c r="S707" s="11"/>
    </row>
    <row r="708" spans="1:19" ht="15.75">
      <c r="A708" s="13">
        <v>63432</v>
      </c>
      <c r="B708" s="8">
        <f>CHOOSE( CONTROL!$C$32, 20.4282, 20.4237) * CHOOSE(CONTROL!$C$15, $D$11, 100%, $F$11)</f>
        <v>20.4282</v>
      </c>
      <c r="C708" s="8">
        <f>CHOOSE( CONTROL!$C$32, 20.4385, 20.434) * CHOOSE(CONTROL!$C$15, $D$11, 100%, $F$11)</f>
        <v>20.438500000000001</v>
      </c>
      <c r="D708" s="8">
        <f>CHOOSE( CONTROL!$C$32, 20.4497, 20.4452) * CHOOSE( CONTROL!$C$15, $D$11, 100%, $F$11)</f>
        <v>20.4497</v>
      </c>
      <c r="E708" s="12">
        <f>CHOOSE( CONTROL!$C$32, 20.4441, 20.4396) * CHOOSE( CONTROL!$C$15, $D$11, 100%, $F$11)</f>
        <v>20.444099999999999</v>
      </c>
      <c r="F708" s="4">
        <f>CHOOSE( CONTROL!$C$32, 21.1165, 21.1119) * CHOOSE(CONTROL!$C$15, $D$11, 100%, $F$11)</f>
        <v>21.116499999999998</v>
      </c>
      <c r="G708" s="8">
        <f>CHOOSE( CONTROL!$C$32, 20.0706, 20.0662) * CHOOSE( CONTROL!$C$15, $D$11, 100%, $F$11)</f>
        <v>20.070599999999999</v>
      </c>
      <c r="H708" s="4">
        <f>CHOOSE( CONTROL!$C$32, 21.0034, 20.999) * CHOOSE(CONTROL!$C$15, $D$11, 100%, $F$11)</f>
        <v>21.003399999999999</v>
      </c>
      <c r="I708" s="8">
        <f>CHOOSE( CONTROL!$C$32, 19.8088, 19.8044) * CHOOSE(CONTROL!$C$15, $D$11, 100%, $F$11)</f>
        <v>19.808800000000002</v>
      </c>
      <c r="J708" s="4">
        <f>CHOOSE( CONTROL!$C$32, 19.731, 19.7266) * CHOOSE(CONTROL!$C$15, $D$11, 100%, $F$11)</f>
        <v>19.731000000000002</v>
      </c>
      <c r="K708" s="4"/>
      <c r="L708" s="9">
        <v>29.520499999999998</v>
      </c>
      <c r="M708" s="9">
        <v>12.063700000000001</v>
      </c>
      <c r="N708" s="9">
        <v>4.9444999999999997</v>
      </c>
      <c r="O708" s="9">
        <v>0.37459999999999999</v>
      </c>
      <c r="P708" s="9">
        <v>1.2192000000000001</v>
      </c>
      <c r="Q708" s="9">
        <v>19.688099999999999</v>
      </c>
      <c r="R708" s="9"/>
      <c r="S708" s="11"/>
    </row>
    <row r="709" spans="1:19" ht="15.75">
      <c r="A709" s="13">
        <v>63462</v>
      </c>
      <c r="B709" s="8">
        <f>CHOOSE( CONTROL!$C$32, 20.0009, 19.9964) * CHOOSE(CONTROL!$C$15, $D$11, 100%, $F$11)</f>
        <v>20.000900000000001</v>
      </c>
      <c r="C709" s="8">
        <f>CHOOSE( CONTROL!$C$32, 20.0112, 20.0067) * CHOOSE(CONTROL!$C$15, $D$11, 100%, $F$11)</f>
        <v>20.011199999999999</v>
      </c>
      <c r="D709" s="8">
        <f>CHOOSE( CONTROL!$C$32, 20.0225, 20.018) * CHOOSE( CONTROL!$C$15, $D$11, 100%, $F$11)</f>
        <v>20.022500000000001</v>
      </c>
      <c r="E709" s="12">
        <f>CHOOSE( CONTROL!$C$32, 20.0168, 20.0123) * CHOOSE( CONTROL!$C$15, $D$11, 100%, $F$11)</f>
        <v>20.0168</v>
      </c>
      <c r="F709" s="4">
        <f>CHOOSE( CONTROL!$C$32, 20.6892, 20.6847) * CHOOSE(CONTROL!$C$15, $D$11, 100%, $F$11)</f>
        <v>20.6892</v>
      </c>
      <c r="G709" s="8">
        <f>CHOOSE( CONTROL!$C$32, 19.6504, 19.6459) * CHOOSE( CONTROL!$C$15, $D$11, 100%, $F$11)</f>
        <v>19.650400000000001</v>
      </c>
      <c r="H709" s="4">
        <f>CHOOSE( CONTROL!$C$32, 20.5831, 20.5786) * CHOOSE(CONTROL!$C$15, $D$11, 100%, $F$11)</f>
        <v>20.583100000000002</v>
      </c>
      <c r="I709" s="8">
        <f>CHOOSE( CONTROL!$C$32, 19.3958, 19.3914) * CHOOSE(CONTROL!$C$15, $D$11, 100%, $F$11)</f>
        <v>19.395800000000001</v>
      </c>
      <c r="J709" s="4">
        <f>CHOOSE( CONTROL!$C$32, 19.3178, 19.3134) * CHOOSE(CONTROL!$C$15, $D$11, 100%, $F$11)</f>
        <v>19.317799999999998</v>
      </c>
      <c r="K709" s="4"/>
      <c r="L709" s="9">
        <v>28.568200000000001</v>
      </c>
      <c r="M709" s="9">
        <v>11.6745</v>
      </c>
      <c r="N709" s="9">
        <v>4.7850000000000001</v>
      </c>
      <c r="O709" s="9">
        <v>0.36249999999999999</v>
      </c>
      <c r="P709" s="9">
        <v>1.1798</v>
      </c>
      <c r="Q709" s="9">
        <v>19.053000000000001</v>
      </c>
      <c r="R709" s="9"/>
      <c r="S709" s="11"/>
    </row>
    <row r="710" spans="1:19" ht="15.75">
      <c r="A710" s="13">
        <v>63493</v>
      </c>
      <c r="B710" s="8">
        <f>20.8835 * CHOOSE(CONTROL!$C$15, $D$11, 100%, $F$11)</f>
        <v>20.883500000000002</v>
      </c>
      <c r="C710" s="8">
        <f>20.8939 * CHOOSE(CONTROL!$C$15, $D$11, 100%, $F$11)</f>
        <v>20.893899999999999</v>
      </c>
      <c r="D710" s="8">
        <f>20.9063 * CHOOSE( CONTROL!$C$15, $D$11, 100%, $F$11)</f>
        <v>20.906300000000002</v>
      </c>
      <c r="E710" s="12">
        <f>20.9011 * CHOOSE( CONTROL!$C$15, $D$11, 100%, $F$11)</f>
        <v>20.9011</v>
      </c>
      <c r="F710" s="4">
        <f>21.5718 * CHOOSE(CONTROL!$C$15, $D$11, 100%, $F$11)</f>
        <v>21.5718</v>
      </c>
      <c r="G710" s="8">
        <f>20.5182 * CHOOSE( CONTROL!$C$15, $D$11, 100%, $F$11)</f>
        <v>20.5182</v>
      </c>
      <c r="H710" s="4">
        <f>21.4514 * CHOOSE(CONTROL!$C$15, $D$11, 100%, $F$11)</f>
        <v>21.4514</v>
      </c>
      <c r="I710" s="8">
        <f>20.2511 * CHOOSE(CONTROL!$C$15, $D$11, 100%, $F$11)</f>
        <v>20.251100000000001</v>
      </c>
      <c r="J710" s="4">
        <f>20.1714 * CHOOSE(CONTROL!$C$15, $D$11, 100%, $F$11)</f>
        <v>20.171399999999998</v>
      </c>
      <c r="K710" s="4"/>
      <c r="L710" s="9">
        <v>28.921800000000001</v>
      </c>
      <c r="M710" s="9">
        <v>12.063700000000001</v>
      </c>
      <c r="N710" s="9">
        <v>4.9444999999999997</v>
      </c>
      <c r="O710" s="9">
        <v>0.37459999999999999</v>
      </c>
      <c r="P710" s="9">
        <v>1.2192000000000001</v>
      </c>
      <c r="Q710" s="9">
        <v>19.688099999999999</v>
      </c>
      <c r="R710" s="9"/>
      <c r="S710" s="11"/>
    </row>
    <row r="711" spans="1:19" ht="15.75">
      <c r="A711" s="13">
        <v>63523</v>
      </c>
      <c r="B711" s="8">
        <f>22.5211 * CHOOSE(CONTROL!$C$15, $D$11, 100%, $F$11)</f>
        <v>22.521100000000001</v>
      </c>
      <c r="C711" s="8">
        <f>22.5314 * CHOOSE(CONTROL!$C$15, $D$11, 100%, $F$11)</f>
        <v>22.531400000000001</v>
      </c>
      <c r="D711" s="8">
        <f>22.5174 * CHOOSE( CONTROL!$C$15, $D$11, 100%, $F$11)</f>
        <v>22.517399999999999</v>
      </c>
      <c r="E711" s="12">
        <f>22.5214 * CHOOSE( CONTROL!$C$15, $D$11, 100%, $F$11)</f>
        <v>22.5214</v>
      </c>
      <c r="F711" s="4">
        <f>23.1753 * CHOOSE(CONTROL!$C$15, $D$11, 100%, $F$11)</f>
        <v>23.1753</v>
      </c>
      <c r="G711" s="8">
        <f>22.1464 * CHOOSE( CONTROL!$C$15, $D$11, 100%, $F$11)</f>
        <v>22.1464</v>
      </c>
      <c r="H711" s="4">
        <f>23.029 * CHOOSE(CONTROL!$C$15, $D$11, 100%, $F$11)</f>
        <v>23.029</v>
      </c>
      <c r="I711" s="8">
        <f>21.8685 * CHOOSE(CONTROL!$C$15, $D$11, 100%, $F$11)</f>
        <v>21.868500000000001</v>
      </c>
      <c r="J711" s="4">
        <f>21.755 * CHOOSE(CONTROL!$C$15, $D$11, 100%, $F$11)</f>
        <v>21.754999999999999</v>
      </c>
      <c r="K711" s="4"/>
      <c r="L711" s="9">
        <v>26.515499999999999</v>
      </c>
      <c r="M711" s="9">
        <v>11.6745</v>
      </c>
      <c r="N711" s="9">
        <v>4.7850000000000001</v>
      </c>
      <c r="O711" s="9">
        <v>0.36249999999999999</v>
      </c>
      <c r="P711" s="9">
        <v>1.2522</v>
      </c>
      <c r="Q711" s="9">
        <v>19.053000000000001</v>
      </c>
      <c r="R711" s="9"/>
      <c r="S711" s="11"/>
    </row>
    <row r="712" spans="1:19" ht="15.75">
      <c r="A712" s="13">
        <v>63554</v>
      </c>
      <c r="B712" s="8">
        <f>22.4801 * CHOOSE(CONTROL!$C$15, $D$11, 100%, $F$11)</f>
        <v>22.4801</v>
      </c>
      <c r="C712" s="8">
        <f>22.4905 * CHOOSE(CONTROL!$C$15, $D$11, 100%, $F$11)</f>
        <v>22.490500000000001</v>
      </c>
      <c r="D712" s="8">
        <f>22.479 * CHOOSE( CONTROL!$C$15, $D$11, 100%, $F$11)</f>
        <v>22.478999999999999</v>
      </c>
      <c r="E712" s="12">
        <f>22.4821 * CHOOSE( CONTROL!$C$15, $D$11, 100%, $F$11)</f>
        <v>22.482099999999999</v>
      </c>
      <c r="F712" s="4">
        <f>23.1344 * CHOOSE(CONTROL!$C$15, $D$11, 100%, $F$11)</f>
        <v>23.134399999999999</v>
      </c>
      <c r="G712" s="8">
        <f>22.108 * CHOOSE( CONTROL!$C$15, $D$11, 100%, $F$11)</f>
        <v>22.108000000000001</v>
      </c>
      <c r="H712" s="4">
        <f>22.9887 * CHOOSE(CONTROL!$C$15, $D$11, 100%, $F$11)</f>
        <v>22.988700000000001</v>
      </c>
      <c r="I712" s="8">
        <f>21.8369 * CHOOSE(CONTROL!$C$15, $D$11, 100%, $F$11)</f>
        <v>21.8369</v>
      </c>
      <c r="J712" s="4">
        <f>21.7154 * CHOOSE(CONTROL!$C$15, $D$11, 100%, $F$11)</f>
        <v>21.715399999999999</v>
      </c>
      <c r="K712" s="4"/>
      <c r="L712" s="9">
        <v>27.3993</v>
      </c>
      <c r="M712" s="9">
        <v>12.063700000000001</v>
      </c>
      <c r="N712" s="9">
        <v>4.9444999999999997</v>
      </c>
      <c r="O712" s="9">
        <v>0.37459999999999999</v>
      </c>
      <c r="P712" s="9">
        <v>1.2939000000000001</v>
      </c>
      <c r="Q712" s="9">
        <v>19.688099999999999</v>
      </c>
      <c r="R712" s="9"/>
      <c r="S712" s="11"/>
    </row>
    <row r="713" spans="1:19" ht="15.75">
      <c r="A713" s="13">
        <v>63585</v>
      </c>
      <c r="B713" s="8">
        <f>23.3383 * CHOOSE(CONTROL!$C$15, $D$11, 100%, $F$11)</f>
        <v>23.3383</v>
      </c>
      <c r="C713" s="8">
        <f>23.3487 * CHOOSE(CONTROL!$C$15, $D$11, 100%, $F$11)</f>
        <v>23.348700000000001</v>
      </c>
      <c r="D713" s="8">
        <f>23.3471 * CHOOSE( CONTROL!$C$15, $D$11, 100%, $F$11)</f>
        <v>23.347100000000001</v>
      </c>
      <c r="E713" s="12">
        <f>23.3466 * CHOOSE( CONTROL!$C$15, $D$11, 100%, $F$11)</f>
        <v>23.346599999999999</v>
      </c>
      <c r="F713" s="4">
        <f>24.021 * CHOOSE(CONTROL!$C$15, $D$11, 100%, $F$11)</f>
        <v>24.021000000000001</v>
      </c>
      <c r="G713" s="8">
        <f>22.9626 * CHOOSE( CONTROL!$C$15, $D$11, 100%, $F$11)</f>
        <v>22.962599999999998</v>
      </c>
      <c r="H713" s="4">
        <f>23.861 * CHOOSE(CONTROL!$C$15, $D$11, 100%, $F$11)</f>
        <v>23.861000000000001</v>
      </c>
      <c r="I713" s="8">
        <f>22.6653 * CHOOSE(CONTROL!$C$15, $D$11, 100%, $F$11)</f>
        <v>22.665299999999998</v>
      </c>
      <c r="J713" s="4">
        <f>22.5454 * CHOOSE(CONTROL!$C$15, $D$11, 100%, $F$11)</f>
        <v>22.545400000000001</v>
      </c>
      <c r="K713" s="4"/>
      <c r="L713" s="9">
        <v>27.3993</v>
      </c>
      <c r="M713" s="9">
        <v>12.063700000000001</v>
      </c>
      <c r="N713" s="9">
        <v>4.9444999999999997</v>
      </c>
      <c r="O713" s="9">
        <v>0.37459999999999999</v>
      </c>
      <c r="P713" s="9">
        <v>1.2939000000000001</v>
      </c>
      <c r="Q713" s="9">
        <v>19.688099999999999</v>
      </c>
      <c r="R713" s="9"/>
      <c r="S713" s="11"/>
    </row>
    <row r="714" spans="1:19" ht="15.75">
      <c r="A714" s="13">
        <v>63613</v>
      </c>
      <c r="B714" s="8">
        <f>21.8312 * CHOOSE(CONTROL!$C$15, $D$11, 100%, $F$11)</f>
        <v>21.831199999999999</v>
      </c>
      <c r="C714" s="8">
        <f>21.8416 * CHOOSE(CONTROL!$C$15, $D$11, 100%, $F$11)</f>
        <v>21.8416</v>
      </c>
      <c r="D714" s="8">
        <f>21.8421 * CHOOSE( CONTROL!$C$15, $D$11, 100%, $F$11)</f>
        <v>21.842099999999999</v>
      </c>
      <c r="E714" s="12">
        <f>21.8408 * CHOOSE( CONTROL!$C$15, $D$11, 100%, $F$11)</f>
        <v>21.840800000000002</v>
      </c>
      <c r="F714" s="4">
        <f>22.5062 * CHOOSE(CONTROL!$C$15, $D$11, 100%, $F$11)</f>
        <v>22.5062</v>
      </c>
      <c r="G714" s="8">
        <f>21.4796 * CHOOSE( CONTROL!$C$15, $D$11, 100%, $F$11)</f>
        <v>21.479600000000001</v>
      </c>
      <c r="H714" s="4">
        <f>22.3706 * CHOOSE(CONTROL!$C$15, $D$11, 100%, $F$11)</f>
        <v>22.3706</v>
      </c>
      <c r="I714" s="8">
        <f>21.1961 * CHOOSE(CONTROL!$C$15, $D$11, 100%, $F$11)</f>
        <v>21.196100000000001</v>
      </c>
      <c r="J714" s="4">
        <f>21.0879 * CHOOSE(CONTROL!$C$15, $D$11, 100%, $F$11)</f>
        <v>21.087900000000001</v>
      </c>
      <c r="K714" s="4"/>
      <c r="L714" s="9">
        <v>24.747800000000002</v>
      </c>
      <c r="M714" s="9">
        <v>10.8962</v>
      </c>
      <c r="N714" s="9">
        <v>4.4660000000000002</v>
      </c>
      <c r="O714" s="9">
        <v>0.33829999999999999</v>
      </c>
      <c r="P714" s="9">
        <v>1.1687000000000001</v>
      </c>
      <c r="Q714" s="9">
        <v>17.782800000000002</v>
      </c>
      <c r="R714" s="9"/>
      <c r="S714" s="11"/>
    </row>
    <row r="715" spans="1:19" ht="15.75">
      <c r="A715" s="13">
        <v>63644</v>
      </c>
      <c r="B715" s="8">
        <f>21.367 * CHOOSE(CONTROL!$C$15, $D$11, 100%, $F$11)</f>
        <v>21.367000000000001</v>
      </c>
      <c r="C715" s="8">
        <f>21.3774 * CHOOSE(CONTROL!$C$15, $D$11, 100%, $F$11)</f>
        <v>21.377400000000002</v>
      </c>
      <c r="D715" s="8">
        <f>21.3575 * CHOOSE( CONTROL!$C$15, $D$11, 100%, $F$11)</f>
        <v>21.357500000000002</v>
      </c>
      <c r="E715" s="12">
        <f>21.3637 * CHOOSE( CONTROL!$C$15, $D$11, 100%, $F$11)</f>
        <v>21.363700000000001</v>
      </c>
      <c r="F715" s="4">
        <f>22.0259 * CHOOSE(CONTROL!$C$15, $D$11, 100%, $F$11)</f>
        <v>22.0259</v>
      </c>
      <c r="G715" s="8">
        <f>21.0022 * CHOOSE( CONTROL!$C$15, $D$11, 100%, $F$11)</f>
        <v>21.002199999999998</v>
      </c>
      <c r="H715" s="4">
        <f>21.8982 * CHOOSE(CONTROL!$C$15, $D$11, 100%, $F$11)</f>
        <v>21.898199999999999</v>
      </c>
      <c r="I715" s="8">
        <f>20.7074 * CHOOSE(CONTROL!$C$15, $D$11, 100%, $F$11)</f>
        <v>20.7074</v>
      </c>
      <c r="J715" s="4">
        <f>20.639 * CHOOSE(CONTROL!$C$15, $D$11, 100%, $F$11)</f>
        <v>20.638999999999999</v>
      </c>
      <c r="K715" s="4"/>
      <c r="L715" s="9">
        <v>27.3993</v>
      </c>
      <c r="M715" s="9">
        <v>12.063700000000001</v>
      </c>
      <c r="N715" s="9">
        <v>4.9444999999999997</v>
      </c>
      <c r="O715" s="9">
        <v>0.37459999999999999</v>
      </c>
      <c r="P715" s="9">
        <v>1.2939000000000001</v>
      </c>
      <c r="Q715" s="9">
        <v>19.688099999999999</v>
      </c>
      <c r="R715" s="9"/>
      <c r="S715" s="11"/>
    </row>
    <row r="716" spans="1:19" ht="15.75">
      <c r="A716" s="13">
        <v>63674</v>
      </c>
      <c r="B716" s="8">
        <f>21.6914 * CHOOSE(CONTROL!$C$15, $D$11, 100%, $F$11)</f>
        <v>21.691400000000002</v>
      </c>
      <c r="C716" s="8">
        <f>21.7017 * CHOOSE(CONTROL!$C$15, $D$11, 100%, $F$11)</f>
        <v>21.701699999999999</v>
      </c>
      <c r="D716" s="8">
        <f>21.6933 * CHOOSE( CONTROL!$C$15, $D$11, 100%, $F$11)</f>
        <v>21.693300000000001</v>
      </c>
      <c r="E716" s="12">
        <f>21.6949 * CHOOSE( CONTROL!$C$15, $D$11, 100%, $F$11)</f>
        <v>21.694900000000001</v>
      </c>
      <c r="F716" s="4">
        <f>22.3405 * CHOOSE(CONTROL!$C$15, $D$11, 100%, $F$11)</f>
        <v>22.340499999999999</v>
      </c>
      <c r="G716" s="8">
        <f>21.3061 * CHOOSE( CONTROL!$C$15, $D$11, 100%, $F$11)</f>
        <v>21.306100000000001</v>
      </c>
      <c r="H716" s="4">
        <f>22.2076 * CHOOSE(CONTROL!$C$15, $D$11, 100%, $F$11)</f>
        <v>22.207599999999999</v>
      </c>
      <c r="I716" s="8">
        <f>21.0181 * CHOOSE(CONTROL!$C$15, $D$11, 100%, $F$11)</f>
        <v>21.0181</v>
      </c>
      <c r="J716" s="4">
        <f>20.9526 * CHOOSE(CONTROL!$C$15, $D$11, 100%, $F$11)</f>
        <v>20.9526</v>
      </c>
      <c r="K716" s="4"/>
      <c r="L716" s="9">
        <v>27.988800000000001</v>
      </c>
      <c r="M716" s="9">
        <v>11.6745</v>
      </c>
      <c r="N716" s="9">
        <v>4.7850000000000001</v>
      </c>
      <c r="O716" s="9">
        <v>0.36249999999999999</v>
      </c>
      <c r="P716" s="9">
        <v>1.1798</v>
      </c>
      <c r="Q716" s="9">
        <v>19.053000000000001</v>
      </c>
      <c r="R716" s="9"/>
      <c r="S716" s="11"/>
    </row>
    <row r="717" spans="1:19" ht="15.75">
      <c r="A717" s="13">
        <v>63705</v>
      </c>
      <c r="B717" s="8">
        <f>CHOOSE( CONTROL!$C$32, 22.2732, 22.2687) * CHOOSE(CONTROL!$C$15, $D$11, 100%, $F$11)</f>
        <v>22.273199999999999</v>
      </c>
      <c r="C717" s="8">
        <f>CHOOSE( CONTROL!$C$32, 22.2835, 22.279) * CHOOSE(CONTROL!$C$15, $D$11, 100%, $F$11)</f>
        <v>22.2835</v>
      </c>
      <c r="D717" s="8">
        <f>CHOOSE( CONTROL!$C$32, 22.2932, 22.2887) * CHOOSE( CONTROL!$C$15, $D$11, 100%, $F$11)</f>
        <v>22.293199999999999</v>
      </c>
      <c r="E717" s="12">
        <f>CHOOSE( CONTROL!$C$32, 22.2881, 22.2836) * CHOOSE( CONTROL!$C$15, $D$11, 100%, $F$11)</f>
        <v>22.2881</v>
      </c>
      <c r="F717" s="4">
        <f>CHOOSE( CONTROL!$C$32, 22.9615, 22.957) * CHOOSE(CONTROL!$C$15, $D$11, 100%, $F$11)</f>
        <v>22.961500000000001</v>
      </c>
      <c r="G717" s="8">
        <f>CHOOSE( CONTROL!$C$32, 21.8836, 21.8791) * CHOOSE( CONTROL!$C$15, $D$11, 100%, $F$11)</f>
        <v>21.883600000000001</v>
      </c>
      <c r="H717" s="4">
        <f>CHOOSE( CONTROL!$C$32, 22.8186, 22.8142) * CHOOSE(CONTROL!$C$15, $D$11, 100%, $F$11)</f>
        <v>22.8186</v>
      </c>
      <c r="I717" s="8">
        <f>CHOOSE( CONTROL!$C$32, 21.5869, 21.5825) * CHOOSE(CONTROL!$C$15, $D$11, 100%, $F$11)</f>
        <v>21.5869</v>
      </c>
      <c r="J717" s="4">
        <f>CHOOSE( CONTROL!$C$32, 21.5153, 21.5109) * CHOOSE(CONTROL!$C$15, $D$11, 100%, $F$11)</f>
        <v>21.5153</v>
      </c>
      <c r="K717" s="4"/>
      <c r="L717" s="9">
        <v>29.520499999999998</v>
      </c>
      <c r="M717" s="9">
        <v>12.063700000000001</v>
      </c>
      <c r="N717" s="9">
        <v>4.9444999999999997</v>
      </c>
      <c r="O717" s="9">
        <v>0.37459999999999999</v>
      </c>
      <c r="P717" s="9">
        <v>1.2192000000000001</v>
      </c>
      <c r="Q717" s="9">
        <v>19.688099999999999</v>
      </c>
      <c r="R717" s="9"/>
      <c r="S717" s="11"/>
    </row>
    <row r="718" spans="1:19" ht="15.75">
      <c r="A718" s="13">
        <v>63735</v>
      </c>
      <c r="B718" s="8">
        <f>CHOOSE( CONTROL!$C$32, 21.9156, 21.9111) * CHOOSE(CONTROL!$C$15, $D$11, 100%, $F$11)</f>
        <v>21.915600000000001</v>
      </c>
      <c r="C718" s="8">
        <f>CHOOSE( CONTROL!$C$32, 21.9259, 21.9214) * CHOOSE(CONTROL!$C$15, $D$11, 100%, $F$11)</f>
        <v>21.925899999999999</v>
      </c>
      <c r="D718" s="8">
        <f>CHOOSE( CONTROL!$C$32, 21.9363, 21.9317) * CHOOSE( CONTROL!$C$15, $D$11, 100%, $F$11)</f>
        <v>21.936299999999999</v>
      </c>
      <c r="E718" s="12">
        <f>CHOOSE( CONTROL!$C$32, 21.931, 21.9264) * CHOOSE( CONTROL!$C$15, $D$11, 100%, $F$11)</f>
        <v>21.931000000000001</v>
      </c>
      <c r="F718" s="4">
        <f>CHOOSE( CONTROL!$C$32, 22.6039, 22.5994) * CHOOSE(CONTROL!$C$15, $D$11, 100%, $F$11)</f>
        <v>22.603899999999999</v>
      </c>
      <c r="G718" s="8">
        <f>CHOOSE( CONTROL!$C$32, 21.5327, 21.5282) * CHOOSE( CONTROL!$C$15, $D$11, 100%, $F$11)</f>
        <v>21.532699999999998</v>
      </c>
      <c r="H718" s="4">
        <f>CHOOSE( CONTROL!$C$32, 22.4668, 22.4623) * CHOOSE(CONTROL!$C$15, $D$11, 100%, $F$11)</f>
        <v>22.466799999999999</v>
      </c>
      <c r="I718" s="8">
        <f>CHOOSE( CONTROL!$C$32, 21.2438, 21.2395) * CHOOSE(CONTROL!$C$15, $D$11, 100%, $F$11)</f>
        <v>21.2438</v>
      </c>
      <c r="J718" s="4">
        <f>CHOOSE( CONTROL!$C$32, 21.1695, 21.1651) * CHOOSE(CONTROL!$C$15, $D$11, 100%, $F$11)</f>
        <v>21.169499999999999</v>
      </c>
      <c r="K718" s="4"/>
      <c r="L718" s="9">
        <v>28.568200000000001</v>
      </c>
      <c r="M718" s="9">
        <v>11.6745</v>
      </c>
      <c r="N718" s="9">
        <v>4.7850000000000001</v>
      </c>
      <c r="O718" s="9">
        <v>0.36249999999999999</v>
      </c>
      <c r="P718" s="9">
        <v>1.1798</v>
      </c>
      <c r="Q718" s="9">
        <v>19.053000000000001</v>
      </c>
      <c r="R718" s="9"/>
      <c r="S718" s="11"/>
    </row>
    <row r="719" spans="1:19" ht="15.75">
      <c r="A719" s="13">
        <v>63766</v>
      </c>
      <c r="B719" s="8">
        <f>CHOOSE( CONTROL!$C$32, 22.8573, 22.8528) * CHOOSE(CONTROL!$C$15, $D$11, 100%, $F$11)</f>
        <v>22.857299999999999</v>
      </c>
      <c r="C719" s="8">
        <f>CHOOSE( CONTROL!$C$32, 22.8677, 22.8631) * CHOOSE(CONTROL!$C$15, $D$11, 100%, $F$11)</f>
        <v>22.867699999999999</v>
      </c>
      <c r="D719" s="8">
        <f>CHOOSE( CONTROL!$C$32, 22.8785, 22.874) * CHOOSE( CONTROL!$C$15, $D$11, 100%, $F$11)</f>
        <v>22.878499999999999</v>
      </c>
      <c r="E719" s="12">
        <f>CHOOSE( CONTROL!$C$32, 22.873, 22.8685) * CHOOSE( CONTROL!$C$15, $D$11, 100%, $F$11)</f>
        <v>22.873000000000001</v>
      </c>
      <c r="F719" s="4">
        <f>CHOOSE( CONTROL!$C$32, 23.5456, 23.5411) * CHOOSE(CONTROL!$C$15, $D$11, 100%, $F$11)</f>
        <v>23.5456</v>
      </c>
      <c r="G719" s="8">
        <f>CHOOSE( CONTROL!$C$32, 22.46, 22.4556) * CHOOSE( CONTROL!$C$15, $D$11, 100%, $F$11)</f>
        <v>22.46</v>
      </c>
      <c r="H719" s="4">
        <f>CHOOSE( CONTROL!$C$32, 23.3933, 23.3888) * CHOOSE(CONTROL!$C$15, $D$11, 100%, $F$11)</f>
        <v>23.3933</v>
      </c>
      <c r="I719" s="8">
        <f>CHOOSE( CONTROL!$C$32, 22.1578, 22.1534) * CHOOSE(CONTROL!$C$15, $D$11, 100%, $F$11)</f>
        <v>22.157800000000002</v>
      </c>
      <c r="J719" s="4">
        <f>CHOOSE( CONTROL!$C$32, 22.0802, 22.0758) * CHOOSE(CONTROL!$C$15, $D$11, 100%, $F$11)</f>
        <v>22.080200000000001</v>
      </c>
      <c r="K719" s="4"/>
      <c r="L719" s="9">
        <v>29.520499999999998</v>
      </c>
      <c r="M719" s="9">
        <v>12.063700000000001</v>
      </c>
      <c r="N719" s="9">
        <v>4.9444999999999997</v>
      </c>
      <c r="O719" s="9">
        <v>0.37459999999999999</v>
      </c>
      <c r="P719" s="9">
        <v>1.2192000000000001</v>
      </c>
      <c r="Q719" s="9">
        <v>19.688099999999999</v>
      </c>
      <c r="R719" s="9"/>
      <c r="S719" s="11"/>
    </row>
    <row r="720" spans="1:19" ht="15.75">
      <c r="A720" s="13">
        <v>63797</v>
      </c>
      <c r="B720" s="8">
        <f>CHOOSE( CONTROL!$C$32, 21.0953, 21.0907) * CHOOSE(CONTROL!$C$15, $D$11, 100%, $F$11)</f>
        <v>21.095300000000002</v>
      </c>
      <c r="C720" s="8">
        <f>CHOOSE( CONTROL!$C$32, 21.1056, 21.1011) * CHOOSE(CONTROL!$C$15, $D$11, 100%, $F$11)</f>
        <v>21.105599999999999</v>
      </c>
      <c r="D720" s="8">
        <f>CHOOSE( CONTROL!$C$32, 21.1168, 21.1122) * CHOOSE( CONTROL!$C$15, $D$11, 100%, $F$11)</f>
        <v>21.116800000000001</v>
      </c>
      <c r="E720" s="12">
        <f>CHOOSE( CONTROL!$C$32, 21.1112, 21.1066) * CHOOSE( CONTROL!$C$15, $D$11, 100%, $F$11)</f>
        <v>21.1112</v>
      </c>
      <c r="F720" s="4">
        <f>CHOOSE( CONTROL!$C$32, 21.7835, 21.779) * CHOOSE(CONTROL!$C$15, $D$11, 100%, $F$11)</f>
        <v>21.7835</v>
      </c>
      <c r="G720" s="8">
        <f>CHOOSE( CONTROL!$C$32, 20.7269, 20.7224) * CHOOSE( CONTROL!$C$15, $D$11, 100%, $F$11)</f>
        <v>20.726900000000001</v>
      </c>
      <c r="H720" s="4">
        <f>CHOOSE( CONTROL!$C$32, 21.6597, 21.6553) * CHOOSE(CONTROL!$C$15, $D$11, 100%, $F$11)</f>
        <v>21.659700000000001</v>
      </c>
      <c r="I720" s="8">
        <f>CHOOSE( CONTROL!$C$32, 20.4542, 20.4498) * CHOOSE(CONTROL!$C$15, $D$11, 100%, $F$11)</f>
        <v>20.4542</v>
      </c>
      <c r="J720" s="4">
        <f>CHOOSE( CONTROL!$C$32, 20.3761, 20.3717) * CHOOSE(CONTROL!$C$15, $D$11, 100%, $F$11)</f>
        <v>20.376100000000001</v>
      </c>
      <c r="K720" s="4"/>
      <c r="L720" s="9">
        <v>29.520499999999998</v>
      </c>
      <c r="M720" s="9">
        <v>12.063700000000001</v>
      </c>
      <c r="N720" s="9">
        <v>4.9444999999999997</v>
      </c>
      <c r="O720" s="9">
        <v>0.37459999999999999</v>
      </c>
      <c r="P720" s="9">
        <v>1.2192000000000001</v>
      </c>
      <c r="Q720" s="9">
        <v>19.688099999999999</v>
      </c>
      <c r="R720" s="9"/>
      <c r="S720" s="11"/>
    </row>
    <row r="721" spans="1:19" ht="15.75">
      <c r="A721" s="13">
        <v>63827</v>
      </c>
      <c r="B721" s="8">
        <f>CHOOSE( CONTROL!$C$32, 20.654, 20.6495) * CHOOSE(CONTROL!$C$15, $D$11, 100%, $F$11)</f>
        <v>20.654</v>
      </c>
      <c r="C721" s="8">
        <f>CHOOSE( CONTROL!$C$32, 20.6644, 20.6598) * CHOOSE(CONTROL!$C$15, $D$11, 100%, $F$11)</f>
        <v>20.664400000000001</v>
      </c>
      <c r="D721" s="8">
        <f>CHOOSE( CONTROL!$C$32, 20.6756, 20.6711) * CHOOSE( CONTROL!$C$15, $D$11, 100%, $F$11)</f>
        <v>20.675599999999999</v>
      </c>
      <c r="E721" s="12">
        <f>CHOOSE( CONTROL!$C$32, 20.67, 20.6654) * CHOOSE( CONTROL!$C$15, $D$11, 100%, $F$11)</f>
        <v>20.67</v>
      </c>
      <c r="F721" s="4">
        <f>CHOOSE( CONTROL!$C$32, 21.3423, 21.3378) * CHOOSE(CONTROL!$C$15, $D$11, 100%, $F$11)</f>
        <v>21.342300000000002</v>
      </c>
      <c r="G721" s="8">
        <f>CHOOSE( CONTROL!$C$32, 20.2929, 20.2885) * CHOOSE( CONTROL!$C$15, $D$11, 100%, $F$11)</f>
        <v>20.292899999999999</v>
      </c>
      <c r="H721" s="4">
        <f>CHOOSE( CONTROL!$C$32, 21.2256, 21.2212) * CHOOSE(CONTROL!$C$15, $D$11, 100%, $F$11)</f>
        <v>21.2256</v>
      </c>
      <c r="I721" s="8">
        <f>CHOOSE( CONTROL!$C$32, 20.0277, 20.0233) * CHOOSE(CONTROL!$C$15, $D$11, 100%, $F$11)</f>
        <v>20.027699999999999</v>
      </c>
      <c r="J721" s="4">
        <f>CHOOSE( CONTROL!$C$32, 19.9494, 19.945) * CHOOSE(CONTROL!$C$15, $D$11, 100%, $F$11)</f>
        <v>19.949400000000001</v>
      </c>
      <c r="K721" s="4"/>
      <c r="L721" s="9">
        <v>28.568200000000001</v>
      </c>
      <c r="M721" s="9">
        <v>11.6745</v>
      </c>
      <c r="N721" s="9">
        <v>4.7850000000000001</v>
      </c>
      <c r="O721" s="9">
        <v>0.36249999999999999</v>
      </c>
      <c r="P721" s="9">
        <v>1.1798</v>
      </c>
      <c r="Q721" s="9">
        <v>19.053000000000001</v>
      </c>
      <c r="R721" s="9"/>
      <c r="S721" s="11"/>
    </row>
    <row r="722" spans="1:19" ht="15.75">
      <c r="A722" s="13">
        <v>63858</v>
      </c>
      <c r="B722" s="8">
        <f>21.5657 * CHOOSE(CONTROL!$C$15, $D$11, 100%, $F$11)</f>
        <v>21.5657</v>
      </c>
      <c r="C722" s="8">
        <f>21.576 * CHOOSE(CONTROL!$C$15, $D$11, 100%, $F$11)</f>
        <v>21.576000000000001</v>
      </c>
      <c r="D722" s="8">
        <f>21.5884 * CHOOSE( CONTROL!$C$15, $D$11, 100%, $F$11)</f>
        <v>21.5884</v>
      </c>
      <c r="E722" s="12">
        <f>21.5832 * CHOOSE( CONTROL!$C$15, $D$11, 100%, $F$11)</f>
        <v>21.583200000000001</v>
      </c>
      <c r="F722" s="4">
        <f>22.254 * CHOOSE(CONTROL!$C$15, $D$11, 100%, $F$11)</f>
        <v>22.254000000000001</v>
      </c>
      <c r="G722" s="8">
        <f>21.1893 * CHOOSE( CONTROL!$C$15, $D$11, 100%, $F$11)</f>
        <v>21.189299999999999</v>
      </c>
      <c r="H722" s="4">
        <f>22.1225 * CHOOSE(CONTROL!$C$15, $D$11, 100%, $F$11)</f>
        <v>22.122499999999999</v>
      </c>
      <c r="I722" s="8">
        <f>20.9111 * CHOOSE(CONTROL!$C$15, $D$11, 100%, $F$11)</f>
        <v>20.911100000000001</v>
      </c>
      <c r="J722" s="4">
        <f>20.831 * CHOOSE(CONTROL!$C$15, $D$11, 100%, $F$11)</f>
        <v>20.831</v>
      </c>
      <c r="K722" s="4"/>
      <c r="L722" s="9">
        <v>28.921800000000001</v>
      </c>
      <c r="M722" s="9">
        <v>12.063700000000001</v>
      </c>
      <c r="N722" s="9">
        <v>4.9444999999999997</v>
      </c>
      <c r="O722" s="9">
        <v>0.37459999999999999</v>
      </c>
      <c r="P722" s="9">
        <v>1.2192000000000001</v>
      </c>
      <c r="Q722" s="9">
        <v>19.688099999999999</v>
      </c>
      <c r="R722" s="9"/>
      <c r="S722" s="11"/>
    </row>
    <row r="723" spans="1:19" ht="15.75">
      <c r="A723" s="13">
        <v>63888</v>
      </c>
      <c r="B723" s="8">
        <f>23.2567 * CHOOSE(CONTROL!$C$15, $D$11, 100%, $F$11)</f>
        <v>23.256699999999999</v>
      </c>
      <c r="C723" s="8">
        <f>23.2671 * CHOOSE(CONTROL!$C$15, $D$11, 100%, $F$11)</f>
        <v>23.267099999999999</v>
      </c>
      <c r="D723" s="8">
        <f>23.2531 * CHOOSE( CONTROL!$C$15, $D$11, 100%, $F$11)</f>
        <v>23.2531</v>
      </c>
      <c r="E723" s="12">
        <f>23.2571 * CHOOSE( CONTROL!$C$15, $D$11, 100%, $F$11)</f>
        <v>23.257100000000001</v>
      </c>
      <c r="F723" s="4">
        <f>23.911 * CHOOSE(CONTROL!$C$15, $D$11, 100%, $F$11)</f>
        <v>23.911000000000001</v>
      </c>
      <c r="G723" s="8">
        <f>22.8702 * CHOOSE( CONTROL!$C$15, $D$11, 100%, $F$11)</f>
        <v>22.870200000000001</v>
      </c>
      <c r="H723" s="4">
        <f>23.7527 * CHOOSE(CONTROL!$C$15, $D$11, 100%, $F$11)</f>
        <v>23.752700000000001</v>
      </c>
      <c r="I723" s="8">
        <f>22.5804 * CHOOSE(CONTROL!$C$15, $D$11, 100%, $F$11)</f>
        <v>22.580400000000001</v>
      </c>
      <c r="J723" s="4">
        <f>22.4665 * CHOOSE(CONTROL!$C$15, $D$11, 100%, $F$11)</f>
        <v>22.4665</v>
      </c>
      <c r="K723" s="4"/>
      <c r="L723" s="9">
        <v>26.515499999999999</v>
      </c>
      <c r="M723" s="9">
        <v>11.6745</v>
      </c>
      <c r="N723" s="9">
        <v>4.7850000000000001</v>
      </c>
      <c r="O723" s="9">
        <v>0.36249999999999999</v>
      </c>
      <c r="P723" s="9">
        <v>1.2522</v>
      </c>
      <c r="Q723" s="9">
        <v>19.053000000000001</v>
      </c>
      <c r="R723" s="9"/>
      <c r="S723" s="11"/>
    </row>
    <row r="724" spans="1:19" ht="15.75">
      <c r="A724" s="13">
        <v>63919</v>
      </c>
      <c r="B724" s="8">
        <f>23.2145 * CHOOSE(CONTROL!$C$15, $D$11, 100%, $F$11)</f>
        <v>23.214500000000001</v>
      </c>
      <c r="C724" s="8">
        <f>23.2248 * CHOOSE(CONTROL!$C$15, $D$11, 100%, $F$11)</f>
        <v>23.224799999999998</v>
      </c>
      <c r="D724" s="8">
        <f>23.2133 * CHOOSE( CONTROL!$C$15, $D$11, 100%, $F$11)</f>
        <v>23.2133</v>
      </c>
      <c r="E724" s="12">
        <f>23.2164 * CHOOSE( CONTROL!$C$15, $D$11, 100%, $F$11)</f>
        <v>23.2164</v>
      </c>
      <c r="F724" s="4">
        <f>23.8687 * CHOOSE(CONTROL!$C$15, $D$11, 100%, $F$11)</f>
        <v>23.8687</v>
      </c>
      <c r="G724" s="8">
        <f>22.8304 * CHOOSE( CONTROL!$C$15, $D$11, 100%, $F$11)</f>
        <v>22.830400000000001</v>
      </c>
      <c r="H724" s="4">
        <f>23.7112 * CHOOSE(CONTROL!$C$15, $D$11, 100%, $F$11)</f>
        <v>23.711200000000002</v>
      </c>
      <c r="I724" s="8">
        <f>22.5474 * CHOOSE(CONTROL!$C$15, $D$11, 100%, $F$11)</f>
        <v>22.5474</v>
      </c>
      <c r="J724" s="4">
        <f>22.4256 * CHOOSE(CONTROL!$C$15, $D$11, 100%, $F$11)</f>
        <v>22.425599999999999</v>
      </c>
      <c r="K724" s="4"/>
      <c r="L724" s="9">
        <v>27.3993</v>
      </c>
      <c r="M724" s="9">
        <v>12.063700000000001</v>
      </c>
      <c r="N724" s="9">
        <v>4.9444999999999997</v>
      </c>
      <c r="O724" s="9">
        <v>0.37459999999999999</v>
      </c>
      <c r="P724" s="9">
        <v>1.2939000000000001</v>
      </c>
      <c r="Q724" s="9">
        <v>19.688099999999999</v>
      </c>
      <c r="R724" s="9"/>
      <c r="S724" s="11"/>
    </row>
    <row r="725" spans="1:19" ht="15.75">
      <c r="A725" s="13">
        <v>63950</v>
      </c>
      <c r="B725" s="8">
        <f>24.1007 * CHOOSE(CONTROL!$C$15, $D$11, 100%, $F$11)</f>
        <v>24.1007</v>
      </c>
      <c r="C725" s="8">
        <f>24.1111 * CHOOSE(CONTROL!$C$15, $D$11, 100%, $F$11)</f>
        <v>24.1111</v>
      </c>
      <c r="D725" s="8">
        <f>24.1095 * CHOOSE( CONTROL!$C$15, $D$11, 100%, $F$11)</f>
        <v>24.109500000000001</v>
      </c>
      <c r="E725" s="12">
        <f>24.109 * CHOOSE( CONTROL!$C$15, $D$11, 100%, $F$11)</f>
        <v>24.109000000000002</v>
      </c>
      <c r="F725" s="4">
        <f>24.7834 * CHOOSE(CONTROL!$C$15, $D$11, 100%, $F$11)</f>
        <v>24.7834</v>
      </c>
      <c r="G725" s="8">
        <f>23.7126 * CHOOSE( CONTROL!$C$15, $D$11, 100%, $F$11)</f>
        <v>23.712599999999998</v>
      </c>
      <c r="H725" s="4">
        <f>24.6111 * CHOOSE(CONTROL!$C$15, $D$11, 100%, $F$11)</f>
        <v>24.6111</v>
      </c>
      <c r="I725" s="8">
        <f>23.4029 * CHOOSE(CONTROL!$C$15, $D$11, 100%, $F$11)</f>
        <v>23.402899999999999</v>
      </c>
      <c r="J725" s="4">
        <f>23.2827 * CHOOSE(CONTROL!$C$15, $D$11, 100%, $F$11)</f>
        <v>23.282699999999998</v>
      </c>
      <c r="K725" s="4"/>
      <c r="L725" s="9">
        <v>27.3993</v>
      </c>
      <c r="M725" s="9">
        <v>12.063700000000001</v>
      </c>
      <c r="N725" s="9">
        <v>4.9444999999999997</v>
      </c>
      <c r="O725" s="9">
        <v>0.37459999999999999</v>
      </c>
      <c r="P725" s="9">
        <v>1.2939000000000001</v>
      </c>
      <c r="Q725" s="9">
        <v>19.688099999999999</v>
      </c>
      <c r="R725" s="9"/>
      <c r="S725" s="11"/>
    </row>
    <row r="726" spans="1:19" ht="15.75">
      <c r="A726" s="13">
        <v>63978</v>
      </c>
      <c r="B726" s="8">
        <f>22.5443 * CHOOSE(CONTROL!$C$15, $D$11, 100%, $F$11)</f>
        <v>22.5443</v>
      </c>
      <c r="C726" s="8">
        <f>22.5547 * CHOOSE(CONTROL!$C$15, $D$11, 100%, $F$11)</f>
        <v>22.5547</v>
      </c>
      <c r="D726" s="8">
        <f>22.5552 * CHOOSE( CONTROL!$C$15, $D$11, 100%, $F$11)</f>
        <v>22.555199999999999</v>
      </c>
      <c r="E726" s="12">
        <f>22.5539 * CHOOSE( CONTROL!$C$15, $D$11, 100%, $F$11)</f>
        <v>22.553899999999999</v>
      </c>
      <c r="F726" s="4">
        <f>23.2193 * CHOOSE(CONTROL!$C$15, $D$11, 100%, $F$11)</f>
        <v>23.2193</v>
      </c>
      <c r="G726" s="8">
        <f>22.1812 * CHOOSE( CONTROL!$C$15, $D$11, 100%, $F$11)</f>
        <v>22.1812</v>
      </c>
      <c r="H726" s="4">
        <f>23.0722 * CHOOSE(CONTROL!$C$15, $D$11, 100%, $F$11)</f>
        <v>23.072199999999999</v>
      </c>
      <c r="I726" s="8">
        <f>21.8861 * CHOOSE(CONTROL!$C$15, $D$11, 100%, $F$11)</f>
        <v>21.886099999999999</v>
      </c>
      <c r="J726" s="4">
        <f>21.7775 * CHOOSE(CONTROL!$C$15, $D$11, 100%, $F$11)</f>
        <v>21.7775</v>
      </c>
      <c r="K726" s="4"/>
      <c r="L726" s="9">
        <v>24.747800000000002</v>
      </c>
      <c r="M726" s="9">
        <v>10.8962</v>
      </c>
      <c r="N726" s="9">
        <v>4.4660000000000002</v>
      </c>
      <c r="O726" s="9">
        <v>0.33829999999999999</v>
      </c>
      <c r="P726" s="9">
        <v>1.1687000000000001</v>
      </c>
      <c r="Q726" s="9">
        <v>17.782800000000002</v>
      </c>
      <c r="R726" s="9"/>
      <c r="S726" s="11"/>
    </row>
    <row r="727" spans="1:19" ht="15.75">
      <c r="A727" s="13">
        <v>64009</v>
      </c>
      <c r="B727" s="8">
        <f>22.065 * CHOOSE(CONTROL!$C$15, $D$11, 100%, $F$11)</f>
        <v>22.065000000000001</v>
      </c>
      <c r="C727" s="8">
        <f>22.0753 * CHOOSE(CONTROL!$C$15, $D$11, 100%, $F$11)</f>
        <v>22.075299999999999</v>
      </c>
      <c r="D727" s="8">
        <f>22.0554 * CHOOSE( CONTROL!$C$15, $D$11, 100%, $F$11)</f>
        <v>22.055399999999999</v>
      </c>
      <c r="E727" s="12">
        <f>22.0616 * CHOOSE( CONTROL!$C$15, $D$11, 100%, $F$11)</f>
        <v>22.061599999999999</v>
      </c>
      <c r="F727" s="4">
        <f>22.7239 * CHOOSE(CONTROL!$C$15, $D$11, 100%, $F$11)</f>
        <v>22.7239</v>
      </c>
      <c r="G727" s="8">
        <f>21.6888 * CHOOSE( CONTROL!$C$15, $D$11, 100%, $F$11)</f>
        <v>21.688800000000001</v>
      </c>
      <c r="H727" s="4">
        <f>22.5848 * CHOOSE(CONTROL!$C$15, $D$11, 100%, $F$11)</f>
        <v>22.584800000000001</v>
      </c>
      <c r="I727" s="8">
        <f>21.3827 * CHOOSE(CONTROL!$C$15, $D$11, 100%, $F$11)</f>
        <v>21.3827</v>
      </c>
      <c r="J727" s="4">
        <f>21.3139 * CHOOSE(CONTROL!$C$15, $D$11, 100%, $F$11)</f>
        <v>21.3139</v>
      </c>
      <c r="K727" s="4"/>
      <c r="L727" s="9">
        <v>27.3993</v>
      </c>
      <c r="M727" s="9">
        <v>12.063700000000001</v>
      </c>
      <c r="N727" s="9">
        <v>4.9444999999999997</v>
      </c>
      <c r="O727" s="9">
        <v>0.37459999999999999</v>
      </c>
      <c r="P727" s="9">
        <v>1.2939000000000001</v>
      </c>
      <c r="Q727" s="9">
        <v>19.688099999999999</v>
      </c>
      <c r="R727" s="9"/>
      <c r="S727" s="11"/>
    </row>
    <row r="728" spans="1:19" ht="15.75">
      <c r="A728" s="13">
        <v>64039</v>
      </c>
      <c r="B728" s="8">
        <f>22.3999 * CHOOSE(CONTROL!$C$15, $D$11, 100%, $F$11)</f>
        <v>22.399899999999999</v>
      </c>
      <c r="C728" s="8">
        <f>22.4103 * CHOOSE(CONTROL!$C$15, $D$11, 100%, $F$11)</f>
        <v>22.410299999999999</v>
      </c>
      <c r="D728" s="8">
        <f>22.4018 * CHOOSE( CONTROL!$C$15, $D$11, 100%, $F$11)</f>
        <v>22.401800000000001</v>
      </c>
      <c r="E728" s="12">
        <f>22.4034 * CHOOSE( CONTROL!$C$15, $D$11, 100%, $F$11)</f>
        <v>22.403400000000001</v>
      </c>
      <c r="F728" s="4">
        <f>23.049 * CHOOSE(CONTROL!$C$15, $D$11, 100%, $F$11)</f>
        <v>23.048999999999999</v>
      </c>
      <c r="G728" s="8">
        <f>22.0032 * CHOOSE( CONTROL!$C$15, $D$11, 100%, $F$11)</f>
        <v>22.0032</v>
      </c>
      <c r="H728" s="4">
        <f>22.9047 * CHOOSE(CONTROL!$C$15, $D$11, 100%, $F$11)</f>
        <v>22.904699999999998</v>
      </c>
      <c r="I728" s="8">
        <f>21.7037 * CHOOSE(CONTROL!$C$15, $D$11, 100%, $F$11)</f>
        <v>21.703700000000001</v>
      </c>
      <c r="J728" s="4">
        <f>21.6379 * CHOOSE(CONTROL!$C$15, $D$11, 100%, $F$11)</f>
        <v>21.637899999999998</v>
      </c>
      <c r="K728" s="4"/>
      <c r="L728" s="9">
        <v>27.988800000000001</v>
      </c>
      <c r="M728" s="9">
        <v>11.6745</v>
      </c>
      <c r="N728" s="9">
        <v>4.7850000000000001</v>
      </c>
      <c r="O728" s="9">
        <v>0.36249999999999999</v>
      </c>
      <c r="P728" s="9">
        <v>1.1798</v>
      </c>
      <c r="Q728" s="9">
        <v>19.053000000000001</v>
      </c>
      <c r="R728" s="9"/>
      <c r="S728" s="11"/>
    </row>
    <row r="729" spans="1:19" ht="15.75">
      <c r="A729" s="13">
        <v>64070</v>
      </c>
      <c r="B729" s="8">
        <f>CHOOSE( CONTROL!$C$32, 23.0006, 22.9961) * CHOOSE(CONTROL!$C$15, $D$11, 100%, $F$11)</f>
        <v>23.000599999999999</v>
      </c>
      <c r="C729" s="8">
        <f>CHOOSE( CONTROL!$C$32, 23.011, 23.0064) * CHOOSE(CONTROL!$C$15, $D$11, 100%, $F$11)</f>
        <v>23.010999999999999</v>
      </c>
      <c r="D729" s="8">
        <f>CHOOSE( CONTROL!$C$32, 23.0207, 23.0161) * CHOOSE( CONTROL!$C$15, $D$11, 100%, $F$11)</f>
        <v>23.020700000000001</v>
      </c>
      <c r="E729" s="12">
        <f>CHOOSE( CONTROL!$C$32, 23.0156, 23.011) * CHOOSE( CONTROL!$C$15, $D$11, 100%, $F$11)</f>
        <v>23.015599999999999</v>
      </c>
      <c r="F729" s="4">
        <f>CHOOSE( CONTROL!$C$32, 23.6889, 23.6844) * CHOOSE(CONTROL!$C$15, $D$11, 100%, $F$11)</f>
        <v>23.6889</v>
      </c>
      <c r="G729" s="8">
        <f>CHOOSE( CONTROL!$C$32, 22.5992, 22.5948) * CHOOSE( CONTROL!$C$15, $D$11, 100%, $F$11)</f>
        <v>22.5992</v>
      </c>
      <c r="H729" s="4">
        <f>CHOOSE( CONTROL!$C$32, 23.5343, 23.5298) * CHOOSE(CONTROL!$C$15, $D$11, 100%, $F$11)</f>
        <v>23.534300000000002</v>
      </c>
      <c r="I729" s="8">
        <f>CHOOSE( CONTROL!$C$32, 22.2907, 22.2864) * CHOOSE(CONTROL!$C$15, $D$11, 100%, $F$11)</f>
        <v>22.290700000000001</v>
      </c>
      <c r="J729" s="4">
        <f>CHOOSE( CONTROL!$C$32, 22.2188, 22.2144) * CHOOSE(CONTROL!$C$15, $D$11, 100%, $F$11)</f>
        <v>22.218800000000002</v>
      </c>
      <c r="K729" s="4"/>
      <c r="L729" s="9">
        <v>29.520499999999998</v>
      </c>
      <c r="M729" s="9">
        <v>12.063700000000001</v>
      </c>
      <c r="N729" s="9">
        <v>4.9444999999999997</v>
      </c>
      <c r="O729" s="9">
        <v>0.37459999999999999</v>
      </c>
      <c r="P729" s="9">
        <v>1.2192000000000001</v>
      </c>
      <c r="Q729" s="9">
        <v>19.688099999999999</v>
      </c>
      <c r="R729" s="9"/>
      <c r="S729" s="11"/>
    </row>
    <row r="730" spans="1:19" ht="15.75">
      <c r="A730" s="13">
        <v>64100</v>
      </c>
      <c r="B730" s="8">
        <f>CHOOSE( CONTROL!$C$32, 22.6313, 22.6268) * CHOOSE(CONTROL!$C$15, $D$11, 100%, $F$11)</f>
        <v>22.6313</v>
      </c>
      <c r="C730" s="8">
        <f>CHOOSE( CONTROL!$C$32, 22.6417, 22.6371) * CHOOSE(CONTROL!$C$15, $D$11, 100%, $F$11)</f>
        <v>22.6417</v>
      </c>
      <c r="D730" s="8">
        <f>CHOOSE( CONTROL!$C$32, 22.652, 22.6475) * CHOOSE( CONTROL!$C$15, $D$11, 100%, $F$11)</f>
        <v>22.652000000000001</v>
      </c>
      <c r="E730" s="12">
        <f>CHOOSE( CONTROL!$C$32, 22.6467, 22.6422) * CHOOSE( CONTROL!$C$15, $D$11, 100%, $F$11)</f>
        <v>22.646699999999999</v>
      </c>
      <c r="F730" s="4">
        <f>CHOOSE( CONTROL!$C$32, 23.3196, 23.3151) * CHOOSE(CONTROL!$C$15, $D$11, 100%, $F$11)</f>
        <v>23.319600000000001</v>
      </c>
      <c r="G730" s="8">
        <f>CHOOSE( CONTROL!$C$32, 22.2368, 22.2324) * CHOOSE( CONTROL!$C$15, $D$11, 100%, $F$11)</f>
        <v>22.236799999999999</v>
      </c>
      <c r="H730" s="4">
        <f>CHOOSE( CONTROL!$C$32, 23.1709, 23.1665) * CHOOSE(CONTROL!$C$15, $D$11, 100%, $F$11)</f>
        <v>23.1709</v>
      </c>
      <c r="I730" s="8">
        <f>CHOOSE( CONTROL!$C$32, 21.9364, 21.932) * CHOOSE(CONTROL!$C$15, $D$11, 100%, $F$11)</f>
        <v>21.936399999999999</v>
      </c>
      <c r="J730" s="4">
        <f>CHOOSE( CONTROL!$C$32, 21.8616, 21.8573) * CHOOSE(CONTROL!$C$15, $D$11, 100%, $F$11)</f>
        <v>21.861599999999999</v>
      </c>
      <c r="K730" s="4"/>
      <c r="L730" s="9">
        <v>28.568200000000001</v>
      </c>
      <c r="M730" s="9">
        <v>11.6745</v>
      </c>
      <c r="N730" s="9">
        <v>4.7850000000000001</v>
      </c>
      <c r="O730" s="9">
        <v>0.36249999999999999</v>
      </c>
      <c r="P730" s="9">
        <v>1.1798</v>
      </c>
      <c r="Q730" s="9">
        <v>19.053000000000001</v>
      </c>
      <c r="R730" s="9"/>
      <c r="S730" s="11"/>
    </row>
    <row r="731" spans="1:19" ht="15.75">
      <c r="A731" s="13">
        <v>64131</v>
      </c>
      <c r="B731" s="8">
        <f>CHOOSE( CONTROL!$C$32, 23.6038, 23.5993) * CHOOSE(CONTROL!$C$15, $D$11, 100%, $F$11)</f>
        <v>23.6038</v>
      </c>
      <c r="C731" s="8">
        <f>CHOOSE( CONTROL!$C$32, 23.6142, 23.6097) * CHOOSE(CONTROL!$C$15, $D$11, 100%, $F$11)</f>
        <v>23.6142</v>
      </c>
      <c r="D731" s="8">
        <f>CHOOSE( CONTROL!$C$32, 23.6251, 23.6205) * CHOOSE( CONTROL!$C$15, $D$11, 100%, $F$11)</f>
        <v>23.6251</v>
      </c>
      <c r="E731" s="12">
        <f>CHOOSE( CONTROL!$C$32, 23.6196, 23.615) * CHOOSE( CONTROL!$C$15, $D$11, 100%, $F$11)</f>
        <v>23.619599999999998</v>
      </c>
      <c r="F731" s="4">
        <f>CHOOSE( CONTROL!$C$32, 24.2921, 24.2876) * CHOOSE(CONTROL!$C$15, $D$11, 100%, $F$11)</f>
        <v>24.292100000000001</v>
      </c>
      <c r="G731" s="8">
        <f>CHOOSE( CONTROL!$C$32, 23.1945, 23.19) * CHOOSE( CONTROL!$C$15, $D$11, 100%, $F$11)</f>
        <v>23.194500000000001</v>
      </c>
      <c r="H731" s="4">
        <f>CHOOSE( CONTROL!$C$32, 24.1277, 24.1233) * CHOOSE(CONTROL!$C$15, $D$11, 100%, $F$11)</f>
        <v>24.127700000000001</v>
      </c>
      <c r="I731" s="8">
        <f>CHOOSE( CONTROL!$C$32, 22.8801, 22.8757) * CHOOSE(CONTROL!$C$15, $D$11, 100%, $F$11)</f>
        <v>22.880099999999999</v>
      </c>
      <c r="J731" s="4">
        <f>CHOOSE( CONTROL!$C$32, 22.8022, 22.7978) * CHOOSE(CONTROL!$C$15, $D$11, 100%, $F$11)</f>
        <v>22.802199999999999</v>
      </c>
      <c r="K731" s="4"/>
      <c r="L731" s="9">
        <v>29.520499999999998</v>
      </c>
      <c r="M731" s="9">
        <v>12.063700000000001</v>
      </c>
      <c r="N731" s="9">
        <v>4.9444999999999997</v>
      </c>
      <c r="O731" s="9">
        <v>0.37459999999999999</v>
      </c>
      <c r="P731" s="9">
        <v>1.2192000000000001</v>
      </c>
      <c r="Q731" s="9">
        <v>19.688099999999999</v>
      </c>
      <c r="R731" s="9"/>
      <c r="S731" s="11"/>
    </row>
    <row r="732" spans="1:19" ht="15.75">
      <c r="A732" s="13">
        <v>64162</v>
      </c>
      <c r="B732" s="8">
        <f>CHOOSE( CONTROL!$C$32, 21.7842, 21.7796) * CHOOSE(CONTROL!$C$15, $D$11, 100%, $F$11)</f>
        <v>21.784199999999998</v>
      </c>
      <c r="C732" s="8">
        <f>CHOOSE( CONTROL!$C$32, 21.7945, 21.79) * CHOOSE(CONTROL!$C$15, $D$11, 100%, $F$11)</f>
        <v>21.794499999999999</v>
      </c>
      <c r="D732" s="8">
        <f>CHOOSE( CONTROL!$C$32, 21.8057, 21.8011) * CHOOSE( CONTROL!$C$15, $D$11, 100%, $F$11)</f>
        <v>21.805700000000002</v>
      </c>
      <c r="E732" s="12">
        <f>CHOOSE( CONTROL!$C$32, 21.8001, 21.7955) * CHOOSE( CONTROL!$C$15, $D$11, 100%, $F$11)</f>
        <v>21.8001</v>
      </c>
      <c r="F732" s="4">
        <f>CHOOSE( CONTROL!$C$32, 22.4724, 22.4679) * CHOOSE(CONTROL!$C$15, $D$11, 100%, $F$11)</f>
        <v>22.4724</v>
      </c>
      <c r="G732" s="8">
        <f>CHOOSE( CONTROL!$C$32, 21.4046, 21.4002) * CHOOSE( CONTROL!$C$15, $D$11, 100%, $F$11)</f>
        <v>21.404599999999999</v>
      </c>
      <c r="H732" s="4">
        <f>CHOOSE( CONTROL!$C$32, 22.3375, 22.333) * CHOOSE(CONTROL!$C$15, $D$11, 100%, $F$11)</f>
        <v>22.337499999999999</v>
      </c>
      <c r="I732" s="8">
        <f>CHOOSE( CONTROL!$C$32, 21.1208, 21.1164) * CHOOSE(CONTROL!$C$15, $D$11, 100%, $F$11)</f>
        <v>21.120799999999999</v>
      </c>
      <c r="J732" s="4">
        <f>CHOOSE( CONTROL!$C$32, 21.0423, 21.038) * CHOOSE(CONTROL!$C$15, $D$11, 100%, $F$11)</f>
        <v>21.042300000000001</v>
      </c>
      <c r="K732" s="4"/>
      <c r="L732" s="9">
        <v>29.520499999999998</v>
      </c>
      <c r="M732" s="9">
        <v>12.063700000000001</v>
      </c>
      <c r="N732" s="9">
        <v>4.9444999999999997</v>
      </c>
      <c r="O732" s="9">
        <v>0.37459999999999999</v>
      </c>
      <c r="P732" s="9">
        <v>1.2192000000000001</v>
      </c>
      <c r="Q732" s="9">
        <v>19.688099999999999</v>
      </c>
      <c r="R732" s="9"/>
      <c r="S732" s="11"/>
    </row>
    <row r="733" spans="1:19" ht="15.75">
      <c r="A733" s="13">
        <v>64192</v>
      </c>
      <c r="B733" s="8">
        <f>CHOOSE( CONTROL!$C$32, 21.3285, 21.324) * CHOOSE(CONTROL!$C$15, $D$11, 100%, $F$11)</f>
        <v>21.328499999999998</v>
      </c>
      <c r="C733" s="8">
        <f>CHOOSE( CONTROL!$C$32, 21.3388, 21.3343) * CHOOSE(CONTROL!$C$15, $D$11, 100%, $F$11)</f>
        <v>21.338799999999999</v>
      </c>
      <c r="D733" s="8">
        <f>CHOOSE( CONTROL!$C$32, 21.3501, 21.3456) * CHOOSE( CONTROL!$C$15, $D$11, 100%, $F$11)</f>
        <v>21.350100000000001</v>
      </c>
      <c r="E733" s="12">
        <f>CHOOSE( CONTROL!$C$32, 21.3444, 21.3399) * CHOOSE( CONTROL!$C$15, $D$11, 100%, $F$11)</f>
        <v>21.3444</v>
      </c>
      <c r="F733" s="4">
        <f>CHOOSE( CONTROL!$C$32, 22.0168, 22.0123) * CHOOSE(CONTROL!$C$15, $D$11, 100%, $F$11)</f>
        <v>22.0168</v>
      </c>
      <c r="G733" s="8">
        <f>CHOOSE( CONTROL!$C$32, 20.9565, 20.952) * CHOOSE( CONTROL!$C$15, $D$11, 100%, $F$11)</f>
        <v>20.956499999999998</v>
      </c>
      <c r="H733" s="4">
        <f>CHOOSE( CONTROL!$C$32, 21.8892, 21.8847) * CHOOSE(CONTROL!$C$15, $D$11, 100%, $F$11)</f>
        <v>21.889199999999999</v>
      </c>
      <c r="I733" s="8">
        <f>CHOOSE( CONTROL!$C$32, 20.6803, 20.6759) * CHOOSE(CONTROL!$C$15, $D$11, 100%, $F$11)</f>
        <v>20.680299999999999</v>
      </c>
      <c r="J733" s="4">
        <f>CHOOSE( CONTROL!$C$32, 20.6017, 20.5973) * CHOOSE(CONTROL!$C$15, $D$11, 100%, $F$11)</f>
        <v>20.601700000000001</v>
      </c>
      <c r="K733" s="4"/>
      <c r="L733" s="9">
        <v>28.568200000000001</v>
      </c>
      <c r="M733" s="9">
        <v>11.6745</v>
      </c>
      <c r="N733" s="9">
        <v>4.7850000000000001</v>
      </c>
      <c r="O733" s="9">
        <v>0.36249999999999999</v>
      </c>
      <c r="P733" s="9">
        <v>1.1798</v>
      </c>
      <c r="Q733" s="9">
        <v>19.053000000000001</v>
      </c>
      <c r="R733" s="9"/>
      <c r="S733" s="11"/>
    </row>
    <row r="734" spans="1:19" ht="15.75">
      <c r="A734" s="13">
        <v>64223</v>
      </c>
      <c r="B734" s="8">
        <f>22.2701 * CHOOSE(CONTROL!$C$15, $D$11, 100%, $F$11)</f>
        <v>22.270099999999999</v>
      </c>
      <c r="C734" s="8">
        <f>22.2804 * CHOOSE(CONTROL!$C$15, $D$11, 100%, $F$11)</f>
        <v>22.2804</v>
      </c>
      <c r="D734" s="8">
        <f>22.2928 * CHOOSE( CONTROL!$C$15, $D$11, 100%, $F$11)</f>
        <v>22.2928</v>
      </c>
      <c r="E734" s="12">
        <f>22.2876 * CHOOSE( CONTROL!$C$15, $D$11, 100%, $F$11)</f>
        <v>22.287600000000001</v>
      </c>
      <c r="F734" s="4">
        <f>22.9584 * CHOOSE(CONTROL!$C$15, $D$11, 100%, $F$11)</f>
        <v>22.958400000000001</v>
      </c>
      <c r="G734" s="8">
        <f>21.8823 * CHOOSE( CONTROL!$C$15, $D$11, 100%, $F$11)</f>
        <v>21.882300000000001</v>
      </c>
      <c r="H734" s="4">
        <f>22.8155 * CHOOSE(CONTROL!$C$15, $D$11, 100%, $F$11)</f>
        <v>22.8155</v>
      </c>
      <c r="I734" s="8">
        <f>21.5927 * CHOOSE(CONTROL!$C$15, $D$11, 100%, $F$11)</f>
        <v>21.592700000000001</v>
      </c>
      <c r="J734" s="4">
        <f>21.5123 * CHOOSE(CONTROL!$C$15, $D$11, 100%, $F$11)</f>
        <v>21.5123</v>
      </c>
      <c r="K734" s="4"/>
      <c r="L734" s="9">
        <v>28.921800000000001</v>
      </c>
      <c r="M734" s="9">
        <v>12.063700000000001</v>
      </c>
      <c r="N734" s="9">
        <v>4.9444999999999997</v>
      </c>
      <c r="O734" s="9">
        <v>0.37459999999999999</v>
      </c>
      <c r="P734" s="9">
        <v>1.2192000000000001</v>
      </c>
      <c r="Q734" s="9">
        <v>19.688099999999999</v>
      </c>
      <c r="R734" s="9"/>
      <c r="S734" s="11"/>
    </row>
    <row r="735" spans="1:19" ht="15.75">
      <c r="A735" s="13">
        <v>64253</v>
      </c>
      <c r="B735" s="8">
        <f>24.0165 * CHOOSE(CONTROL!$C$15, $D$11, 100%, $F$11)</f>
        <v>24.016500000000001</v>
      </c>
      <c r="C735" s="8">
        <f>24.0268 * CHOOSE(CONTROL!$C$15, $D$11, 100%, $F$11)</f>
        <v>24.026800000000001</v>
      </c>
      <c r="D735" s="8">
        <f>24.0128 * CHOOSE( CONTROL!$C$15, $D$11, 100%, $F$11)</f>
        <v>24.012799999999999</v>
      </c>
      <c r="E735" s="12">
        <f>24.0168 * CHOOSE( CONTROL!$C$15, $D$11, 100%, $F$11)</f>
        <v>24.0168</v>
      </c>
      <c r="F735" s="4">
        <f>24.6707 * CHOOSE(CONTROL!$C$15, $D$11, 100%, $F$11)</f>
        <v>24.6707</v>
      </c>
      <c r="G735" s="8">
        <f>23.6176 * CHOOSE( CONTROL!$C$15, $D$11, 100%, $F$11)</f>
        <v>23.617599999999999</v>
      </c>
      <c r="H735" s="4">
        <f>24.5002 * CHOOSE(CONTROL!$C$15, $D$11, 100%, $F$11)</f>
        <v>24.5002</v>
      </c>
      <c r="I735" s="8">
        <f>23.3155 * CHOOSE(CONTROL!$C$15, $D$11, 100%, $F$11)</f>
        <v>23.3155</v>
      </c>
      <c r="J735" s="4">
        <f>23.2012 * CHOOSE(CONTROL!$C$15, $D$11, 100%, $F$11)</f>
        <v>23.2012</v>
      </c>
      <c r="K735" s="4"/>
      <c r="L735" s="9">
        <v>26.515499999999999</v>
      </c>
      <c r="M735" s="9">
        <v>11.6745</v>
      </c>
      <c r="N735" s="9">
        <v>4.7850000000000001</v>
      </c>
      <c r="O735" s="9">
        <v>0.36249999999999999</v>
      </c>
      <c r="P735" s="9">
        <v>1.2522</v>
      </c>
      <c r="Q735" s="9">
        <v>19.053000000000001</v>
      </c>
      <c r="R735" s="9"/>
      <c r="S735" s="11"/>
    </row>
    <row r="736" spans="1:19" ht="15.75">
      <c r="A736" s="13">
        <v>64284</v>
      </c>
      <c r="B736" s="8">
        <f>23.9728 * CHOOSE(CONTROL!$C$15, $D$11, 100%, $F$11)</f>
        <v>23.972799999999999</v>
      </c>
      <c r="C736" s="8">
        <f>23.9832 * CHOOSE(CONTROL!$C$15, $D$11, 100%, $F$11)</f>
        <v>23.9832</v>
      </c>
      <c r="D736" s="8">
        <f>23.9717 * CHOOSE( CONTROL!$C$15, $D$11, 100%, $F$11)</f>
        <v>23.971699999999998</v>
      </c>
      <c r="E736" s="12">
        <f>23.9748 * CHOOSE( CONTROL!$C$15, $D$11, 100%, $F$11)</f>
        <v>23.974799999999998</v>
      </c>
      <c r="F736" s="4">
        <f>24.6271 * CHOOSE(CONTROL!$C$15, $D$11, 100%, $F$11)</f>
        <v>24.627099999999999</v>
      </c>
      <c r="G736" s="8">
        <f>23.5765 * CHOOSE( CONTROL!$C$15, $D$11, 100%, $F$11)</f>
        <v>23.576499999999999</v>
      </c>
      <c r="H736" s="4">
        <f>24.4572 * CHOOSE(CONTROL!$C$15, $D$11, 100%, $F$11)</f>
        <v>24.4572</v>
      </c>
      <c r="I736" s="8">
        <f>23.2812 * CHOOSE(CONTROL!$C$15, $D$11, 100%, $F$11)</f>
        <v>23.281199999999998</v>
      </c>
      <c r="J736" s="4">
        <f>23.159 * CHOOSE(CONTROL!$C$15, $D$11, 100%, $F$11)</f>
        <v>23.158999999999999</v>
      </c>
      <c r="K736" s="4"/>
      <c r="L736" s="9">
        <v>27.3993</v>
      </c>
      <c r="M736" s="9">
        <v>12.063700000000001</v>
      </c>
      <c r="N736" s="9">
        <v>4.9444999999999997</v>
      </c>
      <c r="O736" s="9">
        <v>0.37459999999999999</v>
      </c>
      <c r="P736" s="9">
        <v>1.2939000000000001</v>
      </c>
      <c r="Q736" s="9">
        <v>19.688099999999999</v>
      </c>
      <c r="R736" s="9"/>
      <c r="S736" s="11"/>
    </row>
    <row r="737" spans="1:19" ht="15.75">
      <c r="A737" s="13">
        <v>64315</v>
      </c>
      <c r="B737" s="8">
        <f>24.8881 * CHOOSE(CONTROL!$C$15, $D$11, 100%, $F$11)</f>
        <v>24.888100000000001</v>
      </c>
      <c r="C737" s="8">
        <f>24.8984 * CHOOSE(CONTROL!$C$15, $D$11, 100%, $F$11)</f>
        <v>24.898399999999999</v>
      </c>
      <c r="D737" s="8">
        <f>24.8968 * CHOOSE( CONTROL!$C$15, $D$11, 100%, $F$11)</f>
        <v>24.896799999999999</v>
      </c>
      <c r="E737" s="12">
        <f>24.8963 * CHOOSE( CONTROL!$C$15, $D$11, 100%, $F$11)</f>
        <v>24.8963</v>
      </c>
      <c r="F737" s="4">
        <f>25.5708 * CHOOSE(CONTROL!$C$15, $D$11, 100%, $F$11)</f>
        <v>25.570799999999998</v>
      </c>
      <c r="G737" s="8">
        <f>24.4872 * CHOOSE( CONTROL!$C$15, $D$11, 100%, $F$11)</f>
        <v>24.487200000000001</v>
      </c>
      <c r="H737" s="4">
        <f>25.3857 * CHOOSE(CONTROL!$C$15, $D$11, 100%, $F$11)</f>
        <v>25.3857</v>
      </c>
      <c r="I737" s="8">
        <f>24.1647 * CHOOSE(CONTROL!$C$15, $D$11, 100%, $F$11)</f>
        <v>24.1647</v>
      </c>
      <c r="J737" s="4">
        <f>24.0441 * CHOOSE(CONTROL!$C$15, $D$11, 100%, $F$11)</f>
        <v>24.0441</v>
      </c>
      <c r="K737" s="4"/>
      <c r="L737" s="9">
        <v>27.3993</v>
      </c>
      <c r="M737" s="9">
        <v>12.063700000000001</v>
      </c>
      <c r="N737" s="9">
        <v>4.9444999999999997</v>
      </c>
      <c r="O737" s="9">
        <v>0.37459999999999999</v>
      </c>
      <c r="P737" s="9">
        <v>1.2939000000000001</v>
      </c>
      <c r="Q737" s="9">
        <v>19.688099999999999</v>
      </c>
      <c r="R737" s="9"/>
      <c r="S737" s="11"/>
    </row>
    <row r="738" spans="1:19" ht="15.75">
      <c r="A738" s="13">
        <v>64344</v>
      </c>
      <c r="B738" s="8">
        <f>23.2808 * CHOOSE(CONTROL!$C$15, $D$11, 100%, $F$11)</f>
        <v>23.280799999999999</v>
      </c>
      <c r="C738" s="8">
        <f>23.2911 * CHOOSE(CONTROL!$C$15, $D$11, 100%, $F$11)</f>
        <v>23.2911</v>
      </c>
      <c r="D738" s="8">
        <f>23.2916 * CHOOSE( CONTROL!$C$15, $D$11, 100%, $F$11)</f>
        <v>23.291599999999999</v>
      </c>
      <c r="E738" s="12">
        <f>23.2903 * CHOOSE( CONTROL!$C$15, $D$11, 100%, $F$11)</f>
        <v>23.290299999999998</v>
      </c>
      <c r="F738" s="4">
        <f>23.9557 * CHOOSE(CONTROL!$C$15, $D$11, 100%, $F$11)</f>
        <v>23.9557</v>
      </c>
      <c r="G738" s="8">
        <f>22.9057 * CHOOSE( CONTROL!$C$15, $D$11, 100%, $F$11)</f>
        <v>22.9057</v>
      </c>
      <c r="H738" s="4">
        <f>23.7967 * CHOOSE(CONTROL!$C$15, $D$11, 100%, $F$11)</f>
        <v>23.796700000000001</v>
      </c>
      <c r="I738" s="8">
        <f>22.5986 * CHOOSE(CONTROL!$C$15, $D$11, 100%, $F$11)</f>
        <v>22.598600000000001</v>
      </c>
      <c r="J738" s="4">
        <f>22.4897 * CHOOSE(CONTROL!$C$15, $D$11, 100%, $F$11)</f>
        <v>22.489699999999999</v>
      </c>
      <c r="K738" s="4"/>
      <c r="L738" s="9">
        <v>25.631599999999999</v>
      </c>
      <c r="M738" s="9">
        <v>11.285299999999999</v>
      </c>
      <c r="N738" s="9">
        <v>4.6254999999999997</v>
      </c>
      <c r="O738" s="9">
        <v>0.35039999999999999</v>
      </c>
      <c r="P738" s="9">
        <v>1.2104999999999999</v>
      </c>
      <c r="Q738" s="9">
        <v>18.417899999999999</v>
      </c>
      <c r="R738" s="9"/>
      <c r="S738" s="11"/>
    </row>
    <row r="739" spans="1:19" ht="15.75">
      <c r="A739" s="13">
        <v>64375</v>
      </c>
      <c r="B739" s="8">
        <f>22.7857 * CHOOSE(CONTROL!$C$15, $D$11, 100%, $F$11)</f>
        <v>22.785699999999999</v>
      </c>
      <c r="C739" s="8">
        <f>22.7961 * CHOOSE(CONTROL!$C$15, $D$11, 100%, $F$11)</f>
        <v>22.796099999999999</v>
      </c>
      <c r="D739" s="8">
        <f>22.7761 * CHOOSE( CONTROL!$C$15, $D$11, 100%, $F$11)</f>
        <v>22.7761</v>
      </c>
      <c r="E739" s="12">
        <f>22.7823 * CHOOSE( CONTROL!$C$15, $D$11, 100%, $F$11)</f>
        <v>22.782299999999999</v>
      </c>
      <c r="F739" s="4">
        <f>23.4446 * CHOOSE(CONTROL!$C$15, $D$11, 100%, $F$11)</f>
        <v>23.444600000000001</v>
      </c>
      <c r="G739" s="8">
        <f>22.3979 * CHOOSE( CONTROL!$C$15, $D$11, 100%, $F$11)</f>
        <v>22.3979</v>
      </c>
      <c r="H739" s="4">
        <f>23.2939 * CHOOSE(CONTROL!$C$15, $D$11, 100%, $F$11)</f>
        <v>23.293900000000001</v>
      </c>
      <c r="I739" s="8">
        <f>22.0801 * CHOOSE(CONTROL!$C$15, $D$11, 100%, $F$11)</f>
        <v>22.080100000000002</v>
      </c>
      <c r="J739" s="4">
        <f>22.011 * CHOOSE(CONTROL!$C$15, $D$11, 100%, $F$11)</f>
        <v>22.010999999999999</v>
      </c>
      <c r="K739" s="4"/>
      <c r="L739" s="9">
        <v>27.3993</v>
      </c>
      <c r="M739" s="9">
        <v>12.063700000000001</v>
      </c>
      <c r="N739" s="9">
        <v>4.9444999999999997</v>
      </c>
      <c r="O739" s="9">
        <v>0.37459999999999999</v>
      </c>
      <c r="P739" s="9">
        <v>1.2939000000000001</v>
      </c>
      <c r="Q739" s="9">
        <v>19.688099999999999</v>
      </c>
      <c r="R739" s="9"/>
      <c r="S739" s="11"/>
    </row>
    <row r="740" spans="1:19" ht="15.75">
      <c r="A740" s="13">
        <v>64405</v>
      </c>
      <c r="B740" s="8">
        <f>23.1317 * CHOOSE(CONTROL!$C$15, $D$11, 100%, $F$11)</f>
        <v>23.131699999999999</v>
      </c>
      <c r="C740" s="8">
        <f>23.142 * CHOOSE(CONTROL!$C$15, $D$11, 100%, $F$11)</f>
        <v>23.141999999999999</v>
      </c>
      <c r="D740" s="8">
        <f>23.1335 * CHOOSE( CONTROL!$C$15, $D$11, 100%, $F$11)</f>
        <v>23.133500000000002</v>
      </c>
      <c r="E740" s="12">
        <f>23.1351 * CHOOSE( CONTROL!$C$15, $D$11, 100%, $F$11)</f>
        <v>23.135100000000001</v>
      </c>
      <c r="F740" s="4">
        <f>23.7807 * CHOOSE(CONTROL!$C$15, $D$11, 100%, $F$11)</f>
        <v>23.7807</v>
      </c>
      <c r="G740" s="8">
        <f>22.7231 * CHOOSE( CONTROL!$C$15, $D$11, 100%, $F$11)</f>
        <v>22.723099999999999</v>
      </c>
      <c r="H740" s="4">
        <f>23.6246 * CHOOSE(CONTROL!$C$15, $D$11, 100%, $F$11)</f>
        <v>23.624600000000001</v>
      </c>
      <c r="I740" s="8">
        <f>22.4117 * CHOOSE(CONTROL!$C$15, $D$11, 100%, $F$11)</f>
        <v>22.4117</v>
      </c>
      <c r="J740" s="4">
        <f>22.3455 * CHOOSE(CONTROL!$C$15, $D$11, 100%, $F$11)</f>
        <v>22.345500000000001</v>
      </c>
      <c r="K740" s="4"/>
      <c r="L740" s="9">
        <v>27.988800000000001</v>
      </c>
      <c r="M740" s="9">
        <v>11.6745</v>
      </c>
      <c r="N740" s="9">
        <v>4.7850000000000001</v>
      </c>
      <c r="O740" s="9">
        <v>0.36249999999999999</v>
      </c>
      <c r="P740" s="9">
        <v>1.1798</v>
      </c>
      <c r="Q740" s="9">
        <v>19.053000000000001</v>
      </c>
      <c r="R740" s="9"/>
      <c r="S740" s="11"/>
    </row>
    <row r="741" spans="1:19" ht="15.75">
      <c r="A741" s="13">
        <v>64436</v>
      </c>
      <c r="B741" s="8">
        <f>CHOOSE( CONTROL!$C$32, 23.7518, 23.7473) * CHOOSE(CONTROL!$C$15, $D$11, 100%, $F$11)</f>
        <v>23.751799999999999</v>
      </c>
      <c r="C741" s="8">
        <f>CHOOSE( CONTROL!$C$32, 23.7622, 23.7577) * CHOOSE(CONTROL!$C$15, $D$11, 100%, $F$11)</f>
        <v>23.7622</v>
      </c>
      <c r="D741" s="8">
        <f>CHOOSE( CONTROL!$C$32, 23.7719, 23.7674) * CHOOSE( CONTROL!$C$15, $D$11, 100%, $F$11)</f>
        <v>23.771899999999999</v>
      </c>
      <c r="E741" s="12">
        <f>CHOOSE( CONTROL!$C$32, 23.7668, 23.7623) * CHOOSE( CONTROL!$C$15, $D$11, 100%, $F$11)</f>
        <v>23.7668</v>
      </c>
      <c r="F741" s="4">
        <f>CHOOSE( CONTROL!$C$32, 24.4401, 24.4356) * CHOOSE(CONTROL!$C$15, $D$11, 100%, $F$11)</f>
        <v>24.440100000000001</v>
      </c>
      <c r="G741" s="8">
        <f>CHOOSE( CONTROL!$C$32, 23.3383, 23.3338) * CHOOSE( CONTROL!$C$15, $D$11, 100%, $F$11)</f>
        <v>23.3383</v>
      </c>
      <c r="H741" s="4">
        <f>CHOOSE( CONTROL!$C$32, 24.2733, 24.2689) * CHOOSE(CONTROL!$C$15, $D$11, 100%, $F$11)</f>
        <v>24.273299999999999</v>
      </c>
      <c r="I741" s="8">
        <f>CHOOSE( CONTROL!$C$32, 23.0176, 23.0132) * CHOOSE(CONTROL!$C$15, $D$11, 100%, $F$11)</f>
        <v>23.017600000000002</v>
      </c>
      <c r="J741" s="4">
        <f>CHOOSE( CONTROL!$C$32, 22.9453, 22.9409) * CHOOSE(CONTROL!$C$15, $D$11, 100%, $F$11)</f>
        <v>22.9453</v>
      </c>
      <c r="K741" s="4"/>
      <c r="L741" s="9">
        <v>29.520499999999998</v>
      </c>
      <c r="M741" s="9">
        <v>12.063700000000001</v>
      </c>
      <c r="N741" s="9">
        <v>4.9444999999999997</v>
      </c>
      <c r="O741" s="9">
        <v>0.37459999999999999</v>
      </c>
      <c r="P741" s="9">
        <v>1.2192000000000001</v>
      </c>
      <c r="Q741" s="9">
        <v>19.688099999999999</v>
      </c>
      <c r="R741" s="9"/>
      <c r="S741" s="11"/>
    </row>
    <row r="742" spans="1:19" ht="15.75">
      <c r="A742" s="13">
        <v>64466</v>
      </c>
      <c r="B742" s="8">
        <f>CHOOSE( CONTROL!$C$32, 23.3705, 23.3659) * CHOOSE(CONTROL!$C$15, $D$11, 100%, $F$11)</f>
        <v>23.3705</v>
      </c>
      <c r="C742" s="8">
        <f>CHOOSE( CONTROL!$C$32, 23.3808, 23.3763) * CHOOSE(CONTROL!$C$15, $D$11, 100%, $F$11)</f>
        <v>23.380800000000001</v>
      </c>
      <c r="D742" s="8">
        <f>CHOOSE( CONTROL!$C$32, 23.3911, 23.3866) * CHOOSE( CONTROL!$C$15, $D$11, 100%, $F$11)</f>
        <v>23.391100000000002</v>
      </c>
      <c r="E742" s="12">
        <f>CHOOSE( CONTROL!$C$32, 23.3858, 23.3813) * CHOOSE( CONTROL!$C$15, $D$11, 100%, $F$11)</f>
        <v>23.3858</v>
      </c>
      <c r="F742" s="4">
        <f>CHOOSE( CONTROL!$C$32, 24.0587, 24.0542) * CHOOSE(CONTROL!$C$15, $D$11, 100%, $F$11)</f>
        <v>24.058700000000002</v>
      </c>
      <c r="G742" s="8">
        <f>CHOOSE( CONTROL!$C$32, 22.964, 22.9596) * CHOOSE( CONTROL!$C$15, $D$11, 100%, $F$11)</f>
        <v>22.963999999999999</v>
      </c>
      <c r="H742" s="4">
        <f>CHOOSE( CONTROL!$C$32, 23.8981, 23.8937) * CHOOSE(CONTROL!$C$15, $D$11, 100%, $F$11)</f>
        <v>23.898099999999999</v>
      </c>
      <c r="I742" s="8">
        <f>CHOOSE( CONTROL!$C$32, 22.6515, 22.6472) * CHOOSE(CONTROL!$C$15, $D$11, 100%, $F$11)</f>
        <v>22.651499999999999</v>
      </c>
      <c r="J742" s="4">
        <f>CHOOSE( CONTROL!$C$32, 22.5765, 22.5721) * CHOOSE(CONTROL!$C$15, $D$11, 100%, $F$11)</f>
        <v>22.576499999999999</v>
      </c>
      <c r="K742" s="4"/>
      <c r="L742" s="9">
        <v>28.568200000000001</v>
      </c>
      <c r="M742" s="9">
        <v>11.6745</v>
      </c>
      <c r="N742" s="9">
        <v>4.7850000000000001</v>
      </c>
      <c r="O742" s="9">
        <v>0.36249999999999999</v>
      </c>
      <c r="P742" s="9">
        <v>1.1798</v>
      </c>
      <c r="Q742" s="9">
        <v>19.053000000000001</v>
      </c>
      <c r="R742" s="9"/>
      <c r="S742" s="11"/>
    </row>
    <row r="743" spans="1:19" ht="15.75">
      <c r="A743" s="13">
        <v>64497</v>
      </c>
      <c r="B743" s="8">
        <f>CHOOSE( CONTROL!$C$32, 24.3748, 24.3703) * CHOOSE(CONTROL!$C$15, $D$11, 100%, $F$11)</f>
        <v>24.3748</v>
      </c>
      <c r="C743" s="8">
        <f>CHOOSE( CONTROL!$C$32, 24.3851, 24.3806) * CHOOSE(CONTROL!$C$15, $D$11, 100%, $F$11)</f>
        <v>24.385100000000001</v>
      </c>
      <c r="D743" s="8">
        <f>CHOOSE( CONTROL!$C$32, 24.396, 24.3915) * CHOOSE( CONTROL!$C$15, $D$11, 100%, $F$11)</f>
        <v>24.396000000000001</v>
      </c>
      <c r="E743" s="12">
        <f>CHOOSE( CONTROL!$C$32, 24.3905, 24.386) * CHOOSE( CONTROL!$C$15, $D$11, 100%, $F$11)</f>
        <v>24.390499999999999</v>
      </c>
      <c r="F743" s="4">
        <f>CHOOSE( CONTROL!$C$32, 25.0631, 25.0585) * CHOOSE(CONTROL!$C$15, $D$11, 100%, $F$11)</f>
        <v>25.063099999999999</v>
      </c>
      <c r="G743" s="8">
        <f>CHOOSE( CONTROL!$C$32, 23.9529, 23.9485) * CHOOSE( CONTROL!$C$15, $D$11, 100%, $F$11)</f>
        <v>23.9529</v>
      </c>
      <c r="H743" s="4">
        <f>CHOOSE( CONTROL!$C$32, 24.8862, 24.8817) * CHOOSE(CONTROL!$C$15, $D$11, 100%, $F$11)</f>
        <v>24.886199999999999</v>
      </c>
      <c r="I743" s="8">
        <f>CHOOSE( CONTROL!$C$32, 23.626, 23.6216) * CHOOSE(CONTROL!$C$15, $D$11, 100%, $F$11)</f>
        <v>23.626000000000001</v>
      </c>
      <c r="J743" s="4">
        <f>CHOOSE( CONTROL!$C$32, 23.5477, 23.5434) * CHOOSE(CONTROL!$C$15, $D$11, 100%, $F$11)</f>
        <v>23.547699999999999</v>
      </c>
      <c r="K743" s="4"/>
      <c r="L743" s="9">
        <v>29.520499999999998</v>
      </c>
      <c r="M743" s="9">
        <v>12.063700000000001</v>
      </c>
      <c r="N743" s="9">
        <v>4.9444999999999997</v>
      </c>
      <c r="O743" s="9">
        <v>0.37459999999999999</v>
      </c>
      <c r="P743" s="9">
        <v>1.2192000000000001</v>
      </c>
      <c r="Q743" s="9">
        <v>19.688099999999999</v>
      </c>
      <c r="R743" s="9"/>
      <c r="S743" s="11"/>
    </row>
    <row r="744" spans="1:19" ht="15.75">
      <c r="A744" s="13">
        <v>64528</v>
      </c>
      <c r="B744" s="8">
        <f>CHOOSE( CONTROL!$C$32, 22.4956, 22.4911) * CHOOSE(CONTROL!$C$15, $D$11, 100%, $F$11)</f>
        <v>22.4956</v>
      </c>
      <c r="C744" s="8">
        <f>CHOOSE( CONTROL!$C$32, 22.5059, 22.5014) * CHOOSE(CONTROL!$C$15, $D$11, 100%, $F$11)</f>
        <v>22.5059</v>
      </c>
      <c r="D744" s="8">
        <f>CHOOSE( CONTROL!$C$32, 22.5171, 22.5126) * CHOOSE( CONTROL!$C$15, $D$11, 100%, $F$11)</f>
        <v>22.517099999999999</v>
      </c>
      <c r="E744" s="12">
        <f>CHOOSE( CONTROL!$C$32, 22.5115, 22.507) * CHOOSE( CONTROL!$C$15, $D$11, 100%, $F$11)</f>
        <v>22.511500000000002</v>
      </c>
      <c r="F744" s="4">
        <f>CHOOSE( CONTROL!$C$32, 23.1839, 23.1793) * CHOOSE(CONTROL!$C$15, $D$11, 100%, $F$11)</f>
        <v>23.183900000000001</v>
      </c>
      <c r="G744" s="8">
        <f>CHOOSE( CONTROL!$C$32, 22.1046, 22.1001) * CHOOSE( CONTROL!$C$15, $D$11, 100%, $F$11)</f>
        <v>22.104600000000001</v>
      </c>
      <c r="H744" s="4">
        <f>CHOOSE( CONTROL!$C$32, 23.0374, 23.0329) * CHOOSE(CONTROL!$C$15, $D$11, 100%, $F$11)</f>
        <v>23.037400000000002</v>
      </c>
      <c r="I744" s="8">
        <f>CHOOSE( CONTROL!$C$32, 21.8091, 21.8048) * CHOOSE(CONTROL!$C$15, $D$11, 100%, $F$11)</f>
        <v>21.809100000000001</v>
      </c>
      <c r="J744" s="4">
        <f>CHOOSE( CONTROL!$C$32, 21.7304, 21.726) * CHOOSE(CONTROL!$C$15, $D$11, 100%, $F$11)</f>
        <v>21.730399999999999</v>
      </c>
      <c r="K744" s="4"/>
      <c r="L744" s="9">
        <v>29.520499999999998</v>
      </c>
      <c r="M744" s="9">
        <v>12.063700000000001</v>
      </c>
      <c r="N744" s="9">
        <v>4.9444999999999997</v>
      </c>
      <c r="O744" s="9">
        <v>0.37459999999999999</v>
      </c>
      <c r="P744" s="9">
        <v>1.2192000000000001</v>
      </c>
      <c r="Q744" s="9">
        <v>19.688099999999999</v>
      </c>
      <c r="R744" s="9"/>
      <c r="S744" s="11"/>
    </row>
    <row r="745" spans="1:19" ht="15.75">
      <c r="A745" s="13">
        <v>64558</v>
      </c>
      <c r="B745" s="8">
        <f>CHOOSE( CONTROL!$C$32, 22.025, 22.0205) * CHOOSE(CONTROL!$C$15, $D$11, 100%, $F$11)</f>
        <v>22.024999999999999</v>
      </c>
      <c r="C745" s="8">
        <f>CHOOSE( CONTROL!$C$32, 22.0353, 22.0308) * CHOOSE(CONTROL!$C$15, $D$11, 100%, $F$11)</f>
        <v>22.035299999999999</v>
      </c>
      <c r="D745" s="8">
        <f>CHOOSE( CONTROL!$C$32, 22.0466, 22.0421) * CHOOSE( CONTROL!$C$15, $D$11, 100%, $F$11)</f>
        <v>22.046600000000002</v>
      </c>
      <c r="E745" s="12">
        <f>CHOOSE( CONTROL!$C$32, 22.0409, 22.0364) * CHOOSE( CONTROL!$C$15, $D$11, 100%, $F$11)</f>
        <v>22.040900000000001</v>
      </c>
      <c r="F745" s="4">
        <f>CHOOSE( CONTROL!$C$32, 22.7133, 22.7088) * CHOOSE(CONTROL!$C$15, $D$11, 100%, $F$11)</f>
        <v>22.7133</v>
      </c>
      <c r="G745" s="8">
        <f>CHOOSE( CONTROL!$C$32, 21.6417, 21.6373) * CHOOSE( CONTROL!$C$15, $D$11, 100%, $F$11)</f>
        <v>21.6417</v>
      </c>
      <c r="H745" s="4">
        <f>CHOOSE( CONTROL!$C$32, 22.5744, 22.57) * CHOOSE(CONTROL!$C$15, $D$11, 100%, $F$11)</f>
        <v>22.574400000000001</v>
      </c>
      <c r="I745" s="8">
        <f>CHOOSE( CONTROL!$C$32, 21.3543, 21.3499) * CHOOSE(CONTROL!$C$15, $D$11, 100%, $F$11)</f>
        <v>21.354299999999999</v>
      </c>
      <c r="J745" s="4">
        <f>CHOOSE( CONTROL!$C$32, 21.2753, 21.2709) * CHOOSE(CONTROL!$C$15, $D$11, 100%, $F$11)</f>
        <v>21.275300000000001</v>
      </c>
      <c r="K745" s="4"/>
      <c r="L745" s="9">
        <v>28.568200000000001</v>
      </c>
      <c r="M745" s="9">
        <v>11.6745</v>
      </c>
      <c r="N745" s="9">
        <v>4.7850000000000001</v>
      </c>
      <c r="O745" s="9">
        <v>0.36249999999999999</v>
      </c>
      <c r="P745" s="9">
        <v>1.1798</v>
      </c>
      <c r="Q745" s="9">
        <v>19.053000000000001</v>
      </c>
      <c r="R745" s="9"/>
      <c r="S745" s="11"/>
    </row>
    <row r="746" spans="1:19" ht="15.75">
      <c r="A746" s="13">
        <v>64589</v>
      </c>
      <c r="B746" s="8">
        <f>22.9976 * CHOOSE(CONTROL!$C$15, $D$11, 100%, $F$11)</f>
        <v>22.997599999999998</v>
      </c>
      <c r="C746" s="8">
        <f>23.0079 * CHOOSE(CONTROL!$C$15, $D$11, 100%, $F$11)</f>
        <v>23.007899999999999</v>
      </c>
      <c r="D746" s="8">
        <f>23.0203 * CHOOSE( CONTROL!$C$15, $D$11, 100%, $F$11)</f>
        <v>23.020299999999999</v>
      </c>
      <c r="E746" s="12">
        <f>23.0151 * CHOOSE( CONTROL!$C$15, $D$11, 100%, $F$11)</f>
        <v>23.0151</v>
      </c>
      <c r="F746" s="4">
        <f>23.6858 * CHOOSE(CONTROL!$C$15, $D$11, 100%, $F$11)</f>
        <v>23.6858</v>
      </c>
      <c r="G746" s="8">
        <f>22.598 * CHOOSE( CONTROL!$C$15, $D$11, 100%, $F$11)</f>
        <v>22.597999999999999</v>
      </c>
      <c r="H746" s="4">
        <f>23.5312 * CHOOSE(CONTROL!$C$15, $D$11, 100%, $F$11)</f>
        <v>23.531199999999998</v>
      </c>
      <c r="I746" s="8">
        <f>22.2966 * CHOOSE(CONTROL!$C$15, $D$11, 100%, $F$11)</f>
        <v>22.296600000000002</v>
      </c>
      <c r="J746" s="4">
        <f>22.2158 * CHOOSE(CONTROL!$C$15, $D$11, 100%, $F$11)</f>
        <v>22.215800000000002</v>
      </c>
      <c r="K746" s="4"/>
      <c r="L746" s="9">
        <v>28.921800000000001</v>
      </c>
      <c r="M746" s="9">
        <v>12.063700000000001</v>
      </c>
      <c r="N746" s="9">
        <v>4.9444999999999997</v>
      </c>
      <c r="O746" s="9">
        <v>0.37459999999999999</v>
      </c>
      <c r="P746" s="9">
        <v>1.2192000000000001</v>
      </c>
      <c r="Q746" s="9">
        <v>19.688099999999999</v>
      </c>
      <c r="R746" s="9"/>
      <c r="S746" s="11"/>
    </row>
    <row r="747" spans="1:19" ht="15.75">
      <c r="A747" s="13">
        <v>64619</v>
      </c>
      <c r="B747" s="8">
        <f>24.801 * CHOOSE(CONTROL!$C$15, $D$11, 100%, $F$11)</f>
        <v>24.800999999999998</v>
      </c>
      <c r="C747" s="8">
        <f>24.8114 * CHOOSE(CONTROL!$C$15, $D$11, 100%, $F$11)</f>
        <v>24.811399999999999</v>
      </c>
      <c r="D747" s="8">
        <f>24.7974 * CHOOSE( CONTROL!$C$15, $D$11, 100%, $F$11)</f>
        <v>24.7974</v>
      </c>
      <c r="E747" s="12">
        <f>24.8014 * CHOOSE( CONTROL!$C$15, $D$11, 100%, $F$11)</f>
        <v>24.801400000000001</v>
      </c>
      <c r="F747" s="4">
        <f>25.4553 * CHOOSE(CONTROL!$C$15, $D$11, 100%, $F$11)</f>
        <v>25.455300000000001</v>
      </c>
      <c r="G747" s="8">
        <f>24.3895 * CHOOSE( CONTROL!$C$15, $D$11, 100%, $F$11)</f>
        <v>24.389500000000002</v>
      </c>
      <c r="H747" s="4">
        <f>25.2721 * CHOOSE(CONTROL!$C$15, $D$11, 100%, $F$11)</f>
        <v>25.272099999999998</v>
      </c>
      <c r="I747" s="8">
        <f>24.0746 * CHOOSE(CONTROL!$C$15, $D$11, 100%, $F$11)</f>
        <v>24.0746</v>
      </c>
      <c r="J747" s="4">
        <f>23.96 * CHOOSE(CONTROL!$C$15, $D$11, 100%, $F$11)</f>
        <v>23.96</v>
      </c>
      <c r="K747" s="4"/>
      <c r="L747" s="9">
        <v>26.515499999999999</v>
      </c>
      <c r="M747" s="9">
        <v>11.6745</v>
      </c>
      <c r="N747" s="9">
        <v>4.7850000000000001</v>
      </c>
      <c r="O747" s="9">
        <v>0.36249999999999999</v>
      </c>
      <c r="P747" s="9">
        <v>1.2522</v>
      </c>
      <c r="Q747" s="9">
        <v>19.053000000000001</v>
      </c>
      <c r="R747" s="9"/>
      <c r="S747" s="11"/>
    </row>
    <row r="748" spans="1:19" ht="15.75">
      <c r="A748" s="13">
        <v>64650</v>
      </c>
      <c r="B748" s="8">
        <f>24.756 * CHOOSE(CONTROL!$C$15, $D$11, 100%, $F$11)</f>
        <v>24.756</v>
      </c>
      <c r="C748" s="8">
        <f>24.7663 * CHOOSE(CONTROL!$C$15, $D$11, 100%, $F$11)</f>
        <v>24.766300000000001</v>
      </c>
      <c r="D748" s="8">
        <f>24.7548 * CHOOSE( CONTROL!$C$15, $D$11, 100%, $F$11)</f>
        <v>24.754799999999999</v>
      </c>
      <c r="E748" s="12">
        <f>24.7579 * CHOOSE( CONTROL!$C$15, $D$11, 100%, $F$11)</f>
        <v>24.757899999999999</v>
      </c>
      <c r="F748" s="4">
        <f>25.4102 * CHOOSE(CONTROL!$C$15, $D$11, 100%, $F$11)</f>
        <v>25.4102</v>
      </c>
      <c r="G748" s="8">
        <f>24.347 * CHOOSE( CONTROL!$C$15, $D$11, 100%, $F$11)</f>
        <v>24.347000000000001</v>
      </c>
      <c r="H748" s="4">
        <f>25.2277 * CHOOSE(CONTROL!$C$15, $D$11, 100%, $F$11)</f>
        <v>25.227699999999999</v>
      </c>
      <c r="I748" s="8">
        <f>24.039 * CHOOSE(CONTROL!$C$15, $D$11, 100%, $F$11)</f>
        <v>24.039000000000001</v>
      </c>
      <c r="J748" s="4">
        <f>23.9164 * CHOOSE(CONTROL!$C$15, $D$11, 100%, $F$11)</f>
        <v>23.916399999999999</v>
      </c>
      <c r="K748" s="4"/>
      <c r="L748" s="9">
        <v>27.3993</v>
      </c>
      <c r="M748" s="9">
        <v>12.063700000000001</v>
      </c>
      <c r="N748" s="9">
        <v>4.9444999999999997</v>
      </c>
      <c r="O748" s="9">
        <v>0.37459999999999999</v>
      </c>
      <c r="P748" s="9">
        <v>1.2939000000000001</v>
      </c>
      <c r="Q748" s="9">
        <v>19.688099999999999</v>
      </c>
      <c r="R748" s="9"/>
      <c r="S748" s="11"/>
    </row>
    <row r="749" spans="1:19" ht="15.75">
      <c r="A749" s="13">
        <v>64681</v>
      </c>
      <c r="B749" s="8">
        <f>25.7011 * CHOOSE(CONTROL!$C$15, $D$11, 100%, $F$11)</f>
        <v>25.7011</v>
      </c>
      <c r="C749" s="8">
        <f>25.7115 * CHOOSE(CONTROL!$C$15, $D$11, 100%, $F$11)</f>
        <v>25.711500000000001</v>
      </c>
      <c r="D749" s="8">
        <f>25.7099 * CHOOSE( CONTROL!$C$15, $D$11, 100%, $F$11)</f>
        <v>25.709900000000001</v>
      </c>
      <c r="E749" s="12">
        <f>25.7094 * CHOOSE( CONTROL!$C$15, $D$11, 100%, $F$11)</f>
        <v>25.709399999999999</v>
      </c>
      <c r="F749" s="4">
        <f>26.3838 * CHOOSE(CONTROL!$C$15, $D$11, 100%, $F$11)</f>
        <v>26.383800000000001</v>
      </c>
      <c r="G749" s="8">
        <f>25.2872 * CHOOSE( CONTROL!$C$15, $D$11, 100%, $F$11)</f>
        <v>25.287199999999999</v>
      </c>
      <c r="H749" s="4">
        <f>26.1856 * CHOOSE(CONTROL!$C$15, $D$11, 100%, $F$11)</f>
        <v>26.185600000000001</v>
      </c>
      <c r="I749" s="8">
        <f>24.9515 * CHOOSE(CONTROL!$C$15, $D$11, 100%, $F$11)</f>
        <v>24.951499999999999</v>
      </c>
      <c r="J749" s="4">
        <f>24.8305 * CHOOSE(CONTROL!$C$15, $D$11, 100%, $F$11)</f>
        <v>24.830500000000001</v>
      </c>
      <c r="K749" s="4"/>
      <c r="L749" s="9">
        <v>27.3993</v>
      </c>
      <c r="M749" s="9">
        <v>12.063700000000001</v>
      </c>
      <c r="N749" s="9">
        <v>4.9444999999999997</v>
      </c>
      <c r="O749" s="9">
        <v>0.37459999999999999</v>
      </c>
      <c r="P749" s="9">
        <v>1.2939000000000001</v>
      </c>
      <c r="Q749" s="9">
        <v>19.688099999999999</v>
      </c>
      <c r="R749" s="9"/>
      <c r="S749" s="11"/>
    </row>
    <row r="750" spans="1:19" ht="15.75">
      <c r="A750" s="13">
        <v>64709</v>
      </c>
      <c r="B750" s="8">
        <f>24.0413 * CHOOSE(CONTROL!$C$15, $D$11, 100%, $F$11)</f>
        <v>24.0413</v>
      </c>
      <c r="C750" s="8">
        <f>24.0516 * CHOOSE(CONTROL!$C$15, $D$11, 100%, $F$11)</f>
        <v>24.051600000000001</v>
      </c>
      <c r="D750" s="8">
        <f>24.0522 * CHOOSE( CONTROL!$C$15, $D$11, 100%, $F$11)</f>
        <v>24.052199999999999</v>
      </c>
      <c r="E750" s="12">
        <f>24.0509 * CHOOSE( CONTROL!$C$15, $D$11, 100%, $F$11)</f>
        <v>24.050899999999999</v>
      </c>
      <c r="F750" s="4">
        <f>24.7162 * CHOOSE(CONTROL!$C$15, $D$11, 100%, $F$11)</f>
        <v>24.716200000000001</v>
      </c>
      <c r="G750" s="8">
        <f>23.6539 * CHOOSE( CONTROL!$C$15, $D$11, 100%, $F$11)</f>
        <v>23.6539</v>
      </c>
      <c r="H750" s="4">
        <f>24.5449 * CHOOSE(CONTROL!$C$15, $D$11, 100%, $F$11)</f>
        <v>24.544899999999998</v>
      </c>
      <c r="I750" s="8">
        <f>23.3345 * CHOOSE(CONTROL!$C$15, $D$11, 100%, $F$11)</f>
        <v>23.334499999999998</v>
      </c>
      <c r="J750" s="4">
        <f>23.2252 * CHOOSE(CONTROL!$C$15, $D$11, 100%, $F$11)</f>
        <v>23.225200000000001</v>
      </c>
      <c r="K750" s="4"/>
      <c r="L750" s="9">
        <v>24.747800000000002</v>
      </c>
      <c r="M750" s="9">
        <v>10.8962</v>
      </c>
      <c r="N750" s="9">
        <v>4.4660000000000002</v>
      </c>
      <c r="O750" s="9">
        <v>0.33829999999999999</v>
      </c>
      <c r="P750" s="9">
        <v>1.1687000000000001</v>
      </c>
      <c r="Q750" s="9">
        <v>17.782800000000002</v>
      </c>
      <c r="R750" s="9"/>
      <c r="S750" s="11"/>
    </row>
    <row r="751" spans="1:19" ht="15.75">
      <c r="A751" s="13">
        <v>64740</v>
      </c>
      <c r="B751" s="8">
        <f>23.5301 * CHOOSE(CONTROL!$C$15, $D$11, 100%, $F$11)</f>
        <v>23.530100000000001</v>
      </c>
      <c r="C751" s="8">
        <f>23.5404 * CHOOSE(CONTROL!$C$15, $D$11, 100%, $F$11)</f>
        <v>23.540400000000002</v>
      </c>
      <c r="D751" s="8">
        <f>23.5205 * CHOOSE( CONTROL!$C$15, $D$11, 100%, $F$11)</f>
        <v>23.520499999999998</v>
      </c>
      <c r="E751" s="12">
        <f>23.5267 * CHOOSE( CONTROL!$C$15, $D$11, 100%, $F$11)</f>
        <v>23.526700000000002</v>
      </c>
      <c r="F751" s="4">
        <f>24.189 * CHOOSE(CONTROL!$C$15, $D$11, 100%, $F$11)</f>
        <v>24.189</v>
      </c>
      <c r="G751" s="8">
        <f>23.1302 * CHOOSE( CONTROL!$C$15, $D$11, 100%, $F$11)</f>
        <v>23.130199999999999</v>
      </c>
      <c r="H751" s="4">
        <f>24.0262 * CHOOSE(CONTROL!$C$15, $D$11, 100%, $F$11)</f>
        <v>24.026199999999999</v>
      </c>
      <c r="I751" s="8">
        <f>22.8003 * CHOOSE(CONTROL!$C$15, $D$11, 100%, $F$11)</f>
        <v>22.8003</v>
      </c>
      <c r="J751" s="4">
        <f>22.7308 * CHOOSE(CONTROL!$C$15, $D$11, 100%, $F$11)</f>
        <v>22.730799999999999</v>
      </c>
      <c r="K751" s="4"/>
      <c r="L751" s="9">
        <v>27.3993</v>
      </c>
      <c r="M751" s="9">
        <v>12.063700000000001</v>
      </c>
      <c r="N751" s="9">
        <v>4.9444999999999997</v>
      </c>
      <c r="O751" s="9">
        <v>0.37459999999999999</v>
      </c>
      <c r="P751" s="9">
        <v>1.2939000000000001</v>
      </c>
      <c r="Q751" s="9">
        <v>19.688099999999999</v>
      </c>
      <c r="R751" s="9"/>
      <c r="S751" s="11"/>
    </row>
    <row r="752" spans="1:19" ht="15.75">
      <c r="A752" s="13">
        <v>64770</v>
      </c>
      <c r="B752" s="8">
        <f>23.8873 * CHOOSE(CONTROL!$C$15, $D$11, 100%, $F$11)</f>
        <v>23.8873</v>
      </c>
      <c r="C752" s="8">
        <f>23.8976 * CHOOSE(CONTROL!$C$15, $D$11, 100%, $F$11)</f>
        <v>23.897600000000001</v>
      </c>
      <c r="D752" s="8">
        <f>23.8892 * CHOOSE( CONTROL!$C$15, $D$11, 100%, $F$11)</f>
        <v>23.889199999999999</v>
      </c>
      <c r="E752" s="12">
        <f>23.8908 * CHOOSE( CONTROL!$C$15, $D$11, 100%, $F$11)</f>
        <v>23.890799999999999</v>
      </c>
      <c r="F752" s="4">
        <f>24.5364 * CHOOSE(CONTROL!$C$15, $D$11, 100%, $F$11)</f>
        <v>24.5364</v>
      </c>
      <c r="G752" s="8">
        <f>23.4665 * CHOOSE( CONTROL!$C$15, $D$11, 100%, $F$11)</f>
        <v>23.4665</v>
      </c>
      <c r="H752" s="4">
        <f>24.368 * CHOOSE(CONTROL!$C$15, $D$11, 100%, $F$11)</f>
        <v>24.367999999999999</v>
      </c>
      <c r="I752" s="8">
        <f>23.1428 * CHOOSE(CONTROL!$C$15, $D$11, 100%, $F$11)</f>
        <v>23.142800000000001</v>
      </c>
      <c r="J752" s="4">
        <f>23.0763 * CHOOSE(CONTROL!$C$15, $D$11, 100%, $F$11)</f>
        <v>23.0763</v>
      </c>
      <c r="K752" s="4"/>
      <c r="L752" s="9">
        <v>27.988800000000001</v>
      </c>
      <c r="M752" s="9">
        <v>11.6745</v>
      </c>
      <c r="N752" s="9">
        <v>4.7850000000000001</v>
      </c>
      <c r="O752" s="9">
        <v>0.36249999999999999</v>
      </c>
      <c r="P752" s="9">
        <v>1.1798</v>
      </c>
      <c r="Q752" s="9">
        <v>19.053000000000001</v>
      </c>
      <c r="R752" s="9"/>
      <c r="S752" s="11"/>
    </row>
    <row r="753" spans="1:19" ht="15.75">
      <c r="A753" s="13">
        <v>64801</v>
      </c>
      <c r="B753" s="8">
        <f>CHOOSE( CONTROL!$C$32, 24.5276, 24.5231) * CHOOSE(CONTROL!$C$15, $D$11, 100%, $F$11)</f>
        <v>24.5276</v>
      </c>
      <c r="C753" s="8">
        <f>CHOOSE( CONTROL!$C$32, 24.538, 24.5334) * CHOOSE(CONTROL!$C$15, $D$11, 100%, $F$11)</f>
        <v>24.538</v>
      </c>
      <c r="D753" s="8">
        <f>CHOOSE( CONTROL!$C$32, 24.5476, 24.5431) * CHOOSE( CONTROL!$C$15, $D$11, 100%, $F$11)</f>
        <v>24.547599999999999</v>
      </c>
      <c r="E753" s="12">
        <f>CHOOSE( CONTROL!$C$32, 24.5425, 24.538) * CHOOSE( CONTROL!$C$15, $D$11, 100%, $F$11)</f>
        <v>24.5425</v>
      </c>
      <c r="F753" s="4">
        <f>CHOOSE( CONTROL!$C$32, 25.2159, 25.2114) * CHOOSE(CONTROL!$C$15, $D$11, 100%, $F$11)</f>
        <v>25.215900000000001</v>
      </c>
      <c r="G753" s="8">
        <f>CHOOSE( CONTROL!$C$32, 24.1015, 24.0971) * CHOOSE( CONTROL!$C$15, $D$11, 100%, $F$11)</f>
        <v>24.101500000000001</v>
      </c>
      <c r="H753" s="4">
        <f>CHOOSE( CONTROL!$C$32, 25.0365, 25.0321) * CHOOSE(CONTROL!$C$15, $D$11, 100%, $F$11)</f>
        <v>25.0365</v>
      </c>
      <c r="I753" s="8">
        <f>CHOOSE( CONTROL!$C$32, 23.7682, 23.7638) * CHOOSE(CONTROL!$C$15, $D$11, 100%, $F$11)</f>
        <v>23.7682</v>
      </c>
      <c r="J753" s="4">
        <f>CHOOSE( CONTROL!$C$32, 23.6956, 23.6912) * CHOOSE(CONTROL!$C$15, $D$11, 100%, $F$11)</f>
        <v>23.695599999999999</v>
      </c>
      <c r="K753" s="4"/>
      <c r="L753" s="9">
        <v>29.520499999999998</v>
      </c>
      <c r="M753" s="9">
        <v>12.063700000000001</v>
      </c>
      <c r="N753" s="9">
        <v>4.9444999999999997</v>
      </c>
      <c r="O753" s="9">
        <v>0.37459999999999999</v>
      </c>
      <c r="P753" s="9">
        <v>1.2192000000000001</v>
      </c>
      <c r="Q753" s="9">
        <v>19.688099999999999</v>
      </c>
      <c r="R753" s="9"/>
      <c r="S753" s="11"/>
    </row>
    <row r="754" spans="1:19" ht="15.75">
      <c r="A754" s="13">
        <v>64831</v>
      </c>
      <c r="B754" s="8">
        <f>CHOOSE( CONTROL!$C$32, 24.1338, 24.1292) * CHOOSE(CONTROL!$C$15, $D$11, 100%, $F$11)</f>
        <v>24.133800000000001</v>
      </c>
      <c r="C754" s="8">
        <f>CHOOSE( CONTROL!$C$32, 24.1441, 24.1396) * CHOOSE(CONTROL!$C$15, $D$11, 100%, $F$11)</f>
        <v>24.144100000000002</v>
      </c>
      <c r="D754" s="8">
        <f>CHOOSE( CONTROL!$C$32, 24.1544, 24.1499) * CHOOSE( CONTROL!$C$15, $D$11, 100%, $F$11)</f>
        <v>24.154399999999999</v>
      </c>
      <c r="E754" s="12">
        <f>CHOOSE( CONTROL!$C$32, 24.1491, 24.1446) * CHOOSE( CONTROL!$C$15, $D$11, 100%, $F$11)</f>
        <v>24.149100000000001</v>
      </c>
      <c r="F754" s="4">
        <f>CHOOSE( CONTROL!$C$32, 24.8221, 24.8175) * CHOOSE(CONTROL!$C$15, $D$11, 100%, $F$11)</f>
        <v>24.822099999999999</v>
      </c>
      <c r="G754" s="8">
        <f>CHOOSE( CONTROL!$C$32, 23.715, 23.7105) * CHOOSE( CONTROL!$C$15, $D$11, 100%, $F$11)</f>
        <v>23.715</v>
      </c>
      <c r="H754" s="4">
        <f>CHOOSE( CONTROL!$C$32, 24.6491, 24.6446) * CHOOSE(CONTROL!$C$15, $D$11, 100%, $F$11)</f>
        <v>24.649100000000001</v>
      </c>
      <c r="I754" s="8">
        <f>CHOOSE( CONTROL!$C$32, 23.3901, 23.3857) * CHOOSE(CONTROL!$C$15, $D$11, 100%, $F$11)</f>
        <v>23.3901</v>
      </c>
      <c r="J754" s="4">
        <f>CHOOSE( CONTROL!$C$32, 23.3147, 23.3103) * CHOOSE(CONTROL!$C$15, $D$11, 100%, $F$11)</f>
        <v>23.314699999999998</v>
      </c>
      <c r="K754" s="4"/>
      <c r="L754" s="9">
        <v>28.568200000000001</v>
      </c>
      <c r="M754" s="9">
        <v>11.6745</v>
      </c>
      <c r="N754" s="9">
        <v>4.7850000000000001</v>
      </c>
      <c r="O754" s="9">
        <v>0.36249999999999999</v>
      </c>
      <c r="P754" s="9">
        <v>1.1798</v>
      </c>
      <c r="Q754" s="9">
        <v>19.053000000000001</v>
      </c>
      <c r="R754" s="9"/>
      <c r="S754" s="11"/>
    </row>
    <row r="755" spans="1:19" ht="15.75">
      <c r="A755" s="13">
        <v>64862</v>
      </c>
      <c r="B755" s="8">
        <f>CHOOSE( CONTROL!$C$32, 25.1709, 25.1664) * CHOOSE(CONTROL!$C$15, $D$11, 100%, $F$11)</f>
        <v>25.1709</v>
      </c>
      <c r="C755" s="8">
        <f>CHOOSE( CONTROL!$C$32, 25.1813, 25.1767) * CHOOSE(CONTROL!$C$15, $D$11, 100%, $F$11)</f>
        <v>25.1813</v>
      </c>
      <c r="D755" s="8">
        <f>CHOOSE( CONTROL!$C$32, 25.1921, 25.1876) * CHOOSE( CONTROL!$C$15, $D$11, 100%, $F$11)</f>
        <v>25.1921</v>
      </c>
      <c r="E755" s="12">
        <f>CHOOSE( CONTROL!$C$32, 25.1866, 25.1821) * CHOOSE( CONTROL!$C$15, $D$11, 100%, $F$11)</f>
        <v>25.186599999999999</v>
      </c>
      <c r="F755" s="4">
        <f>CHOOSE( CONTROL!$C$32, 25.8592, 25.8547) * CHOOSE(CONTROL!$C$15, $D$11, 100%, $F$11)</f>
        <v>25.859200000000001</v>
      </c>
      <c r="G755" s="8">
        <f>CHOOSE( CONTROL!$C$32, 24.7362, 24.7318) * CHOOSE( CONTROL!$C$15, $D$11, 100%, $F$11)</f>
        <v>24.7362</v>
      </c>
      <c r="H755" s="4">
        <f>CHOOSE( CONTROL!$C$32, 25.6695, 25.665) * CHOOSE(CONTROL!$C$15, $D$11, 100%, $F$11)</f>
        <v>25.669499999999999</v>
      </c>
      <c r="I755" s="8">
        <f>CHOOSE( CONTROL!$C$32, 24.3964, 24.392) * CHOOSE(CONTROL!$C$15, $D$11, 100%, $F$11)</f>
        <v>24.3964</v>
      </c>
      <c r="J755" s="4">
        <f>CHOOSE( CONTROL!$C$32, 24.3177, 24.3133) * CHOOSE(CONTROL!$C$15, $D$11, 100%, $F$11)</f>
        <v>24.317699999999999</v>
      </c>
      <c r="K755" s="4"/>
      <c r="L755" s="9">
        <v>29.520499999999998</v>
      </c>
      <c r="M755" s="9">
        <v>12.063700000000001</v>
      </c>
      <c r="N755" s="9">
        <v>4.9444999999999997</v>
      </c>
      <c r="O755" s="9">
        <v>0.37459999999999999</v>
      </c>
      <c r="P755" s="9">
        <v>1.2192000000000001</v>
      </c>
      <c r="Q755" s="9">
        <v>19.688099999999999</v>
      </c>
      <c r="R755" s="9"/>
      <c r="S755" s="11"/>
    </row>
    <row r="756" spans="1:19" ht="15.75">
      <c r="A756" s="13">
        <v>64893</v>
      </c>
      <c r="B756" s="8">
        <f>CHOOSE( CONTROL!$C$32, 23.2303, 23.2257) * CHOOSE(CONTROL!$C$15, $D$11, 100%, $F$11)</f>
        <v>23.2303</v>
      </c>
      <c r="C756" s="8">
        <f>CHOOSE( CONTROL!$C$32, 23.2406, 23.2361) * CHOOSE(CONTROL!$C$15, $D$11, 100%, $F$11)</f>
        <v>23.240600000000001</v>
      </c>
      <c r="D756" s="8">
        <f>CHOOSE( CONTROL!$C$32, 23.2518, 23.2473) * CHOOSE( CONTROL!$C$15, $D$11, 100%, $F$11)</f>
        <v>23.251799999999999</v>
      </c>
      <c r="E756" s="12">
        <f>CHOOSE( CONTROL!$C$32, 23.2462, 23.2417) * CHOOSE( CONTROL!$C$15, $D$11, 100%, $F$11)</f>
        <v>23.246200000000002</v>
      </c>
      <c r="F756" s="4">
        <f>CHOOSE( CONTROL!$C$32, 23.9186, 23.914) * CHOOSE(CONTROL!$C$15, $D$11, 100%, $F$11)</f>
        <v>23.918600000000001</v>
      </c>
      <c r="G756" s="8">
        <f>CHOOSE( CONTROL!$C$32, 22.8274, 22.8229) * CHOOSE( CONTROL!$C$15, $D$11, 100%, $F$11)</f>
        <v>22.827400000000001</v>
      </c>
      <c r="H756" s="4">
        <f>CHOOSE( CONTROL!$C$32, 23.7602, 23.7557) * CHOOSE(CONTROL!$C$15, $D$11, 100%, $F$11)</f>
        <v>23.760200000000001</v>
      </c>
      <c r="I756" s="8">
        <f>CHOOSE( CONTROL!$C$32, 22.52, 22.5156) * CHOOSE(CONTROL!$C$15, $D$11, 100%, $F$11)</f>
        <v>22.52</v>
      </c>
      <c r="J756" s="4">
        <f>CHOOSE( CONTROL!$C$32, 22.4409, 22.4365) * CHOOSE(CONTROL!$C$15, $D$11, 100%, $F$11)</f>
        <v>22.440899999999999</v>
      </c>
      <c r="K756" s="4"/>
      <c r="L756" s="9">
        <v>29.520499999999998</v>
      </c>
      <c r="M756" s="9">
        <v>12.063700000000001</v>
      </c>
      <c r="N756" s="9">
        <v>4.9444999999999997</v>
      </c>
      <c r="O756" s="9">
        <v>0.37459999999999999</v>
      </c>
      <c r="P756" s="9">
        <v>1.2192000000000001</v>
      </c>
      <c r="Q756" s="9">
        <v>19.688099999999999</v>
      </c>
      <c r="R756" s="9"/>
      <c r="S756" s="11"/>
    </row>
    <row r="757" spans="1:19" ht="15.75">
      <c r="A757" s="13">
        <v>64923</v>
      </c>
      <c r="B757" s="8">
        <f>CHOOSE( CONTROL!$C$32, 22.7443, 22.7398) * CHOOSE(CONTROL!$C$15, $D$11, 100%, $F$11)</f>
        <v>22.744299999999999</v>
      </c>
      <c r="C757" s="8">
        <f>CHOOSE( CONTROL!$C$32, 22.7546, 22.7501) * CHOOSE(CONTROL!$C$15, $D$11, 100%, $F$11)</f>
        <v>22.7546</v>
      </c>
      <c r="D757" s="8">
        <f>CHOOSE( CONTROL!$C$32, 22.7659, 22.7614) * CHOOSE( CONTROL!$C$15, $D$11, 100%, $F$11)</f>
        <v>22.765899999999998</v>
      </c>
      <c r="E757" s="12">
        <f>CHOOSE( CONTROL!$C$32, 22.7602, 22.7557) * CHOOSE( CONTROL!$C$15, $D$11, 100%, $F$11)</f>
        <v>22.760200000000001</v>
      </c>
      <c r="F757" s="4">
        <f>CHOOSE( CONTROL!$C$32, 23.4326, 23.4281) * CHOOSE(CONTROL!$C$15, $D$11, 100%, $F$11)</f>
        <v>23.432600000000001</v>
      </c>
      <c r="G757" s="8">
        <f>CHOOSE( CONTROL!$C$32, 22.3494, 22.345) * CHOOSE( CONTROL!$C$15, $D$11, 100%, $F$11)</f>
        <v>22.349399999999999</v>
      </c>
      <c r="H757" s="4">
        <f>CHOOSE( CONTROL!$C$32, 23.2821, 23.2776) * CHOOSE(CONTROL!$C$15, $D$11, 100%, $F$11)</f>
        <v>23.2821</v>
      </c>
      <c r="I757" s="8">
        <f>CHOOSE( CONTROL!$C$32, 22.0502, 22.0459) * CHOOSE(CONTROL!$C$15, $D$11, 100%, $F$11)</f>
        <v>22.0502</v>
      </c>
      <c r="J757" s="4">
        <f>CHOOSE( CONTROL!$C$32, 21.9709, 21.9665) * CHOOSE(CONTROL!$C$15, $D$11, 100%, $F$11)</f>
        <v>21.9709</v>
      </c>
      <c r="K757" s="4"/>
      <c r="L757" s="9">
        <v>28.568200000000001</v>
      </c>
      <c r="M757" s="9">
        <v>11.6745</v>
      </c>
      <c r="N757" s="9">
        <v>4.7850000000000001</v>
      </c>
      <c r="O757" s="9">
        <v>0.36249999999999999</v>
      </c>
      <c r="P757" s="9">
        <v>1.1798</v>
      </c>
      <c r="Q757" s="9">
        <v>19.053000000000001</v>
      </c>
      <c r="R757" s="9"/>
      <c r="S757" s="11"/>
    </row>
    <row r="758" spans="1:19" ht="15.75">
      <c r="A758" s="13">
        <v>64954</v>
      </c>
      <c r="B758" s="8">
        <f>23.7488 * CHOOSE(CONTROL!$C$15, $D$11, 100%, $F$11)</f>
        <v>23.748799999999999</v>
      </c>
      <c r="C758" s="8">
        <f>23.7592 * CHOOSE(CONTROL!$C$15, $D$11, 100%, $F$11)</f>
        <v>23.7592</v>
      </c>
      <c r="D758" s="8">
        <f>23.7716 * CHOOSE( CONTROL!$C$15, $D$11, 100%, $F$11)</f>
        <v>23.771599999999999</v>
      </c>
      <c r="E758" s="12">
        <f>23.7664 * CHOOSE( CONTROL!$C$15, $D$11, 100%, $F$11)</f>
        <v>23.766400000000001</v>
      </c>
      <c r="F758" s="4">
        <f>24.4371 * CHOOSE(CONTROL!$C$15, $D$11, 100%, $F$11)</f>
        <v>24.437100000000001</v>
      </c>
      <c r="G758" s="8">
        <f>23.3371 * CHOOSE( CONTROL!$C$15, $D$11, 100%, $F$11)</f>
        <v>23.3371</v>
      </c>
      <c r="H758" s="4">
        <f>24.2703 * CHOOSE(CONTROL!$C$15, $D$11, 100%, $F$11)</f>
        <v>24.270299999999999</v>
      </c>
      <c r="I758" s="8">
        <f>23.0235 * CHOOSE(CONTROL!$C$15, $D$11, 100%, $F$11)</f>
        <v>23.023499999999999</v>
      </c>
      <c r="J758" s="4">
        <f>22.9424 * CHOOSE(CONTROL!$C$15, $D$11, 100%, $F$11)</f>
        <v>22.942399999999999</v>
      </c>
      <c r="K758" s="4"/>
      <c r="L758" s="9">
        <v>28.921800000000001</v>
      </c>
      <c r="M758" s="9">
        <v>12.063700000000001</v>
      </c>
      <c r="N758" s="9">
        <v>4.9444999999999997</v>
      </c>
      <c r="O758" s="9">
        <v>0.37459999999999999</v>
      </c>
      <c r="P758" s="9">
        <v>1.2192000000000001</v>
      </c>
      <c r="Q758" s="9">
        <v>19.688099999999999</v>
      </c>
      <c r="R758" s="9"/>
      <c r="S758" s="11"/>
    </row>
    <row r="759" spans="1:19" ht="15.75">
      <c r="A759" s="13">
        <v>64984</v>
      </c>
      <c r="B759" s="8">
        <f>25.6113 * CHOOSE(CONTROL!$C$15, $D$11, 100%, $F$11)</f>
        <v>25.6113</v>
      </c>
      <c r="C759" s="8">
        <f>25.6216 * CHOOSE(CONTROL!$C$15, $D$11, 100%, $F$11)</f>
        <v>25.621600000000001</v>
      </c>
      <c r="D759" s="8">
        <f>25.6077 * CHOOSE( CONTROL!$C$15, $D$11, 100%, $F$11)</f>
        <v>25.607700000000001</v>
      </c>
      <c r="E759" s="12">
        <f>25.6117 * CHOOSE( CONTROL!$C$15, $D$11, 100%, $F$11)</f>
        <v>25.611699999999999</v>
      </c>
      <c r="F759" s="4">
        <f>26.2655 * CHOOSE(CONTROL!$C$15, $D$11, 100%, $F$11)</f>
        <v>26.265499999999999</v>
      </c>
      <c r="G759" s="8">
        <f>25.1866 * CHOOSE( CONTROL!$C$15, $D$11, 100%, $F$11)</f>
        <v>25.186599999999999</v>
      </c>
      <c r="H759" s="4">
        <f>26.0692 * CHOOSE(CONTROL!$C$15, $D$11, 100%, $F$11)</f>
        <v>26.069199999999999</v>
      </c>
      <c r="I759" s="8">
        <f>24.8586 * CHOOSE(CONTROL!$C$15, $D$11, 100%, $F$11)</f>
        <v>24.858599999999999</v>
      </c>
      <c r="J759" s="4">
        <f>24.7436 * CHOOSE(CONTROL!$C$15, $D$11, 100%, $F$11)</f>
        <v>24.743600000000001</v>
      </c>
      <c r="K759" s="4"/>
      <c r="L759" s="9">
        <v>26.515499999999999</v>
      </c>
      <c r="M759" s="9">
        <v>11.6745</v>
      </c>
      <c r="N759" s="9">
        <v>4.7850000000000001</v>
      </c>
      <c r="O759" s="9">
        <v>0.36249999999999999</v>
      </c>
      <c r="P759" s="9">
        <v>1.2522</v>
      </c>
      <c r="Q759" s="9">
        <v>19.053000000000001</v>
      </c>
      <c r="R759" s="9"/>
      <c r="S759" s="11"/>
    </row>
    <row r="760" spans="1:19" ht="15.75">
      <c r="A760" s="13">
        <v>65015</v>
      </c>
      <c r="B760" s="8">
        <f>25.5647 * CHOOSE(CONTROL!$C$15, $D$11, 100%, $F$11)</f>
        <v>25.564699999999998</v>
      </c>
      <c r="C760" s="8">
        <f>25.5751 * CHOOSE(CONTROL!$C$15, $D$11, 100%, $F$11)</f>
        <v>25.575099999999999</v>
      </c>
      <c r="D760" s="8">
        <f>25.5636 * CHOOSE( CONTROL!$C$15, $D$11, 100%, $F$11)</f>
        <v>25.563600000000001</v>
      </c>
      <c r="E760" s="12">
        <f>25.5667 * CHOOSE( CONTROL!$C$15, $D$11, 100%, $F$11)</f>
        <v>25.566700000000001</v>
      </c>
      <c r="F760" s="4">
        <f>26.219 * CHOOSE(CONTROL!$C$15, $D$11, 100%, $F$11)</f>
        <v>26.219000000000001</v>
      </c>
      <c r="G760" s="8">
        <f>25.1427 * CHOOSE( CONTROL!$C$15, $D$11, 100%, $F$11)</f>
        <v>25.142700000000001</v>
      </c>
      <c r="H760" s="4">
        <f>26.0234 * CHOOSE(CONTROL!$C$15, $D$11, 100%, $F$11)</f>
        <v>26.023399999999999</v>
      </c>
      <c r="I760" s="8">
        <f>24.8215 * CHOOSE(CONTROL!$C$15, $D$11, 100%, $F$11)</f>
        <v>24.8215</v>
      </c>
      <c r="J760" s="4">
        <f>24.6986 * CHOOSE(CONTROL!$C$15, $D$11, 100%, $F$11)</f>
        <v>24.698599999999999</v>
      </c>
      <c r="K760" s="4"/>
      <c r="L760" s="9">
        <v>27.3993</v>
      </c>
      <c r="M760" s="9">
        <v>12.063700000000001</v>
      </c>
      <c r="N760" s="9">
        <v>4.9444999999999997</v>
      </c>
      <c r="O760" s="9">
        <v>0.37459999999999999</v>
      </c>
      <c r="P760" s="9">
        <v>1.2939000000000001</v>
      </c>
      <c r="Q760" s="9">
        <v>19.688099999999999</v>
      </c>
      <c r="R760" s="9"/>
      <c r="S760" s="11"/>
    </row>
    <row r="761" spans="1:19" ht="15.75">
      <c r="A761" s="13">
        <v>65046</v>
      </c>
      <c r="B761" s="8">
        <f>26.5408 * CHOOSE(CONTROL!$C$15, $D$11, 100%, $F$11)</f>
        <v>26.540800000000001</v>
      </c>
      <c r="C761" s="8">
        <f>26.5512 * CHOOSE(CONTROL!$C$15, $D$11, 100%, $F$11)</f>
        <v>26.551200000000001</v>
      </c>
      <c r="D761" s="8">
        <f>26.5496 * CHOOSE( CONTROL!$C$15, $D$11, 100%, $F$11)</f>
        <v>26.549600000000002</v>
      </c>
      <c r="E761" s="12">
        <f>26.5491 * CHOOSE( CONTROL!$C$15, $D$11, 100%, $F$11)</f>
        <v>26.549099999999999</v>
      </c>
      <c r="F761" s="4">
        <f>27.2235 * CHOOSE(CONTROL!$C$15, $D$11, 100%, $F$11)</f>
        <v>27.223500000000001</v>
      </c>
      <c r="G761" s="8">
        <f>26.1133 * CHOOSE( CONTROL!$C$15, $D$11, 100%, $F$11)</f>
        <v>26.113299999999999</v>
      </c>
      <c r="H761" s="4">
        <f>27.0117 * CHOOSE(CONTROL!$C$15, $D$11, 100%, $F$11)</f>
        <v>27.011700000000001</v>
      </c>
      <c r="I761" s="8">
        <f>25.7639 * CHOOSE(CONTROL!$C$15, $D$11, 100%, $F$11)</f>
        <v>25.7639</v>
      </c>
      <c r="J761" s="4">
        <f>25.6425 * CHOOSE(CONTROL!$C$15, $D$11, 100%, $F$11)</f>
        <v>25.642499999999998</v>
      </c>
      <c r="K761" s="4"/>
      <c r="L761" s="9">
        <v>27.3993</v>
      </c>
      <c r="M761" s="9">
        <v>12.063700000000001</v>
      </c>
      <c r="N761" s="9">
        <v>4.9444999999999997</v>
      </c>
      <c r="O761" s="9">
        <v>0.37459999999999999</v>
      </c>
      <c r="P761" s="9">
        <v>1.2939000000000001</v>
      </c>
      <c r="Q761" s="9">
        <v>19.688099999999999</v>
      </c>
      <c r="R761" s="9"/>
      <c r="S761" s="11"/>
    </row>
    <row r="762" spans="1:19" ht="15.75">
      <c r="A762" s="13">
        <v>65074</v>
      </c>
      <c r="B762" s="8">
        <f>24.8267 * CHOOSE(CONTROL!$C$15, $D$11, 100%, $F$11)</f>
        <v>24.826699999999999</v>
      </c>
      <c r="C762" s="8">
        <f>24.837 * CHOOSE(CONTROL!$C$15, $D$11, 100%, $F$11)</f>
        <v>24.837</v>
      </c>
      <c r="D762" s="8">
        <f>24.8375 * CHOOSE( CONTROL!$C$15, $D$11, 100%, $F$11)</f>
        <v>24.837499999999999</v>
      </c>
      <c r="E762" s="12">
        <f>24.8362 * CHOOSE( CONTROL!$C$15, $D$11, 100%, $F$11)</f>
        <v>24.836200000000002</v>
      </c>
      <c r="F762" s="4">
        <f>25.5016 * CHOOSE(CONTROL!$C$15, $D$11, 100%, $F$11)</f>
        <v>25.5016</v>
      </c>
      <c r="G762" s="8">
        <f>24.4266 * CHOOSE( CONTROL!$C$15, $D$11, 100%, $F$11)</f>
        <v>24.426600000000001</v>
      </c>
      <c r="H762" s="4">
        <f>25.3176 * CHOOSE(CONTROL!$C$15, $D$11, 100%, $F$11)</f>
        <v>25.317599999999999</v>
      </c>
      <c r="I762" s="8">
        <f>24.0944 * CHOOSE(CONTROL!$C$15, $D$11, 100%, $F$11)</f>
        <v>24.0944</v>
      </c>
      <c r="J762" s="4">
        <f>23.9848 * CHOOSE(CONTROL!$C$15, $D$11, 100%, $F$11)</f>
        <v>23.9848</v>
      </c>
      <c r="K762" s="4"/>
      <c r="L762" s="9">
        <v>24.747800000000002</v>
      </c>
      <c r="M762" s="9">
        <v>10.8962</v>
      </c>
      <c r="N762" s="9">
        <v>4.4660000000000002</v>
      </c>
      <c r="O762" s="9">
        <v>0.33829999999999999</v>
      </c>
      <c r="P762" s="9">
        <v>1.1687000000000001</v>
      </c>
      <c r="Q762" s="9">
        <v>17.782800000000002</v>
      </c>
      <c r="R762" s="9"/>
      <c r="S762" s="11"/>
    </row>
    <row r="763" spans="1:19" ht="15.75">
      <c r="A763" s="13">
        <v>65105</v>
      </c>
      <c r="B763" s="8">
        <f>24.2987 * CHOOSE(CONTROL!$C$15, $D$11, 100%, $F$11)</f>
        <v>24.2987</v>
      </c>
      <c r="C763" s="8">
        <f>24.3091 * CHOOSE(CONTROL!$C$15, $D$11, 100%, $F$11)</f>
        <v>24.309100000000001</v>
      </c>
      <c r="D763" s="8">
        <f>24.2891 * CHOOSE( CONTROL!$C$15, $D$11, 100%, $F$11)</f>
        <v>24.289100000000001</v>
      </c>
      <c r="E763" s="12">
        <f>24.2953 * CHOOSE( CONTROL!$C$15, $D$11, 100%, $F$11)</f>
        <v>24.295300000000001</v>
      </c>
      <c r="F763" s="4">
        <f>24.9576 * CHOOSE(CONTROL!$C$15, $D$11, 100%, $F$11)</f>
        <v>24.957599999999999</v>
      </c>
      <c r="G763" s="8">
        <f>23.8865 * CHOOSE( CONTROL!$C$15, $D$11, 100%, $F$11)</f>
        <v>23.886500000000002</v>
      </c>
      <c r="H763" s="4">
        <f>24.7825 * CHOOSE(CONTROL!$C$15, $D$11, 100%, $F$11)</f>
        <v>24.782499999999999</v>
      </c>
      <c r="I763" s="8">
        <f>23.5441 * CHOOSE(CONTROL!$C$15, $D$11, 100%, $F$11)</f>
        <v>23.5441</v>
      </c>
      <c r="J763" s="4">
        <f>23.4742 * CHOOSE(CONTROL!$C$15, $D$11, 100%, $F$11)</f>
        <v>23.4742</v>
      </c>
      <c r="K763" s="4"/>
      <c r="L763" s="9">
        <v>27.3993</v>
      </c>
      <c r="M763" s="9">
        <v>12.063700000000001</v>
      </c>
      <c r="N763" s="9">
        <v>4.9444999999999997</v>
      </c>
      <c r="O763" s="9">
        <v>0.37459999999999999</v>
      </c>
      <c r="P763" s="9">
        <v>1.2939000000000001</v>
      </c>
      <c r="Q763" s="9">
        <v>19.688099999999999</v>
      </c>
      <c r="R763" s="9"/>
      <c r="S763" s="11"/>
    </row>
    <row r="764" spans="1:19" ht="15.75">
      <c r="A764" s="13">
        <v>65135</v>
      </c>
      <c r="B764" s="8">
        <f>24.6676 * CHOOSE(CONTROL!$C$15, $D$11, 100%, $F$11)</f>
        <v>24.6676</v>
      </c>
      <c r="C764" s="8">
        <f>24.678 * CHOOSE(CONTROL!$C$15, $D$11, 100%, $F$11)</f>
        <v>24.678000000000001</v>
      </c>
      <c r="D764" s="8">
        <f>24.6695 * CHOOSE( CONTROL!$C$15, $D$11, 100%, $F$11)</f>
        <v>24.669499999999999</v>
      </c>
      <c r="E764" s="12">
        <f>24.6711 * CHOOSE( CONTROL!$C$15, $D$11, 100%, $F$11)</f>
        <v>24.671099999999999</v>
      </c>
      <c r="F764" s="4">
        <f>25.3167 * CHOOSE(CONTROL!$C$15, $D$11, 100%, $F$11)</f>
        <v>25.316700000000001</v>
      </c>
      <c r="G764" s="8">
        <f>24.2342 * CHOOSE( CONTROL!$C$15, $D$11, 100%, $F$11)</f>
        <v>24.234200000000001</v>
      </c>
      <c r="H764" s="4">
        <f>25.1357 * CHOOSE(CONTROL!$C$15, $D$11, 100%, $F$11)</f>
        <v>25.1357</v>
      </c>
      <c r="I764" s="8">
        <f>23.8979 * CHOOSE(CONTROL!$C$15, $D$11, 100%, $F$11)</f>
        <v>23.8979</v>
      </c>
      <c r="J764" s="4">
        <f>23.831 * CHOOSE(CONTROL!$C$15, $D$11, 100%, $F$11)</f>
        <v>23.831</v>
      </c>
      <c r="K764" s="4"/>
      <c r="L764" s="9">
        <v>27.988800000000001</v>
      </c>
      <c r="M764" s="9">
        <v>11.6745</v>
      </c>
      <c r="N764" s="9">
        <v>4.7850000000000001</v>
      </c>
      <c r="O764" s="9">
        <v>0.36249999999999999</v>
      </c>
      <c r="P764" s="9">
        <v>1.1798</v>
      </c>
      <c r="Q764" s="9">
        <v>19.053000000000001</v>
      </c>
      <c r="R764" s="9"/>
      <c r="S764" s="11"/>
    </row>
    <row r="765" spans="1:19" ht="15.75">
      <c r="A765" s="13">
        <v>65166</v>
      </c>
      <c r="B765" s="8">
        <f>CHOOSE( CONTROL!$C$32, 25.3288, 25.3242) * CHOOSE(CONTROL!$C$15, $D$11, 100%, $F$11)</f>
        <v>25.328800000000001</v>
      </c>
      <c r="C765" s="8">
        <f>CHOOSE( CONTROL!$C$32, 25.3391, 25.3346) * CHOOSE(CONTROL!$C$15, $D$11, 100%, $F$11)</f>
        <v>25.339099999999998</v>
      </c>
      <c r="D765" s="8">
        <f>CHOOSE( CONTROL!$C$32, 25.3488, 25.3443) * CHOOSE( CONTROL!$C$15, $D$11, 100%, $F$11)</f>
        <v>25.348800000000001</v>
      </c>
      <c r="E765" s="12">
        <f>CHOOSE( CONTROL!$C$32, 25.3437, 25.3392) * CHOOSE( CONTROL!$C$15, $D$11, 100%, $F$11)</f>
        <v>25.343699999999998</v>
      </c>
      <c r="F765" s="4">
        <f>CHOOSE( CONTROL!$C$32, 26.0171, 26.0125) * CHOOSE(CONTROL!$C$15, $D$11, 100%, $F$11)</f>
        <v>26.017099999999999</v>
      </c>
      <c r="G765" s="8">
        <f>CHOOSE( CONTROL!$C$32, 24.8897, 24.8853) * CHOOSE( CONTROL!$C$15, $D$11, 100%, $F$11)</f>
        <v>24.889700000000001</v>
      </c>
      <c r="H765" s="4">
        <f>CHOOSE( CONTROL!$C$32, 25.8247, 25.8203) * CHOOSE(CONTROL!$C$15, $D$11, 100%, $F$11)</f>
        <v>25.8247</v>
      </c>
      <c r="I765" s="8">
        <f>CHOOSE( CONTROL!$C$32, 24.5434, 24.539) * CHOOSE(CONTROL!$C$15, $D$11, 100%, $F$11)</f>
        <v>24.543399999999998</v>
      </c>
      <c r="J765" s="4">
        <f>CHOOSE( CONTROL!$C$32, 24.4703, 24.466) * CHOOSE(CONTROL!$C$15, $D$11, 100%, $F$11)</f>
        <v>24.470300000000002</v>
      </c>
      <c r="K765" s="4"/>
      <c r="L765" s="9">
        <v>29.520499999999998</v>
      </c>
      <c r="M765" s="9">
        <v>12.063700000000001</v>
      </c>
      <c r="N765" s="9">
        <v>4.9444999999999997</v>
      </c>
      <c r="O765" s="9">
        <v>0.37459999999999999</v>
      </c>
      <c r="P765" s="9">
        <v>1.2192000000000001</v>
      </c>
      <c r="Q765" s="9">
        <v>19.688099999999999</v>
      </c>
      <c r="R765" s="9"/>
      <c r="S765" s="11"/>
    </row>
    <row r="766" spans="1:19" ht="15.75">
      <c r="A766" s="13">
        <v>65196</v>
      </c>
      <c r="B766" s="8">
        <f>CHOOSE( CONTROL!$C$32, 24.922, 24.9175) * CHOOSE(CONTROL!$C$15, $D$11, 100%, $F$11)</f>
        <v>24.922000000000001</v>
      </c>
      <c r="C766" s="8">
        <f>CHOOSE( CONTROL!$C$32, 24.9324, 24.9278) * CHOOSE(CONTROL!$C$15, $D$11, 100%, $F$11)</f>
        <v>24.932400000000001</v>
      </c>
      <c r="D766" s="8">
        <f>CHOOSE( CONTROL!$C$32, 24.9427, 24.9382) * CHOOSE( CONTROL!$C$15, $D$11, 100%, $F$11)</f>
        <v>24.942699999999999</v>
      </c>
      <c r="E766" s="12">
        <f>CHOOSE( CONTROL!$C$32, 24.9374, 24.9329) * CHOOSE( CONTROL!$C$15, $D$11, 100%, $F$11)</f>
        <v>24.9374</v>
      </c>
      <c r="F766" s="4">
        <f>CHOOSE( CONTROL!$C$32, 25.6103, 25.6058) * CHOOSE(CONTROL!$C$15, $D$11, 100%, $F$11)</f>
        <v>25.610299999999999</v>
      </c>
      <c r="G766" s="8">
        <f>CHOOSE( CONTROL!$C$32, 24.4905, 24.486) * CHOOSE( CONTROL!$C$15, $D$11, 100%, $F$11)</f>
        <v>24.490500000000001</v>
      </c>
      <c r="H766" s="4">
        <f>CHOOSE( CONTROL!$C$32, 25.4246, 25.4201) * CHOOSE(CONTROL!$C$15, $D$11, 100%, $F$11)</f>
        <v>25.424600000000002</v>
      </c>
      <c r="I766" s="8">
        <f>CHOOSE( CONTROL!$C$32, 24.1528, 24.1484) * CHOOSE(CONTROL!$C$15, $D$11, 100%, $F$11)</f>
        <v>24.152799999999999</v>
      </c>
      <c r="J766" s="4">
        <f>CHOOSE( CONTROL!$C$32, 24.077, 24.0726) * CHOOSE(CONTROL!$C$15, $D$11, 100%, $F$11)</f>
        <v>24.077000000000002</v>
      </c>
      <c r="K766" s="4"/>
      <c r="L766" s="9">
        <v>28.568200000000001</v>
      </c>
      <c r="M766" s="9">
        <v>11.6745</v>
      </c>
      <c r="N766" s="9">
        <v>4.7850000000000001</v>
      </c>
      <c r="O766" s="9">
        <v>0.36249999999999999</v>
      </c>
      <c r="P766" s="9">
        <v>1.1798</v>
      </c>
      <c r="Q766" s="9">
        <v>19.053000000000001</v>
      </c>
      <c r="R766" s="9"/>
      <c r="S766" s="11"/>
    </row>
    <row r="767" spans="1:19" ht="15.75">
      <c r="A767" s="13">
        <v>65227</v>
      </c>
      <c r="B767" s="8">
        <f>CHOOSE( CONTROL!$C$32, 25.9931, 25.9886) * CHOOSE(CONTROL!$C$15, $D$11, 100%, $F$11)</f>
        <v>25.993099999999998</v>
      </c>
      <c r="C767" s="8">
        <f>CHOOSE( CONTROL!$C$32, 26.0035, 25.9989) * CHOOSE(CONTROL!$C$15, $D$11, 100%, $F$11)</f>
        <v>26.003499999999999</v>
      </c>
      <c r="D767" s="8">
        <f>CHOOSE( CONTROL!$C$32, 26.0143, 26.0098) * CHOOSE( CONTROL!$C$15, $D$11, 100%, $F$11)</f>
        <v>26.014299999999999</v>
      </c>
      <c r="E767" s="12">
        <f>CHOOSE( CONTROL!$C$32, 26.0088, 26.0043) * CHOOSE( CONTROL!$C$15, $D$11, 100%, $F$11)</f>
        <v>26.008800000000001</v>
      </c>
      <c r="F767" s="4">
        <f>CHOOSE( CONTROL!$C$32, 26.6814, 26.6769) * CHOOSE(CONTROL!$C$15, $D$11, 100%, $F$11)</f>
        <v>26.6814</v>
      </c>
      <c r="G767" s="8">
        <f>CHOOSE( CONTROL!$C$32, 25.5451, 25.5406) * CHOOSE( CONTROL!$C$15, $D$11, 100%, $F$11)</f>
        <v>25.545100000000001</v>
      </c>
      <c r="H767" s="4">
        <f>CHOOSE( CONTROL!$C$32, 26.4783, 26.4739) * CHOOSE(CONTROL!$C$15, $D$11, 100%, $F$11)</f>
        <v>26.478300000000001</v>
      </c>
      <c r="I767" s="8">
        <f>CHOOSE( CONTROL!$C$32, 25.1919, 25.1875) * CHOOSE(CONTROL!$C$15, $D$11, 100%, $F$11)</f>
        <v>25.1919</v>
      </c>
      <c r="J767" s="4">
        <f>CHOOSE( CONTROL!$C$32, 25.1128, 25.1085) * CHOOSE(CONTROL!$C$15, $D$11, 100%, $F$11)</f>
        <v>25.1128</v>
      </c>
      <c r="K767" s="4"/>
      <c r="L767" s="9">
        <v>29.520499999999998</v>
      </c>
      <c r="M767" s="9">
        <v>12.063700000000001</v>
      </c>
      <c r="N767" s="9">
        <v>4.9444999999999997</v>
      </c>
      <c r="O767" s="9">
        <v>0.37459999999999999</v>
      </c>
      <c r="P767" s="9">
        <v>1.2192000000000001</v>
      </c>
      <c r="Q767" s="9">
        <v>19.688099999999999</v>
      </c>
      <c r="R767" s="9"/>
      <c r="S767" s="11"/>
    </row>
    <row r="768" spans="1:19" ht="15.75">
      <c r="A768" s="13">
        <v>65258</v>
      </c>
      <c r="B768" s="8">
        <f>CHOOSE( CONTROL!$C$32, 23.989, 23.9845) * CHOOSE(CONTROL!$C$15, $D$11, 100%, $F$11)</f>
        <v>23.989000000000001</v>
      </c>
      <c r="C768" s="8">
        <f>CHOOSE( CONTROL!$C$32, 23.9993, 23.9948) * CHOOSE(CONTROL!$C$15, $D$11, 100%, $F$11)</f>
        <v>23.999300000000002</v>
      </c>
      <c r="D768" s="8">
        <f>CHOOSE( CONTROL!$C$32, 24.0105, 24.006) * CHOOSE( CONTROL!$C$15, $D$11, 100%, $F$11)</f>
        <v>24.0105</v>
      </c>
      <c r="E768" s="12">
        <f>CHOOSE( CONTROL!$C$32, 24.0049, 24.0004) * CHOOSE( CONTROL!$C$15, $D$11, 100%, $F$11)</f>
        <v>24.004899999999999</v>
      </c>
      <c r="F768" s="4">
        <f>CHOOSE( CONTROL!$C$32, 24.6773, 24.6728) * CHOOSE(CONTROL!$C$15, $D$11, 100%, $F$11)</f>
        <v>24.677299999999999</v>
      </c>
      <c r="G768" s="8">
        <f>CHOOSE( CONTROL!$C$32, 23.5738, 23.5694) * CHOOSE( CONTROL!$C$15, $D$11, 100%, $F$11)</f>
        <v>23.573799999999999</v>
      </c>
      <c r="H768" s="4">
        <f>CHOOSE( CONTROL!$C$32, 24.5066, 24.5022) * CHOOSE(CONTROL!$C$15, $D$11, 100%, $F$11)</f>
        <v>24.506599999999999</v>
      </c>
      <c r="I768" s="8">
        <f>CHOOSE( CONTROL!$C$32, 23.2541, 23.2498) * CHOOSE(CONTROL!$C$15, $D$11, 100%, $F$11)</f>
        <v>23.254100000000001</v>
      </c>
      <c r="J768" s="4">
        <f>CHOOSE( CONTROL!$C$32, 23.1746, 23.1703) * CHOOSE(CONTROL!$C$15, $D$11, 100%, $F$11)</f>
        <v>23.174600000000002</v>
      </c>
      <c r="K768" s="4"/>
      <c r="L768" s="9">
        <v>29.520499999999998</v>
      </c>
      <c r="M768" s="9">
        <v>12.063700000000001</v>
      </c>
      <c r="N768" s="9">
        <v>4.9444999999999997</v>
      </c>
      <c r="O768" s="9">
        <v>0.37459999999999999</v>
      </c>
      <c r="P768" s="9">
        <v>1.2192000000000001</v>
      </c>
      <c r="Q768" s="9">
        <v>19.688099999999999</v>
      </c>
      <c r="R768" s="9"/>
      <c r="S768" s="11"/>
    </row>
    <row r="769" spans="1:19" ht="15.75">
      <c r="A769" s="13">
        <v>65288</v>
      </c>
      <c r="B769" s="8">
        <f>CHOOSE( CONTROL!$C$32, 23.4871, 23.4826) * CHOOSE(CONTROL!$C$15, $D$11, 100%, $F$11)</f>
        <v>23.487100000000002</v>
      </c>
      <c r="C769" s="8">
        <f>CHOOSE( CONTROL!$C$32, 23.4975, 23.493) * CHOOSE(CONTROL!$C$15, $D$11, 100%, $F$11)</f>
        <v>23.497499999999999</v>
      </c>
      <c r="D769" s="8">
        <f>CHOOSE( CONTROL!$C$32, 23.5087, 23.5042) * CHOOSE( CONTROL!$C$15, $D$11, 100%, $F$11)</f>
        <v>23.508700000000001</v>
      </c>
      <c r="E769" s="12">
        <f>CHOOSE( CONTROL!$C$32, 23.5031, 23.4986) * CHOOSE( CONTROL!$C$15, $D$11, 100%, $F$11)</f>
        <v>23.5031</v>
      </c>
      <c r="F769" s="4">
        <f>CHOOSE( CONTROL!$C$32, 24.1754, 24.1709) * CHOOSE(CONTROL!$C$15, $D$11, 100%, $F$11)</f>
        <v>24.1754</v>
      </c>
      <c r="G769" s="8">
        <f>CHOOSE( CONTROL!$C$32, 23.0802, 23.0758) * CHOOSE( CONTROL!$C$15, $D$11, 100%, $F$11)</f>
        <v>23.080200000000001</v>
      </c>
      <c r="H769" s="4">
        <f>CHOOSE( CONTROL!$C$32, 24.0129, 24.0084) * CHOOSE(CONTROL!$C$15, $D$11, 100%, $F$11)</f>
        <v>24.012899999999998</v>
      </c>
      <c r="I769" s="8">
        <f>CHOOSE( CONTROL!$C$32, 22.769, 22.7646) * CHOOSE(CONTROL!$C$15, $D$11, 100%, $F$11)</f>
        <v>22.768999999999998</v>
      </c>
      <c r="J769" s="4">
        <f>CHOOSE( CONTROL!$C$32, 22.6893, 22.6849) * CHOOSE(CONTROL!$C$15, $D$11, 100%, $F$11)</f>
        <v>22.689299999999999</v>
      </c>
      <c r="K769" s="4"/>
      <c r="L769" s="9">
        <v>28.568200000000001</v>
      </c>
      <c r="M769" s="9">
        <v>11.6745</v>
      </c>
      <c r="N769" s="9">
        <v>4.7850000000000001</v>
      </c>
      <c r="O769" s="9">
        <v>0.36249999999999999</v>
      </c>
      <c r="P769" s="9">
        <v>1.1798</v>
      </c>
      <c r="Q769" s="9">
        <v>19.053000000000001</v>
      </c>
      <c r="R769" s="9"/>
      <c r="S769" s="11"/>
    </row>
    <row r="770" spans="1:19" ht="15.75">
      <c r="A770" s="13">
        <v>65319</v>
      </c>
      <c r="B770" s="8">
        <f>24.5246 * CHOOSE(CONTROL!$C$15, $D$11, 100%, $F$11)</f>
        <v>24.5246</v>
      </c>
      <c r="C770" s="8">
        <f>24.535 * CHOOSE(CONTROL!$C$15, $D$11, 100%, $F$11)</f>
        <v>24.535</v>
      </c>
      <c r="D770" s="8">
        <f>24.5474 * CHOOSE( CONTROL!$C$15, $D$11, 100%, $F$11)</f>
        <v>24.5474</v>
      </c>
      <c r="E770" s="12">
        <f>24.5422 * CHOOSE( CONTROL!$C$15, $D$11, 100%, $F$11)</f>
        <v>24.542200000000001</v>
      </c>
      <c r="F770" s="4">
        <f>25.2129 * CHOOSE(CONTROL!$C$15, $D$11, 100%, $F$11)</f>
        <v>25.212900000000001</v>
      </c>
      <c r="G770" s="8">
        <f>24.1004 * CHOOSE( CONTROL!$C$15, $D$11, 100%, $F$11)</f>
        <v>24.1004</v>
      </c>
      <c r="H770" s="4">
        <f>25.0336 * CHOOSE(CONTROL!$C$15, $D$11, 100%, $F$11)</f>
        <v>25.0336</v>
      </c>
      <c r="I770" s="8">
        <f>23.7741 * CHOOSE(CONTROL!$C$15, $D$11, 100%, $F$11)</f>
        <v>23.774100000000001</v>
      </c>
      <c r="J770" s="4">
        <f>23.6927 * CHOOSE(CONTROL!$C$15, $D$11, 100%, $F$11)</f>
        <v>23.692699999999999</v>
      </c>
      <c r="K770" s="4"/>
      <c r="L770" s="9">
        <v>28.921800000000001</v>
      </c>
      <c r="M770" s="9">
        <v>12.063700000000001</v>
      </c>
      <c r="N770" s="9">
        <v>4.9444999999999997</v>
      </c>
      <c r="O770" s="9">
        <v>0.37459999999999999</v>
      </c>
      <c r="P770" s="9">
        <v>1.2192000000000001</v>
      </c>
      <c r="Q770" s="9">
        <v>19.688099999999999</v>
      </c>
      <c r="R770" s="9"/>
      <c r="S770" s="11"/>
    </row>
    <row r="771" spans="1:19" ht="15.75">
      <c r="A771" s="13">
        <v>65349</v>
      </c>
      <c r="B771" s="8">
        <f>26.448 * CHOOSE(CONTROL!$C$15, $D$11, 100%, $F$11)</f>
        <v>26.448</v>
      </c>
      <c r="C771" s="8">
        <f>26.4583 * CHOOSE(CONTROL!$C$15, $D$11, 100%, $F$11)</f>
        <v>26.458300000000001</v>
      </c>
      <c r="D771" s="8">
        <f>26.4444 * CHOOSE( CONTROL!$C$15, $D$11, 100%, $F$11)</f>
        <v>26.444400000000002</v>
      </c>
      <c r="E771" s="12">
        <f>26.4484 * CHOOSE( CONTROL!$C$15, $D$11, 100%, $F$11)</f>
        <v>26.448399999999999</v>
      </c>
      <c r="F771" s="4">
        <f>27.1023 * CHOOSE(CONTROL!$C$15, $D$11, 100%, $F$11)</f>
        <v>27.1023</v>
      </c>
      <c r="G771" s="8">
        <f>26.0098 * CHOOSE( CONTROL!$C$15, $D$11, 100%, $F$11)</f>
        <v>26.009799999999998</v>
      </c>
      <c r="H771" s="4">
        <f>26.8924 * CHOOSE(CONTROL!$C$15, $D$11, 100%, $F$11)</f>
        <v>26.892399999999999</v>
      </c>
      <c r="I771" s="8">
        <f>25.6682 * CHOOSE(CONTROL!$C$15, $D$11, 100%, $F$11)</f>
        <v>25.668199999999999</v>
      </c>
      <c r="J771" s="4">
        <f>25.5528 * CHOOSE(CONTROL!$C$15, $D$11, 100%, $F$11)</f>
        <v>25.552800000000001</v>
      </c>
      <c r="K771" s="4"/>
      <c r="L771" s="9">
        <v>26.515499999999999</v>
      </c>
      <c r="M771" s="9">
        <v>11.6745</v>
      </c>
      <c r="N771" s="9">
        <v>4.7850000000000001</v>
      </c>
      <c r="O771" s="9">
        <v>0.36249999999999999</v>
      </c>
      <c r="P771" s="9">
        <v>1.2522</v>
      </c>
      <c r="Q771" s="9">
        <v>19.053000000000001</v>
      </c>
      <c r="R771" s="9"/>
      <c r="S771" s="11"/>
    </row>
    <row r="772" spans="1:19" ht="15.75">
      <c r="A772" s="13">
        <v>65380</v>
      </c>
      <c r="B772" s="8">
        <f>26.4 * CHOOSE(CONTROL!$C$15, $D$11, 100%, $F$11)</f>
        <v>26.4</v>
      </c>
      <c r="C772" s="8">
        <f>26.4103 * CHOOSE(CONTROL!$C$15, $D$11, 100%, $F$11)</f>
        <v>26.410299999999999</v>
      </c>
      <c r="D772" s="8">
        <f>26.3988 * CHOOSE( CONTROL!$C$15, $D$11, 100%, $F$11)</f>
        <v>26.398800000000001</v>
      </c>
      <c r="E772" s="12">
        <f>26.4019 * CHOOSE( CONTROL!$C$15, $D$11, 100%, $F$11)</f>
        <v>26.401900000000001</v>
      </c>
      <c r="F772" s="4">
        <f>27.0542 * CHOOSE(CONTROL!$C$15, $D$11, 100%, $F$11)</f>
        <v>27.054200000000002</v>
      </c>
      <c r="G772" s="8">
        <f>25.9644 * CHOOSE( CONTROL!$C$15, $D$11, 100%, $F$11)</f>
        <v>25.964400000000001</v>
      </c>
      <c r="H772" s="4">
        <f>26.8451 * CHOOSE(CONTROL!$C$15, $D$11, 100%, $F$11)</f>
        <v>26.845099999999999</v>
      </c>
      <c r="I772" s="8">
        <f>25.6296 * CHOOSE(CONTROL!$C$15, $D$11, 100%, $F$11)</f>
        <v>25.6296</v>
      </c>
      <c r="J772" s="4">
        <f>25.5063 * CHOOSE(CONTROL!$C$15, $D$11, 100%, $F$11)</f>
        <v>25.5063</v>
      </c>
      <c r="K772" s="4"/>
      <c r="L772" s="9">
        <v>27.3993</v>
      </c>
      <c r="M772" s="9">
        <v>12.063700000000001</v>
      </c>
      <c r="N772" s="9">
        <v>4.9444999999999997</v>
      </c>
      <c r="O772" s="9">
        <v>0.37459999999999999</v>
      </c>
      <c r="P772" s="9">
        <v>1.2939000000000001</v>
      </c>
      <c r="Q772" s="9">
        <v>19.688099999999999</v>
      </c>
      <c r="R772" s="9"/>
      <c r="S772" s="11"/>
    </row>
    <row r="773" spans="1:19" ht="15.75">
      <c r="A773" s="13">
        <v>65411</v>
      </c>
      <c r="B773" s="8">
        <f>27.408 * CHOOSE(CONTROL!$C$15, $D$11, 100%, $F$11)</f>
        <v>27.408000000000001</v>
      </c>
      <c r="C773" s="8">
        <f>27.4183 * CHOOSE(CONTROL!$C$15, $D$11, 100%, $F$11)</f>
        <v>27.418299999999999</v>
      </c>
      <c r="D773" s="8">
        <f>27.4167 * CHOOSE( CONTROL!$C$15, $D$11, 100%, $F$11)</f>
        <v>27.416699999999999</v>
      </c>
      <c r="E773" s="12">
        <f>27.4162 * CHOOSE( CONTROL!$C$15, $D$11, 100%, $F$11)</f>
        <v>27.4162</v>
      </c>
      <c r="F773" s="4">
        <f>28.0906 * CHOOSE(CONTROL!$C$15, $D$11, 100%, $F$11)</f>
        <v>28.090599999999998</v>
      </c>
      <c r="G773" s="8">
        <f>26.9664 * CHOOSE( CONTROL!$C$15, $D$11, 100%, $F$11)</f>
        <v>26.9664</v>
      </c>
      <c r="H773" s="4">
        <f>27.8648 * CHOOSE(CONTROL!$C$15, $D$11, 100%, $F$11)</f>
        <v>27.864799999999999</v>
      </c>
      <c r="I773" s="8">
        <f>26.603 * CHOOSE(CONTROL!$C$15, $D$11, 100%, $F$11)</f>
        <v>26.603000000000002</v>
      </c>
      <c r="J773" s="4">
        <f>26.4811 * CHOOSE(CONTROL!$C$15, $D$11, 100%, $F$11)</f>
        <v>26.481100000000001</v>
      </c>
      <c r="K773" s="4"/>
      <c r="L773" s="9">
        <v>27.3993</v>
      </c>
      <c r="M773" s="9">
        <v>12.063700000000001</v>
      </c>
      <c r="N773" s="9">
        <v>4.9444999999999997</v>
      </c>
      <c r="O773" s="9">
        <v>0.37459999999999999</v>
      </c>
      <c r="P773" s="9">
        <v>1.2939000000000001</v>
      </c>
      <c r="Q773" s="9">
        <v>19.688099999999999</v>
      </c>
      <c r="R773" s="9"/>
      <c r="S773" s="11"/>
    </row>
    <row r="774" spans="1:19" ht="15.75">
      <c r="A774" s="13">
        <v>65439</v>
      </c>
      <c r="B774" s="8">
        <f>25.6378 * CHOOSE(CONTROL!$C$15, $D$11, 100%, $F$11)</f>
        <v>25.637799999999999</v>
      </c>
      <c r="C774" s="8">
        <f>25.6481 * CHOOSE(CONTROL!$C$15, $D$11, 100%, $F$11)</f>
        <v>25.648099999999999</v>
      </c>
      <c r="D774" s="8">
        <f>25.6486 * CHOOSE( CONTROL!$C$15, $D$11, 100%, $F$11)</f>
        <v>25.648599999999998</v>
      </c>
      <c r="E774" s="12">
        <f>25.6473 * CHOOSE( CONTROL!$C$15, $D$11, 100%, $F$11)</f>
        <v>25.647300000000001</v>
      </c>
      <c r="F774" s="4">
        <f>26.3127 * CHOOSE(CONTROL!$C$15, $D$11, 100%, $F$11)</f>
        <v>26.3127</v>
      </c>
      <c r="G774" s="8">
        <f>25.2246 * CHOOSE( CONTROL!$C$15, $D$11, 100%, $F$11)</f>
        <v>25.224599999999999</v>
      </c>
      <c r="H774" s="4">
        <f>26.1156 * CHOOSE(CONTROL!$C$15, $D$11, 100%, $F$11)</f>
        <v>26.115600000000001</v>
      </c>
      <c r="I774" s="8">
        <f>24.8792 * CHOOSE(CONTROL!$C$15, $D$11, 100%, $F$11)</f>
        <v>24.879200000000001</v>
      </c>
      <c r="J774" s="4">
        <f>24.7692 * CHOOSE(CONTROL!$C$15, $D$11, 100%, $F$11)</f>
        <v>24.769200000000001</v>
      </c>
      <c r="K774" s="4"/>
      <c r="L774" s="9">
        <v>24.747800000000002</v>
      </c>
      <c r="M774" s="9">
        <v>10.8962</v>
      </c>
      <c r="N774" s="9">
        <v>4.4660000000000002</v>
      </c>
      <c r="O774" s="9">
        <v>0.33829999999999999</v>
      </c>
      <c r="P774" s="9">
        <v>1.1687000000000001</v>
      </c>
      <c r="Q774" s="9">
        <v>17.782800000000002</v>
      </c>
      <c r="R774" s="9"/>
      <c r="S774" s="11"/>
    </row>
    <row r="775" spans="1:19" ht="15.75">
      <c r="A775" s="13">
        <v>65470</v>
      </c>
      <c r="B775" s="8">
        <f>25.0925 * CHOOSE(CONTROL!$C$15, $D$11, 100%, $F$11)</f>
        <v>25.092500000000001</v>
      </c>
      <c r="C775" s="8">
        <f>25.1029 * CHOOSE(CONTROL!$C$15, $D$11, 100%, $F$11)</f>
        <v>25.102900000000002</v>
      </c>
      <c r="D775" s="8">
        <f>25.083 * CHOOSE( CONTROL!$C$15, $D$11, 100%, $F$11)</f>
        <v>25.082999999999998</v>
      </c>
      <c r="E775" s="12">
        <f>25.0892 * CHOOSE( CONTROL!$C$15, $D$11, 100%, $F$11)</f>
        <v>25.089200000000002</v>
      </c>
      <c r="F775" s="4">
        <f>25.7514 * CHOOSE(CONTROL!$C$15, $D$11, 100%, $F$11)</f>
        <v>25.7514</v>
      </c>
      <c r="G775" s="8">
        <f>24.6674 * CHOOSE( CONTROL!$C$15, $D$11, 100%, $F$11)</f>
        <v>24.667400000000001</v>
      </c>
      <c r="H775" s="4">
        <f>25.5634 * CHOOSE(CONTROL!$C$15, $D$11, 100%, $F$11)</f>
        <v>25.563400000000001</v>
      </c>
      <c r="I775" s="8">
        <f>24.3122 * CHOOSE(CONTROL!$C$15, $D$11, 100%, $F$11)</f>
        <v>24.312200000000001</v>
      </c>
      <c r="J775" s="4">
        <f>24.2419 * CHOOSE(CONTROL!$C$15, $D$11, 100%, $F$11)</f>
        <v>24.241900000000001</v>
      </c>
      <c r="K775" s="4"/>
      <c r="L775" s="9">
        <v>27.3993</v>
      </c>
      <c r="M775" s="9">
        <v>12.063700000000001</v>
      </c>
      <c r="N775" s="9">
        <v>4.9444999999999997</v>
      </c>
      <c r="O775" s="9">
        <v>0.37459999999999999</v>
      </c>
      <c r="P775" s="9">
        <v>1.2939000000000001</v>
      </c>
      <c r="Q775" s="9">
        <v>19.688099999999999</v>
      </c>
      <c r="R775" s="9"/>
      <c r="S775" s="11"/>
    </row>
    <row r="776" spans="1:19" ht="15.75">
      <c r="A776" s="13">
        <v>65500</v>
      </c>
      <c r="B776" s="8">
        <f>25.4735 * CHOOSE(CONTROL!$C$15, $D$11, 100%, $F$11)</f>
        <v>25.473500000000001</v>
      </c>
      <c r="C776" s="8">
        <f>25.4839 * CHOOSE(CONTROL!$C$15, $D$11, 100%, $F$11)</f>
        <v>25.483899999999998</v>
      </c>
      <c r="D776" s="8">
        <f>25.4754 * CHOOSE( CONTROL!$C$15, $D$11, 100%, $F$11)</f>
        <v>25.4754</v>
      </c>
      <c r="E776" s="12">
        <f>25.477 * CHOOSE( CONTROL!$C$15, $D$11, 100%, $F$11)</f>
        <v>25.477</v>
      </c>
      <c r="F776" s="4">
        <f>26.1226 * CHOOSE(CONTROL!$C$15, $D$11, 100%, $F$11)</f>
        <v>26.122599999999998</v>
      </c>
      <c r="G776" s="8">
        <f>25.0271 * CHOOSE( CONTROL!$C$15, $D$11, 100%, $F$11)</f>
        <v>25.027100000000001</v>
      </c>
      <c r="H776" s="4">
        <f>25.9286 * CHOOSE(CONTROL!$C$15, $D$11, 100%, $F$11)</f>
        <v>25.928599999999999</v>
      </c>
      <c r="I776" s="8">
        <f>24.6776 * CHOOSE(CONTROL!$C$15, $D$11, 100%, $F$11)</f>
        <v>24.677600000000002</v>
      </c>
      <c r="J776" s="4">
        <f>24.6103 * CHOOSE(CONTROL!$C$15, $D$11, 100%, $F$11)</f>
        <v>24.610299999999999</v>
      </c>
      <c r="K776" s="4"/>
      <c r="L776" s="9">
        <v>27.988800000000001</v>
      </c>
      <c r="M776" s="9">
        <v>11.6745</v>
      </c>
      <c r="N776" s="9">
        <v>4.7850000000000001</v>
      </c>
      <c r="O776" s="9">
        <v>0.36249999999999999</v>
      </c>
      <c r="P776" s="9">
        <v>1.1798</v>
      </c>
      <c r="Q776" s="9">
        <v>19.053000000000001</v>
      </c>
      <c r="R776" s="9"/>
      <c r="S776" s="11"/>
    </row>
    <row r="777" spans="1:19" ht="15.75">
      <c r="A777" s="13">
        <v>65531</v>
      </c>
      <c r="B777" s="8">
        <f>CHOOSE( CONTROL!$C$32, 26.1561, 26.1516) * CHOOSE(CONTROL!$C$15, $D$11, 100%, $F$11)</f>
        <v>26.156099999999999</v>
      </c>
      <c r="C777" s="8">
        <f>CHOOSE( CONTROL!$C$32, 26.1664, 26.1619) * CHOOSE(CONTROL!$C$15, $D$11, 100%, $F$11)</f>
        <v>26.166399999999999</v>
      </c>
      <c r="D777" s="8">
        <f>CHOOSE( CONTROL!$C$32, 26.1761, 26.1716) * CHOOSE( CONTROL!$C$15, $D$11, 100%, $F$11)</f>
        <v>26.176100000000002</v>
      </c>
      <c r="E777" s="12">
        <f>CHOOSE( CONTROL!$C$32, 26.171, 26.1665) * CHOOSE( CONTROL!$C$15, $D$11, 100%, $F$11)</f>
        <v>26.170999999999999</v>
      </c>
      <c r="F777" s="4">
        <f>CHOOSE( CONTROL!$C$32, 26.8444, 26.8399) * CHOOSE(CONTROL!$C$15, $D$11, 100%, $F$11)</f>
        <v>26.8444</v>
      </c>
      <c r="G777" s="8">
        <f>CHOOSE( CONTROL!$C$32, 25.7037, 25.6992) * CHOOSE( CONTROL!$C$15, $D$11, 100%, $F$11)</f>
        <v>25.703700000000001</v>
      </c>
      <c r="H777" s="4">
        <f>CHOOSE( CONTROL!$C$32, 26.6387, 26.6343) * CHOOSE(CONTROL!$C$15, $D$11, 100%, $F$11)</f>
        <v>26.6387</v>
      </c>
      <c r="I777" s="8">
        <f>CHOOSE( CONTROL!$C$32, 25.3439, 25.3395) * CHOOSE(CONTROL!$C$15, $D$11, 100%, $F$11)</f>
        <v>25.343900000000001</v>
      </c>
      <c r="J777" s="4">
        <f>CHOOSE( CONTROL!$C$32, 25.2705, 25.2661) * CHOOSE(CONTROL!$C$15, $D$11, 100%, $F$11)</f>
        <v>25.270499999999998</v>
      </c>
      <c r="K777" s="4"/>
      <c r="L777" s="9">
        <v>29.520499999999998</v>
      </c>
      <c r="M777" s="9">
        <v>12.063700000000001</v>
      </c>
      <c r="N777" s="9">
        <v>4.9444999999999997</v>
      </c>
      <c r="O777" s="9">
        <v>0.37459999999999999</v>
      </c>
      <c r="P777" s="9">
        <v>1.2192000000000001</v>
      </c>
      <c r="Q777" s="9">
        <v>19.688099999999999</v>
      </c>
      <c r="R777" s="9"/>
      <c r="S777" s="11"/>
    </row>
    <row r="778" spans="1:19" ht="15.75">
      <c r="A778" s="13">
        <v>65561</v>
      </c>
      <c r="B778" s="8">
        <f>CHOOSE( CONTROL!$C$32, 25.7361, 25.7315) * CHOOSE(CONTROL!$C$15, $D$11, 100%, $F$11)</f>
        <v>25.7361</v>
      </c>
      <c r="C778" s="8">
        <f>CHOOSE( CONTROL!$C$32, 25.7464, 25.7419) * CHOOSE(CONTROL!$C$15, $D$11, 100%, $F$11)</f>
        <v>25.746400000000001</v>
      </c>
      <c r="D778" s="8">
        <f>CHOOSE( CONTROL!$C$32, 25.7567, 25.7522) * CHOOSE( CONTROL!$C$15, $D$11, 100%, $F$11)</f>
        <v>25.756699999999999</v>
      </c>
      <c r="E778" s="12">
        <f>CHOOSE( CONTROL!$C$32, 25.7514, 25.7469) * CHOOSE( CONTROL!$C$15, $D$11, 100%, $F$11)</f>
        <v>25.7514</v>
      </c>
      <c r="F778" s="4">
        <f>CHOOSE( CONTROL!$C$32, 26.4244, 26.4198) * CHOOSE(CONTROL!$C$15, $D$11, 100%, $F$11)</f>
        <v>26.424399999999999</v>
      </c>
      <c r="G778" s="8">
        <f>CHOOSE( CONTROL!$C$32, 25.2914, 25.2869) * CHOOSE( CONTROL!$C$15, $D$11, 100%, $F$11)</f>
        <v>25.291399999999999</v>
      </c>
      <c r="H778" s="4">
        <f>CHOOSE( CONTROL!$C$32, 26.2255, 26.221) * CHOOSE(CONTROL!$C$15, $D$11, 100%, $F$11)</f>
        <v>26.2255</v>
      </c>
      <c r="I778" s="8">
        <f>CHOOSE( CONTROL!$C$32, 24.9405, 24.9361) * CHOOSE(CONTROL!$C$15, $D$11, 100%, $F$11)</f>
        <v>24.9405</v>
      </c>
      <c r="J778" s="4">
        <f>CHOOSE( CONTROL!$C$32, 24.8642, 24.8599) * CHOOSE(CONTROL!$C$15, $D$11, 100%, $F$11)</f>
        <v>24.8642</v>
      </c>
      <c r="K778" s="4"/>
      <c r="L778" s="9">
        <v>28.568200000000001</v>
      </c>
      <c r="M778" s="9">
        <v>11.6745</v>
      </c>
      <c r="N778" s="9">
        <v>4.7850000000000001</v>
      </c>
      <c r="O778" s="9">
        <v>0.36249999999999999</v>
      </c>
      <c r="P778" s="9">
        <v>1.1798</v>
      </c>
      <c r="Q778" s="9">
        <v>19.053000000000001</v>
      </c>
      <c r="R778" s="9"/>
      <c r="S778" s="11"/>
    </row>
    <row r="779" spans="1:19" ht="15.75">
      <c r="A779" s="13">
        <v>65592</v>
      </c>
      <c r="B779" s="8">
        <f>CHOOSE( CONTROL!$C$32, 26.8422, 26.8377) * CHOOSE(CONTROL!$C$15, $D$11, 100%, $F$11)</f>
        <v>26.842199999999998</v>
      </c>
      <c r="C779" s="8">
        <f>CHOOSE( CONTROL!$C$32, 26.8525, 26.848) * CHOOSE(CONTROL!$C$15, $D$11, 100%, $F$11)</f>
        <v>26.852499999999999</v>
      </c>
      <c r="D779" s="8">
        <f>CHOOSE( CONTROL!$C$32, 26.8634, 26.8589) * CHOOSE( CONTROL!$C$15, $D$11, 100%, $F$11)</f>
        <v>26.863399999999999</v>
      </c>
      <c r="E779" s="12">
        <f>CHOOSE( CONTROL!$C$32, 26.8579, 26.8534) * CHOOSE( CONTROL!$C$15, $D$11, 100%, $F$11)</f>
        <v>26.857900000000001</v>
      </c>
      <c r="F779" s="4">
        <f>CHOOSE( CONTROL!$C$32, 27.5305, 27.526) * CHOOSE(CONTROL!$C$15, $D$11, 100%, $F$11)</f>
        <v>27.5305</v>
      </c>
      <c r="G779" s="8">
        <f>CHOOSE( CONTROL!$C$32, 26.3804, 26.376) * CHOOSE( CONTROL!$C$15, $D$11, 100%, $F$11)</f>
        <v>26.380400000000002</v>
      </c>
      <c r="H779" s="4">
        <f>CHOOSE( CONTROL!$C$32, 27.3137, 27.3092) * CHOOSE(CONTROL!$C$15, $D$11, 100%, $F$11)</f>
        <v>27.313700000000001</v>
      </c>
      <c r="I779" s="8">
        <f>CHOOSE( CONTROL!$C$32, 26.0134, 26.0091) * CHOOSE(CONTROL!$C$15, $D$11, 100%, $F$11)</f>
        <v>26.013400000000001</v>
      </c>
      <c r="J779" s="4">
        <f>CHOOSE( CONTROL!$C$32, 25.934, 25.9296) * CHOOSE(CONTROL!$C$15, $D$11, 100%, $F$11)</f>
        <v>25.934000000000001</v>
      </c>
      <c r="K779" s="4"/>
      <c r="L779" s="9">
        <v>29.520499999999998</v>
      </c>
      <c r="M779" s="9">
        <v>12.063700000000001</v>
      </c>
      <c r="N779" s="9">
        <v>4.9444999999999997</v>
      </c>
      <c r="O779" s="9">
        <v>0.37459999999999999</v>
      </c>
      <c r="P779" s="9">
        <v>1.2192000000000001</v>
      </c>
      <c r="Q779" s="9">
        <v>19.688099999999999</v>
      </c>
      <c r="R779" s="9"/>
      <c r="S779" s="11"/>
    </row>
    <row r="780" spans="1:19" ht="15.75">
      <c r="A780" s="13">
        <v>65623</v>
      </c>
      <c r="B780" s="8">
        <f>CHOOSE( CONTROL!$C$32, 24.7725, 24.768) * CHOOSE(CONTROL!$C$15, $D$11, 100%, $F$11)</f>
        <v>24.772500000000001</v>
      </c>
      <c r="C780" s="8">
        <f>CHOOSE( CONTROL!$C$32, 24.7829, 24.7783) * CHOOSE(CONTROL!$C$15, $D$11, 100%, $F$11)</f>
        <v>24.782900000000001</v>
      </c>
      <c r="D780" s="8">
        <f>CHOOSE( CONTROL!$C$32, 24.794, 24.7895) * CHOOSE( CONTROL!$C$15, $D$11, 100%, $F$11)</f>
        <v>24.794</v>
      </c>
      <c r="E780" s="12">
        <f>CHOOSE( CONTROL!$C$32, 24.7884, 24.7839) * CHOOSE( CONTROL!$C$15, $D$11, 100%, $F$11)</f>
        <v>24.788399999999999</v>
      </c>
      <c r="F780" s="4">
        <f>CHOOSE( CONTROL!$C$32, 25.4608, 25.4563) * CHOOSE(CONTROL!$C$15, $D$11, 100%, $F$11)</f>
        <v>25.460799999999999</v>
      </c>
      <c r="G780" s="8">
        <f>CHOOSE( CONTROL!$C$32, 24.3447, 24.3402) * CHOOSE( CONTROL!$C$15, $D$11, 100%, $F$11)</f>
        <v>24.3447</v>
      </c>
      <c r="H780" s="4">
        <f>CHOOSE( CONTROL!$C$32, 25.2775, 25.273) * CHOOSE(CONTROL!$C$15, $D$11, 100%, $F$11)</f>
        <v>25.2775</v>
      </c>
      <c r="I780" s="8">
        <f>CHOOSE( CONTROL!$C$32, 24.0123, 24.0079) * CHOOSE(CONTROL!$C$15, $D$11, 100%, $F$11)</f>
        <v>24.0123</v>
      </c>
      <c r="J780" s="4">
        <f>CHOOSE( CONTROL!$C$32, 23.9324, 23.928) * CHOOSE(CONTROL!$C$15, $D$11, 100%, $F$11)</f>
        <v>23.932400000000001</v>
      </c>
      <c r="K780" s="4"/>
      <c r="L780" s="9">
        <v>29.520499999999998</v>
      </c>
      <c r="M780" s="9">
        <v>12.063700000000001</v>
      </c>
      <c r="N780" s="9">
        <v>4.9444999999999997</v>
      </c>
      <c r="O780" s="9">
        <v>0.37459999999999999</v>
      </c>
      <c r="P780" s="9">
        <v>1.2192000000000001</v>
      </c>
      <c r="Q780" s="9">
        <v>19.688099999999999</v>
      </c>
      <c r="R780" s="9"/>
      <c r="S780" s="11"/>
    </row>
    <row r="781" spans="1:19" ht="15.75">
      <c r="A781" s="13">
        <v>65653</v>
      </c>
      <c r="B781" s="8">
        <f>CHOOSE( CONTROL!$C$32, 24.2543, 24.2497) * CHOOSE(CONTROL!$C$15, $D$11, 100%, $F$11)</f>
        <v>24.254300000000001</v>
      </c>
      <c r="C781" s="8">
        <f>CHOOSE( CONTROL!$C$32, 24.2646, 24.2601) * CHOOSE(CONTROL!$C$15, $D$11, 100%, $F$11)</f>
        <v>24.264600000000002</v>
      </c>
      <c r="D781" s="8">
        <f>CHOOSE( CONTROL!$C$32, 24.2759, 24.2713) * CHOOSE( CONTROL!$C$15, $D$11, 100%, $F$11)</f>
        <v>24.2759</v>
      </c>
      <c r="E781" s="12">
        <f>CHOOSE( CONTROL!$C$32, 24.2702, 24.2657) * CHOOSE( CONTROL!$C$15, $D$11, 100%, $F$11)</f>
        <v>24.270199999999999</v>
      </c>
      <c r="F781" s="4">
        <f>CHOOSE( CONTROL!$C$32, 24.9425, 24.938) * CHOOSE(CONTROL!$C$15, $D$11, 100%, $F$11)</f>
        <v>24.942499999999999</v>
      </c>
      <c r="G781" s="8">
        <f>CHOOSE( CONTROL!$C$32, 23.8349, 23.8305) * CHOOSE( CONTROL!$C$15, $D$11, 100%, $F$11)</f>
        <v>23.834900000000001</v>
      </c>
      <c r="H781" s="4">
        <f>CHOOSE( CONTROL!$C$32, 24.7676, 24.7632) * CHOOSE(CONTROL!$C$15, $D$11, 100%, $F$11)</f>
        <v>24.767600000000002</v>
      </c>
      <c r="I781" s="8">
        <f>CHOOSE( CONTROL!$C$32, 23.5112, 23.5069) * CHOOSE(CONTROL!$C$15, $D$11, 100%, $F$11)</f>
        <v>23.511199999999999</v>
      </c>
      <c r="J781" s="4">
        <f>CHOOSE( CONTROL!$C$32, 23.4312, 23.4268) * CHOOSE(CONTROL!$C$15, $D$11, 100%, $F$11)</f>
        <v>23.4312</v>
      </c>
      <c r="K781" s="4"/>
      <c r="L781" s="9">
        <v>28.568200000000001</v>
      </c>
      <c r="M781" s="9">
        <v>11.6745</v>
      </c>
      <c r="N781" s="9">
        <v>4.7850000000000001</v>
      </c>
      <c r="O781" s="9">
        <v>0.36249999999999999</v>
      </c>
      <c r="P781" s="9">
        <v>1.1798</v>
      </c>
      <c r="Q781" s="9">
        <v>19.053000000000001</v>
      </c>
      <c r="R781" s="9"/>
      <c r="S781" s="11"/>
    </row>
    <row r="782" spans="1:19" ht="15.75">
      <c r="A782" s="13">
        <v>65684</v>
      </c>
      <c r="B782" s="8">
        <f>25.3258 * CHOOSE(CONTROL!$C$15, $D$11, 100%, $F$11)</f>
        <v>25.325800000000001</v>
      </c>
      <c r="C782" s="8">
        <f>25.3362 * CHOOSE(CONTROL!$C$15, $D$11, 100%, $F$11)</f>
        <v>25.336200000000002</v>
      </c>
      <c r="D782" s="8">
        <f>25.3486 * CHOOSE( CONTROL!$C$15, $D$11, 100%, $F$11)</f>
        <v>25.348600000000001</v>
      </c>
      <c r="E782" s="12">
        <f>25.3434 * CHOOSE( CONTROL!$C$15, $D$11, 100%, $F$11)</f>
        <v>25.343399999999999</v>
      </c>
      <c r="F782" s="4">
        <f>26.0141 * CHOOSE(CONTROL!$C$15, $D$11, 100%, $F$11)</f>
        <v>26.014099999999999</v>
      </c>
      <c r="G782" s="8">
        <f>24.8886 * CHOOSE( CONTROL!$C$15, $D$11, 100%, $F$11)</f>
        <v>24.8886</v>
      </c>
      <c r="H782" s="4">
        <f>25.8219 * CHOOSE(CONTROL!$C$15, $D$11, 100%, $F$11)</f>
        <v>25.821899999999999</v>
      </c>
      <c r="I782" s="8">
        <f>24.5494 * CHOOSE(CONTROL!$C$15, $D$11, 100%, $F$11)</f>
        <v>24.549399999999999</v>
      </c>
      <c r="J782" s="4">
        <f>24.4675 * CHOOSE(CONTROL!$C$15, $D$11, 100%, $F$11)</f>
        <v>24.467500000000001</v>
      </c>
      <c r="K782" s="4"/>
      <c r="L782" s="9">
        <v>28.921800000000001</v>
      </c>
      <c r="M782" s="9">
        <v>12.063700000000001</v>
      </c>
      <c r="N782" s="9">
        <v>4.9444999999999997</v>
      </c>
      <c r="O782" s="9">
        <v>0.37459999999999999</v>
      </c>
      <c r="P782" s="9">
        <v>1.2192000000000001</v>
      </c>
      <c r="Q782" s="9">
        <v>19.688099999999999</v>
      </c>
      <c r="R782" s="9"/>
      <c r="S782" s="11"/>
    </row>
    <row r="783" spans="1:19" ht="15.75">
      <c r="A783" s="13">
        <v>65714</v>
      </c>
      <c r="B783" s="8">
        <f>27.3121 * CHOOSE(CONTROL!$C$15, $D$11, 100%, $F$11)</f>
        <v>27.312100000000001</v>
      </c>
      <c r="C783" s="8">
        <f>27.3224 * CHOOSE(CONTROL!$C$15, $D$11, 100%, $F$11)</f>
        <v>27.322399999999998</v>
      </c>
      <c r="D783" s="8">
        <f>27.3085 * CHOOSE( CONTROL!$C$15, $D$11, 100%, $F$11)</f>
        <v>27.308499999999999</v>
      </c>
      <c r="E783" s="12">
        <f>27.3125 * CHOOSE( CONTROL!$C$15, $D$11, 100%, $F$11)</f>
        <v>27.3125</v>
      </c>
      <c r="F783" s="4">
        <f>27.9664 * CHOOSE(CONTROL!$C$15, $D$11, 100%, $F$11)</f>
        <v>27.9664</v>
      </c>
      <c r="G783" s="8">
        <f>26.86 * CHOOSE( CONTROL!$C$15, $D$11, 100%, $F$11)</f>
        <v>26.86</v>
      </c>
      <c r="H783" s="4">
        <f>27.7425 * CHOOSE(CONTROL!$C$15, $D$11, 100%, $F$11)</f>
        <v>27.7425</v>
      </c>
      <c r="I783" s="8">
        <f>26.5043 * CHOOSE(CONTROL!$C$15, $D$11, 100%, $F$11)</f>
        <v>26.504300000000001</v>
      </c>
      <c r="J783" s="4">
        <f>26.3884 * CHOOSE(CONTROL!$C$15, $D$11, 100%, $F$11)</f>
        <v>26.388400000000001</v>
      </c>
      <c r="K783" s="4"/>
      <c r="L783" s="9">
        <v>26.515499999999999</v>
      </c>
      <c r="M783" s="9">
        <v>11.6745</v>
      </c>
      <c r="N783" s="9">
        <v>4.7850000000000001</v>
      </c>
      <c r="O783" s="9">
        <v>0.36249999999999999</v>
      </c>
      <c r="P783" s="9">
        <v>1.2522</v>
      </c>
      <c r="Q783" s="9">
        <v>19.053000000000001</v>
      </c>
      <c r="R783" s="9"/>
      <c r="S783" s="11"/>
    </row>
    <row r="784" spans="1:19" ht="15.75">
      <c r="A784" s="13">
        <v>65745</v>
      </c>
      <c r="B784" s="8">
        <f>27.2625 * CHOOSE(CONTROL!$C$15, $D$11, 100%, $F$11)</f>
        <v>27.262499999999999</v>
      </c>
      <c r="C784" s="8">
        <f>27.2728 * CHOOSE(CONTROL!$C$15, $D$11, 100%, $F$11)</f>
        <v>27.2728</v>
      </c>
      <c r="D784" s="8">
        <f>27.2613 * CHOOSE( CONTROL!$C$15, $D$11, 100%, $F$11)</f>
        <v>27.261299999999999</v>
      </c>
      <c r="E784" s="12">
        <f>27.2644 * CHOOSE( CONTROL!$C$15, $D$11, 100%, $F$11)</f>
        <v>27.264399999999998</v>
      </c>
      <c r="F784" s="4">
        <f>27.9167 * CHOOSE(CONTROL!$C$15, $D$11, 100%, $F$11)</f>
        <v>27.916699999999999</v>
      </c>
      <c r="G784" s="8">
        <f>26.813 * CHOOSE( CONTROL!$C$15, $D$11, 100%, $F$11)</f>
        <v>26.812999999999999</v>
      </c>
      <c r="H784" s="4">
        <f>27.6937 * CHOOSE(CONTROL!$C$15, $D$11, 100%, $F$11)</f>
        <v>27.6937</v>
      </c>
      <c r="I784" s="8">
        <f>26.4642 * CHOOSE(CONTROL!$C$15, $D$11, 100%, $F$11)</f>
        <v>26.464200000000002</v>
      </c>
      <c r="J784" s="4">
        <f>26.3404 * CHOOSE(CONTROL!$C$15, $D$11, 100%, $F$11)</f>
        <v>26.340399999999999</v>
      </c>
      <c r="K784" s="4"/>
      <c r="L784" s="9">
        <v>27.3993</v>
      </c>
      <c r="M784" s="9">
        <v>12.063700000000001</v>
      </c>
      <c r="N784" s="9">
        <v>4.9444999999999997</v>
      </c>
      <c r="O784" s="9">
        <v>0.37459999999999999</v>
      </c>
      <c r="P784" s="9">
        <v>1.2939000000000001</v>
      </c>
      <c r="Q784" s="9">
        <v>19.688099999999999</v>
      </c>
      <c r="R784" s="9"/>
      <c r="S784" s="11"/>
    </row>
    <row r="785" spans="1:19" ht="15.75">
      <c r="A785" s="13">
        <v>65776</v>
      </c>
      <c r="B785" s="8">
        <f>28.3034 * CHOOSE(CONTROL!$C$15, $D$11, 100%, $F$11)</f>
        <v>28.3034</v>
      </c>
      <c r="C785" s="8">
        <f>28.3138 * CHOOSE(CONTROL!$C$15, $D$11, 100%, $F$11)</f>
        <v>28.313800000000001</v>
      </c>
      <c r="D785" s="8">
        <f>28.3122 * CHOOSE( CONTROL!$C$15, $D$11, 100%, $F$11)</f>
        <v>28.312200000000001</v>
      </c>
      <c r="E785" s="12">
        <f>28.3117 * CHOOSE( CONTROL!$C$15, $D$11, 100%, $F$11)</f>
        <v>28.311699999999998</v>
      </c>
      <c r="F785" s="4">
        <f>28.9861 * CHOOSE(CONTROL!$C$15, $D$11, 100%, $F$11)</f>
        <v>28.9861</v>
      </c>
      <c r="G785" s="8">
        <f>27.8474 * CHOOSE( CONTROL!$C$15, $D$11, 100%, $F$11)</f>
        <v>27.8474</v>
      </c>
      <c r="H785" s="4">
        <f>28.7458 * CHOOSE(CONTROL!$C$15, $D$11, 100%, $F$11)</f>
        <v>28.745799999999999</v>
      </c>
      <c r="I785" s="8">
        <f>27.4694 * CHOOSE(CONTROL!$C$15, $D$11, 100%, $F$11)</f>
        <v>27.4694</v>
      </c>
      <c r="J785" s="4">
        <f>27.3472 * CHOOSE(CONTROL!$C$15, $D$11, 100%, $F$11)</f>
        <v>27.347200000000001</v>
      </c>
      <c r="K785" s="4"/>
      <c r="L785" s="9">
        <v>27.3993</v>
      </c>
      <c r="M785" s="9">
        <v>12.063700000000001</v>
      </c>
      <c r="N785" s="9">
        <v>4.9444999999999997</v>
      </c>
      <c r="O785" s="9">
        <v>0.37459999999999999</v>
      </c>
      <c r="P785" s="9">
        <v>1.2939000000000001</v>
      </c>
      <c r="Q785" s="9">
        <v>19.688099999999999</v>
      </c>
      <c r="R785" s="9"/>
      <c r="S785" s="11"/>
    </row>
    <row r="786" spans="1:19" ht="15.75">
      <c r="A786" s="13">
        <v>65805</v>
      </c>
      <c r="B786" s="8">
        <f>26.4754 * CHOOSE(CONTROL!$C$15, $D$11, 100%, $F$11)</f>
        <v>26.4754</v>
      </c>
      <c r="C786" s="8">
        <f>26.4857 * CHOOSE(CONTROL!$C$15, $D$11, 100%, $F$11)</f>
        <v>26.485700000000001</v>
      </c>
      <c r="D786" s="8">
        <f>26.4862 * CHOOSE( CONTROL!$C$15, $D$11, 100%, $F$11)</f>
        <v>26.4862</v>
      </c>
      <c r="E786" s="12">
        <f>26.4849 * CHOOSE( CONTROL!$C$15, $D$11, 100%, $F$11)</f>
        <v>26.4849</v>
      </c>
      <c r="F786" s="4">
        <f>27.1503 * CHOOSE(CONTROL!$C$15, $D$11, 100%, $F$11)</f>
        <v>27.150300000000001</v>
      </c>
      <c r="G786" s="8">
        <f>26.0486 * CHOOSE( CONTROL!$C$15, $D$11, 100%, $F$11)</f>
        <v>26.0486</v>
      </c>
      <c r="H786" s="4">
        <f>26.9396 * CHOOSE(CONTROL!$C$15, $D$11, 100%, $F$11)</f>
        <v>26.939599999999999</v>
      </c>
      <c r="I786" s="8">
        <f>25.6897 * CHOOSE(CONTROL!$C$15, $D$11, 100%, $F$11)</f>
        <v>25.689699999999998</v>
      </c>
      <c r="J786" s="4">
        <f>25.5792 * CHOOSE(CONTROL!$C$15, $D$11, 100%, $F$11)</f>
        <v>25.5792</v>
      </c>
      <c r="K786" s="4"/>
      <c r="L786" s="9">
        <v>25.631599999999999</v>
      </c>
      <c r="M786" s="9">
        <v>11.285299999999999</v>
      </c>
      <c r="N786" s="9">
        <v>4.6254999999999997</v>
      </c>
      <c r="O786" s="9">
        <v>0.35039999999999999</v>
      </c>
      <c r="P786" s="9">
        <v>1.2104999999999999</v>
      </c>
      <c r="Q786" s="9">
        <v>18.417899999999999</v>
      </c>
      <c r="R786" s="9"/>
      <c r="S786" s="11"/>
    </row>
    <row r="787" spans="1:19" ht="15.75">
      <c r="A787" s="13">
        <v>65836</v>
      </c>
      <c r="B787" s="8">
        <f>25.9123 * CHOOSE(CONTROL!$C$15, $D$11, 100%, $F$11)</f>
        <v>25.912299999999998</v>
      </c>
      <c r="C787" s="8">
        <f>25.9226 * CHOOSE(CONTROL!$C$15, $D$11, 100%, $F$11)</f>
        <v>25.922599999999999</v>
      </c>
      <c r="D787" s="8">
        <f>25.9027 * CHOOSE( CONTROL!$C$15, $D$11, 100%, $F$11)</f>
        <v>25.902699999999999</v>
      </c>
      <c r="E787" s="12">
        <f>25.9089 * CHOOSE( CONTROL!$C$15, $D$11, 100%, $F$11)</f>
        <v>25.908899999999999</v>
      </c>
      <c r="F787" s="4">
        <f>26.5712 * CHOOSE(CONTROL!$C$15, $D$11, 100%, $F$11)</f>
        <v>26.571200000000001</v>
      </c>
      <c r="G787" s="8">
        <f>25.474 * CHOOSE( CONTROL!$C$15, $D$11, 100%, $F$11)</f>
        <v>25.474</v>
      </c>
      <c r="H787" s="4">
        <f>26.3699 * CHOOSE(CONTROL!$C$15, $D$11, 100%, $F$11)</f>
        <v>26.369900000000001</v>
      </c>
      <c r="I787" s="8">
        <f>25.1053 * CHOOSE(CONTROL!$C$15, $D$11, 100%, $F$11)</f>
        <v>25.1053</v>
      </c>
      <c r="J787" s="4">
        <f>25.0347 * CHOOSE(CONTROL!$C$15, $D$11, 100%, $F$11)</f>
        <v>25.034700000000001</v>
      </c>
      <c r="K787" s="4"/>
      <c r="L787" s="9">
        <v>27.3993</v>
      </c>
      <c r="M787" s="9">
        <v>12.063700000000001</v>
      </c>
      <c r="N787" s="9">
        <v>4.9444999999999997</v>
      </c>
      <c r="O787" s="9">
        <v>0.37459999999999999</v>
      </c>
      <c r="P787" s="9">
        <v>1.2939000000000001</v>
      </c>
      <c r="Q787" s="9">
        <v>19.688099999999999</v>
      </c>
      <c r="R787" s="9"/>
      <c r="S787" s="11"/>
    </row>
    <row r="788" spans="1:19" ht="15.75">
      <c r="A788" s="13">
        <v>65866</v>
      </c>
      <c r="B788" s="8">
        <f>26.3058 * CHOOSE(CONTROL!$C$15, $D$11, 100%, $F$11)</f>
        <v>26.305800000000001</v>
      </c>
      <c r="C788" s="8">
        <f>26.3161 * CHOOSE(CONTROL!$C$15, $D$11, 100%, $F$11)</f>
        <v>26.316099999999999</v>
      </c>
      <c r="D788" s="8">
        <f>26.3076 * CHOOSE( CONTROL!$C$15, $D$11, 100%, $F$11)</f>
        <v>26.307600000000001</v>
      </c>
      <c r="E788" s="12">
        <f>26.3092 * CHOOSE( CONTROL!$C$15, $D$11, 100%, $F$11)</f>
        <v>26.309200000000001</v>
      </c>
      <c r="F788" s="4">
        <f>26.9548 * CHOOSE(CONTROL!$C$15, $D$11, 100%, $F$11)</f>
        <v>26.954799999999999</v>
      </c>
      <c r="G788" s="8">
        <f>25.8458 * CHOOSE( CONTROL!$C$15, $D$11, 100%, $F$11)</f>
        <v>25.845800000000001</v>
      </c>
      <c r="H788" s="4">
        <f>26.7474 * CHOOSE(CONTROL!$C$15, $D$11, 100%, $F$11)</f>
        <v>26.747399999999999</v>
      </c>
      <c r="I788" s="8">
        <f>25.4829 * CHOOSE(CONTROL!$C$15, $D$11, 100%, $F$11)</f>
        <v>25.482900000000001</v>
      </c>
      <c r="J788" s="4">
        <f>25.4152 * CHOOSE(CONTROL!$C$15, $D$11, 100%, $F$11)</f>
        <v>25.415199999999999</v>
      </c>
      <c r="K788" s="4"/>
      <c r="L788" s="9">
        <v>27.988800000000001</v>
      </c>
      <c r="M788" s="9">
        <v>11.6745</v>
      </c>
      <c r="N788" s="9">
        <v>4.7850000000000001</v>
      </c>
      <c r="O788" s="9">
        <v>0.36249999999999999</v>
      </c>
      <c r="P788" s="9">
        <v>1.1798</v>
      </c>
      <c r="Q788" s="9">
        <v>19.053000000000001</v>
      </c>
      <c r="R788" s="9"/>
      <c r="S788" s="11"/>
    </row>
    <row r="789" spans="1:19" ht="15.75">
      <c r="A789" s="13">
        <v>65897</v>
      </c>
      <c r="B789" s="8">
        <f>CHOOSE( CONTROL!$C$32, 27.0105, 27.006) * CHOOSE(CONTROL!$C$15, $D$11, 100%, $F$11)</f>
        <v>27.0105</v>
      </c>
      <c r="C789" s="8">
        <f>CHOOSE( CONTROL!$C$32, 27.0209, 27.0163) * CHOOSE(CONTROL!$C$15, $D$11, 100%, $F$11)</f>
        <v>27.020900000000001</v>
      </c>
      <c r="D789" s="8">
        <f>CHOOSE( CONTROL!$C$32, 27.0305, 27.026) * CHOOSE( CONTROL!$C$15, $D$11, 100%, $F$11)</f>
        <v>27.0305</v>
      </c>
      <c r="E789" s="12">
        <f>CHOOSE( CONTROL!$C$32, 27.0254, 27.0209) * CHOOSE( CONTROL!$C$15, $D$11, 100%, $F$11)</f>
        <v>27.025400000000001</v>
      </c>
      <c r="F789" s="4">
        <f>CHOOSE( CONTROL!$C$32, 27.6988, 27.6943) * CHOOSE(CONTROL!$C$15, $D$11, 100%, $F$11)</f>
        <v>27.698799999999999</v>
      </c>
      <c r="G789" s="8">
        <f>CHOOSE( CONTROL!$C$32, 26.5443, 26.5398) * CHOOSE( CONTROL!$C$15, $D$11, 100%, $F$11)</f>
        <v>26.5443</v>
      </c>
      <c r="H789" s="4">
        <f>CHOOSE( CONTROL!$C$32, 27.4793, 27.4748) * CHOOSE(CONTROL!$C$15, $D$11, 100%, $F$11)</f>
        <v>27.479299999999999</v>
      </c>
      <c r="I789" s="8">
        <f>CHOOSE( CONTROL!$C$32, 26.1706, 26.1663) * CHOOSE(CONTROL!$C$15, $D$11, 100%, $F$11)</f>
        <v>26.1706</v>
      </c>
      <c r="J789" s="4">
        <f>CHOOSE( CONTROL!$C$32, 26.0968, 26.0924) * CHOOSE(CONTROL!$C$15, $D$11, 100%, $F$11)</f>
        <v>26.096800000000002</v>
      </c>
      <c r="K789" s="4"/>
      <c r="L789" s="9">
        <v>29.520499999999998</v>
      </c>
      <c r="M789" s="9">
        <v>12.063700000000001</v>
      </c>
      <c r="N789" s="9">
        <v>4.9444999999999997</v>
      </c>
      <c r="O789" s="9">
        <v>0.37459999999999999</v>
      </c>
      <c r="P789" s="9">
        <v>1.2192000000000001</v>
      </c>
      <c r="Q789" s="9">
        <v>19.688099999999999</v>
      </c>
      <c r="R789" s="9"/>
      <c r="S789" s="11"/>
    </row>
    <row r="790" spans="1:19" ht="15.75">
      <c r="A790" s="13">
        <v>65927</v>
      </c>
      <c r="B790" s="8">
        <f>CHOOSE( CONTROL!$C$32, 26.5767, 26.5722) * CHOOSE(CONTROL!$C$15, $D$11, 100%, $F$11)</f>
        <v>26.576699999999999</v>
      </c>
      <c r="C790" s="8">
        <f>CHOOSE( CONTROL!$C$32, 26.5871, 26.5826) * CHOOSE(CONTROL!$C$15, $D$11, 100%, $F$11)</f>
        <v>26.5871</v>
      </c>
      <c r="D790" s="8">
        <f>CHOOSE( CONTROL!$C$32, 26.5974, 26.5929) * CHOOSE( CONTROL!$C$15, $D$11, 100%, $F$11)</f>
        <v>26.5974</v>
      </c>
      <c r="E790" s="12">
        <f>CHOOSE( CONTROL!$C$32, 26.5921, 26.5876) * CHOOSE( CONTROL!$C$15, $D$11, 100%, $F$11)</f>
        <v>26.592099999999999</v>
      </c>
      <c r="F790" s="4">
        <f>CHOOSE( CONTROL!$C$32, 27.265, 27.2605) * CHOOSE(CONTROL!$C$15, $D$11, 100%, $F$11)</f>
        <v>27.265000000000001</v>
      </c>
      <c r="G790" s="8">
        <f>CHOOSE( CONTROL!$C$32, 26.1184, 26.114) * CHOOSE( CONTROL!$C$15, $D$11, 100%, $F$11)</f>
        <v>26.118400000000001</v>
      </c>
      <c r="H790" s="4">
        <f>CHOOSE( CONTROL!$C$32, 27.0525, 27.0481) * CHOOSE(CONTROL!$C$15, $D$11, 100%, $F$11)</f>
        <v>27.052499999999998</v>
      </c>
      <c r="I790" s="8">
        <f>CHOOSE( CONTROL!$C$32, 25.7539, 25.7495) * CHOOSE(CONTROL!$C$15, $D$11, 100%, $F$11)</f>
        <v>25.753900000000002</v>
      </c>
      <c r="J790" s="4">
        <f>CHOOSE( CONTROL!$C$32, 25.6773, 25.6729) * CHOOSE(CONTROL!$C$15, $D$11, 100%, $F$11)</f>
        <v>25.677299999999999</v>
      </c>
      <c r="K790" s="4"/>
      <c r="L790" s="9">
        <v>28.568200000000001</v>
      </c>
      <c r="M790" s="9">
        <v>11.6745</v>
      </c>
      <c r="N790" s="9">
        <v>4.7850000000000001</v>
      </c>
      <c r="O790" s="9">
        <v>0.36249999999999999</v>
      </c>
      <c r="P790" s="9">
        <v>1.1798</v>
      </c>
      <c r="Q790" s="9">
        <v>19.053000000000001</v>
      </c>
      <c r="R790" s="9"/>
      <c r="S790" s="11"/>
    </row>
    <row r="791" spans="1:19" ht="15.75">
      <c r="A791" s="13">
        <v>65958</v>
      </c>
      <c r="B791" s="8">
        <f>CHOOSE( CONTROL!$C$32, 27.719, 27.7145) * CHOOSE(CONTROL!$C$15, $D$11, 100%, $F$11)</f>
        <v>27.719000000000001</v>
      </c>
      <c r="C791" s="8">
        <f>CHOOSE( CONTROL!$C$32, 27.7294, 27.7248) * CHOOSE(CONTROL!$C$15, $D$11, 100%, $F$11)</f>
        <v>27.729399999999998</v>
      </c>
      <c r="D791" s="8">
        <f>CHOOSE( CONTROL!$C$32, 27.7402, 27.7357) * CHOOSE( CONTROL!$C$15, $D$11, 100%, $F$11)</f>
        <v>27.740200000000002</v>
      </c>
      <c r="E791" s="12">
        <f>CHOOSE( CONTROL!$C$32, 27.7347, 27.7302) * CHOOSE( CONTROL!$C$15, $D$11, 100%, $F$11)</f>
        <v>27.7347</v>
      </c>
      <c r="F791" s="4">
        <f>CHOOSE( CONTROL!$C$32, 28.4073, 28.4028) * CHOOSE(CONTROL!$C$15, $D$11, 100%, $F$11)</f>
        <v>28.407299999999999</v>
      </c>
      <c r="G791" s="8">
        <f>CHOOSE( CONTROL!$C$32, 27.2431, 27.2386) * CHOOSE( CONTROL!$C$15, $D$11, 100%, $F$11)</f>
        <v>27.243099999999998</v>
      </c>
      <c r="H791" s="4">
        <f>CHOOSE( CONTROL!$C$32, 28.1763, 28.1719) * CHOOSE(CONTROL!$C$15, $D$11, 100%, $F$11)</f>
        <v>28.176300000000001</v>
      </c>
      <c r="I791" s="8">
        <f>CHOOSE( CONTROL!$C$32, 26.8619, 26.8575) * CHOOSE(CONTROL!$C$15, $D$11, 100%, $F$11)</f>
        <v>26.861899999999999</v>
      </c>
      <c r="J791" s="4">
        <f>CHOOSE( CONTROL!$C$32, 26.782, 26.7776) * CHOOSE(CONTROL!$C$15, $D$11, 100%, $F$11)</f>
        <v>26.782</v>
      </c>
      <c r="K791" s="4"/>
      <c r="L791" s="9">
        <v>29.520499999999998</v>
      </c>
      <c r="M791" s="9">
        <v>12.063700000000001</v>
      </c>
      <c r="N791" s="9">
        <v>4.9444999999999997</v>
      </c>
      <c r="O791" s="9">
        <v>0.37459999999999999</v>
      </c>
      <c r="P791" s="9">
        <v>1.2192000000000001</v>
      </c>
      <c r="Q791" s="9">
        <v>19.688099999999999</v>
      </c>
      <c r="R791" s="9"/>
      <c r="S791" s="11"/>
    </row>
    <row r="792" spans="1:19" ht="15.75">
      <c r="A792" s="13">
        <v>65989</v>
      </c>
      <c r="B792" s="8">
        <f>CHOOSE( CONTROL!$C$32, 25.5817, 25.5772) * CHOOSE(CONTROL!$C$15, $D$11, 100%, $F$11)</f>
        <v>25.581700000000001</v>
      </c>
      <c r="C792" s="8">
        <f>CHOOSE( CONTROL!$C$32, 25.592, 25.5875) * CHOOSE(CONTROL!$C$15, $D$11, 100%, $F$11)</f>
        <v>25.591999999999999</v>
      </c>
      <c r="D792" s="8">
        <f>CHOOSE( CONTROL!$C$32, 25.6032, 25.5987) * CHOOSE( CONTROL!$C$15, $D$11, 100%, $F$11)</f>
        <v>25.603200000000001</v>
      </c>
      <c r="E792" s="12">
        <f>CHOOSE( CONTROL!$C$32, 25.5976, 25.5931) * CHOOSE( CONTROL!$C$15, $D$11, 100%, $F$11)</f>
        <v>25.5976</v>
      </c>
      <c r="F792" s="4">
        <f>CHOOSE( CONTROL!$C$32, 26.27, 26.2654) * CHOOSE(CONTROL!$C$15, $D$11, 100%, $F$11)</f>
        <v>26.27</v>
      </c>
      <c r="G792" s="8">
        <f>CHOOSE( CONTROL!$C$32, 25.1407, 25.1363) * CHOOSE( CONTROL!$C$15, $D$11, 100%, $F$11)</f>
        <v>25.140699999999999</v>
      </c>
      <c r="H792" s="4">
        <f>CHOOSE( CONTROL!$C$32, 26.0736, 26.0691) * CHOOSE(CONTROL!$C$15, $D$11, 100%, $F$11)</f>
        <v>26.073599999999999</v>
      </c>
      <c r="I792" s="8">
        <f>CHOOSE( CONTROL!$C$32, 24.7952, 24.7908) * CHOOSE(CONTROL!$C$15, $D$11, 100%, $F$11)</f>
        <v>24.795200000000001</v>
      </c>
      <c r="J792" s="4">
        <f>CHOOSE( CONTROL!$C$32, 24.7149, 24.7106) * CHOOSE(CONTROL!$C$15, $D$11, 100%, $F$11)</f>
        <v>24.7149</v>
      </c>
      <c r="K792" s="4"/>
      <c r="L792" s="9">
        <v>29.520499999999998</v>
      </c>
      <c r="M792" s="9">
        <v>12.063700000000001</v>
      </c>
      <c r="N792" s="9">
        <v>4.9444999999999997</v>
      </c>
      <c r="O792" s="9">
        <v>0.37459999999999999</v>
      </c>
      <c r="P792" s="9">
        <v>1.2192000000000001</v>
      </c>
      <c r="Q792" s="9">
        <v>19.688099999999999</v>
      </c>
      <c r="R792" s="9"/>
      <c r="S792" s="11"/>
    </row>
    <row r="793" spans="1:19" ht="15.75">
      <c r="A793" s="13">
        <v>66019</v>
      </c>
      <c r="B793" s="8">
        <f>CHOOSE( CONTROL!$C$32, 25.0465, 25.0419) * CHOOSE(CONTROL!$C$15, $D$11, 100%, $F$11)</f>
        <v>25.046500000000002</v>
      </c>
      <c r="C793" s="8">
        <f>CHOOSE( CONTROL!$C$32, 25.0568, 25.0523) * CHOOSE(CONTROL!$C$15, $D$11, 100%, $F$11)</f>
        <v>25.056799999999999</v>
      </c>
      <c r="D793" s="8">
        <f>CHOOSE( CONTROL!$C$32, 25.0681, 25.0635) * CHOOSE( CONTROL!$C$15, $D$11, 100%, $F$11)</f>
        <v>25.068100000000001</v>
      </c>
      <c r="E793" s="12">
        <f>CHOOSE( CONTROL!$C$32, 25.0624, 25.0579) * CHOOSE( CONTROL!$C$15, $D$11, 100%, $F$11)</f>
        <v>25.0624</v>
      </c>
      <c r="F793" s="4">
        <f>CHOOSE( CONTROL!$C$32, 25.7348, 25.7302) * CHOOSE(CONTROL!$C$15, $D$11, 100%, $F$11)</f>
        <v>25.7348</v>
      </c>
      <c r="G793" s="8">
        <f>CHOOSE( CONTROL!$C$32, 24.6143, 24.6099) * CHOOSE( CONTROL!$C$15, $D$11, 100%, $F$11)</f>
        <v>24.6143</v>
      </c>
      <c r="H793" s="4">
        <f>CHOOSE( CONTROL!$C$32, 25.547, 25.5426) * CHOOSE(CONTROL!$C$15, $D$11, 100%, $F$11)</f>
        <v>25.547000000000001</v>
      </c>
      <c r="I793" s="8">
        <f>CHOOSE( CONTROL!$C$32, 24.2778, 24.2734) * CHOOSE(CONTROL!$C$15, $D$11, 100%, $F$11)</f>
        <v>24.277799999999999</v>
      </c>
      <c r="J793" s="4">
        <f>CHOOSE( CONTROL!$C$32, 24.1973, 24.193) * CHOOSE(CONTROL!$C$15, $D$11, 100%, $F$11)</f>
        <v>24.197299999999998</v>
      </c>
      <c r="K793" s="4"/>
      <c r="L793" s="9">
        <v>28.568200000000001</v>
      </c>
      <c r="M793" s="9">
        <v>11.6745</v>
      </c>
      <c r="N793" s="9">
        <v>4.7850000000000001</v>
      </c>
      <c r="O793" s="9">
        <v>0.36249999999999999</v>
      </c>
      <c r="P793" s="9">
        <v>1.1798</v>
      </c>
      <c r="Q793" s="9">
        <v>19.053000000000001</v>
      </c>
      <c r="R793" s="9"/>
      <c r="S793" s="11"/>
    </row>
    <row r="794" spans="1:19" ht="15.75">
      <c r="A794" s="13">
        <v>66050</v>
      </c>
      <c r="B794" s="8">
        <f>26.1532 * CHOOSE(CONTROL!$C$15, $D$11, 100%, $F$11)</f>
        <v>26.153199999999998</v>
      </c>
      <c r="C794" s="8">
        <f>26.1636 * CHOOSE(CONTROL!$C$15, $D$11, 100%, $F$11)</f>
        <v>26.163599999999999</v>
      </c>
      <c r="D794" s="8">
        <f>26.176 * CHOOSE( CONTROL!$C$15, $D$11, 100%, $F$11)</f>
        <v>26.175999999999998</v>
      </c>
      <c r="E794" s="12">
        <f>26.1708 * CHOOSE( CONTROL!$C$15, $D$11, 100%, $F$11)</f>
        <v>26.1708</v>
      </c>
      <c r="F794" s="4">
        <f>26.8415 * CHOOSE(CONTROL!$C$15, $D$11, 100%, $F$11)</f>
        <v>26.8415</v>
      </c>
      <c r="G794" s="8">
        <f>25.7027 * CHOOSE( CONTROL!$C$15, $D$11, 100%, $F$11)</f>
        <v>25.7027</v>
      </c>
      <c r="H794" s="4">
        <f>26.6359 * CHOOSE(CONTROL!$C$15, $D$11, 100%, $F$11)</f>
        <v>26.635899999999999</v>
      </c>
      <c r="I794" s="8">
        <f>25.3499 * CHOOSE(CONTROL!$C$15, $D$11, 100%, $F$11)</f>
        <v>25.349900000000002</v>
      </c>
      <c r="J794" s="4">
        <f>25.2677 * CHOOSE(CONTROL!$C$15, $D$11, 100%, $F$11)</f>
        <v>25.267700000000001</v>
      </c>
      <c r="K794" s="4"/>
      <c r="L794" s="9">
        <v>28.921800000000001</v>
      </c>
      <c r="M794" s="9">
        <v>12.063700000000001</v>
      </c>
      <c r="N794" s="9">
        <v>4.9444999999999997</v>
      </c>
      <c r="O794" s="9">
        <v>0.37459999999999999</v>
      </c>
      <c r="P794" s="9">
        <v>1.2192000000000001</v>
      </c>
      <c r="Q794" s="9">
        <v>19.688099999999999</v>
      </c>
      <c r="R794" s="9"/>
      <c r="S794" s="11"/>
    </row>
    <row r="795" spans="1:19" ht="15.75">
      <c r="A795" s="13">
        <v>66080</v>
      </c>
      <c r="B795" s="8">
        <f>28.2045 * CHOOSE(CONTROL!$C$15, $D$11, 100%, $F$11)</f>
        <v>28.204499999999999</v>
      </c>
      <c r="C795" s="8">
        <f>28.2148 * CHOOSE(CONTROL!$C$15, $D$11, 100%, $F$11)</f>
        <v>28.2148</v>
      </c>
      <c r="D795" s="8">
        <f>28.2008 * CHOOSE( CONTROL!$C$15, $D$11, 100%, $F$11)</f>
        <v>28.200800000000001</v>
      </c>
      <c r="E795" s="12">
        <f>28.2048 * CHOOSE( CONTROL!$C$15, $D$11, 100%, $F$11)</f>
        <v>28.204799999999999</v>
      </c>
      <c r="F795" s="4">
        <f>28.8587 * CHOOSE(CONTROL!$C$15, $D$11, 100%, $F$11)</f>
        <v>28.858699999999999</v>
      </c>
      <c r="G795" s="8">
        <f>27.7379 * CHOOSE( CONTROL!$C$15, $D$11, 100%, $F$11)</f>
        <v>27.7379</v>
      </c>
      <c r="H795" s="4">
        <f>28.6204 * CHOOSE(CONTROL!$C$15, $D$11, 100%, $F$11)</f>
        <v>28.6204</v>
      </c>
      <c r="I795" s="8">
        <f>27.3677 * CHOOSE(CONTROL!$C$15, $D$11, 100%, $F$11)</f>
        <v>27.367699999999999</v>
      </c>
      <c r="J795" s="4">
        <f>27.2514 * CHOOSE(CONTROL!$C$15, $D$11, 100%, $F$11)</f>
        <v>27.2514</v>
      </c>
      <c r="K795" s="4"/>
      <c r="L795" s="9">
        <v>26.515499999999999</v>
      </c>
      <c r="M795" s="9">
        <v>11.6745</v>
      </c>
      <c r="N795" s="9">
        <v>4.7850000000000001</v>
      </c>
      <c r="O795" s="9">
        <v>0.36249999999999999</v>
      </c>
      <c r="P795" s="9">
        <v>1.2522</v>
      </c>
      <c r="Q795" s="9">
        <v>19.053000000000001</v>
      </c>
      <c r="R795" s="9"/>
      <c r="S795" s="11"/>
    </row>
    <row r="796" spans="1:19" ht="15.75">
      <c r="A796" s="13">
        <v>66111</v>
      </c>
      <c r="B796" s="8">
        <f>28.1532 * CHOOSE(CONTROL!$C$15, $D$11, 100%, $F$11)</f>
        <v>28.153199999999998</v>
      </c>
      <c r="C796" s="8">
        <f>28.1636 * CHOOSE(CONTROL!$C$15, $D$11, 100%, $F$11)</f>
        <v>28.163599999999999</v>
      </c>
      <c r="D796" s="8">
        <f>28.1521 * CHOOSE( CONTROL!$C$15, $D$11, 100%, $F$11)</f>
        <v>28.152100000000001</v>
      </c>
      <c r="E796" s="12">
        <f>28.1552 * CHOOSE( CONTROL!$C$15, $D$11, 100%, $F$11)</f>
        <v>28.155200000000001</v>
      </c>
      <c r="F796" s="4">
        <f>28.8075 * CHOOSE(CONTROL!$C$15, $D$11, 100%, $F$11)</f>
        <v>28.807500000000001</v>
      </c>
      <c r="G796" s="8">
        <f>27.6893 * CHOOSE( CONTROL!$C$15, $D$11, 100%, $F$11)</f>
        <v>27.689299999999999</v>
      </c>
      <c r="H796" s="4">
        <f>28.57 * CHOOSE(CONTROL!$C$15, $D$11, 100%, $F$11)</f>
        <v>28.57</v>
      </c>
      <c r="I796" s="8">
        <f>27.3261 * CHOOSE(CONTROL!$C$15, $D$11, 100%, $F$11)</f>
        <v>27.3261</v>
      </c>
      <c r="J796" s="4">
        <f>27.2019 * CHOOSE(CONTROL!$C$15, $D$11, 100%, $F$11)</f>
        <v>27.201899999999998</v>
      </c>
      <c r="K796" s="4"/>
      <c r="L796" s="9">
        <v>27.3993</v>
      </c>
      <c r="M796" s="9">
        <v>12.063700000000001</v>
      </c>
      <c r="N796" s="9">
        <v>4.9444999999999997</v>
      </c>
      <c r="O796" s="9">
        <v>0.37459999999999999</v>
      </c>
      <c r="P796" s="9">
        <v>1.2939000000000001</v>
      </c>
      <c r="Q796" s="9">
        <v>19.688099999999999</v>
      </c>
      <c r="R796" s="9"/>
      <c r="S796" s="11"/>
    </row>
    <row r="797" spans="1:19" ht="15.75">
      <c r="A797" s="13">
        <v>66142</v>
      </c>
      <c r="B797" s="8">
        <f>29.2282 * CHOOSE(CONTROL!$C$15, $D$11, 100%, $F$11)</f>
        <v>29.228200000000001</v>
      </c>
      <c r="C797" s="8">
        <f>29.2386 * CHOOSE(CONTROL!$C$15, $D$11, 100%, $F$11)</f>
        <v>29.238600000000002</v>
      </c>
      <c r="D797" s="8">
        <f>29.237 * CHOOSE( CONTROL!$C$15, $D$11, 100%, $F$11)</f>
        <v>29.236999999999998</v>
      </c>
      <c r="E797" s="12">
        <f>29.2365 * CHOOSE( CONTROL!$C$15, $D$11, 100%, $F$11)</f>
        <v>29.236499999999999</v>
      </c>
      <c r="F797" s="4">
        <f>29.9109 * CHOOSE(CONTROL!$C$15, $D$11, 100%, $F$11)</f>
        <v>29.910900000000002</v>
      </c>
      <c r="G797" s="8">
        <f>28.7572 * CHOOSE( CONTROL!$C$15, $D$11, 100%, $F$11)</f>
        <v>28.757200000000001</v>
      </c>
      <c r="H797" s="4">
        <f>29.6556 * CHOOSE(CONTROL!$C$15, $D$11, 100%, $F$11)</f>
        <v>29.6556</v>
      </c>
      <c r="I797" s="8">
        <f>28.3642 * CHOOSE(CONTROL!$C$15, $D$11, 100%, $F$11)</f>
        <v>28.3642</v>
      </c>
      <c r="J797" s="4">
        <f>28.2415 * CHOOSE(CONTROL!$C$15, $D$11, 100%, $F$11)</f>
        <v>28.241499999999998</v>
      </c>
      <c r="K797" s="4"/>
      <c r="L797" s="9">
        <v>27.3993</v>
      </c>
      <c r="M797" s="9">
        <v>12.063700000000001</v>
      </c>
      <c r="N797" s="9">
        <v>4.9444999999999997</v>
      </c>
      <c r="O797" s="9">
        <v>0.37459999999999999</v>
      </c>
      <c r="P797" s="9">
        <v>1.2939000000000001</v>
      </c>
      <c r="Q797" s="9">
        <v>19.688099999999999</v>
      </c>
      <c r="R797" s="9"/>
      <c r="S797" s="11"/>
    </row>
    <row r="798" spans="1:19" ht="15.75">
      <c r="A798" s="13">
        <v>66170</v>
      </c>
      <c r="B798" s="8">
        <f>27.3403 * CHOOSE(CONTROL!$C$15, $D$11, 100%, $F$11)</f>
        <v>27.340299999999999</v>
      </c>
      <c r="C798" s="8">
        <f>27.3507 * CHOOSE(CONTROL!$C$15, $D$11, 100%, $F$11)</f>
        <v>27.3507</v>
      </c>
      <c r="D798" s="8">
        <f>27.3512 * CHOOSE( CONTROL!$C$15, $D$11, 100%, $F$11)</f>
        <v>27.351199999999999</v>
      </c>
      <c r="E798" s="12">
        <f>27.3499 * CHOOSE( CONTROL!$C$15, $D$11, 100%, $F$11)</f>
        <v>27.349900000000002</v>
      </c>
      <c r="F798" s="4">
        <f>28.0153 * CHOOSE(CONTROL!$C$15, $D$11, 100%, $F$11)</f>
        <v>28.0153</v>
      </c>
      <c r="G798" s="8">
        <f>26.8996 * CHOOSE( CONTROL!$C$15, $D$11, 100%, $F$11)</f>
        <v>26.8996</v>
      </c>
      <c r="H798" s="4">
        <f>27.7906 * CHOOSE(CONTROL!$C$15, $D$11, 100%, $F$11)</f>
        <v>27.790600000000001</v>
      </c>
      <c r="I798" s="8">
        <f>26.5266 * CHOOSE(CONTROL!$C$15, $D$11, 100%, $F$11)</f>
        <v>26.526599999999998</v>
      </c>
      <c r="J798" s="4">
        <f>26.4157 * CHOOSE(CONTROL!$C$15, $D$11, 100%, $F$11)</f>
        <v>26.415700000000001</v>
      </c>
      <c r="K798" s="4"/>
      <c r="L798" s="9">
        <v>24.747800000000002</v>
      </c>
      <c r="M798" s="9">
        <v>10.8962</v>
      </c>
      <c r="N798" s="9">
        <v>4.4660000000000002</v>
      </c>
      <c r="O798" s="9">
        <v>0.33829999999999999</v>
      </c>
      <c r="P798" s="9">
        <v>1.1687000000000001</v>
      </c>
      <c r="Q798" s="9">
        <v>17.782800000000002</v>
      </c>
      <c r="R798" s="9"/>
      <c r="S798" s="11"/>
    </row>
    <row r="799" spans="1:19" ht="15.75">
      <c r="A799" s="13">
        <v>66201</v>
      </c>
      <c r="B799" s="8">
        <f>26.7589 * CHOOSE(CONTROL!$C$15, $D$11, 100%, $F$11)</f>
        <v>26.758900000000001</v>
      </c>
      <c r="C799" s="8">
        <f>26.7692 * CHOOSE(CONTROL!$C$15, $D$11, 100%, $F$11)</f>
        <v>26.769200000000001</v>
      </c>
      <c r="D799" s="8">
        <f>26.7493 * CHOOSE( CONTROL!$C$15, $D$11, 100%, $F$11)</f>
        <v>26.749300000000002</v>
      </c>
      <c r="E799" s="12">
        <f>26.7555 * CHOOSE( CONTROL!$C$15, $D$11, 100%, $F$11)</f>
        <v>26.755500000000001</v>
      </c>
      <c r="F799" s="4">
        <f>27.4178 * CHOOSE(CONTROL!$C$15, $D$11, 100%, $F$11)</f>
        <v>27.4178</v>
      </c>
      <c r="G799" s="8">
        <f>26.3068 * CHOOSE( CONTROL!$C$15, $D$11, 100%, $F$11)</f>
        <v>26.306799999999999</v>
      </c>
      <c r="H799" s="4">
        <f>27.2028 * CHOOSE(CONTROL!$C$15, $D$11, 100%, $F$11)</f>
        <v>27.2028</v>
      </c>
      <c r="I799" s="8">
        <f>25.9245 * CHOOSE(CONTROL!$C$15, $D$11, 100%, $F$11)</f>
        <v>25.924499999999998</v>
      </c>
      <c r="J799" s="4">
        <f>25.8534 * CHOOSE(CONTROL!$C$15, $D$11, 100%, $F$11)</f>
        <v>25.853400000000001</v>
      </c>
      <c r="K799" s="4"/>
      <c r="L799" s="9">
        <v>27.3993</v>
      </c>
      <c r="M799" s="9">
        <v>12.063700000000001</v>
      </c>
      <c r="N799" s="9">
        <v>4.9444999999999997</v>
      </c>
      <c r="O799" s="9">
        <v>0.37459999999999999</v>
      </c>
      <c r="P799" s="9">
        <v>1.2939000000000001</v>
      </c>
      <c r="Q799" s="9">
        <v>19.688099999999999</v>
      </c>
      <c r="R799" s="9"/>
      <c r="S799" s="11"/>
    </row>
    <row r="800" spans="1:19" ht="15.75">
      <c r="A800" s="13">
        <v>66231</v>
      </c>
      <c r="B800" s="8">
        <f>27.1652 * CHOOSE(CONTROL!$C$15, $D$11, 100%, $F$11)</f>
        <v>27.165199999999999</v>
      </c>
      <c r="C800" s="8">
        <f>27.1755 * CHOOSE(CONTROL!$C$15, $D$11, 100%, $F$11)</f>
        <v>27.1755</v>
      </c>
      <c r="D800" s="8">
        <f>27.1671 * CHOOSE( CONTROL!$C$15, $D$11, 100%, $F$11)</f>
        <v>27.167100000000001</v>
      </c>
      <c r="E800" s="12">
        <f>27.1687 * CHOOSE( CONTROL!$C$15, $D$11, 100%, $F$11)</f>
        <v>27.168700000000001</v>
      </c>
      <c r="F800" s="4">
        <f>27.8143 * CHOOSE(CONTROL!$C$15, $D$11, 100%, $F$11)</f>
        <v>27.814299999999999</v>
      </c>
      <c r="G800" s="8">
        <f>26.6914 * CHOOSE( CONTROL!$C$15, $D$11, 100%, $F$11)</f>
        <v>26.691400000000002</v>
      </c>
      <c r="H800" s="4">
        <f>27.5929 * CHOOSE(CONTROL!$C$15, $D$11, 100%, $F$11)</f>
        <v>27.5929</v>
      </c>
      <c r="I800" s="8">
        <f>26.3144 * CHOOSE(CONTROL!$C$15, $D$11, 100%, $F$11)</f>
        <v>26.314399999999999</v>
      </c>
      <c r="J800" s="4">
        <f>26.2464 * CHOOSE(CONTROL!$C$15, $D$11, 100%, $F$11)</f>
        <v>26.246400000000001</v>
      </c>
      <c r="K800" s="4"/>
      <c r="L800" s="9">
        <v>27.988800000000001</v>
      </c>
      <c r="M800" s="9">
        <v>11.6745</v>
      </c>
      <c r="N800" s="9">
        <v>4.7850000000000001</v>
      </c>
      <c r="O800" s="9">
        <v>0.36249999999999999</v>
      </c>
      <c r="P800" s="9">
        <v>1.1798</v>
      </c>
      <c r="Q800" s="9">
        <v>19.053000000000001</v>
      </c>
      <c r="R800" s="9"/>
      <c r="S800" s="11"/>
    </row>
    <row r="801" spans="1:19" ht="15.75">
      <c r="A801" s="13">
        <v>66262</v>
      </c>
      <c r="B801" s="8">
        <f>CHOOSE( CONTROL!$C$32, 27.8929, 27.8883) * CHOOSE(CONTROL!$C$15, $D$11, 100%, $F$11)</f>
        <v>27.892900000000001</v>
      </c>
      <c r="C801" s="8">
        <f>CHOOSE( CONTROL!$C$32, 27.9032, 27.8987) * CHOOSE(CONTROL!$C$15, $D$11, 100%, $F$11)</f>
        <v>27.903199999999998</v>
      </c>
      <c r="D801" s="8">
        <f>CHOOSE( CONTROL!$C$32, 27.9129, 27.9084) * CHOOSE( CONTROL!$C$15, $D$11, 100%, $F$11)</f>
        <v>27.9129</v>
      </c>
      <c r="E801" s="12">
        <f>CHOOSE( CONTROL!$C$32, 27.9078, 27.9033) * CHOOSE( CONTROL!$C$15, $D$11, 100%, $F$11)</f>
        <v>27.907800000000002</v>
      </c>
      <c r="F801" s="4">
        <f>CHOOSE( CONTROL!$C$32, 28.5812, 28.5766) * CHOOSE(CONTROL!$C$15, $D$11, 100%, $F$11)</f>
        <v>28.581199999999999</v>
      </c>
      <c r="G801" s="8">
        <f>CHOOSE( CONTROL!$C$32, 27.4123, 27.4079) * CHOOSE( CONTROL!$C$15, $D$11, 100%, $F$11)</f>
        <v>27.412299999999998</v>
      </c>
      <c r="H801" s="4">
        <f>CHOOSE( CONTROL!$C$32, 28.3474, 28.3429) * CHOOSE(CONTROL!$C$15, $D$11, 100%, $F$11)</f>
        <v>28.3474</v>
      </c>
      <c r="I801" s="8">
        <f>CHOOSE( CONTROL!$C$32, 27.0244, 27.02) * CHOOSE(CONTROL!$C$15, $D$11, 100%, $F$11)</f>
        <v>27.0244</v>
      </c>
      <c r="J801" s="4">
        <f>CHOOSE( CONTROL!$C$32, 26.9501, 26.9457) * CHOOSE(CONTROL!$C$15, $D$11, 100%, $F$11)</f>
        <v>26.950099999999999</v>
      </c>
      <c r="K801" s="4"/>
      <c r="L801" s="9">
        <v>29.520499999999998</v>
      </c>
      <c r="M801" s="9">
        <v>12.063700000000001</v>
      </c>
      <c r="N801" s="9">
        <v>4.9444999999999997</v>
      </c>
      <c r="O801" s="9">
        <v>0.37459999999999999</v>
      </c>
      <c r="P801" s="9">
        <v>1.2192000000000001</v>
      </c>
      <c r="Q801" s="9">
        <v>19.688099999999999</v>
      </c>
      <c r="R801" s="9"/>
      <c r="S801" s="11"/>
    </row>
    <row r="802" spans="1:19" ht="15.75">
      <c r="A802" s="13">
        <v>66292</v>
      </c>
      <c r="B802" s="8">
        <f>CHOOSE( CONTROL!$C$32, 27.4449, 27.4404) * CHOOSE(CONTROL!$C$15, $D$11, 100%, $F$11)</f>
        <v>27.444900000000001</v>
      </c>
      <c r="C802" s="8">
        <f>CHOOSE( CONTROL!$C$32, 27.4552, 27.4507) * CHOOSE(CONTROL!$C$15, $D$11, 100%, $F$11)</f>
        <v>27.455200000000001</v>
      </c>
      <c r="D802" s="8">
        <f>CHOOSE( CONTROL!$C$32, 27.4656, 27.461) * CHOOSE( CONTROL!$C$15, $D$11, 100%, $F$11)</f>
        <v>27.465599999999998</v>
      </c>
      <c r="E802" s="12">
        <f>CHOOSE( CONTROL!$C$32, 27.4603, 27.4557) * CHOOSE( CONTROL!$C$15, $D$11, 100%, $F$11)</f>
        <v>27.4603</v>
      </c>
      <c r="F802" s="4">
        <f>CHOOSE( CONTROL!$C$32, 28.1332, 28.1287) * CHOOSE(CONTROL!$C$15, $D$11, 100%, $F$11)</f>
        <v>28.133199999999999</v>
      </c>
      <c r="G802" s="8">
        <f>CHOOSE( CONTROL!$C$32, 26.9725, 26.9681) * CHOOSE( CONTROL!$C$15, $D$11, 100%, $F$11)</f>
        <v>26.9725</v>
      </c>
      <c r="H802" s="4">
        <f>CHOOSE( CONTROL!$C$32, 27.9066, 27.9022) * CHOOSE(CONTROL!$C$15, $D$11, 100%, $F$11)</f>
        <v>27.906600000000001</v>
      </c>
      <c r="I802" s="8">
        <f>CHOOSE( CONTROL!$C$32, 26.5939, 26.5895) * CHOOSE(CONTROL!$C$15, $D$11, 100%, $F$11)</f>
        <v>26.593900000000001</v>
      </c>
      <c r="J802" s="4">
        <f>CHOOSE( CONTROL!$C$32, 26.5169, 26.5125) * CHOOSE(CONTROL!$C$15, $D$11, 100%, $F$11)</f>
        <v>26.5169</v>
      </c>
      <c r="K802" s="4"/>
      <c r="L802" s="9">
        <v>28.568200000000001</v>
      </c>
      <c r="M802" s="9">
        <v>11.6745</v>
      </c>
      <c r="N802" s="9">
        <v>4.7850000000000001</v>
      </c>
      <c r="O802" s="9">
        <v>0.36249999999999999</v>
      </c>
      <c r="P802" s="9">
        <v>1.1798</v>
      </c>
      <c r="Q802" s="9">
        <v>19.053000000000001</v>
      </c>
      <c r="R802" s="9"/>
      <c r="S802" s="11"/>
    </row>
    <row r="803" spans="1:19" ht="15.75">
      <c r="A803" s="13">
        <v>66323</v>
      </c>
      <c r="B803" s="8">
        <f>CHOOSE( CONTROL!$C$32, 28.6246, 28.62) * CHOOSE(CONTROL!$C$15, $D$11, 100%, $F$11)</f>
        <v>28.624600000000001</v>
      </c>
      <c r="C803" s="8">
        <f>CHOOSE( CONTROL!$C$32, 28.6349, 28.6304) * CHOOSE(CONTROL!$C$15, $D$11, 100%, $F$11)</f>
        <v>28.634899999999998</v>
      </c>
      <c r="D803" s="8">
        <f>CHOOSE( CONTROL!$C$32, 28.6458, 28.6412) * CHOOSE( CONTROL!$C$15, $D$11, 100%, $F$11)</f>
        <v>28.645800000000001</v>
      </c>
      <c r="E803" s="12">
        <f>CHOOSE( CONTROL!$C$32, 28.6403, 28.6357) * CHOOSE( CONTROL!$C$15, $D$11, 100%, $F$11)</f>
        <v>28.6403</v>
      </c>
      <c r="F803" s="4">
        <f>CHOOSE( CONTROL!$C$32, 29.3128, 29.3083) * CHOOSE(CONTROL!$C$15, $D$11, 100%, $F$11)</f>
        <v>29.312799999999999</v>
      </c>
      <c r="G803" s="8">
        <f>CHOOSE( CONTROL!$C$32, 28.134, 28.1295) * CHOOSE( CONTROL!$C$15, $D$11, 100%, $F$11)</f>
        <v>28.134</v>
      </c>
      <c r="H803" s="4">
        <f>CHOOSE( CONTROL!$C$32, 29.0672, 29.0628) * CHOOSE(CONTROL!$C$15, $D$11, 100%, $F$11)</f>
        <v>29.0672</v>
      </c>
      <c r="I803" s="8">
        <f>CHOOSE( CONTROL!$C$32, 27.738, 27.7337) * CHOOSE(CONTROL!$C$15, $D$11, 100%, $F$11)</f>
        <v>27.738</v>
      </c>
      <c r="J803" s="4">
        <f>CHOOSE( CONTROL!$C$32, 27.6577, 27.6533) * CHOOSE(CONTROL!$C$15, $D$11, 100%, $F$11)</f>
        <v>27.657699999999998</v>
      </c>
      <c r="K803" s="4"/>
      <c r="L803" s="9">
        <v>29.520499999999998</v>
      </c>
      <c r="M803" s="9">
        <v>12.063700000000001</v>
      </c>
      <c r="N803" s="9">
        <v>4.9444999999999997</v>
      </c>
      <c r="O803" s="9">
        <v>0.37459999999999999</v>
      </c>
      <c r="P803" s="9">
        <v>1.2192000000000001</v>
      </c>
      <c r="Q803" s="9">
        <v>19.688099999999999</v>
      </c>
      <c r="R803" s="9"/>
      <c r="S803" s="11"/>
    </row>
    <row r="804" spans="1:19" ht="15.75">
      <c r="A804" s="13">
        <v>66354</v>
      </c>
      <c r="B804" s="8">
        <f>CHOOSE( CONTROL!$C$32, 26.4173, 26.4128) * CHOOSE(CONTROL!$C$15, $D$11, 100%, $F$11)</f>
        <v>26.417300000000001</v>
      </c>
      <c r="C804" s="8">
        <f>CHOOSE( CONTROL!$C$32, 26.4276, 26.4231) * CHOOSE(CONTROL!$C$15, $D$11, 100%, $F$11)</f>
        <v>26.427600000000002</v>
      </c>
      <c r="D804" s="8">
        <f>CHOOSE( CONTROL!$C$32, 26.4388, 26.4343) * CHOOSE( CONTROL!$C$15, $D$11, 100%, $F$11)</f>
        <v>26.438800000000001</v>
      </c>
      <c r="E804" s="12">
        <f>CHOOSE( CONTROL!$C$32, 26.4332, 26.4287) * CHOOSE( CONTROL!$C$15, $D$11, 100%, $F$11)</f>
        <v>26.433199999999999</v>
      </c>
      <c r="F804" s="4">
        <f>CHOOSE( CONTROL!$C$32, 27.1056, 27.1011) * CHOOSE(CONTROL!$C$15, $D$11, 100%, $F$11)</f>
        <v>27.105599999999999</v>
      </c>
      <c r="G804" s="8">
        <f>CHOOSE( CONTROL!$C$32, 25.9629, 25.9584) * CHOOSE( CONTROL!$C$15, $D$11, 100%, $F$11)</f>
        <v>25.962900000000001</v>
      </c>
      <c r="H804" s="4">
        <f>CHOOSE( CONTROL!$C$32, 26.8957, 26.8912) * CHOOSE(CONTROL!$C$15, $D$11, 100%, $F$11)</f>
        <v>26.895700000000001</v>
      </c>
      <c r="I804" s="8">
        <f>CHOOSE( CONTROL!$C$32, 25.6037, 25.5994) * CHOOSE(CONTROL!$C$15, $D$11, 100%, $F$11)</f>
        <v>25.6037</v>
      </c>
      <c r="J804" s="4">
        <f>CHOOSE( CONTROL!$C$32, 25.5231, 25.5187) * CHOOSE(CONTROL!$C$15, $D$11, 100%, $F$11)</f>
        <v>25.523099999999999</v>
      </c>
      <c r="K804" s="4"/>
      <c r="L804" s="9">
        <v>29.520499999999998</v>
      </c>
      <c r="M804" s="9">
        <v>12.063700000000001</v>
      </c>
      <c r="N804" s="9">
        <v>4.9444999999999997</v>
      </c>
      <c r="O804" s="9">
        <v>0.37459999999999999</v>
      </c>
      <c r="P804" s="9">
        <v>1.2192000000000001</v>
      </c>
      <c r="Q804" s="9">
        <v>19.688099999999999</v>
      </c>
      <c r="R804" s="9"/>
      <c r="S804" s="11"/>
    </row>
    <row r="805" spans="1:19" ht="15.75">
      <c r="A805" s="13">
        <v>66384</v>
      </c>
      <c r="B805" s="8">
        <f>CHOOSE( CONTROL!$C$32, 25.8646, 25.8601) * CHOOSE(CONTROL!$C$15, $D$11, 100%, $F$11)</f>
        <v>25.864599999999999</v>
      </c>
      <c r="C805" s="8">
        <f>CHOOSE( CONTROL!$C$32, 25.8749, 25.8704) * CHOOSE(CONTROL!$C$15, $D$11, 100%, $F$11)</f>
        <v>25.8749</v>
      </c>
      <c r="D805" s="8">
        <f>CHOOSE( CONTROL!$C$32, 25.8862, 25.8817) * CHOOSE( CONTROL!$C$15, $D$11, 100%, $F$11)</f>
        <v>25.886199999999999</v>
      </c>
      <c r="E805" s="12">
        <f>CHOOSE( CONTROL!$C$32, 25.8805, 25.876) * CHOOSE( CONTROL!$C$15, $D$11, 100%, $F$11)</f>
        <v>25.880500000000001</v>
      </c>
      <c r="F805" s="4">
        <f>CHOOSE( CONTROL!$C$32, 26.5529, 26.5483) * CHOOSE(CONTROL!$C$15, $D$11, 100%, $F$11)</f>
        <v>26.552900000000001</v>
      </c>
      <c r="G805" s="8">
        <f>CHOOSE( CONTROL!$C$32, 25.4192, 25.4148) * CHOOSE( CONTROL!$C$15, $D$11, 100%, $F$11)</f>
        <v>25.4192</v>
      </c>
      <c r="H805" s="4">
        <f>CHOOSE( CONTROL!$C$32, 26.3519, 26.3474) * CHOOSE(CONTROL!$C$15, $D$11, 100%, $F$11)</f>
        <v>26.351900000000001</v>
      </c>
      <c r="I805" s="8">
        <f>CHOOSE( CONTROL!$C$32, 25.0694, 25.065) * CHOOSE(CONTROL!$C$15, $D$11, 100%, $F$11)</f>
        <v>25.069400000000002</v>
      </c>
      <c r="J805" s="4">
        <f>CHOOSE( CONTROL!$C$32, 24.9885, 24.9842) * CHOOSE(CONTROL!$C$15, $D$11, 100%, $F$11)</f>
        <v>24.988499999999998</v>
      </c>
      <c r="K805" s="4"/>
      <c r="L805" s="9">
        <v>28.568200000000001</v>
      </c>
      <c r="M805" s="9">
        <v>11.6745</v>
      </c>
      <c r="N805" s="9">
        <v>4.7850000000000001</v>
      </c>
      <c r="O805" s="9">
        <v>0.36249999999999999</v>
      </c>
      <c r="P805" s="9">
        <v>1.1798</v>
      </c>
      <c r="Q805" s="9">
        <v>19.053000000000001</v>
      </c>
      <c r="R805" s="9"/>
      <c r="S805" s="11"/>
    </row>
    <row r="806" spans="1:19" ht="15.75">
      <c r="A806" s="13">
        <v>66415</v>
      </c>
      <c r="B806" s="8">
        <f>27.0077 * CHOOSE(CONTROL!$C$15, $D$11, 100%, $F$11)</f>
        <v>27.0077</v>
      </c>
      <c r="C806" s="8">
        <f>27.018 * CHOOSE(CONTROL!$C$15, $D$11, 100%, $F$11)</f>
        <v>27.018000000000001</v>
      </c>
      <c r="D806" s="8">
        <f>27.0304 * CHOOSE( CONTROL!$C$15, $D$11, 100%, $F$11)</f>
        <v>27.0304</v>
      </c>
      <c r="E806" s="12">
        <f>27.0252 * CHOOSE( CONTROL!$C$15, $D$11, 100%, $F$11)</f>
        <v>27.025200000000002</v>
      </c>
      <c r="F806" s="4">
        <f>27.696 * CHOOSE(CONTROL!$C$15, $D$11, 100%, $F$11)</f>
        <v>27.696000000000002</v>
      </c>
      <c r="G806" s="8">
        <f>26.5433 * CHOOSE( CONTROL!$C$15, $D$11, 100%, $F$11)</f>
        <v>26.543299999999999</v>
      </c>
      <c r="H806" s="4">
        <f>27.4765 * CHOOSE(CONTROL!$C$15, $D$11, 100%, $F$11)</f>
        <v>27.476500000000001</v>
      </c>
      <c r="I806" s="8">
        <f>26.1767 * CHOOSE(CONTROL!$C$15, $D$11, 100%, $F$11)</f>
        <v>26.1767</v>
      </c>
      <c r="J806" s="4">
        <f>26.094 * CHOOSE(CONTROL!$C$15, $D$11, 100%, $F$11)</f>
        <v>26.094000000000001</v>
      </c>
      <c r="K806" s="4"/>
      <c r="L806" s="9">
        <v>28.921800000000001</v>
      </c>
      <c r="M806" s="9">
        <v>12.063700000000001</v>
      </c>
      <c r="N806" s="9">
        <v>4.9444999999999997</v>
      </c>
      <c r="O806" s="9">
        <v>0.37459999999999999</v>
      </c>
      <c r="P806" s="9">
        <v>1.2192000000000001</v>
      </c>
      <c r="Q806" s="9">
        <v>19.688099999999999</v>
      </c>
      <c r="R806" s="9"/>
      <c r="S806" s="11"/>
    </row>
    <row r="807" spans="1:19" ht="15.75">
      <c r="A807" s="13">
        <v>66445</v>
      </c>
      <c r="B807" s="8">
        <f>29.126 * CHOOSE(CONTROL!$C$15, $D$11, 100%, $F$11)</f>
        <v>29.126000000000001</v>
      </c>
      <c r="C807" s="8">
        <f>29.1363 * CHOOSE(CONTROL!$C$15, $D$11, 100%, $F$11)</f>
        <v>29.136299999999999</v>
      </c>
      <c r="D807" s="8">
        <f>29.1224 * CHOOSE( CONTROL!$C$15, $D$11, 100%, $F$11)</f>
        <v>29.122399999999999</v>
      </c>
      <c r="E807" s="12">
        <f>29.1264 * CHOOSE( CONTROL!$C$15, $D$11, 100%, $F$11)</f>
        <v>29.1264</v>
      </c>
      <c r="F807" s="4">
        <f>29.7803 * CHOOSE(CONTROL!$C$15, $D$11, 100%, $F$11)</f>
        <v>29.7803</v>
      </c>
      <c r="G807" s="8">
        <f>28.6445 * CHOOSE( CONTROL!$C$15, $D$11, 100%, $F$11)</f>
        <v>28.644500000000001</v>
      </c>
      <c r="H807" s="4">
        <f>29.5271 * CHOOSE(CONTROL!$C$15, $D$11, 100%, $F$11)</f>
        <v>29.527100000000001</v>
      </c>
      <c r="I807" s="8">
        <f>28.2594 * CHOOSE(CONTROL!$C$15, $D$11, 100%, $F$11)</f>
        <v>28.259399999999999</v>
      </c>
      <c r="J807" s="4">
        <f>28.1427 * CHOOSE(CONTROL!$C$15, $D$11, 100%, $F$11)</f>
        <v>28.142700000000001</v>
      </c>
      <c r="K807" s="4"/>
      <c r="L807" s="9">
        <v>26.515499999999999</v>
      </c>
      <c r="M807" s="9">
        <v>11.6745</v>
      </c>
      <c r="N807" s="9">
        <v>4.7850000000000001</v>
      </c>
      <c r="O807" s="9">
        <v>0.36249999999999999</v>
      </c>
      <c r="P807" s="9">
        <v>1.2522</v>
      </c>
      <c r="Q807" s="9">
        <v>19.053000000000001</v>
      </c>
      <c r="R807" s="9"/>
      <c r="S807" s="11"/>
    </row>
    <row r="808" spans="1:19" ht="15.75">
      <c r="A808" s="13">
        <v>66476</v>
      </c>
      <c r="B808" s="8">
        <f>29.0731 * CHOOSE(CONTROL!$C$15, $D$11, 100%, $F$11)</f>
        <v>29.0731</v>
      </c>
      <c r="C808" s="8">
        <f>29.0834 * CHOOSE(CONTROL!$C$15, $D$11, 100%, $F$11)</f>
        <v>29.083400000000001</v>
      </c>
      <c r="D808" s="8">
        <f>29.0719 * CHOOSE( CONTROL!$C$15, $D$11, 100%, $F$11)</f>
        <v>29.071899999999999</v>
      </c>
      <c r="E808" s="12">
        <f>29.075 * CHOOSE( CONTROL!$C$15, $D$11, 100%, $F$11)</f>
        <v>29.074999999999999</v>
      </c>
      <c r="F808" s="4">
        <f>29.7273 * CHOOSE(CONTROL!$C$15, $D$11, 100%, $F$11)</f>
        <v>29.7273</v>
      </c>
      <c r="G808" s="8">
        <f>28.5943 * CHOOSE( CONTROL!$C$15, $D$11, 100%, $F$11)</f>
        <v>28.5943</v>
      </c>
      <c r="H808" s="4">
        <f>29.475 * CHOOSE(CONTROL!$C$15, $D$11, 100%, $F$11)</f>
        <v>29.475000000000001</v>
      </c>
      <c r="I808" s="8">
        <f>28.2161 * CHOOSE(CONTROL!$C$15, $D$11, 100%, $F$11)</f>
        <v>28.216100000000001</v>
      </c>
      <c r="J808" s="4">
        <f>28.0915 * CHOOSE(CONTROL!$C$15, $D$11, 100%, $F$11)</f>
        <v>28.0915</v>
      </c>
      <c r="K808" s="4"/>
      <c r="L808" s="9">
        <v>27.3993</v>
      </c>
      <c r="M808" s="9">
        <v>12.063700000000001</v>
      </c>
      <c r="N808" s="9">
        <v>4.9444999999999997</v>
      </c>
      <c r="O808" s="9">
        <v>0.37459999999999999</v>
      </c>
      <c r="P808" s="9">
        <v>1.2939000000000001</v>
      </c>
      <c r="Q808" s="9">
        <v>19.688099999999999</v>
      </c>
      <c r="R808" s="9"/>
      <c r="S808" s="11"/>
    </row>
    <row r="809" spans="1:19" ht="15.75">
      <c r="A809" s="13">
        <v>66507</v>
      </c>
      <c r="B809" s="8">
        <f>30.1832 * CHOOSE(CONTROL!$C$15, $D$11, 100%, $F$11)</f>
        <v>30.183199999999999</v>
      </c>
      <c r="C809" s="8">
        <f>30.1936 * CHOOSE(CONTROL!$C$15, $D$11, 100%, $F$11)</f>
        <v>30.1936</v>
      </c>
      <c r="D809" s="8">
        <f>30.192 * CHOOSE( CONTROL!$C$15, $D$11, 100%, $F$11)</f>
        <v>30.192</v>
      </c>
      <c r="E809" s="12">
        <f>30.1915 * CHOOSE( CONTROL!$C$15, $D$11, 100%, $F$11)</f>
        <v>30.191500000000001</v>
      </c>
      <c r="F809" s="4">
        <f>30.8659 * CHOOSE(CONTROL!$C$15, $D$11, 100%, $F$11)</f>
        <v>30.8659</v>
      </c>
      <c r="G809" s="8">
        <f>29.6968 * CHOOSE( CONTROL!$C$15, $D$11, 100%, $F$11)</f>
        <v>29.6968</v>
      </c>
      <c r="H809" s="4">
        <f>30.5952 * CHOOSE(CONTROL!$C$15, $D$11, 100%, $F$11)</f>
        <v>30.595199999999998</v>
      </c>
      <c r="I809" s="8">
        <f>29.2883 * CHOOSE(CONTROL!$C$15, $D$11, 100%, $F$11)</f>
        <v>29.2883</v>
      </c>
      <c r="J809" s="4">
        <f>29.1651 * CHOOSE(CONTROL!$C$15, $D$11, 100%, $F$11)</f>
        <v>29.165099999999999</v>
      </c>
      <c r="K809" s="4"/>
      <c r="L809" s="9">
        <v>27.3993</v>
      </c>
      <c r="M809" s="9">
        <v>12.063700000000001</v>
      </c>
      <c r="N809" s="9">
        <v>4.9444999999999997</v>
      </c>
      <c r="O809" s="9">
        <v>0.37459999999999999</v>
      </c>
      <c r="P809" s="9">
        <v>1.2939000000000001</v>
      </c>
      <c r="Q809" s="9">
        <v>19.688099999999999</v>
      </c>
      <c r="R809" s="9"/>
      <c r="S809" s="11"/>
    </row>
    <row r="810" spans="1:19" ht="15.75">
      <c r="A810" s="13">
        <v>66535</v>
      </c>
      <c r="B810" s="8">
        <f>28.2336 * CHOOSE(CONTROL!$C$15, $D$11, 100%, $F$11)</f>
        <v>28.233599999999999</v>
      </c>
      <c r="C810" s="8">
        <f>28.244 * CHOOSE(CONTROL!$C$15, $D$11, 100%, $F$11)</f>
        <v>28.244</v>
      </c>
      <c r="D810" s="8">
        <f>28.2445 * CHOOSE( CONTROL!$C$15, $D$11, 100%, $F$11)</f>
        <v>28.244499999999999</v>
      </c>
      <c r="E810" s="12">
        <f>28.2432 * CHOOSE( CONTROL!$C$15, $D$11, 100%, $F$11)</f>
        <v>28.243200000000002</v>
      </c>
      <c r="F810" s="4">
        <f>28.9086 * CHOOSE(CONTROL!$C$15, $D$11, 100%, $F$11)</f>
        <v>28.9086</v>
      </c>
      <c r="G810" s="8">
        <f>27.7785 * CHOOSE( CONTROL!$C$15, $D$11, 100%, $F$11)</f>
        <v>27.778500000000001</v>
      </c>
      <c r="H810" s="4">
        <f>28.6695 * CHOOSE(CONTROL!$C$15, $D$11, 100%, $F$11)</f>
        <v>28.669499999999999</v>
      </c>
      <c r="I810" s="8">
        <f>27.3909 * CHOOSE(CONTROL!$C$15, $D$11, 100%, $F$11)</f>
        <v>27.390899999999998</v>
      </c>
      <c r="J810" s="4">
        <f>27.2796 * CHOOSE(CONTROL!$C$15, $D$11, 100%, $F$11)</f>
        <v>27.279599999999999</v>
      </c>
      <c r="K810" s="4"/>
      <c r="L810" s="9">
        <v>24.747800000000002</v>
      </c>
      <c r="M810" s="9">
        <v>10.8962</v>
      </c>
      <c r="N810" s="9">
        <v>4.4660000000000002</v>
      </c>
      <c r="O810" s="9">
        <v>0.33829999999999999</v>
      </c>
      <c r="P810" s="9">
        <v>1.1687000000000001</v>
      </c>
      <c r="Q810" s="9">
        <v>17.782800000000002</v>
      </c>
      <c r="R810" s="9"/>
      <c r="S810" s="11"/>
    </row>
    <row r="811" spans="1:19" ht="15.75">
      <c r="A811" s="13">
        <v>66566</v>
      </c>
      <c r="B811" s="8">
        <f>27.6332 * CHOOSE(CONTROL!$C$15, $D$11, 100%, $F$11)</f>
        <v>27.633199999999999</v>
      </c>
      <c r="C811" s="8">
        <f>27.6435 * CHOOSE(CONTROL!$C$15, $D$11, 100%, $F$11)</f>
        <v>27.6435</v>
      </c>
      <c r="D811" s="8">
        <f>27.6236 * CHOOSE( CONTROL!$C$15, $D$11, 100%, $F$11)</f>
        <v>27.6236</v>
      </c>
      <c r="E811" s="12">
        <f>27.6298 * CHOOSE( CONTROL!$C$15, $D$11, 100%, $F$11)</f>
        <v>27.629799999999999</v>
      </c>
      <c r="F811" s="4">
        <f>28.2921 * CHOOSE(CONTROL!$C$15, $D$11, 100%, $F$11)</f>
        <v>28.292100000000001</v>
      </c>
      <c r="G811" s="8">
        <f>27.167 * CHOOSE( CONTROL!$C$15, $D$11, 100%, $F$11)</f>
        <v>27.167000000000002</v>
      </c>
      <c r="H811" s="4">
        <f>28.0629 * CHOOSE(CONTROL!$C$15, $D$11, 100%, $F$11)</f>
        <v>28.062899999999999</v>
      </c>
      <c r="I811" s="8">
        <f>26.7704 * CHOOSE(CONTROL!$C$15, $D$11, 100%, $F$11)</f>
        <v>26.770399999999999</v>
      </c>
      <c r="J811" s="4">
        <f>26.6989 * CHOOSE(CONTROL!$C$15, $D$11, 100%, $F$11)</f>
        <v>26.698899999999998</v>
      </c>
      <c r="K811" s="4"/>
      <c r="L811" s="9">
        <v>27.3993</v>
      </c>
      <c r="M811" s="9">
        <v>12.063700000000001</v>
      </c>
      <c r="N811" s="9">
        <v>4.9444999999999997</v>
      </c>
      <c r="O811" s="9">
        <v>0.37459999999999999</v>
      </c>
      <c r="P811" s="9">
        <v>1.2939000000000001</v>
      </c>
      <c r="Q811" s="9">
        <v>19.688099999999999</v>
      </c>
      <c r="R811" s="9"/>
      <c r="S811" s="11"/>
    </row>
    <row r="812" spans="1:19" ht="15.75">
      <c r="A812" s="13">
        <v>66596</v>
      </c>
      <c r="B812" s="8">
        <f>28.0528 * CHOOSE(CONTROL!$C$15, $D$11, 100%, $F$11)</f>
        <v>28.052800000000001</v>
      </c>
      <c r="C812" s="8">
        <f>28.0631 * CHOOSE(CONTROL!$C$15, $D$11, 100%, $F$11)</f>
        <v>28.063099999999999</v>
      </c>
      <c r="D812" s="8">
        <f>28.0546 * CHOOSE( CONTROL!$C$15, $D$11, 100%, $F$11)</f>
        <v>28.054600000000001</v>
      </c>
      <c r="E812" s="12">
        <f>28.0562 * CHOOSE( CONTROL!$C$15, $D$11, 100%, $F$11)</f>
        <v>28.0562</v>
      </c>
      <c r="F812" s="4">
        <f>28.7018 * CHOOSE(CONTROL!$C$15, $D$11, 100%, $F$11)</f>
        <v>28.701799999999999</v>
      </c>
      <c r="G812" s="8">
        <f>27.5646 * CHOOSE( CONTROL!$C$15, $D$11, 100%, $F$11)</f>
        <v>27.564599999999999</v>
      </c>
      <c r="H812" s="4">
        <f>28.4661 * CHOOSE(CONTROL!$C$15, $D$11, 100%, $F$11)</f>
        <v>28.466100000000001</v>
      </c>
      <c r="I812" s="8">
        <f>27.1732 * CHOOSE(CONTROL!$C$15, $D$11, 100%, $F$11)</f>
        <v>27.173200000000001</v>
      </c>
      <c r="J812" s="4">
        <f>27.1047 * CHOOSE(CONTROL!$C$15, $D$11, 100%, $F$11)</f>
        <v>27.104700000000001</v>
      </c>
      <c r="K812" s="4"/>
      <c r="L812" s="9">
        <v>27.988800000000001</v>
      </c>
      <c r="M812" s="9">
        <v>11.6745</v>
      </c>
      <c r="N812" s="9">
        <v>4.7850000000000001</v>
      </c>
      <c r="O812" s="9">
        <v>0.36249999999999999</v>
      </c>
      <c r="P812" s="9">
        <v>1.1798</v>
      </c>
      <c r="Q812" s="9">
        <v>19.053000000000001</v>
      </c>
      <c r="R812" s="9"/>
      <c r="S812" s="11"/>
    </row>
    <row r="813" spans="1:19" ht="15.75">
      <c r="A813" s="13">
        <v>66627</v>
      </c>
      <c r="B813" s="8">
        <f>CHOOSE( CONTROL!$C$32, 28.8041, 28.7995) * CHOOSE(CONTROL!$C$15, $D$11, 100%, $F$11)</f>
        <v>28.804099999999998</v>
      </c>
      <c r="C813" s="8">
        <f>CHOOSE( CONTROL!$C$32, 28.8144, 28.8099) * CHOOSE(CONTROL!$C$15, $D$11, 100%, $F$11)</f>
        <v>28.814399999999999</v>
      </c>
      <c r="D813" s="8">
        <f>CHOOSE( CONTROL!$C$32, 28.8241, 28.8196) * CHOOSE( CONTROL!$C$15, $D$11, 100%, $F$11)</f>
        <v>28.824100000000001</v>
      </c>
      <c r="E813" s="12">
        <f>CHOOSE( CONTROL!$C$32, 28.819, 28.8145) * CHOOSE( CONTROL!$C$15, $D$11, 100%, $F$11)</f>
        <v>28.818999999999999</v>
      </c>
      <c r="F813" s="4">
        <f>CHOOSE( CONTROL!$C$32, 29.4924, 29.4878) * CHOOSE(CONTROL!$C$15, $D$11, 100%, $F$11)</f>
        <v>29.4924</v>
      </c>
      <c r="G813" s="8">
        <f>CHOOSE( CONTROL!$C$32, 28.3088, 28.3043) * CHOOSE( CONTROL!$C$15, $D$11, 100%, $F$11)</f>
        <v>28.308800000000002</v>
      </c>
      <c r="H813" s="4">
        <f>CHOOSE( CONTROL!$C$32, 29.2438, 29.2394) * CHOOSE(CONTROL!$C$15, $D$11, 100%, $F$11)</f>
        <v>29.2438</v>
      </c>
      <c r="I813" s="8">
        <f>CHOOSE( CONTROL!$C$32, 27.906, 27.9017) * CHOOSE(CONTROL!$C$15, $D$11, 100%, $F$11)</f>
        <v>27.905999999999999</v>
      </c>
      <c r="J813" s="4">
        <f>CHOOSE( CONTROL!$C$32, 27.8313, 27.8269) * CHOOSE(CONTROL!$C$15, $D$11, 100%, $F$11)</f>
        <v>27.831299999999999</v>
      </c>
      <c r="K813" s="4"/>
      <c r="L813" s="9">
        <v>29.520499999999998</v>
      </c>
      <c r="M813" s="9">
        <v>12.063700000000001</v>
      </c>
      <c r="N813" s="9">
        <v>4.9444999999999997</v>
      </c>
      <c r="O813" s="9">
        <v>0.37459999999999999</v>
      </c>
      <c r="P813" s="9">
        <v>1.2192000000000001</v>
      </c>
      <c r="Q813" s="9">
        <v>19.688099999999999</v>
      </c>
      <c r="R813" s="9"/>
      <c r="S813" s="11"/>
    </row>
    <row r="814" spans="1:19" ht="15.75">
      <c r="A814" s="13">
        <v>66657</v>
      </c>
      <c r="B814" s="8">
        <f>CHOOSE( CONTROL!$C$32, 28.3415, 28.3369) * CHOOSE(CONTROL!$C$15, $D$11, 100%, $F$11)</f>
        <v>28.3415</v>
      </c>
      <c r="C814" s="8">
        <f>CHOOSE( CONTROL!$C$32, 28.3518, 28.3473) * CHOOSE(CONTROL!$C$15, $D$11, 100%, $F$11)</f>
        <v>28.351800000000001</v>
      </c>
      <c r="D814" s="8">
        <f>CHOOSE( CONTROL!$C$32, 28.3621, 28.3576) * CHOOSE( CONTROL!$C$15, $D$11, 100%, $F$11)</f>
        <v>28.362100000000002</v>
      </c>
      <c r="E814" s="12">
        <f>CHOOSE( CONTROL!$C$32, 28.3568, 28.3523) * CHOOSE( CONTROL!$C$15, $D$11, 100%, $F$11)</f>
        <v>28.3568</v>
      </c>
      <c r="F814" s="4">
        <f>CHOOSE( CONTROL!$C$32, 29.0297, 29.0252) * CHOOSE(CONTROL!$C$15, $D$11, 100%, $F$11)</f>
        <v>29.029699999999998</v>
      </c>
      <c r="G814" s="8">
        <f>CHOOSE( CONTROL!$C$32, 27.8546, 27.8501) * CHOOSE( CONTROL!$C$15, $D$11, 100%, $F$11)</f>
        <v>27.854600000000001</v>
      </c>
      <c r="H814" s="4">
        <f>CHOOSE( CONTROL!$C$32, 28.7887, 28.7842) * CHOOSE(CONTROL!$C$15, $D$11, 100%, $F$11)</f>
        <v>28.788699999999999</v>
      </c>
      <c r="I814" s="8">
        <f>CHOOSE( CONTROL!$C$32, 27.4614, 27.457) * CHOOSE(CONTROL!$C$15, $D$11, 100%, $F$11)</f>
        <v>27.461400000000001</v>
      </c>
      <c r="J814" s="4">
        <f>CHOOSE( CONTROL!$C$32, 27.3839, 27.3795) * CHOOSE(CONTROL!$C$15, $D$11, 100%, $F$11)</f>
        <v>27.383900000000001</v>
      </c>
      <c r="K814" s="4"/>
      <c r="L814" s="9">
        <v>28.568200000000001</v>
      </c>
      <c r="M814" s="9">
        <v>11.6745</v>
      </c>
      <c r="N814" s="9">
        <v>4.7850000000000001</v>
      </c>
      <c r="O814" s="9">
        <v>0.36249999999999999</v>
      </c>
      <c r="P814" s="9">
        <v>1.1798</v>
      </c>
      <c r="Q814" s="9">
        <v>19.053000000000001</v>
      </c>
      <c r="R814" s="9"/>
      <c r="S814" s="11"/>
    </row>
    <row r="815" spans="1:19" ht="15.75">
      <c r="A815" s="13">
        <v>66688</v>
      </c>
      <c r="B815" s="8">
        <f>CHOOSE( CONTROL!$C$32, 29.5597, 29.5552) * CHOOSE(CONTROL!$C$15, $D$11, 100%, $F$11)</f>
        <v>29.559699999999999</v>
      </c>
      <c r="C815" s="8">
        <f>CHOOSE( CONTROL!$C$32, 29.57, 29.5655) * CHOOSE(CONTROL!$C$15, $D$11, 100%, $F$11)</f>
        <v>29.57</v>
      </c>
      <c r="D815" s="8">
        <f>CHOOSE( CONTROL!$C$32, 29.5809, 29.5764) * CHOOSE( CONTROL!$C$15, $D$11, 100%, $F$11)</f>
        <v>29.5809</v>
      </c>
      <c r="E815" s="12">
        <f>CHOOSE( CONTROL!$C$32, 29.5754, 29.5709) * CHOOSE( CONTROL!$C$15, $D$11, 100%, $F$11)</f>
        <v>29.575399999999998</v>
      </c>
      <c r="F815" s="4">
        <f>CHOOSE( CONTROL!$C$32, 30.248, 30.2435) * CHOOSE(CONTROL!$C$15, $D$11, 100%, $F$11)</f>
        <v>30.248000000000001</v>
      </c>
      <c r="G815" s="8">
        <f>CHOOSE( CONTROL!$C$32, 29.054, 29.0495) * CHOOSE( CONTROL!$C$15, $D$11, 100%, $F$11)</f>
        <v>29.053999999999998</v>
      </c>
      <c r="H815" s="4">
        <f>CHOOSE( CONTROL!$C$32, 29.9872, 29.9828) * CHOOSE(CONTROL!$C$15, $D$11, 100%, $F$11)</f>
        <v>29.987200000000001</v>
      </c>
      <c r="I815" s="8">
        <f>CHOOSE( CONTROL!$C$32, 28.6428, 28.6385) * CHOOSE(CONTROL!$C$15, $D$11, 100%, $F$11)</f>
        <v>28.642800000000001</v>
      </c>
      <c r="J815" s="4">
        <f>CHOOSE( CONTROL!$C$32, 28.5621, 28.5577) * CHOOSE(CONTROL!$C$15, $D$11, 100%, $F$11)</f>
        <v>28.562100000000001</v>
      </c>
      <c r="K815" s="4"/>
      <c r="L815" s="9">
        <v>29.520499999999998</v>
      </c>
      <c r="M815" s="9">
        <v>12.063700000000001</v>
      </c>
      <c r="N815" s="9">
        <v>4.9444999999999997</v>
      </c>
      <c r="O815" s="9">
        <v>0.37459999999999999</v>
      </c>
      <c r="P815" s="9">
        <v>1.2192000000000001</v>
      </c>
      <c r="Q815" s="9">
        <v>19.688099999999999</v>
      </c>
      <c r="R815" s="9"/>
      <c r="S815" s="11"/>
    </row>
    <row r="816" spans="1:19" ht="15.75">
      <c r="A816" s="13">
        <v>66719</v>
      </c>
      <c r="B816" s="8">
        <f>CHOOSE( CONTROL!$C$32, 27.2802, 27.2757) * CHOOSE(CONTROL!$C$15, $D$11, 100%, $F$11)</f>
        <v>27.280200000000001</v>
      </c>
      <c r="C816" s="8">
        <f>CHOOSE( CONTROL!$C$32, 27.2906, 27.2861) * CHOOSE(CONTROL!$C$15, $D$11, 100%, $F$11)</f>
        <v>27.290600000000001</v>
      </c>
      <c r="D816" s="8">
        <f>CHOOSE( CONTROL!$C$32, 27.3018, 27.2972) * CHOOSE( CONTROL!$C$15, $D$11, 100%, $F$11)</f>
        <v>27.3018</v>
      </c>
      <c r="E816" s="12">
        <f>CHOOSE( CONTROL!$C$32, 27.2962, 27.2916) * CHOOSE( CONTROL!$C$15, $D$11, 100%, $F$11)</f>
        <v>27.296199999999999</v>
      </c>
      <c r="F816" s="4">
        <f>CHOOSE( CONTROL!$C$32, 27.9685, 27.964) * CHOOSE(CONTROL!$C$15, $D$11, 100%, $F$11)</f>
        <v>27.968499999999999</v>
      </c>
      <c r="G816" s="8">
        <f>CHOOSE( CONTROL!$C$32, 26.8118, 26.8074) * CHOOSE( CONTROL!$C$15, $D$11, 100%, $F$11)</f>
        <v>26.811800000000002</v>
      </c>
      <c r="H816" s="4">
        <f>CHOOSE( CONTROL!$C$32, 27.7447, 27.7402) * CHOOSE(CONTROL!$C$15, $D$11, 100%, $F$11)</f>
        <v>27.744700000000002</v>
      </c>
      <c r="I816" s="8">
        <f>CHOOSE( CONTROL!$C$32, 26.4387, 26.4343) * CHOOSE(CONTROL!$C$15, $D$11, 100%, $F$11)</f>
        <v>26.438700000000001</v>
      </c>
      <c r="J816" s="4">
        <f>CHOOSE( CONTROL!$C$32, 26.3576, 26.3532) * CHOOSE(CONTROL!$C$15, $D$11, 100%, $F$11)</f>
        <v>26.357600000000001</v>
      </c>
      <c r="K816" s="4"/>
      <c r="L816" s="9">
        <v>29.520499999999998</v>
      </c>
      <c r="M816" s="9">
        <v>12.063700000000001</v>
      </c>
      <c r="N816" s="9">
        <v>4.9444999999999997</v>
      </c>
      <c r="O816" s="9">
        <v>0.37459999999999999</v>
      </c>
      <c r="P816" s="9">
        <v>1.2192000000000001</v>
      </c>
      <c r="Q816" s="9">
        <v>19.688099999999999</v>
      </c>
      <c r="R816" s="9"/>
      <c r="S816" s="11"/>
    </row>
    <row r="817" spans="1:19" ht="15.75">
      <c r="A817" s="13">
        <v>66749</v>
      </c>
      <c r="B817" s="8">
        <f>CHOOSE( CONTROL!$C$32, 26.7094, 26.7049) * CHOOSE(CONTROL!$C$15, $D$11, 100%, $F$11)</f>
        <v>26.709399999999999</v>
      </c>
      <c r="C817" s="8">
        <f>CHOOSE( CONTROL!$C$32, 26.7198, 26.7153) * CHOOSE(CONTROL!$C$15, $D$11, 100%, $F$11)</f>
        <v>26.719799999999999</v>
      </c>
      <c r="D817" s="8">
        <f>CHOOSE( CONTROL!$C$32, 26.731, 26.7265) * CHOOSE( CONTROL!$C$15, $D$11, 100%, $F$11)</f>
        <v>26.731000000000002</v>
      </c>
      <c r="E817" s="12">
        <f>CHOOSE( CONTROL!$C$32, 26.7254, 26.7209) * CHOOSE( CONTROL!$C$15, $D$11, 100%, $F$11)</f>
        <v>26.7254</v>
      </c>
      <c r="F817" s="4">
        <f>CHOOSE( CONTROL!$C$32, 27.3977, 27.3932) * CHOOSE(CONTROL!$C$15, $D$11, 100%, $F$11)</f>
        <v>27.3977</v>
      </c>
      <c r="G817" s="8">
        <f>CHOOSE( CONTROL!$C$32, 26.2504, 26.246) * CHOOSE( CONTROL!$C$15, $D$11, 100%, $F$11)</f>
        <v>26.250399999999999</v>
      </c>
      <c r="H817" s="4">
        <f>CHOOSE( CONTROL!$C$32, 27.1831, 27.1786) * CHOOSE(CONTROL!$C$15, $D$11, 100%, $F$11)</f>
        <v>27.1831</v>
      </c>
      <c r="I817" s="8">
        <f>CHOOSE( CONTROL!$C$32, 25.8868, 25.8825) * CHOOSE(CONTROL!$C$15, $D$11, 100%, $F$11)</f>
        <v>25.886800000000001</v>
      </c>
      <c r="J817" s="4">
        <f>CHOOSE( CONTROL!$C$32, 25.8056, 25.8012) * CHOOSE(CONTROL!$C$15, $D$11, 100%, $F$11)</f>
        <v>25.805599999999998</v>
      </c>
      <c r="K817" s="4"/>
      <c r="L817" s="9">
        <v>28.568200000000001</v>
      </c>
      <c r="M817" s="9">
        <v>11.6745</v>
      </c>
      <c r="N817" s="9">
        <v>4.7850000000000001</v>
      </c>
      <c r="O817" s="9">
        <v>0.36249999999999999</v>
      </c>
      <c r="P817" s="9">
        <v>1.1798</v>
      </c>
      <c r="Q817" s="9">
        <v>19.053000000000001</v>
      </c>
      <c r="R817" s="9"/>
      <c r="S817" s="11"/>
    </row>
    <row r="818" spans="1:19" ht="15.75">
      <c r="A818" s="13">
        <v>66780</v>
      </c>
      <c r="B818" s="8">
        <f>27.8901 * CHOOSE(CONTROL!$C$15, $D$11, 100%, $F$11)</f>
        <v>27.8901</v>
      </c>
      <c r="C818" s="8">
        <f>27.9004 * CHOOSE(CONTROL!$C$15, $D$11, 100%, $F$11)</f>
        <v>27.900400000000001</v>
      </c>
      <c r="D818" s="8">
        <f>27.9129 * CHOOSE( CONTROL!$C$15, $D$11, 100%, $F$11)</f>
        <v>27.9129</v>
      </c>
      <c r="E818" s="12">
        <f>27.9077 * CHOOSE( CONTROL!$C$15, $D$11, 100%, $F$11)</f>
        <v>27.907699999999998</v>
      </c>
      <c r="F818" s="4">
        <f>28.5784 * CHOOSE(CONTROL!$C$15, $D$11, 100%, $F$11)</f>
        <v>28.578399999999998</v>
      </c>
      <c r="G818" s="8">
        <f>27.4114 * CHOOSE( CONTROL!$C$15, $D$11, 100%, $F$11)</f>
        <v>27.4114</v>
      </c>
      <c r="H818" s="4">
        <f>28.3446 * CHOOSE(CONTROL!$C$15, $D$11, 100%, $F$11)</f>
        <v>28.3446</v>
      </c>
      <c r="I818" s="8">
        <f>27.0305 * CHOOSE(CONTROL!$C$15, $D$11, 100%, $F$11)</f>
        <v>27.0305</v>
      </c>
      <c r="J818" s="4">
        <f>26.9474 * CHOOSE(CONTROL!$C$15, $D$11, 100%, $F$11)</f>
        <v>26.947399999999998</v>
      </c>
      <c r="K818" s="4"/>
      <c r="L818" s="9">
        <v>28.921800000000001</v>
      </c>
      <c r="M818" s="9">
        <v>12.063700000000001</v>
      </c>
      <c r="N818" s="9">
        <v>4.9444999999999997</v>
      </c>
      <c r="O818" s="9">
        <v>0.37459999999999999</v>
      </c>
      <c r="P818" s="9">
        <v>1.2192000000000001</v>
      </c>
      <c r="Q818" s="9">
        <v>19.688099999999999</v>
      </c>
      <c r="R818" s="9"/>
      <c r="S818" s="11"/>
    </row>
    <row r="819" spans="1:19" ht="15.75">
      <c r="A819" s="13">
        <v>66810</v>
      </c>
      <c r="B819" s="8">
        <f>30.0777 * CHOOSE(CONTROL!$C$15, $D$11, 100%, $F$11)</f>
        <v>30.0777</v>
      </c>
      <c r="C819" s="8">
        <f>30.088 * CHOOSE(CONTROL!$C$15, $D$11, 100%, $F$11)</f>
        <v>30.088000000000001</v>
      </c>
      <c r="D819" s="8">
        <f>30.0741 * CHOOSE( CONTROL!$C$15, $D$11, 100%, $F$11)</f>
        <v>30.074100000000001</v>
      </c>
      <c r="E819" s="12">
        <f>30.0781 * CHOOSE( CONTROL!$C$15, $D$11, 100%, $F$11)</f>
        <v>30.078099999999999</v>
      </c>
      <c r="F819" s="4">
        <f>30.7319 * CHOOSE(CONTROL!$C$15, $D$11, 100%, $F$11)</f>
        <v>30.7319</v>
      </c>
      <c r="G819" s="8">
        <f>29.5808 * CHOOSE( CONTROL!$C$15, $D$11, 100%, $F$11)</f>
        <v>29.5808</v>
      </c>
      <c r="H819" s="4">
        <f>30.4634 * CHOOSE(CONTROL!$C$15, $D$11, 100%, $F$11)</f>
        <v>30.4634</v>
      </c>
      <c r="I819" s="8">
        <f>29.1802 * CHOOSE(CONTROL!$C$15, $D$11, 100%, $F$11)</f>
        <v>29.180199999999999</v>
      </c>
      <c r="J819" s="4">
        <f>29.063 * CHOOSE(CONTROL!$C$15, $D$11, 100%, $F$11)</f>
        <v>29.062999999999999</v>
      </c>
      <c r="K819" s="4"/>
      <c r="L819" s="9">
        <v>26.515499999999999</v>
      </c>
      <c r="M819" s="9">
        <v>11.6745</v>
      </c>
      <c r="N819" s="9">
        <v>4.7850000000000001</v>
      </c>
      <c r="O819" s="9">
        <v>0.36249999999999999</v>
      </c>
      <c r="P819" s="9">
        <v>1.2522</v>
      </c>
      <c r="Q819" s="9">
        <v>19.053000000000001</v>
      </c>
      <c r="R819" s="9"/>
      <c r="S819" s="11"/>
    </row>
    <row r="820" spans="1:19" ht="15.75">
      <c r="A820" s="13">
        <v>66841</v>
      </c>
      <c r="B820" s="8">
        <f>30.023 * CHOOSE(CONTROL!$C$15, $D$11, 100%, $F$11)</f>
        <v>30.023</v>
      </c>
      <c r="C820" s="8">
        <f>30.0334 * CHOOSE(CONTROL!$C$15, $D$11, 100%, $F$11)</f>
        <v>30.0334</v>
      </c>
      <c r="D820" s="8">
        <f>30.0219 * CHOOSE( CONTROL!$C$15, $D$11, 100%, $F$11)</f>
        <v>30.021899999999999</v>
      </c>
      <c r="E820" s="12">
        <f>30.025 * CHOOSE( CONTROL!$C$15, $D$11, 100%, $F$11)</f>
        <v>30.024999999999999</v>
      </c>
      <c r="F820" s="4">
        <f>30.6773 * CHOOSE(CONTROL!$C$15, $D$11, 100%, $F$11)</f>
        <v>30.677299999999999</v>
      </c>
      <c r="G820" s="8">
        <f>29.5289 * CHOOSE( CONTROL!$C$15, $D$11, 100%, $F$11)</f>
        <v>29.5289</v>
      </c>
      <c r="H820" s="4">
        <f>30.4096 * CHOOSE(CONTROL!$C$15, $D$11, 100%, $F$11)</f>
        <v>30.409600000000001</v>
      </c>
      <c r="I820" s="8">
        <f>29.1353 * CHOOSE(CONTROL!$C$15, $D$11, 100%, $F$11)</f>
        <v>29.135300000000001</v>
      </c>
      <c r="J820" s="4">
        <f>29.0102 * CHOOSE(CONTROL!$C$15, $D$11, 100%, $F$11)</f>
        <v>29.010200000000001</v>
      </c>
      <c r="K820" s="4"/>
      <c r="L820" s="9">
        <v>27.3993</v>
      </c>
      <c r="M820" s="9">
        <v>12.063700000000001</v>
      </c>
      <c r="N820" s="9">
        <v>4.9444999999999997</v>
      </c>
      <c r="O820" s="9">
        <v>0.37459999999999999</v>
      </c>
      <c r="P820" s="9">
        <v>1.2939000000000001</v>
      </c>
      <c r="Q820" s="9">
        <v>19.688099999999999</v>
      </c>
      <c r="R820" s="9"/>
      <c r="S820" s="11"/>
    </row>
    <row r="821" spans="1:19" ht="15.75">
      <c r="A821" s="13">
        <v>66872</v>
      </c>
      <c r="B821" s="8">
        <f>31.1695 * CHOOSE(CONTROL!$C$15, $D$11, 100%, $F$11)</f>
        <v>31.169499999999999</v>
      </c>
      <c r="C821" s="8">
        <f>31.1798 * CHOOSE(CONTROL!$C$15, $D$11, 100%, $F$11)</f>
        <v>31.1798</v>
      </c>
      <c r="D821" s="8">
        <f>31.1783 * CHOOSE( CONTROL!$C$15, $D$11, 100%, $F$11)</f>
        <v>31.1783</v>
      </c>
      <c r="E821" s="12">
        <f>31.1778 * CHOOSE( CONTROL!$C$15, $D$11, 100%, $F$11)</f>
        <v>31.177800000000001</v>
      </c>
      <c r="F821" s="4">
        <f>31.8522 * CHOOSE(CONTROL!$C$15, $D$11, 100%, $F$11)</f>
        <v>31.8522</v>
      </c>
      <c r="G821" s="8">
        <f>30.6671 * CHOOSE( CONTROL!$C$15, $D$11, 100%, $F$11)</f>
        <v>30.667100000000001</v>
      </c>
      <c r="H821" s="4">
        <f>31.5655 * CHOOSE(CONTROL!$C$15, $D$11, 100%, $F$11)</f>
        <v>31.5655</v>
      </c>
      <c r="I821" s="8">
        <f>30.2426 * CHOOSE(CONTROL!$C$15, $D$11, 100%, $F$11)</f>
        <v>30.242599999999999</v>
      </c>
      <c r="J821" s="4">
        <f>30.1189 * CHOOSE(CONTROL!$C$15, $D$11, 100%, $F$11)</f>
        <v>30.1189</v>
      </c>
      <c r="K821" s="4"/>
      <c r="L821" s="9">
        <v>27.3993</v>
      </c>
      <c r="M821" s="9">
        <v>12.063700000000001</v>
      </c>
      <c r="N821" s="9">
        <v>4.9444999999999997</v>
      </c>
      <c r="O821" s="9">
        <v>0.37459999999999999</v>
      </c>
      <c r="P821" s="9">
        <v>1.2939000000000001</v>
      </c>
      <c r="Q821" s="9">
        <v>19.688099999999999</v>
      </c>
      <c r="R821" s="9"/>
      <c r="S821" s="11"/>
    </row>
    <row r="822" spans="1:19" ht="15.75">
      <c r="A822" s="13">
        <v>66900</v>
      </c>
      <c r="B822" s="8">
        <f>29.1561 * CHOOSE(CONTROL!$C$15, $D$11, 100%, $F$11)</f>
        <v>29.156099999999999</v>
      </c>
      <c r="C822" s="8">
        <f>29.1665 * CHOOSE(CONTROL!$C$15, $D$11, 100%, $F$11)</f>
        <v>29.166499999999999</v>
      </c>
      <c r="D822" s="8">
        <f>29.167 * CHOOSE( CONTROL!$C$15, $D$11, 100%, $F$11)</f>
        <v>29.167000000000002</v>
      </c>
      <c r="E822" s="12">
        <f>29.1657 * CHOOSE( CONTROL!$C$15, $D$11, 100%, $F$11)</f>
        <v>29.165700000000001</v>
      </c>
      <c r="F822" s="4">
        <f>29.8311 * CHOOSE(CONTROL!$C$15, $D$11, 100%, $F$11)</f>
        <v>29.831099999999999</v>
      </c>
      <c r="G822" s="8">
        <f>28.686 * CHOOSE( CONTROL!$C$15, $D$11, 100%, $F$11)</f>
        <v>28.686</v>
      </c>
      <c r="H822" s="4">
        <f>29.5771 * CHOOSE(CONTROL!$C$15, $D$11, 100%, $F$11)</f>
        <v>29.577100000000002</v>
      </c>
      <c r="I822" s="8">
        <f>28.2835 * CHOOSE(CONTROL!$C$15, $D$11, 100%, $F$11)</f>
        <v>28.2835</v>
      </c>
      <c r="J822" s="4">
        <f>28.1718 * CHOOSE(CONTROL!$C$15, $D$11, 100%, $F$11)</f>
        <v>28.171800000000001</v>
      </c>
      <c r="K822" s="4"/>
      <c r="L822" s="9">
        <v>24.747800000000002</v>
      </c>
      <c r="M822" s="9">
        <v>10.8962</v>
      </c>
      <c r="N822" s="9">
        <v>4.4660000000000002</v>
      </c>
      <c r="O822" s="9">
        <v>0.33829999999999999</v>
      </c>
      <c r="P822" s="9">
        <v>1.1687000000000001</v>
      </c>
      <c r="Q822" s="9">
        <v>17.782800000000002</v>
      </c>
      <c r="R822" s="9"/>
      <c r="S822" s="11"/>
    </row>
    <row r="823" spans="1:19" ht="15.75">
      <c r="A823" s="13">
        <v>66931</v>
      </c>
      <c r="B823" s="8">
        <f>28.536 * CHOOSE(CONTROL!$C$15, $D$11, 100%, $F$11)</f>
        <v>28.536000000000001</v>
      </c>
      <c r="C823" s="8">
        <f>28.5463 * CHOOSE(CONTROL!$C$15, $D$11, 100%, $F$11)</f>
        <v>28.546299999999999</v>
      </c>
      <c r="D823" s="8">
        <f>28.5264 * CHOOSE( CONTROL!$C$15, $D$11, 100%, $F$11)</f>
        <v>28.526399999999999</v>
      </c>
      <c r="E823" s="12">
        <f>28.5326 * CHOOSE( CONTROL!$C$15, $D$11, 100%, $F$11)</f>
        <v>28.532599999999999</v>
      </c>
      <c r="F823" s="4">
        <f>29.1949 * CHOOSE(CONTROL!$C$15, $D$11, 100%, $F$11)</f>
        <v>29.194900000000001</v>
      </c>
      <c r="G823" s="8">
        <f>28.0552 * CHOOSE( CONTROL!$C$15, $D$11, 100%, $F$11)</f>
        <v>28.055199999999999</v>
      </c>
      <c r="H823" s="4">
        <f>28.9512 * CHOOSE(CONTROL!$C$15, $D$11, 100%, $F$11)</f>
        <v>28.9512</v>
      </c>
      <c r="I823" s="8">
        <f>27.644 * CHOOSE(CONTROL!$C$15, $D$11, 100%, $F$11)</f>
        <v>27.643999999999998</v>
      </c>
      <c r="J823" s="4">
        <f>27.5721 * CHOOSE(CONTROL!$C$15, $D$11, 100%, $F$11)</f>
        <v>27.572099999999999</v>
      </c>
      <c r="K823" s="4"/>
      <c r="L823" s="9">
        <v>27.3993</v>
      </c>
      <c r="M823" s="9">
        <v>12.063700000000001</v>
      </c>
      <c r="N823" s="9">
        <v>4.9444999999999997</v>
      </c>
      <c r="O823" s="9">
        <v>0.37459999999999999</v>
      </c>
      <c r="P823" s="9">
        <v>1.2939000000000001</v>
      </c>
      <c r="Q823" s="9">
        <v>19.688099999999999</v>
      </c>
      <c r="R823" s="9"/>
      <c r="S823" s="11"/>
    </row>
    <row r="824" spans="1:19" ht="15.75">
      <c r="A824" s="13">
        <v>66961</v>
      </c>
      <c r="B824" s="8">
        <f>28.9693 * CHOOSE(CONTROL!$C$15, $D$11, 100%, $F$11)</f>
        <v>28.9693</v>
      </c>
      <c r="C824" s="8">
        <f>28.9797 * CHOOSE(CONTROL!$C$15, $D$11, 100%, $F$11)</f>
        <v>28.979700000000001</v>
      </c>
      <c r="D824" s="8">
        <f>28.9712 * CHOOSE( CONTROL!$C$15, $D$11, 100%, $F$11)</f>
        <v>28.9712</v>
      </c>
      <c r="E824" s="12">
        <f>28.9728 * CHOOSE( CONTROL!$C$15, $D$11, 100%, $F$11)</f>
        <v>28.972799999999999</v>
      </c>
      <c r="F824" s="4">
        <f>29.6184 * CHOOSE(CONTROL!$C$15, $D$11, 100%, $F$11)</f>
        <v>29.618400000000001</v>
      </c>
      <c r="G824" s="8">
        <f>28.4663 * CHOOSE( CONTROL!$C$15, $D$11, 100%, $F$11)</f>
        <v>28.4663</v>
      </c>
      <c r="H824" s="4">
        <f>29.3678 * CHOOSE(CONTROL!$C$15, $D$11, 100%, $F$11)</f>
        <v>29.367799999999999</v>
      </c>
      <c r="I824" s="8">
        <f>28.0601 * CHOOSE(CONTROL!$C$15, $D$11, 100%, $F$11)</f>
        <v>28.060099999999998</v>
      </c>
      <c r="J824" s="4">
        <f>27.9911 * CHOOSE(CONTROL!$C$15, $D$11, 100%, $F$11)</f>
        <v>27.991099999999999</v>
      </c>
      <c r="K824" s="4"/>
      <c r="L824" s="9">
        <v>27.988800000000001</v>
      </c>
      <c r="M824" s="9">
        <v>11.6745</v>
      </c>
      <c r="N824" s="9">
        <v>4.7850000000000001</v>
      </c>
      <c r="O824" s="9">
        <v>0.36249999999999999</v>
      </c>
      <c r="P824" s="9">
        <v>1.1798</v>
      </c>
      <c r="Q824" s="9">
        <v>19.053000000000001</v>
      </c>
      <c r="R824" s="9"/>
      <c r="S824" s="11"/>
    </row>
    <row r="825" spans="1:19" ht="15.75">
      <c r="A825" s="13">
        <v>66992</v>
      </c>
      <c r="B825" s="8">
        <f>CHOOSE( CONTROL!$C$32, 29.7451, 29.7405) * CHOOSE(CONTROL!$C$15, $D$11, 100%, $F$11)</f>
        <v>29.745100000000001</v>
      </c>
      <c r="C825" s="8">
        <f>CHOOSE( CONTROL!$C$32, 29.7554, 29.7509) * CHOOSE(CONTROL!$C$15, $D$11, 100%, $F$11)</f>
        <v>29.755400000000002</v>
      </c>
      <c r="D825" s="8">
        <f>CHOOSE( CONTROL!$C$32, 29.7651, 29.7606) * CHOOSE( CONTROL!$C$15, $D$11, 100%, $F$11)</f>
        <v>29.7651</v>
      </c>
      <c r="E825" s="12">
        <f>CHOOSE( CONTROL!$C$32, 29.76, 29.7555) * CHOOSE( CONTROL!$C$15, $D$11, 100%, $F$11)</f>
        <v>29.76</v>
      </c>
      <c r="F825" s="4">
        <f>CHOOSE( CONTROL!$C$32, 30.4334, 30.4288) * CHOOSE(CONTROL!$C$15, $D$11, 100%, $F$11)</f>
        <v>30.433399999999999</v>
      </c>
      <c r="G825" s="8">
        <f>CHOOSE( CONTROL!$C$32, 29.2346, 29.2301) * CHOOSE( CONTROL!$C$15, $D$11, 100%, $F$11)</f>
        <v>29.2346</v>
      </c>
      <c r="H825" s="4">
        <f>CHOOSE( CONTROL!$C$32, 30.1696, 30.1652) * CHOOSE(CONTROL!$C$15, $D$11, 100%, $F$11)</f>
        <v>30.169599999999999</v>
      </c>
      <c r="I825" s="8">
        <f>CHOOSE( CONTROL!$C$32, 28.8165, 28.8122) * CHOOSE(CONTROL!$C$15, $D$11, 100%, $F$11)</f>
        <v>28.816500000000001</v>
      </c>
      <c r="J825" s="4">
        <f>CHOOSE( CONTROL!$C$32, 28.7413, 28.737) * CHOOSE(CONTROL!$C$15, $D$11, 100%, $F$11)</f>
        <v>28.741299999999999</v>
      </c>
      <c r="K825" s="4"/>
      <c r="L825" s="9">
        <v>29.520499999999998</v>
      </c>
      <c r="M825" s="9">
        <v>12.063700000000001</v>
      </c>
      <c r="N825" s="9">
        <v>4.9444999999999997</v>
      </c>
      <c r="O825" s="9">
        <v>0.37459999999999999</v>
      </c>
      <c r="P825" s="9">
        <v>1.2192000000000001</v>
      </c>
      <c r="Q825" s="9">
        <v>19.688099999999999</v>
      </c>
      <c r="R825" s="9"/>
      <c r="S825" s="11"/>
    </row>
    <row r="826" spans="1:19" ht="15.75">
      <c r="A826" s="13">
        <v>67022</v>
      </c>
      <c r="B826" s="8">
        <f>CHOOSE( CONTROL!$C$32, 29.2673, 29.2628) * CHOOSE(CONTROL!$C$15, $D$11, 100%, $F$11)</f>
        <v>29.267299999999999</v>
      </c>
      <c r="C826" s="8">
        <f>CHOOSE( CONTROL!$C$32, 29.2777, 29.2731) * CHOOSE(CONTROL!$C$15, $D$11, 100%, $F$11)</f>
        <v>29.277699999999999</v>
      </c>
      <c r="D826" s="8">
        <f>CHOOSE( CONTROL!$C$32, 29.288, 29.2835) * CHOOSE( CONTROL!$C$15, $D$11, 100%, $F$11)</f>
        <v>29.288</v>
      </c>
      <c r="E826" s="12">
        <f>CHOOSE( CONTROL!$C$32, 29.2827, 29.2782) * CHOOSE( CONTROL!$C$15, $D$11, 100%, $F$11)</f>
        <v>29.282699999999998</v>
      </c>
      <c r="F826" s="4">
        <f>CHOOSE( CONTROL!$C$32, 29.9556, 29.9511) * CHOOSE(CONTROL!$C$15, $D$11, 100%, $F$11)</f>
        <v>29.9556</v>
      </c>
      <c r="G826" s="8">
        <f>CHOOSE( CONTROL!$C$32, 28.7655, 28.761) * CHOOSE( CONTROL!$C$15, $D$11, 100%, $F$11)</f>
        <v>28.765499999999999</v>
      </c>
      <c r="H826" s="4">
        <f>CHOOSE( CONTROL!$C$32, 29.6996, 29.6951) * CHOOSE(CONTROL!$C$15, $D$11, 100%, $F$11)</f>
        <v>29.6996</v>
      </c>
      <c r="I826" s="8">
        <f>CHOOSE( CONTROL!$C$32, 28.3573, 28.3529) * CHOOSE(CONTROL!$C$15, $D$11, 100%, $F$11)</f>
        <v>28.357299999999999</v>
      </c>
      <c r="J826" s="4">
        <f>CHOOSE( CONTROL!$C$32, 28.2793, 28.275) * CHOOSE(CONTROL!$C$15, $D$11, 100%, $F$11)</f>
        <v>28.279299999999999</v>
      </c>
      <c r="K826" s="4"/>
      <c r="L826" s="9">
        <v>28.568200000000001</v>
      </c>
      <c r="M826" s="9">
        <v>11.6745</v>
      </c>
      <c r="N826" s="9">
        <v>4.7850000000000001</v>
      </c>
      <c r="O826" s="9">
        <v>0.36249999999999999</v>
      </c>
      <c r="P826" s="9">
        <v>1.1798</v>
      </c>
      <c r="Q826" s="9">
        <v>19.053000000000001</v>
      </c>
      <c r="R826" s="9"/>
      <c r="S826" s="11"/>
    </row>
    <row r="827" spans="1:19" ht="15.75">
      <c r="A827" s="13">
        <v>67053</v>
      </c>
      <c r="B827" s="8">
        <f>CHOOSE( CONTROL!$C$32, 30.5254, 30.5209) * CHOOSE(CONTROL!$C$15, $D$11, 100%, $F$11)</f>
        <v>30.525400000000001</v>
      </c>
      <c r="C827" s="8">
        <f>CHOOSE( CONTROL!$C$32, 30.5357, 30.5312) * CHOOSE(CONTROL!$C$15, $D$11, 100%, $F$11)</f>
        <v>30.535699999999999</v>
      </c>
      <c r="D827" s="8">
        <f>CHOOSE( CONTROL!$C$32, 30.5466, 30.5421) * CHOOSE( CONTROL!$C$15, $D$11, 100%, $F$11)</f>
        <v>30.546600000000002</v>
      </c>
      <c r="E827" s="12">
        <f>CHOOSE( CONTROL!$C$32, 30.5411, 30.5366) * CHOOSE( CONTROL!$C$15, $D$11, 100%, $F$11)</f>
        <v>30.5411</v>
      </c>
      <c r="F827" s="4">
        <f>CHOOSE( CONTROL!$C$32, 31.2137, 31.2092) * CHOOSE(CONTROL!$C$15, $D$11, 100%, $F$11)</f>
        <v>31.213699999999999</v>
      </c>
      <c r="G827" s="8">
        <f>CHOOSE( CONTROL!$C$32, 30.0041, 29.9996) * CHOOSE( CONTROL!$C$15, $D$11, 100%, $F$11)</f>
        <v>30.004100000000001</v>
      </c>
      <c r="H827" s="4">
        <f>CHOOSE( CONTROL!$C$32, 30.9373, 30.9329) * CHOOSE(CONTROL!$C$15, $D$11, 100%, $F$11)</f>
        <v>30.9373</v>
      </c>
      <c r="I827" s="8">
        <f>CHOOSE( CONTROL!$C$32, 29.5773, 29.5729) * CHOOSE(CONTROL!$C$15, $D$11, 100%, $F$11)</f>
        <v>29.577300000000001</v>
      </c>
      <c r="J827" s="4">
        <f>CHOOSE( CONTROL!$C$32, 29.496, 29.4916) * CHOOSE(CONTROL!$C$15, $D$11, 100%, $F$11)</f>
        <v>29.495999999999999</v>
      </c>
      <c r="K827" s="4"/>
      <c r="L827" s="9">
        <v>29.520499999999998</v>
      </c>
      <c r="M827" s="9">
        <v>12.063700000000001</v>
      </c>
      <c r="N827" s="9">
        <v>4.9444999999999997</v>
      </c>
      <c r="O827" s="9">
        <v>0.37459999999999999</v>
      </c>
      <c r="P827" s="9">
        <v>1.2192000000000001</v>
      </c>
      <c r="Q827" s="9">
        <v>19.688099999999999</v>
      </c>
      <c r="R827" s="9"/>
      <c r="S827" s="11"/>
    </row>
    <row r="828" spans="1:19" ht="15.75">
      <c r="A828" s="13">
        <v>67084</v>
      </c>
      <c r="B828" s="8">
        <f>CHOOSE( CONTROL!$C$32, 28.1714, 28.1669) * CHOOSE(CONTROL!$C$15, $D$11, 100%, $F$11)</f>
        <v>28.171399999999998</v>
      </c>
      <c r="C828" s="8">
        <f>CHOOSE( CONTROL!$C$32, 28.1818, 28.1772) * CHOOSE(CONTROL!$C$15, $D$11, 100%, $F$11)</f>
        <v>28.181799999999999</v>
      </c>
      <c r="D828" s="8">
        <f>CHOOSE( CONTROL!$C$32, 28.1929, 28.1884) * CHOOSE( CONTROL!$C$15, $D$11, 100%, $F$11)</f>
        <v>28.192900000000002</v>
      </c>
      <c r="E828" s="12">
        <f>CHOOSE( CONTROL!$C$32, 28.1873, 28.1828) * CHOOSE( CONTROL!$C$15, $D$11, 100%, $F$11)</f>
        <v>28.1873</v>
      </c>
      <c r="F828" s="4">
        <f>CHOOSE( CONTROL!$C$32, 28.8597, 28.8552) * CHOOSE(CONTROL!$C$15, $D$11, 100%, $F$11)</f>
        <v>28.8597</v>
      </c>
      <c r="G828" s="8">
        <f>CHOOSE( CONTROL!$C$32, 27.6886, 27.6841) * CHOOSE( CONTROL!$C$15, $D$11, 100%, $F$11)</f>
        <v>27.688600000000001</v>
      </c>
      <c r="H828" s="4">
        <f>CHOOSE( CONTROL!$C$32, 28.6214, 28.617) * CHOOSE(CONTROL!$C$15, $D$11, 100%, $F$11)</f>
        <v>28.621400000000001</v>
      </c>
      <c r="I828" s="8">
        <f>CHOOSE( CONTROL!$C$32, 27.301, 27.2966) * CHOOSE(CONTROL!$C$15, $D$11, 100%, $F$11)</f>
        <v>27.300999999999998</v>
      </c>
      <c r="J828" s="4">
        <f>CHOOSE( CONTROL!$C$32, 27.2195, 27.2151) * CHOOSE(CONTROL!$C$15, $D$11, 100%, $F$11)</f>
        <v>27.2195</v>
      </c>
      <c r="K828" s="4"/>
      <c r="L828" s="9">
        <v>29.520499999999998</v>
      </c>
      <c r="M828" s="9">
        <v>12.063700000000001</v>
      </c>
      <c r="N828" s="9">
        <v>4.9444999999999997</v>
      </c>
      <c r="O828" s="9">
        <v>0.37459999999999999</v>
      </c>
      <c r="P828" s="9">
        <v>1.2192000000000001</v>
      </c>
      <c r="Q828" s="9">
        <v>19.688099999999999</v>
      </c>
      <c r="R828" s="9"/>
      <c r="S828" s="11"/>
    </row>
    <row r="829" spans="1:19" ht="15.75">
      <c r="A829" s="13">
        <v>67114</v>
      </c>
      <c r="B829" s="8">
        <f>CHOOSE( CONTROL!$C$32, 27.5819, 27.5774) * CHOOSE(CONTROL!$C$15, $D$11, 100%, $F$11)</f>
        <v>27.581900000000001</v>
      </c>
      <c r="C829" s="8">
        <f>CHOOSE( CONTROL!$C$32, 27.5923, 27.5878) * CHOOSE(CONTROL!$C$15, $D$11, 100%, $F$11)</f>
        <v>27.592300000000002</v>
      </c>
      <c r="D829" s="8">
        <f>CHOOSE( CONTROL!$C$32, 27.6035, 27.599) * CHOOSE( CONTROL!$C$15, $D$11, 100%, $F$11)</f>
        <v>27.6035</v>
      </c>
      <c r="E829" s="12">
        <f>CHOOSE( CONTROL!$C$32, 27.5979, 27.5934) * CHOOSE( CONTROL!$C$15, $D$11, 100%, $F$11)</f>
        <v>27.597899999999999</v>
      </c>
      <c r="F829" s="4">
        <f>CHOOSE( CONTROL!$C$32, 28.2702, 28.2657) * CHOOSE(CONTROL!$C$15, $D$11, 100%, $F$11)</f>
        <v>28.270199999999999</v>
      </c>
      <c r="G829" s="8">
        <f>CHOOSE( CONTROL!$C$32, 27.1088, 27.1043) * CHOOSE( CONTROL!$C$15, $D$11, 100%, $F$11)</f>
        <v>27.108799999999999</v>
      </c>
      <c r="H829" s="4">
        <f>CHOOSE( CONTROL!$C$32, 28.0415, 28.037) * CHOOSE(CONTROL!$C$15, $D$11, 100%, $F$11)</f>
        <v>28.041499999999999</v>
      </c>
      <c r="I829" s="8">
        <f>CHOOSE( CONTROL!$C$32, 26.7311, 26.7267) * CHOOSE(CONTROL!$C$15, $D$11, 100%, $F$11)</f>
        <v>26.731100000000001</v>
      </c>
      <c r="J829" s="4">
        <f>CHOOSE( CONTROL!$C$32, 26.6494, 26.645) * CHOOSE(CONTROL!$C$15, $D$11, 100%, $F$11)</f>
        <v>26.6494</v>
      </c>
      <c r="K829" s="4"/>
      <c r="L829" s="9">
        <v>28.568200000000001</v>
      </c>
      <c r="M829" s="9">
        <v>11.6745</v>
      </c>
      <c r="N829" s="9">
        <v>4.7850000000000001</v>
      </c>
      <c r="O829" s="9">
        <v>0.36249999999999999</v>
      </c>
      <c r="P829" s="9">
        <v>1.1798</v>
      </c>
      <c r="Q829" s="9">
        <v>19.053000000000001</v>
      </c>
      <c r="R829" s="9"/>
      <c r="S829" s="11"/>
    </row>
    <row r="830" spans="1:19" ht="15.75">
      <c r="A830" s="13">
        <v>67145</v>
      </c>
      <c r="B830" s="8">
        <f>28.8014 * CHOOSE(CONTROL!$C$15, $D$11, 100%, $F$11)</f>
        <v>28.801400000000001</v>
      </c>
      <c r="C830" s="8">
        <f>28.8117 * CHOOSE(CONTROL!$C$15, $D$11, 100%, $F$11)</f>
        <v>28.811699999999998</v>
      </c>
      <c r="D830" s="8">
        <f>28.8241 * CHOOSE( CONTROL!$C$15, $D$11, 100%, $F$11)</f>
        <v>28.824100000000001</v>
      </c>
      <c r="E830" s="12">
        <f>28.8189 * CHOOSE( CONTROL!$C$15, $D$11, 100%, $F$11)</f>
        <v>28.818899999999999</v>
      </c>
      <c r="F830" s="4">
        <f>29.4896 * CHOOSE(CONTROL!$C$15, $D$11, 100%, $F$11)</f>
        <v>29.489599999999999</v>
      </c>
      <c r="G830" s="8">
        <f>28.3079 * CHOOSE( CONTROL!$C$15, $D$11, 100%, $F$11)</f>
        <v>28.3079</v>
      </c>
      <c r="H830" s="4">
        <f>29.2412 * CHOOSE(CONTROL!$C$15, $D$11, 100%, $F$11)</f>
        <v>29.241199999999999</v>
      </c>
      <c r="I830" s="8">
        <f>27.9122 * CHOOSE(CONTROL!$C$15, $D$11, 100%, $F$11)</f>
        <v>27.912199999999999</v>
      </c>
      <c r="J830" s="4">
        <f>27.8287 * CHOOSE(CONTROL!$C$15, $D$11, 100%, $F$11)</f>
        <v>27.828700000000001</v>
      </c>
      <c r="K830" s="4"/>
      <c r="L830" s="9">
        <v>28.921800000000001</v>
      </c>
      <c r="M830" s="9">
        <v>12.063700000000001</v>
      </c>
      <c r="N830" s="9">
        <v>4.9444999999999997</v>
      </c>
      <c r="O830" s="9">
        <v>0.37459999999999999</v>
      </c>
      <c r="P830" s="9">
        <v>1.2192000000000001</v>
      </c>
      <c r="Q830" s="9">
        <v>19.688099999999999</v>
      </c>
      <c r="R830" s="9"/>
      <c r="S830" s="11"/>
    </row>
    <row r="831" spans="1:19" ht="15.75">
      <c r="A831" s="13">
        <v>67175</v>
      </c>
      <c r="B831" s="8">
        <f>31.0605 * CHOOSE(CONTROL!$C$15, $D$11, 100%, $F$11)</f>
        <v>31.060500000000001</v>
      </c>
      <c r="C831" s="8">
        <f>31.0708 * CHOOSE(CONTROL!$C$15, $D$11, 100%, $F$11)</f>
        <v>31.070799999999998</v>
      </c>
      <c r="D831" s="8">
        <f>31.0569 * CHOOSE( CONTROL!$C$15, $D$11, 100%, $F$11)</f>
        <v>31.056899999999999</v>
      </c>
      <c r="E831" s="12">
        <f>31.0609 * CHOOSE( CONTROL!$C$15, $D$11, 100%, $F$11)</f>
        <v>31.0609</v>
      </c>
      <c r="F831" s="4">
        <f>31.7147 * CHOOSE(CONTROL!$C$15, $D$11, 100%, $F$11)</f>
        <v>31.714700000000001</v>
      </c>
      <c r="G831" s="8">
        <f>30.5477 * CHOOSE( CONTROL!$C$15, $D$11, 100%, $F$11)</f>
        <v>30.547699999999999</v>
      </c>
      <c r="H831" s="4">
        <f>31.4303 * CHOOSE(CONTROL!$C$15, $D$11, 100%, $F$11)</f>
        <v>31.430299999999999</v>
      </c>
      <c r="I831" s="8">
        <f>30.1312 * CHOOSE(CONTROL!$C$15, $D$11, 100%, $F$11)</f>
        <v>30.1312</v>
      </c>
      <c r="J831" s="4">
        <f>30.0135 * CHOOSE(CONTROL!$C$15, $D$11, 100%, $F$11)</f>
        <v>30.013500000000001</v>
      </c>
      <c r="K831" s="4"/>
      <c r="L831" s="9">
        <v>26.515499999999999</v>
      </c>
      <c r="M831" s="9">
        <v>11.6745</v>
      </c>
      <c r="N831" s="9">
        <v>4.7850000000000001</v>
      </c>
      <c r="O831" s="9">
        <v>0.36249999999999999</v>
      </c>
      <c r="P831" s="9">
        <v>1.2522</v>
      </c>
      <c r="Q831" s="9">
        <v>19.053000000000001</v>
      </c>
      <c r="R831" s="9"/>
      <c r="S831" s="11"/>
    </row>
    <row r="832" spans="1:19" ht="15.75">
      <c r="A832" s="13">
        <v>67206</v>
      </c>
      <c r="B832" s="8">
        <f>31.004 * CHOOSE(CONTROL!$C$15, $D$11, 100%, $F$11)</f>
        <v>31.004000000000001</v>
      </c>
      <c r="C832" s="8">
        <f>31.0144 * CHOOSE(CONTROL!$C$15, $D$11, 100%, $F$11)</f>
        <v>31.014399999999998</v>
      </c>
      <c r="D832" s="8">
        <f>31.0029 * CHOOSE( CONTROL!$C$15, $D$11, 100%, $F$11)</f>
        <v>31.0029</v>
      </c>
      <c r="E832" s="12">
        <f>31.006 * CHOOSE( CONTROL!$C$15, $D$11, 100%, $F$11)</f>
        <v>31.006</v>
      </c>
      <c r="F832" s="4">
        <f>31.6583 * CHOOSE(CONTROL!$C$15, $D$11, 100%, $F$11)</f>
        <v>31.658300000000001</v>
      </c>
      <c r="G832" s="8">
        <f>30.494 * CHOOSE( CONTROL!$C$15, $D$11, 100%, $F$11)</f>
        <v>30.494</v>
      </c>
      <c r="H832" s="4">
        <f>31.3747 * CHOOSE(CONTROL!$C$15, $D$11, 100%, $F$11)</f>
        <v>31.374700000000001</v>
      </c>
      <c r="I832" s="8">
        <f>30.0845 * CHOOSE(CONTROL!$C$15, $D$11, 100%, $F$11)</f>
        <v>30.084499999999998</v>
      </c>
      <c r="J832" s="4">
        <f>29.9589 * CHOOSE(CONTROL!$C$15, $D$11, 100%, $F$11)</f>
        <v>29.9589</v>
      </c>
      <c r="K832" s="4"/>
      <c r="L832" s="9">
        <v>27.3993</v>
      </c>
      <c r="M832" s="9">
        <v>12.063700000000001</v>
      </c>
      <c r="N832" s="9">
        <v>4.9444999999999997</v>
      </c>
      <c r="O832" s="9">
        <v>0.37459999999999999</v>
      </c>
      <c r="P832" s="9">
        <v>1.2939000000000001</v>
      </c>
      <c r="Q832" s="9">
        <v>19.688099999999999</v>
      </c>
      <c r="R832" s="9"/>
      <c r="S832" s="11"/>
    </row>
    <row r="833" spans="1:19" ht="15.75">
      <c r="A833" s="13">
        <v>67237</v>
      </c>
      <c r="B833" s="8">
        <f>32.188 * CHOOSE(CONTROL!$C$15, $D$11, 100%, $F$11)</f>
        <v>32.188000000000002</v>
      </c>
      <c r="C833" s="8">
        <f>32.1983 * CHOOSE(CONTROL!$C$15, $D$11, 100%, $F$11)</f>
        <v>32.198300000000003</v>
      </c>
      <c r="D833" s="8">
        <f>32.1968 * CHOOSE( CONTROL!$C$15, $D$11, 100%, $F$11)</f>
        <v>32.196800000000003</v>
      </c>
      <c r="E833" s="12">
        <f>32.1963 * CHOOSE( CONTROL!$C$15, $D$11, 100%, $F$11)</f>
        <v>32.196300000000001</v>
      </c>
      <c r="F833" s="4">
        <f>32.8707 * CHOOSE(CONTROL!$C$15, $D$11, 100%, $F$11)</f>
        <v>32.870699999999999</v>
      </c>
      <c r="G833" s="8">
        <f>31.6691 * CHOOSE( CONTROL!$C$15, $D$11, 100%, $F$11)</f>
        <v>31.6691</v>
      </c>
      <c r="H833" s="4">
        <f>32.5675 * CHOOSE(CONTROL!$C$15, $D$11, 100%, $F$11)</f>
        <v>32.567500000000003</v>
      </c>
      <c r="I833" s="8">
        <f>31.2281 * CHOOSE(CONTROL!$C$15, $D$11, 100%, $F$11)</f>
        <v>31.228100000000001</v>
      </c>
      <c r="J833" s="4">
        <f>31.1039 * CHOOSE(CONTROL!$C$15, $D$11, 100%, $F$11)</f>
        <v>31.103899999999999</v>
      </c>
      <c r="K833" s="4"/>
      <c r="L833" s="9">
        <v>27.3993</v>
      </c>
      <c r="M833" s="9">
        <v>12.063700000000001</v>
      </c>
      <c r="N833" s="9">
        <v>4.9444999999999997</v>
      </c>
      <c r="O833" s="9">
        <v>0.37459999999999999</v>
      </c>
      <c r="P833" s="9">
        <v>1.2939000000000001</v>
      </c>
      <c r="Q833" s="9">
        <v>19.688099999999999</v>
      </c>
      <c r="R833" s="9"/>
      <c r="S833" s="11"/>
    </row>
    <row r="834" spans="1:19" ht="15.75">
      <c r="A834" s="13">
        <v>67266</v>
      </c>
      <c r="B834" s="8">
        <f>30.1088 * CHOOSE(CONTROL!$C$15, $D$11, 100%, $F$11)</f>
        <v>30.108799999999999</v>
      </c>
      <c r="C834" s="8">
        <f>30.1191 * CHOOSE(CONTROL!$C$15, $D$11, 100%, $F$11)</f>
        <v>30.1191</v>
      </c>
      <c r="D834" s="8">
        <f>30.1197 * CHOOSE( CONTROL!$C$15, $D$11, 100%, $F$11)</f>
        <v>30.119700000000002</v>
      </c>
      <c r="E834" s="12">
        <f>30.1184 * CHOOSE( CONTROL!$C$15, $D$11, 100%, $F$11)</f>
        <v>30.118400000000001</v>
      </c>
      <c r="F834" s="4">
        <f>30.7837 * CHOOSE(CONTROL!$C$15, $D$11, 100%, $F$11)</f>
        <v>30.7837</v>
      </c>
      <c r="G834" s="8">
        <f>29.6233 * CHOOSE( CONTROL!$C$15, $D$11, 100%, $F$11)</f>
        <v>29.6233</v>
      </c>
      <c r="H834" s="4">
        <f>30.5143 * CHOOSE(CONTROL!$C$15, $D$11, 100%, $F$11)</f>
        <v>30.514299999999999</v>
      </c>
      <c r="I834" s="8">
        <f>29.2053 * CHOOSE(CONTROL!$C$15, $D$11, 100%, $F$11)</f>
        <v>29.205300000000001</v>
      </c>
      <c r="J834" s="4">
        <f>29.0931 * CHOOSE(CONTROL!$C$15, $D$11, 100%, $F$11)</f>
        <v>29.0931</v>
      </c>
      <c r="K834" s="4"/>
      <c r="L834" s="9">
        <v>25.631599999999999</v>
      </c>
      <c r="M834" s="9">
        <v>11.285299999999999</v>
      </c>
      <c r="N834" s="9">
        <v>4.6254999999999997</v>
      </c>
      <c r="O834" s="9">
        <v>0.35039999999999999</v>
      </c>
      <c r="P834" s="9">
        <v>1.2104999999999999</v>
      </c>
      <c r="Q834" s="9">
        <v>18.417899999999999</v>
      </c>
      <c r="R834" s="9"/>
      <c r="S834" s="11"/>
    </row>
    <row r="835" spans="1:19" ht="15.75">
      <c r="A835" s="13">
        <v>67297</v>
      </c>
      <c r="B835" s="8">
        <f>29.4684 * CHOOSE(CONTROL!$C$15, $D$11, 100%, $F$11)</f>
        <v>29.468399999999999</v>
      </c>
      <c r="C835" s="8">
        <f>29.4787 * CHOOSE(CONTROL!$C$15, $D$11, 100%, $F$11)</f>
        <v>29.4787</v>
      </c>
      <c r="D835" s="8">
        <f>29.4588 * CHOOSE( CONTROL!$C$15, $D$11, 100%, $F$11)</f>
        <v>29.4588</v>
      </c>
      <c r="E835" s="12">
        <f>29.465 * CHOOSE( CONTROL!$C$15, $D$11, 100%, $F$11)</f>
        <v>29.465</v>
      </c>
      <c r="F835" s="4">
        <f>30.1273 * CHOOSE(CONTROL!$C$15, $D$11, 100%, $F$11)</f>
        <v>30.127300000000002</v>
      </c>
      <c r="G835" s="8">
        <f>28.9725 * CHOOSE( CONTROL!$C$15, $D$11, 100%, $F$11)</f>
        <v>28.9725</v>
      </c>
      <c r="H835" s="4">
        <f>29.8685 * CHOOSE(CONTROL!$C$15, $D$11, 100%, $F$11)</f>
        <v>29.868500000000001</v>
      </c>
      <c r="I835" s="8">
        <f>28.5462 * CHOOSE(CONTROL!$C$15, $D$11, 100%, $F$11)</f>
        <v>28.546199999999999</v>
      </c>
      <c r="J835" s="4">
        <f>28.4738 * CHOOSE(CONTROL!$C$15, $D$11, 100%, $F$11)</f>
        <v>28.473800000000001</v>
      </c>
      <c r="K835" s="4"/>
      <c r="L835" s="9">
        <v>27.3993</v>
      </c>
      <c r="M835" s="9">
        <v>12.063700000000001</v>
      </c>
      <c r="N835" s="9">
        <v>4.9444999999999997</v>
      </c>
      <c r="O835" s="9">
        <v>0.37459999999999999</v>
      </c>
      <c r="P835" s="9">
        <v>1.2939000000000001</v>
      </c>
      <c r="Q835" s="9">
        <v>19.688099999999999</v>
      </c>
      <c r="R835" s="9"/>
      <c r="S835" s="11"/>
    </row>
    <row r="836" spans="1:19" ht="15.75">
      <c r="A836" s="13">
        <v>67327</v>
      </c>
      <c r="B836" s="8">
        <f>29.9159 * CHOOSE(CONTROL!$C$15, $D$11, 100%, $F$11)</f>
        <v>29.915900000000001</v>
      </c>
      <c r="C836" s="8">
        <f>29.9262 * CHOOSE(CONTROL!$C$15, $D$11, 100%, $F$11)</f>
        <v>29.926200000000001</v>
      </c>
      <c r="D836" s="8">
        <f>29.9177 * CHOOSE( CONTROL!$C$15, $D$11, 100%, $F$11)</f>
        <v>29.9177</v>
      </c>
      <c r="E836" s="12">
        <f>29.9193 * CHOOSE( CONTROL!$C$15, $D$11, 100%, $F$11)</f>
        <v>29.9193</v>
      </c>
      <c r="F836" s="4">
        <f>30.565 * CHOOSE(CONTROL!$C$15, $D$11, 100%, $F$11)</f>
        <v>30.565000000000001</v>
      </c>
      <c r="G836" s="8">
        <f>29.3976 * CHOOSE( CONTROL!$C$15, $D$11, 100%, $F$11)</f>
        <v>29.397600000000001</v>
      </c>
      <c r="H836" s="4">
        <f>30.2991 * CHOOSE(CONTROL!$C$15, $D$11, 100%, $F$11)</f>
        <v>30.299099999999999</v>
      </c>
      <c r="I836" s="8">
        <f>28.976 * CHOOSE(CONTROL!$C$15, $D$11, 100%, $F$11)</f>
        <v>28.975999999999999</v>
      </c>
      <c r="J836" s="4">
        <f>28.9065 * CHOOSE(CONTROL!$C$15, $D$11, 100%, $F$11)</f>
        <v>28.906500000000001</v>
      </c>
      <c r="K836" s="4"/>
      <c r="L836" s="9">
        <v>27.988800000000001</v>
      </c>
      <c r="M836" s="9">
        <v>11.6745</v>
      </c>
      <c r="N836" s="9">
        <v>4.7850000000000001</v>
      </c>
      <c r="O836" s="9">
        <v>0.36249999999999999</v>
      </c>
      <c r="P836" s="9">
        <v>1.1798</v>
      </c>
      <c r="Q836" s="9">
        <v>19.053000000000001</v>
      </c>
      <c r="R836" s="9"/>
      <c r="S836" s="11"/>
    </row>
    <row r="837" spans="1:19" ht="15.75">
      <c r="A837" s="13">
        <v>67358</v>
      </c>
      <c r="B837" s="8">
        <f>CHOOSE( CONTROL!$C$32, 30.7168, 30.7123) * CHOOSE(CONTROL!$C$15, $D$11, 100%, $F$11)</f>
        <v>30.716799999999999</v>
      </c>
      <c r="C837" s="8">
        <f>CHOOSE( CONTROL!$C$32, 30.7272, 30.7227) * CHOOSE(CONTROL!$C$15, $D$11, 100%, $F$11)</f>
        <v>30.7272</v>
      </c>
      <c r="D837" s="8">
        <f>CHOOSE( CONTROL!$C$32, 30.7369, 30.7324) * CHOOSE( CONTROL!$C$15, $D$11, 100%, $F$11)</f>
        <v>30.736899999999999</v>
      </c>
      <c r="E837" s="12">
        <f>CHOOSE( CONTROL!$C$32, 30.7318, 30.7273) * CHOOSE( CONTROL!$C$15, $D$11, 100%, $F$11)</f>
        <v>30.7318</v>
      </c>
      <c r="F837" s="4">
        <f>CHOOSE( CONTROL!$C$32, 31.4051, 31.4006) * CHOOSE(CONTROL!$C$15, $D$11, 100%, $F$11)</f>
        <v>31.405100000000001</v>
      </c>
      <c r="G837" s="8">
        <f>CHOOSE( CONTROL!$C$32, 30.1906, 30.1862) * CHOOSE( CONTROL!$C$15, $D$11, 100%, $F$11)</f>
        <v>30.1906</v>
      </c>
      <c r="H837" s="4">
        <f>CHOOSE( CONTROL!$C$32, 31.1257, 31.1212) * CHOOSE(CONTROL!$C$15, $D$11, 100%, $F$11)</f>
        <v>31.125699999999998</v>
      </c>
      <c r="I837" s="8">
        <f>CHOOSE( CONTROL!$C$32, 29.7568, 29.7524) * CHOOSE(CONTROL!$C$15, $D$11, 100%, $F$11)</f>
        <v>29.756799999999998</v>
      </c>
      <c r="J837" s="4">
        <f>CHOOSE( CONTROL!$C$32, 29.6812, 29.6768) * CHOOSE(CONTROL!$C$15, $D$11, 100%, $F$11)</f>
        <v>29.6812</v>
      </c>
      <c r="K837" s="4"/>
      <c r="L837" s="9">
        <v>29.520499999999998</v>
      </c>
      <c r="M837" s="9">
        <v>12.063700000000001</v>
      </c>
      <c r="N837" s="9">
        <v>4.9444999999999997</v>
      </c>
      <c r="O837" s="9">
        <v>0.37459999999999999</v>
      </c>
      <c r="P837" s="9">
        <v>1.2192000000000001</v>
      </c>
      <c r="Q837" s="9">
        <v>19.688099999999999</v>
      </c>
      <c r="R837" s="9"/>
      <c r="S837" s="11"/>
    </row>
    <row r="838" spans="1:19" ht="15.75">
      <c r="A838" s="13">
        <v>67388</v>
      </c>
      <c r="B838" s="8">
        <f>CHOOSE( CONTROL!$C$32, 30.2235, 30.219) * CHOOSE(CONTROL!$C$15, $D$11, 100%, $F$11)</f>
        <v>30.223500000000001</v>
      </c>
      <c r="C838" s="8">
        <f>CHOOSE( CONTROL!$C$32, 30.2338, 30.2293) * CHOOSE(CONTROL!$C$15, $D$11, 100%, $F$11)</f>
        <v>30.233799999999999</v>
      </c>
      <c r="D838" s="8">
        <f>CHOOSE( CONTROL!$C$32, 30.2441, 30.2396) * CHOOSE( CONTROL!$C$15, $D$11, 100%, $F$11)</f>
        <v>30.2441</v>
      </c>
      <c r="E838" s="12">
        <f>CHOOSE( CONTROL!$C$32, 30.2388, 30.2343) * CHOOSE( CONTROL!$C$15, $D$11, 100%, $F$11)</f>
        <v>30.238800000000001</v>
      </c>
      <c r="F838" s="4">
        <f>CHOOSE( CONTROL!$C$32, 30.9118, 30.9072) * CHOOSE(CONTROL!$C$15, $D$11, 100%, $F$11)</f>
        <v>30.911799999999999</v>
      </c>
      <c r="G838" s="8">
        <f>CHOOSE( CONTROL!$C$32, 29.7062, 29.7017) * CHOOSE( CONTROL!$C$15, $D$11, 100%, $F$11)</f>
        <v>29.706199999999999</v>
      </c>
      <c r="H838" s="4">
        <f>CHOOSE( CONTROL!$C$32, 30.6403, 30.6358) * CHOOSE(CONTROL!$C$15, $D$11, 100%, $F$11)</f>
        <v>30.6403</v>
      </c>
      <c r="I838" s="8">
        <f>CHOOSE( CONTROL!$C$32, 29.2824, 29.278) * CHOOSE(CONTROL!$C$15, $D$11, 100%, $F$11)</f>
        <v>29.282399999999999</v>
      </c>
      <c r="J838" s="4">
        <f>CHOOSE( CONTROL!$C$32, 29.204, 29.1996) * CHOOSE(CONTROL!$C$15, $D$11, 100%, $F$11)</f>
        <v>29.204000000000001</v>
      </c>
      <c r="K838" s="4"/>
      <c r="L838" s="9">
        <v>28.568200000000001</v>
      </c>
      <c r="M838" s="9">
        <v>11.6745</v>
      </c>
      <c r="N838" s="9">
        <v>4.7850000000000001</v>
      </c>
      <c r="O838" s="9">
        <v>0.36249999999999999</v>
      </c>
      <c r="P838" s="9">
        <v>1.1798</v>
      </c>
      <c r="Q838" s="9">
        <v>19.053000000000001</v>
      </c>
      <c r="R838" s="9"/>
      <c r="S838" s="11"/>
    </row>
    <row r="839" spans="1:19" ht="15.75">
      <c r="A839" s="13">
        <v>67419</v>
      </c>
      <c r="B839" s="8">
        <f>CHOOSE( CONTROL!$C$32, 31.5227, 31.5182) * CHOOSE(CONTROL!$C$15, $D$11, 100%, $F$11)</f>
        <v>31.5227</v>
      </c>
      <c r="C839" s="8">
        <f>CHOOSE( CONTROL!$C$32, 31.533, 31.5285) * CHOOSE(CONTROL!$C$15, $D$11, 100%, $F$11)</f>
        <v>31.533000000000001</v>
      </c>
      <c r="D839" s="8">
        <f>CHOOSE( CONTROL!$C$32, 31.5439, 31.5394) * CHOOSE( CONTROL!$C$15, $D$11, 100%, $F$11)</f>
        <v>31.543900000000001</v>
      </c>
      <c r="E839" s="12">
        <f>CHOOSE( CONTROL!$C$32, 31.5384, 31.5339) * CHOOSE( CONTROL!$C$15, $D$11, 100%, $F$11)</f>
        <v>31.538399999999999</v>
      </c>
      <c r="F839" s="4">
        <f>CHOOSE( CONTROL!$C$32, 32.211, 32.2065) * CHOOSE(CONTROL!$C$15, $D$11, 100%, $F$11)</f>
        <v>32.210999999999999</v>
      </c>
      <c r="G839" s="8">
        <f>CHOOSE( CONTROL!$C$32, 30.9852, 30.9808) * CHOOSE( CONTROL!$C$15, $D$11, 100%, $F$11)</f>
        <v>30.985199999999999</v>
      </c>
      <c r="H839" s="4">
        <f>CHOOSE( CONTROL!$C$32, 31.9185, 31.914) * CHOOSE(CONTROL!$C$15, $D$11, 100%, $F$11)</f>
        <v>31.918500000000002</v>
      </c>
      <c r="I839" s="8">
        <f>CHOOSE( CONTROL!$C$32, 30.5422, 30.5378) * CHOOSE(CONTROL!$C$15, $D$11, 100%, $F$11)</f>
        <v>30.542200000000001</v>
      </c>
      <c r="J839" s="4">
        <f>CHOOSE( CONTROL!$C$32, 30.4605, 30.4561) * CHOOSE(CONTROL!$C$15, $D$11, 100%, $F$11)</f>
        <v>30.4605</v>
      </c>
      <c r="K839" s="4"/>
      <c r="L839" s="9">
        <v>29.520499999999998</v>
      </c>
      <c r="M839" s="9">
        <v>12.063700000000001</v>
      </c>
      <c r="N839" s="9">
        <v>4.9444999999999997</v>
      </c>
      <c r="O839" s="9">
        <v>0.37459999999999999</v>
      </c>
      <c r="P839" s="9">
        <v>1.2192000000000001</v>
      </c>
      <c r="Q839" s="9">
        <v>19.688099999999999</v>
      </c>
      <c r="R839" s="9"/>
      <c r="S839" s="11"/>
    </row>
    <row r="840" spans="1:19" ht="15.75">
      <c r="A840" s="13">
        <v>67450</v>
      </c>
      <c r="B840" s="8">
        <f>CHOOSE( CONTROL!$C$32, 29.0917, 29.0872) * CHOOSE(CONTROL!$C$15, $D$11, 100%, $F$11)</f>
        <v>29.091699999999999</v>
      </c>
      <c r="C840" s="8">
        <f>CHOOSE( CONTROL!$C$32, 29.1021, 29.0975) * CHOOSE(CONTROL!$C$15, $D$11, 100%, $F$11)</f>
        <v>29.1021</v>
      </c>
      <c r="D840" s="8">
        <f>CHOOSE( CONTROL!$C$32, 29.1132, 29.1087) * CHOOSE( CONTROL!$C$15, $D$11, 100%, $F$11)</f>
        <v>29.113199999999999</v>
      </c>
      <c r="E840" s="12">
        <f>CHOOSE( CONTROL!$C$32, 29.1076, 29.1031) * CHOOSE( CONTROL!$C$15, $D$11, 100%, $F$11)</f>
        <v>29.107600000000001</v>
      </c>
      <c r="F840" s="4">
        <f>CHOOSE( CONTROL!$C$32, 29.78, 29.7755) * CHOOSE(CONTROL!$C$15, $D$11, 100%, $F$11)</f>
        <v>29.78</v>
      </c>
      <c r="G840" s="8">
        <f>CHOOSE( CONTROL!$C$32, 28.594, 28.5896) * CHOOSE( CONTROL!$C$15, $D$11, 100%, $F$11)</f>
        <v>28.594000000000001</v>
      </c>
      <c r="H840" s="4">
        <f>CHOOSE( CONTROL!$C$32, 29.5268, 29.5224) * CHOOSE(CONTROL!$C$15, $D$11, 100%, $F$11)</f>
        <v>29.526800000000001</v>
      </c>
      <c r="I840" s="8">
        <f>CHOOSE( CONTROL!$C$32, 28.1915, 28.1871) * CHOOSE(CONTROL!$C$15, $D$11, 100%, $F$11)</f>
        <v>28.191500000000001</v>
      </c>
      <c r="J840" s="4">
        <f>CHOOSE( CONTROL!$C$32, 28.1095, 28.1051) * CHOOSE(CONTROL!$C$15, $D$11, 100%, $F$11)</f>
        <v>28.109500000000001</v>
      </c>
      <c r="K840" s="4"/>
      <c r="L840" s="9">
        <v>29.520499999999998</v>
      </c>
      <c r="M840" s="9">
        <v>12.063700000000001</v>
      </c>
      <c r="N840" s="9">
        <v>4.9444999999999997</v>
      </c>
      <c r="O840" s="9">
        <v>0.37459999999999999</v>
      </c>
      <c r="P840" s="9">
        <v>1.2192000000000001</v>
      </c>
      <c r="Q840" s="9">
        <v>19.688099999999999</v>
      </c>
      <c r="R840" s="9"/>
      <c r="S840" s="11"/>
    </row>
    <row r="841" spans="1:19" ht="15.75">
      <c r="A841" s="13">
        <v>67480</v>
      </c>
      <c r="B841" s="8">
        <f>CHOOSE( CONTROL!$C$32, 28.483, 28.4785) * CHOOSE(CONTROL!$C$15, $D$11, 100%, $F$11)</f>
        <v>28.483000000000001</v>
      </c>
      <c r="C841" s="8">
        <f>CHOOSE( CONTROL!$C$32, 28.4933, 28.4888) * CHOOSE(CONTROL!$C$15, $D$11, 100%, $F$11)</f>
        <v>28.493300000000001</v>
      </c>
      <c r="D841" s="8">
        <f>CHOOSE( CONTROL!$C$32, 28.5046, 28.5001) * CHOOSE( CONTROL!$C$15, $D$11, 100%, $F$11)</f>
        <v>28.5046</v>
      </c>
      <c r="E841" s="12">
        <f>CHOOSE( CONTROL!$C$32, 28.4989, 28.4944) * CHOOSE( CONTROL!$C$15, $D$11, 100%, $F$11)</f>
        <v>28.498899999999999</v>
      </c>
      <c r="F841" s="4">
        <f>CHOOSE( CONTROL!$C$32, 29.1713, 29.1668) * CHOOSE(CONTROL!$C$15, $D$11, 100%, $F$11)</f>
        <v>29.171299999999999</v>
      </c>
      <c r="G841" s="8">
        <f>CHOOSE( CONTROL!$C$32, 27.9953, 27.9908) * CHOOSE( CONTROL!$C$15, $D$11, 100%, $F$11)</f>
        <v>27.9953</v>
      </c>
      <c r="H841" s="4">
        <f>CHOOSE( CONTROL!$C$32, 28.9279, 28.9235) * CHOOSE(CONTROL!$C$15, $D$11, 100%, $F$11)</f>
        <v>28.927900000000001</v>
      </c>
      <c r="I841" s="8">
        <f>CHOOSE( CONTROL!$C$32, 27.6029, 27.5985) * CHOOSE(CONTROL!$C$15, $D$11, 100%, $F$11)</f>
        <v>27.602900000000002</v>
      </c>
      <c r="J841" s="4">
        <f>CHOOSE( CONTROL!$C$32, 27.5208, 27.5164) * CHOOSE(CONTROL!$C$15, $D$11, 100%, $F$11)</f>
        <v>27.520800000000001</v>
      </c>
      <c r="K841" s="4"/>
      <c r="L841" s="9">
        <v>28.568200000000001</v>
      </c>
      <c r="M841" s="9">
        <v>11.6745</v>
      </c>
      <c r="N841" s="9">
        <v>4.7850000000000001</v>
      </c>
      <c r="O841" s="9">
        <v>0.36249999999999999</v>
      </c>
      <c r="P841" s="9">
        <v>1.1798</v>
      </c>
      <c r="Q841" s="9">
        <v>19.053000000000001</v>
      </c>
      <c r="R841" s="9"/>
      <c r="S841" s="11"/>
    </row>
    <row r="842" spans="1:19" ht="15.75">
      <c r="A842" s="13">
        <v>67511</v>
      </c>
      <c r="B842" s="8">
        <f>29.7424 * CHOOSE(CONTROL!$C$15, $D$11, 100%, $F$11)</f>
        <v>29.7424</v>
      </c>
      <c r="C842" s="8">
        <f>29.7528 * CHOOSE(CONTROL!$C$15, $D$11, 100%, $F$11)</f>
        <v>29.752800000000001</v>
      </c>
      <c r="D842" s="8">
        <f>29.7652 * CHOOSE( CONTROL!$C$15, $D$11, 100%, $F$11)</f>
        <v>29.7652</v>
      </c>
      <c r="E842" s="12">
        <f>29.76 * CHOOSE( CONTROL!$C$15, $D$11, 100%, $F$11)</f>
        <v>29.76</v>
      </c>
      <c r="F842" s="4">
        <f>30.4307 * CHOOSE(CONTROL!$C$15, $D$11, 100%, $F$11)</f>
        <v>30.430700000000002</v>
      </c>
      <c r="G842" s="8">
        <f>29.2338 * CHOOSE( CONTROL!$C$15, $D$11, 100%, $F$11)</f>
        <v>29.233799999999999</v>
      </c>
      <c r="H842" s="4">
        <f>30.167 * CHOOSE(CONTROL!$C$15, $D$11, 100%, $F$11)</f>
        <v>30.167000000000002</v>
      </c>
      <c r="I842" s="8">
        <f>28.8228 * CHOOSE(CONTROL!$C$15, $D$11, 100%, $F$11)</f>
        <v>28.822800000000001</v>
      </c>
      <c r="J842" s="4">
        <f>28.7388 * CHOOSE(CONTROL!$C$15, $D$11, 100%, $F$11)</f>
        <v>28.738800000000001</v>
      </c>
      <c r="K842" s="4"/>
      <c r="L842" s="9">
        <v>28.921800000000001</v>
      </c>
      <c r="M842" s="9">
        <v>12.063700000000001</v>
      </c>
      <c r="N842" s="9">
        <v>4.9444999999999997</v>
      </c>
      <c r="O842" s="9">
        <v>0.37459999999999999</v>
      </c>
      <c r="P842" s="9">
        <v>1.2192000000000001</v>
      </c>
      <c r="Q842" s="9">
        <v>19.688099999999999</v>
      </c>
      <c r="R842" s="9"/>
      <c r="S842" s="11"/>
    </row>
    <row r="843" spans="1:19" ht="15.75">
      <c r="A843" s="13">
        <v>67541</v>
      </c>
      <c r="B843" s="8">
        <f>32.0754 * CHOOSE(CONTROL!$C$15, $D$11, 100%, $F$11)</f>
        <v>32.075400000000002</v>
      </c>
      <c r="C843" s="8">
        <f>32.0858 * CHOOSE(CONTROL!$C$15, $D$11, 100%, $F$11)</f>
        <v>32.085799999999999</v>
      </c>
      <c r="D843" s="8">
        <f>32.0718 * CHOOSE( CONTROL!$C$15, $D$11, 100%, $F$11)</f>
        <v>32.071800000000003</v>
      </c>
      <c r="E843" s="12">
        <f>32.0758 * CHOOSE( CONTROL!$C$15, $D$11, 100%, $F$11)</f>
        <v>32.075800000000001</v>
      </c>
      <c r="F843" s="4">
        <f>32.7297 * CHOOSE(CONTROL!$C$15, $D$11, 100%, $F$11)</f>
        <v>32.729700000000001</v>
      </c>
      <c r="G843" s="8">
        <f>31.5462 * CHOOSE( CONTROL!$C$15, $D$11, 100%, $F$11)</f>
        <v>31.546199999999999</v>
      </c>
      <c r="H843" s="4">
        <f>32.4288 * CHOOSE(CONTROL!$C$15, $D$11, 100%, $F$11)</f>
        <v>32.428800000000003</v>
      </c>
      <c r="I843" s="8">
        <f>31.1132 * CHOOSE(CONTROL!$C$15, $D$11, 100%, $F$11)</f>
        <v>31.113199999999999</v>
      </c>
      <c r="J843" s="4">
        <f>30.995 * CHOOSE(CONTROL!$C$15, $D$11, 100%, $F$11)</f>
        <v>30.995000000000001</v>
      </c>
      <c r="K843" s="4"/>
      <c r="L843" s="9">
        <v>26.515499999999999</v>
      </c>
      <c r="M843" s="9">
        <v>11.6745</v>
      </c>
      <c r="N843" s="9">
        <v>4.7850000000000001</v>
      </c>
      <c r="O843" s="9">
        <v>0.36249999999999999</v>
      </c>
      <c r="P843" s="9">
        <v>1.2522</v>
      </c>
      <c r="Q843" s="9">
        <v>19.053000000000001</v>
      </c>
      <c r="R843" s="9"/>
      <c r="S843" s="11"/>
    </row>
    <row r="844" spans="1:19" ht="15.75">
      <c r="A844" s="13">
        <v>67572</v>
      </c>
      <c r="B844" s="8">
        <f>32.0171 * CHOOSE(CONTROL!$C$15, $D$11, 100%, $F$11)</f>
        <v>32.017099999999999</v>
      </c>
      <c r="C844" s="8">
        <f>32.0275 * CHOOSE(CONTROL!$C$15, $D$11, 100%, $F$11)</f>
        <v>32.027500000000003</v>
      </c>
      <c r="D844" s="8">
        <f>32.016 * CHOOSE( CONTROL!$C$15, $D$11, 100%, $F$11)</f>
        <v>32.015999999999998</v>
      </c>
      <c r="E844" s="12">
        <f>32.0191 * CHOOSE( CONTROL!$C$15, $D$11, 100%, $F$11)</f>
        <v>32.019100000000002</v>
      </c>
      <c r="F844" s="4">
        <f>32.6714 * CHOOSE(CONTROL!$C$15, $D$11, 100%, $F$11)</f>
        <v>32.671399999999998</v>
      </c>
      <c r="G844" s="8">
        <f>31.4907 * CHOOSE( CONTROL!$C$15, $D$11, 100%, $F$11)</f>
        <v>31.4907</v>
      </c>
      <c r="H844" s="4">
        <f>32.3714 * CHOOSE(CONTROL!$C$15, $D$11, 100%, $F$11)</f>
        <v>32.371400000000001</v>
      </c>
      <c r="I844" s="8">
        <f>31.0648 * CHOOSE(CONTROL!$C$15, $D$11, 100%, $F$11)</f>
        <v>31.064800000000002</v>
      </c>
      <c r="J844" s="4">
        <f>30.9387 * CHOOSE(CONTROL!$C$15, $D$11, 100%, $F$11)</f>
        <v>30.938700000000001</v>
      </c>
      <c r="K844" s="4"/>
      <c r="L844" s="9">
        <v>27.3993</v>
      </c>
      <c r="M844" s="9">
        <v>12.063700000000001</v>
      </c>
      <c r="N844" s="9">
        <v>4.9444999999999997</v>
      </c>
      <c r="O844" s="9">
        <v>0.37459999999999999</v>
      </c>
      <c r="P844" s="9">
        <v>1.2939000000000001</v>
      </c>
      <c r="Q844" s="9">
        <v>19.688099999999999</v>
      </c>
      <c r="R844" s="9"/>
      <c r="S844" s="11"/>
    </row>
    <row r="845" spans="1:19" ht="15.75">
      <c r="A845" s="13">
        <v>67603</v>
      </c>
      <c r="B845" s="8">
        <f>33.2398 * CHOOSE(CONTROL!$C$15, $D$11, 100%, $F$11)</f>
        <v>33.239800000000002</v>
      </c>
      <c r="C845" s="8">
        <f>33.2502 * CHOOSE(CONTROL!$C$15, $D$11, 100%, $F$11)</f>
        <v>33.2502</v>
      </c>
      <c r="D845" s="8">
        <f>33.2486 * CHOOSE( CONTROL!$C$15, $D$11, 100%, $F$11)</f>
        <v>33.248600000000003</v>
      </c>
      <c r="E845" s="12">
        <f>33.2481 * CHOOSE( CONTROL!$C$15, $D$11, 100%, $F$11)</f>
        <v>33.248100000000001</v>
      </c>
      <c r="F845" s="4">
        <f>33.9225 * CHOOSE(CONTROL!$C$15, $D$11, 100%, $F$11)</f>
        <v>33.922499999999999</v>
      </c>
      <c r="G845" s="8">
        <f>32.7039 * CHOOSE( CONTROL!$C$15, $D$11, 100%, $F$11)</f>
        <v>32.703899999999997</v>
      </c>
      <c r="H845" s="4">
        <f>33.6023 * CHOOSE(CONTROL!$C$15, $D$11, 100%, $F$11)</f>
        <v>33.6023</v>
      </c>
      <c r="I845" s="8">
        <f>32.2458 * CHOOSE(CONTROL!$C$15, $D$11, 100%, $F$11)</f>
        <v>32.245800000000003</v>
      </c>
      <c r="J845" s="4">
        <f>32.1211 * CHOOSE(CONTROL!$C$15, $D$11, 100%, $F$11)</f>
        <v>32.121099999999998</v>
      </c>
      <c r="K845" s="4"/>
      <c r="L845" s="9">
        <v>27.3993</v>
      </c>
      <c r="M845" s="9">
        <v>12.063700000000001</v>
      </c>
      <c r="N845" s="9">
        <v>4.9444999999999997</v>
      </c>
      <c r="O845" s="9">
        <v>0.37459999999999999</v>
      </c>
      <c r="P845" s="9">
        <v>1.2939000000000001</v>
      </c>
      <c r="Q845" s="9">
        <v>19.688099999999999</v>
      </c>
      <c r="R845" s="9"/>
      <c r="S845" s="11"/>
    </row>
    <row r="846" spans="1:19" ht="15.75">
      <c r="A846" s="13">
        <v>67631</v>
      </c>
      <c r="B846" s="8">
        <f>31.0926 * CHOOSE(CONTROL!$C$15, $D$11, 100%, $F$11)</f>
        <v>31.092600000000001</v>
      </c>
      <c r="C846" s="8">
        <f>31.1029 * CHOOSE(CONTROL!$C$15, $D$11, 100%, $F$11)</f>
        <v>31.102900000000002</v>
      </c>
      <c r="D846" s="8">
        <f>31.1035 * CHOOSE( CONTROL!$C$15, $D$11, 100%, $F$11)</f>
        <v>31.1035</v>
      </c>
      <c r="E846" s="12">
        <f>31.1022 * CHOOSE( CONTROL!$C$15, $D$11, 100%, $F$11)</f>
        <v>31.1022</v>
      </c>
      <c r="F846" s="4">
        <f>31.7675 * CHOOSE(CONTROL!$C$15, $D$11, 100%, $F$11)</f>
        <v>31.767499999999998</v>
      </c>
      <c r="G846" s="8">
        <f>30.5912 * CHOOSE( CONTROL!$C$15, $D$11, 100%, $F$11)</f>
        <v>30.591200000000001</v>
      </c>
      <c r="H846" s="4">
        <f>31.4822 * CHOOSE(CONTROL!$C$15, $D$11, 100%, $F$11)</f>
        <v>31.482199999999999</v>
      </c>
      <c r="I846" s="8">
        <f>30.1572 * CHOOSE(CONTROL!$C$15, $D$11, 100%, $F$11)</f>
        <v>30.1572</v>
      </c>
      <c r="J846" s="4">
        <f>30.0446 * CHOOSE(CONTROL!$C$15, $D$11, 100%, $F$11)</f>
        <v>30.044599999999999</v>
      </c>
      <c r="K846" s="4"/>
      <c r="L846" s="9">
        <v>24.747800000000002</v>
      </c>
      <c r="M846" s="9">
        <v>10.8962</v>
      </c>
      <c r="N846" s="9">
        <v>4.4660000000000002</v>
      </c>
      <c r="O846" s="9">
        <v>0.33829999999999999</v>
      </c>
      <c r="P846" s="9">
        <v>1.1687000000000001</v>
      </c>
      <c r="Q846" s="9">
        <v>17.782800000000002</v>
      </c>
      <c r="R846" s="9"/>
      <c r="S846" s="11"/>
    </row>
    <row r="847" spans="1:19" ht="15.75">
      <c r="A847" s="13">
        <v>67662</v>
      </c>
      <c r="B847" s="8">
        <f>30.4313 * CHOOSE(CONTROL!$C$15, $D$11, 100%, $F$11)</f>
        <v>30.4313</v>
      </c>
      <c r="C847" s="8">
        <f>30.4416 * CHOOSE(CONTROL!$C$15, $D$11, 100%, $F$11)</f>
        <v>30.441600000000001</v>
      </c>
      <c r="D847" s="8">
        <f>30.4217 * CHOOSE( CONTROL!$C$15, $D$11, 100%, $F$11)</f>
        <v>30.421700000000001</v>
      </c>
      <c r="E847" s="12">
        <f>30.4279 * CHOOSE( CONTROL!$C$15, $D$11, 100%, $F$11)</f>
        <v>30.427900000000001</v>
      </c>
      <c r="F847" s="4">
        <f>31.0902 * CHOOSE(CONTROL!$C$15, $D$11, 100%, $F$11)</f>
        <v>31.090199999999999</v>
      </c>
      <c r="G847" s="8">
        <f>29.9198 * CHOOSE( CONTROL!$C$15, $D$11, 100%, $F$11)</f>
        <v>29.919799999999999</v>
      </c>
      <c r="H847" s="4">
        <f>30.8158 * CHOOSE(CONTROL!$C$15, $D$11, 100%, $F$11)</f>
        <v>30.815799999999999</v>
      </c>
      <c r="I847" s="8">
        <f>29.4778 * CHOOSE(CONTROL!$C$15, $D$11, 100%, $F$11)</f>
        <v>29.477799999999998</v>
      </c>
      <c r="J847" s="4">
        <f>29.405 * CHOOSE(CONTROL!$C$15, $D$11, 100%, $F$11)</f>
        <v>29.405000000000001</v>
      </c>
      <c r="K847" s="4"/>
      <c r="L847" s="9">
        <v>27.3993</v>
      </c>
      <c r="M847" s="9">
        <v>12.063700000000001</v>
      </c>
      <c r="N847" s="9">
        <v>4.9444999999999997</v>
      </c>
      <c r="O847" s="9">
        <v>0.37459999999999999</v>
      </c>
      <c r="P847" s="9">
        <v>1.2939000000000001</v>
      </c>
      <c r="Q847" s="9">
        <v>19.688099999999999</v>
      </c>
      <c r="R847" s="9"/>
      <c r="S847" s="11"/>
    </row>
    <row r="848" spans="1:19" ht="15.75">
      <c r="A848" s="13">
        <v>67692</v>
      </c>
      <c r="B848" s="8">
        <f>30.8934 * CHOOSE(CONTROL!$C$15, $D$11, 100%, $F$11)</f>
        <v>30.8934</v>
      </c>
      <c r="C848" s="8">
        <f>30.9037 * CHOOSE(CONTROL!$C$15, $D$11, 100%, $F$11)</f>
        <v>30.903700000000001</v>
      </c>
      <c r="D848" s="8">
        <f>30.8953 * CHOOSE( CONTROL!$C$15, $D$11, 100%, $F$11)</f>
        <v>30.895299999999999</v>
      </c>
      <c r="E848" s="12">
        <f>30.8969 * CHOOSE( CONTROL!$C$15, $D$11, 100%, $F$11)</f>
        <v>30.896899999999999</v>
      </c>
      <c r="F848" s="4">
        <f>31.5425 * CHOOSE(CONTROL!$C$15, $D$11, 100%, $F$11)</f>
        <v>31.5425</v>
      </c>
      <c r="G848" s="8">
        <f>30.3593 * CHOOSE( CONTROL!$C$15, $D$11, 100%, $F$11)</f>
        <v>30.359300000000001</v>
      </c>
      <c r="H848" s="4">
        <f>31.2608 * CHOOSE(CONTROL!$C$15, $D$11, 100%, $F$11)</f>
        <v>31.2608</v>
      </c>
      <c r="I848" s="8">
        <f>29.9218 * CHOOSE(CONTROL!$C$15, $D$11, 100%, $F$11)</f>
        <v>29.921800000000001</v>
      </c>
      <c r="J848" s="4">
        <f>29.8519 * CHOOSE(CONTROL!$C$15, $D$11, 100%, $F$11)</f>
        <v>29.851900000000001</v>
      </c>
      <c r="K848" s="4"/>
      <c r="L848" s="9">
        <v>27.988800000000001</v>
      </c>
      <c r="M848" s="9">
        <v>11.6745</v>
      </c>
      <c r="N848" s="9">
        <v>4.7850000000000001</v>
      </c>
      <c r="O848" s="9">
        <v>0.36249999999999999</v>
      </c>
      <c r="P848" s="9">
        <v>1.1798</v>
      </c>
      <c r="Q848" s="9">
        <v>19.053000000000001</v>
      </c>
      <c r="R848" s="9"/>
      <c r="S848" s="11"/>
    </row>
    <row r="849" spans="1:19" ht="15.75">
      <c r="A849" s="13">
        <v>67723</v>
      </c>
      <c r="B849" s="8">
        <f>CHOOSE( CONTROL!$C$32, 31.7204, 31.7159) * CHOOSE(CONTROL!$C$15, $D$11, 100%, $F$11)</f>
        <v>31.720400000000001</v>
      </c>
      <c r="C849" s="8">
        <f>CHOOSE( CONTROL!$C$32, 31.7307, 31.7262) * CHOOSE(CONTROL!$C$15, $D$11, 100%, $F$11)</f>
        <v>31.730699999999999</v>
      </c>
      <c r="D849" s="8">
        <f>CHOOSE( CONTROL!$C$32, 31.7404, 31.7359) * CHOOSE( CONTROL!$C$15, $D$11, 100%, $F$11)</f>
        <v>31.740400000000001</v>
      </c>
      <c r="E849" s="12">
        <f>CHOOSE( CONTROL!$C$32, 31.7353, 31.7308) * CHOOSE( CONTROL!$C$15, $D$11, 100%, $F$11)</f>
        <v>31.735299999999999</v>
      </c>
      <c r="F849" s="4">
        <f>CHOOSE( CONTROL!$C$32, 32.4087, 32.4042) * CHOOSE(CONTROL!$C$15, $D$11, 100%, $F$11)</f>
        <v>32.408700000000003</v>
      </c>
      <c r="G849" s="8">
        <f>CHOOSE( CONTROL!$C$32, 31.178, 31.1735) * CHOOSE( CONTROL!$C$15, $D$11, 100%, $F$11)</f>
        <v>31.178000000000001</v>
      </c>
      <c r="H849" s="4">
        <f>CHOOSE( CONTROL!$C$32, 32.113, 32.1085) * CHOOSE(CONTROL!$C$15, $D$11, 100%, $F$11)</f>
        <v>32.113</v>
      </c>
      <c r="I849" s="8">
        <f>CHOOSE( CONTROL!$C$32, 30.7278, 30.7235) * CHOOSE(CONTROL!$C$15, $D$11, 100%, $F$11)</f>
        <v>30.727799999999998</v>
      </c>
      <c r="J849" s="4">
        <f>CHOOSE( CONTROL!$C$32, 30.6517, 30.6473) * CHOOSE(CONTROL!$C$15, $D$11, 100%, $F$11)</f>
        <v>30.651700000000002</v>
      </c>
      <c r="K849" s="4"/>
      <c r="L849" s="9">
        <v>29.520499999999998</v>
      </c>
      <c r="M849" s="9">
        <v>12.063700000000001</v>
      </c>
      <c r="N849" s="9">
        <v>4.9444999999999997</v>
      </c>
      <c r="O849" s="9">
        <v>0.37459999999999999</v>
      </c>
      <c r="P849" s="9">
        <v>1.2192000000000001</v>
      </c>
      <c r="Q849" s="9">
        <v>19.688099999999999</v>
      </c>
      <c r="R849" s="9"/>
      <c r="S849" s="11"/>
    </row>
    <row r="850" spans="1:19" ht="15.75">
      <c r="A850" s="13">
        <v>67753</v>
      </c>
      <c r="B850" s="8">
        <f>CHOOSE( CONTROL!$C$32, 31.2109, 31.2064) * CHOOSE(CONTROL!$C$15, $D$11, 100%, $F$11)</f>
        <v>31.210899999999999</v>
      </c>
      <c r="C850" s="8">
        <f>CHOOSE( CONTROL!$C$32, 31.2212, 31.2167) * CHOOSE(CONTROL!$C$15, $D$11, 100%, $F$11)</f>
        <v>31.2212</v>
      </c>
      <c r="D850" s="8">
        <f>CHOOSE( CONTROL!$C$32, 31.2316, 31.227) * CHOOSE( CONTROL!$C$15, $D$11, 100%, $F$11)</f>
        <v>31.2316</v>
      </c>
      <c r="E850" s="12">
        <f>CHOOSE( CONTROL!$C$32, 31.2263, 31.2217) * CHOOSE( CONTROL!$C$15, $D$11, 100%, $F$11)</f>
        <v>31.226299999999998</v>
      </c>
      <c r="F850" s="4">
        <f>CHOOSE( CONTROL!$C$32, 31.8992, 31.8947) * CHOOSE(CONTROL!$C$15, $D$11, 100%, $F$11)</f>
        <v>31.8992</v>
      </c>
      <c r="G850" s="8">
        <f>CHOOSE( CONTROL!$C$32, 30.6776, 30.6732) * CHOOSE( CONTROL!$C$15, $D$11, 100%, $F$11)</f>
        <v>30.677600000000002</v>
      </c>
      <c r="H850" s="4">
        <f>CHOOSE( CONTROL!$C$32, 31.6117, 31.6073) * CHOOSE(CONTROL!$C$15, $D$11, 100%, $F$11)</f>
        <v>31.611699999999999</v>
      </c>
      <c r="I850" s="8">
        <f>CHOOSE( CONTROL!$C$32, 30.2378, 30.2335) * CHOOSE(CONTROL!$C$15, $D$11, 100%, $F$11)</f>
        <v>30.2378</v>
      </c>
      <c r="J850" s="4">
        <f>CHOOSE( CONTROL!$C$32, 30.159, 30.1546) * CHOOSE(CONTROL!$C$15, $D$11, 100%, $F$11)</f>
        <v>30.158999999999999</v>
      </c>
      <c r="K850" s="4"/>
      <c r="L850" s="9">
        <v>28.568200000000001</v>
      </c>
      <c r="M850" s="9">
        <v>11.6745</v>
      </c>
      <c r="N850" s="9">
        <v>4.7850000000000001</v>
      </c>
      <c r="O850" s="9">
        <v>0.36249999999999999</v>
      </c>
      <c r="P850" s="9">
        <v>1.1798</v>
      </c>
      <c r="Q850" s="9">
        <v>19.053000000000001</v>
      </c>
      <c r="R850" s="9"/>
      <c r="S850" s="11"/>
    </row>
    <row r="851" spans="1:19" ht="15.75">
      <c r="A851" s="13">
        <v>67784</v>
      </c>
      <c r="B851" s="8">
        <f>CHOOSE( CONTROL!$C$32, 32.5526, 32.5481) * CHOOSE(CONTROL!$C$15, $D$11, 100%, $F$11)</f>
        <v>32.552599999999998</v>
      </c>
      <c r="C851" s="8">
        <f>CHOOSE( CONTROL!$C$32, 32.5629, 32.5584) * CHOOSE(CONTROL!$C$15, $D$11, 100%, $F$11)</f>
        <v>32.562899999999999</v>
      </c>
      <c r="D851" s="8">
        <f>CHOOSE( CONTROL!$C$32, 32.5738, 32.5693) * CHOOSE( CONTROL!$C$15, $D$11, 100%, $F$11)</f>
        <v>32.573799999999999</v>
      </c>
      <c r="E851" s="12">
        <f>CHOOSE( CONTROL!$C$32, 32.5683, 32.5638) * CHOOSE( CONTROL!$C$15, $D$11, 100%, $F$11)</f>
        <v>32.568300000000001</v>
      </c>
      <c r="F851" s="4">
        <f>CHOOSE( CONTROL!$C$32, 33.2409, 33.2364) * CHOOSE(CONTROL!$C$15, $D$11, 100%, $F$11)</f>
        <v>33.240900000000003</v>
      </c>
      <c r="G851" s="8">
        <f>CHOOSE( CONTROL!$C$32, 31.9985, 31.994) * CHOOSE( CONTROL!$C$15, $D$11, 100%, $F$11)</f>
        <v>31.9985</v>
      </c>
      <c r="H851" s="4">
        <f>CHOOSE( CONTROL!$C$32, 32.9317, 32.9273) * CHOOSE(CONTROL!$C$15, $D$11, 100%, $F$11)</f>
        <v>32.931699999999999</v>
      </c>
      <c r="I851" s="8">
        <f>CHOOSE( CONTROL!$C$32, 31.5388, 31.5344) * CHOOSE(CONTROL!$C$15, $D$11, 100%, $F$11)</f>
        <v>31.538799999999998</v>
      </c>
      <c r="J851" s="4">
        <f>CHOOSE( CONTROL!$C$32, 31.4565, 31.4521) * CHOOSE(CONTROL!$C$15, $D$11, 100%, $F$11)</f>
        <v>31.456499999999998</v>
      </c>
      <c r="K851" s="4"/>
      <c r="L851" s="9">
        <v>29.520499999999998</v>
      </c>
      <c r="M851" s="9">
        <v>12.063700000000001</v>
      </c>
      <c r="N851" s="9">
        <v>4.9444999999999997</v>
      </c>
      <c r="O851" s="9">
        <v>0.37459999999999999</v>
      </c>
      <c r="P851" s="9">
        <v>1.2192000000000001</v>
      </c>
      <c r="Q851" s="9">
        <v>19.688099999999999</v>
      </c>
      <c r="R851" s="9"/>
      <c r="S851" s="11"/>
    </row>
    <row r="852" spans="1:19" ht="15.75">
      <c r="A852" s="13">
        <v>67815</v>
      </c>
      <c r="B852" s="8">
        <f>CHOOSE( CONTROL!$C$32, 30.0421, 30.0376) * CHOOSE(CONTROL!$C$15, $D$11, 100%, $F$11)</f>
        <v>30.042100000000001</v>
      </c>
      <c r="C852" s="8">
        <f>CHOOSE( CONTROL!$C$32, 30.0525, 30.048) * CHOOSE(CONTROL!$C$15, $D$11, 100%, $F$11)</f>
        <v>30.052499999999998</v>
      </c>
      <c r="D852" s="8">
        <f>CHOOSE( CONTROL!$C$32, 30.0636, 30.0591) * CHOOSE( CONTROL!$C$15, $D$11, 100%, $F$11)</f>
        <v>30.063600000000001</v>
      </c>
      <c r="E852" s="12">
        <f>CHOOSE( CONTROL!$C$32, 30.058, 30.0535) * CHOOSE( CONTROL!$C$15, $D$11, 100%, $F$11)</f>
        <v>30.058</v>
      </c>
      <c r="F852" s="4">
        <f>CHOOSE( CONTROL!$C$32, 30.7304, 30.7259) * CHOOSE(CONTROL!$C$15, $D$11, 100%, $F$11)</f>
        <v>30.730399999999999</v>
      </c>
      <c r="G852" s="8">
        <f>CHOOSE( CONTROL!$C$32, 29.5291, 29.5246) * CHOOSE( CONTROL!$C$15, $D$11, 100%, $F$11)</f>
        <v>29.5291</v>
      </c>
      <c r="H852" s="4">
        <f>CHOOSE( CONTROL!$C$32, 30.4619, 30.4574) * CHOOSE(CONTROL!$C$15, $D$11, 100%, $F$11)</f>
        <v>30.4619</v>
      </c>
      <c r="I852" s="8">
        <f>CHOOSE( CONTROL!$C$32, 29.1111, 29.1067) * CHOOSE(CONTROL!$C$15, $D$11, 100%, $F$11)</f>
        <v>29.1111</v>
      </c>
      <c r="J852" s="4">
        <f>CHOOSE( CONTROL!$C$32, 29.0286, 29.0243) * CHOOSE(CONTROL!$C$15, $D$11, 100%, $F$11)</f>
        <v>29.028600000000001</v>
      </c>
      <c r="K852" s="4"/>
      <c r="L852" s="9">
        <v>29.520499999999998</v>
      </c>
      <c r="M852" s="9">
        <v>12.063700000000001</v>
      </c>
      <c r="N852" s="9">
        <v>4.9444999999999997</v>
      </c>
      <c r="O852" s="9">
        <v>0.37459999999999999</v>
      </c>
      <c r="P852" s="9">
        <v>1.2192000000000001</v>
      </c>
      <c r="Q852" s="9">
        <v>19.688099999999999</v>
      </c>
      <c r="R852" s="9"/>
      <c r="S852" s="11"/>
    </row>
    <row r="853" spans="1:19" ht="15.75">
      <c r="A853" s="13">
        <v>67845</v>
      </c>
      <c r="B853" s="8">
        <f>CHOOSE( CONTROL!$C$32, 29.4135, 29.409) * CHOOSE(CONTROL!$C$15, $D$11, 100%, $F$11)</f>
        <v>29.413499999999999</v>
      </c>
      <c r="C853" s="8">
        <f>CHOOSE( CONTROL!$C$32, 29.4238, 29.4193) * CHOOSE(CONTROL!$C$15, $D$11, 100%, $F$11)</f>
        <v>29.4238</v>
      </c>
      <c r="D853" s="8">
        <f>CHOOSE( CONTROL!$C$32, 29.4351, 29.4306) * CHOOSE( CONTROL!$C$15, $D$11, 100%, $F$11)</f>
        <v>29.435099999999998</v>
      </c>
      <c r="E853" s="12">
        <f>CHOOSE( CONTROL!$C$32, 29.4294, 29.4249) * CHOOSE( CONTROL!$C$15, $D$11, 100%, $F$11)</f>
        <v>29.429400000000001</v>
      </c>
      <c r="F853" s="4">
        <f>CHOOSE( CONTROL!$C$32, 30.1018, 30.0973) * CHOOSE(CONTROL!$C$15, $D$11, 100%, $F$11)</f>
        <v>30.101800000000001</v>
      </c>
      <c r="G853" s="8">
        <f>CHOOSE( CONTROL!$C$32, 28.9107, 28.9063) * CHOOSE( CONTROL!$C$15, $D$11, 100%, $F$11)</f>
        <v>28.910699999999999</v>
      </c>
      <c r="H853" s="4">
        <f>CHOOSE( CONTROL!$C$32, 29.8434, 29.8389) * CHOOSE(CONTROL!$C$15, $D$11, 100%, $F$11)</f>
        <v>29.843399999999999</v>
      </c>
      <c r="I853" s="8">
        <f>CHOOSE( CONTROL!$C$32, 28.5032, 28.4989) * CHOOSE(CONTROL!$C$15, $D$11, 100%, $F$11)</f>
        <v>28.5032</v>
      </c>
      <c r="J853" s="4">
        <f>CHOOSE( CONTROL!$C$32, 28.4207, 28.4163) * CHOOSE(CONTROL!$C$15, $D$11, 100%, $F$11)</f>
        <v>28.4207</v>
      </c>
      <c r="K853" s="4"/>
      <c r="L853" s="9">
        <v>28.568200000000001</v>
      </c>
      <c r="M853" s="9">
        <v>11.6745</v>
      </c>
      <c r="N853" s="9">
        <v>4.7850000000000001</v>
      </c>
      <c r="O853" s="9">
        <v>0.36249999999999999</v>
      </c>
      <c r="P853" s="9">
        <v>1.1798</v>
      </c>
      <c r="Q853" s="9">
        <v>19.053000000000001</v>
      </c>
      <c r="R853" s="9"/>
      <c r="S853" s="11"/>
    </row>
    <row r="854" spans="1:19" ht="15.75">
      <c r="A854" s="13">
        <v>67876</v>
      </c>
      <c r="B854" s="8">
        <f>30.7143 * CHOOSE(CONTROL!$C$15, $D$11, 100%, $F$11)</f>
        <v>30.714300000000001</v>
      </c>
      <c r="C854" s="8">
        <f>30.7246 * CHOOSE(CONTROL!$C$15, $D$11, 100%, $F$11)</f>
        <v>30.724599999999999</v>
      </c>
      <c r="D854" s="8">
        <f>30.737 * CHOOSE( CONTROL!$C$15, $D$11, 100%, $F$11)</f>
        <v>30.736999999999998</v>
      </c>
      <c r="E854" s="12">
        <f>30.7318 * CHOOSE( CONTROL!$C$15, $D$11, 100%, $F$11)</f>
        <v>30.7318</v>
      </c>
      <c r="F854" s="4">
        <f>31.4025 * CHOOSE(CONTROL!$C$15, $D$11, 100%, $F$11)</f>
        <v>31.4025</v>
      </c>
      <c r="G854" s="8">
        <f>30.1899 * CHOOSE( CONTROL!$C$15, $D$11, 100%, $F$11)</f>
        <v>30.189900000000002</v>
      </c>
      <c r="H854" s="4">
        <f>31.1231 * CHOOSE(CONTROL!$C$15, $D$11, 100%, $F$11)</f>
        <v>31.123100000000001</v>
      </c>
      <c r="I854" s="8">
        <f>29.7631 * CHOOSE(CONTROL!$C$15, $D$11, 100%, $F$11)</f>
        <v>29.763100000000001</v>
      </c>
      <c r="J854" s="4">
        <f>29.6787 * CHOOSE(CONTROL!$C$15, $D$11, 100%, $F$11)</f>
        <v>29.678699999999999</v>
      </c>
      <c r="K854" s="4"/>
      <c r="L854" s="9">
        <v>28.921800000000001</v>
      </c>
      <c r="M854" s="9">
        <v>12.063700000000001</v>
      </c>
      <c r="N854" s="9">
        <v>4.9444999999999997</v>
      </c>
      <c r="O854" s="9">
        <v>0.37459999999999999</v>
      </c>
      <c r="P854" s="9">
        <v>1.2192000000000001</v>
      </c>
      <c r="Q854" s="9">
        <v>19.688099999999999</v>
      </c>
      <c r="R854" s="9"/>
      <c r="S854" s="11"/>
    </row>
    <row r="855" spans="1:19" ht="15.75">
      <c r="A855" s="13">
        <v>67906</v>
      </c>
      <c r="B855" s="8">
        <f>33.1236 * CHOOSE(CONTROL!$C$15, $D$11, 100%, $F$11)</f>
        <v>33.123600000000003</v>
      </c>
      <c r="C855" s="8">
        <f>33.1339 * CHOOSE(CONTROL!$C$15, $D$11, 100%, $F$11)</f>
        <v>33.133899999999997</v>
      </c>
      <c r="D855" s="8">
        <f>33.12 * CHOOSE( CONTROL!$C$15, $D$11, 100%, $F$11)</f>
        <v>33.119999999999997</v>
      </c>
      <c r="E855" s="12">
        <f>33.124 * CHOOSE( CONTROL!$C$15, $D$11, 100%, $F$11)</f>
        <v>33.124000000000002</v>
      </c>
      <c r="F855" s="4">
        <f>33.7778 * CHOOSE(CONTROL!$C$15, $D$11, 100%, $F$11)</f>
        <v>33.777799999999999</v>
      </c>
      <c r="G855" s="8">
        <f>32.5774 * CHOOSE( CONTROL!$C$15, $D$11, 100%, $F$11)</f>
        <v>32.577399999999997</v>
      </c>
      <c r="H855" s="4">
        <f>33.46 * CHOOSE(CONTROL!$C$15, $D$11, 100%, $F$11)</f>
        <v>33.46</v>
      </c>
      <c r="I855" s="8">
        <f>32.1274 * CHOOSE(CONTROL!$C$15, $D$11, 100%, $F$11)</f>
        <v>32.127400000000002</v>
      </c>
      <c r="J855" s="4">
        <f>32.0087 * CHOOSE(CONTROL!$C$15, $D$11, 100%, $F$11)</f>
        <v>32.008699999999997</v>
      </c>
      <c r="K855" s="4"/>
      <c r="L855" s="9">
        <v>26.515499999999999</v>
      </c>
      <c r="M855" s="9">
        <v>11.6745</v>
      </c>
      <c r="N855" s="9">
        <v>4.7850000000000001</v>
      </c>
      <c r="O855" s="9">
        <v>0.36249999999999999</v>
      </c>
      <c r="P855" s="9">
        <v>1.2522</v>
      </c>
      <c r="Q855" s="9">
        <v>19.053000000000001</v>
      </c>
      <c r="R855" s="9"/>
      <c r="S855" s="11"/>
    </row>
    <row r="856" spans="1:19" ht="15.75">
      <c r="A856" s="13">
        <v>67937</v>
      </c>
      <c r="B856" s="8">
        <f>33.0634 * CHOOSE(CONTROL!$C$15, $D$11, 100%, $F$11)</f>
        <v>33.063400000000001</v>
      </c>
      <c r="C856" s="8">
        <f>33.0737 * CHOOSE(CONTROL!$C$15, $D$11, 100%, $F$11)</f>
        <v>33.073700000000002</v>
      </c>
      <c r="D856" s="8">
        <f>33.0622 * CHOOSE( CONTROL!$C$15, $D$11, 100%, $F$11)</f>
        <v>33.062199999999997</v>
      </c>
      <c r="E856" s="12">
        <f>33.0653 * CHOOSE( CONTROL!$C$15, $D$11, 100%, $F$11)</f>
        <v>33.065300000000001</v>
      </c>
      <c r="F856" s="4">
        <f>33.7176 * CHOOSE(CONTROL!$C$15, $D$11, 100%, $F$11)</f>
        <v>33.717599999999997</v>
      </c>
      <c r="G856" s="8">
        <f>32.52 * CHOOSE( CONTROL!$C$15, $D$11, 100%, $F$11)</f>
        <v>32.520000000000003</v>
      </c>
      <c r="H856" s="4">
        <f>33.4008 * CHOOSE(CONTROL!$C$15, $D$11, 100%, $F$11)</f>
        <v>33.400799999999997</v>
      </c>
      <c r="I856" s="8">
        <f>32.0771 * CHOOSE(CONTROL!$C$15, $D$11, 100%, $F$11)</f>
        <v>32.077100000000002</v>
      </c>
      <c r="J856" s="4">
        <f>31.9505 * CHOOSE(CONTROL!$C$15, $D$11, 100%, $F$11)</f>
        <v>31.950500000000002</v>
      </c>
      <c r="K856" s="4"/>
      <c r="L856" s="9">
        <v>27.3993</v>
      </c>
      <c r="M856" s="9">
        <v>12.063700000000001</v>
      </c>
      <c r="N856" s="9">
        <v>4.9444999999999997</v>
      </c>
      <c r="O856" s="9">
        <v>0.37459999999999999</v>
      </c>
      <c r="P856" s="9">
        <v>1.2939000000000001</v>
      </c>
      <c r="Q856" s="9">
        <v>19.688099999999999</v>
      </c>
      <c r="R856" s="9"/>
      <c r="S856" s="11"/>
    </row>
    <row r="857" spans="1:19" ht="15.75">
      <c r="A857" s="13">
        <v>67968</v>
      </c>
      <c r="B857" s="8">
        <f>34.326 * CHOOSE(CONTROL!$C$15, $D$11, 100%, $F$11)</f>
        <v>34.326000000000001</v>
      </c>
      <c r="C857" s="8">
        <f>34.3364 * CHOOSE(CONTROL!$C$15, $D$11, 100%, $F$11)</f>
        <v>34.336399999999998</v>
      </c>
      <c r="D857" s="8">
        <f>34.3348 * CHOOSE( CONTROL!$C$15, $D$11, 100%, $F$11)</f>
        <v>34.334800000000001</v>
      </c>
      <c r="E857" s="12">
        <f>34.3343 * CHOOSE( CONTROL!$C$15, $D$11, 100%, $F$11)</f>
        <v>34.334299999999999</v>
      </c>
      <c r="F857" s="4">
        <f>35.0087 * CHOOSE(CONTROL!$C$15, $D$11, 100%, $F$11)</f>
        <v>35.008699999999997</v>
      </c>
      <c r="G857" s="8">
        <f>33.7726 * CHOOSE( CONTROL!$C$15, $D$11, 100%, $F$11)</f>
        <v>33.772599999999997</v>
      </c>
      <c r="H857" s="4">
        <f>34.671 * CHOOSE(CONTROL!$C$15, $D$11, 100%, $F$11)</f>
        <v>34.670999999999999</v>
      </c>
      <c r="I857" s="8">
        <f>33.2968 * CHOOSE(CONTROL!$C$15, $D$11, 100%, $F$11)</f>
        <v>33.296799999999998</v>
      </c>
      <c r="J857" s="4">
        <f>33.1716 * CHOOSE(CONTROL!$C$15, $D$11, 100%, $F$11)</f>
        <v>33.171599999999998</v>
      </c>
      <c r="K857" s="4"/>
      <c r="L857" s="9">
        <v>27.3993</v>
      </c>
      <c r="M857" s="9">
        <v>12.063700000000001</v>
      </c>
      <c r="N857" s="9">
        <v>4.9444999999999997</v>
      </c>
      <c r="O857" s="9">
        <v>0.37459999999999999</v>
      </c>
      <c r="P857" s="9">
        <v>1.2939000000000001</v>
      </c>
      <c r="Q857" s="9">
        <v>19.688099999999999</v>
      </c>
      <c r="R857" s="9"/>
      <c r="S857" s="11"/>
    </row>
    <row r="858" spans="1:19" ht="15.75">
      <c r="A858" s="13">
        <v>67996</v>
      </c>
      <c r="B858" s="8">
        <f>32.1086 * CHOOSE(CONTROL!$C$15, $D$11, 100%, $F$11)</f>
        <v>32.108600000000003</v>
      </c>
      <c r="C858" s="8">
        <f>32.1189 * CHOOSE(CONTROL!$C$15, $D$11, 100%, $F$11)</f>
        <v>32.118899999999996</v>
      </c>
      <c r="D858" s="8">
        <f>32.1195 * CHOOSE( CONTROL!$C$15, $D$11, 100%, $F$11)</f>
        <v>32.119500000000002</v>
      </c>
      <c r="E858" s="12">
        <f>32.1182 * CHOOSE( CONTROL!$C$15, $D$11, 100%, $F$11)</f>
        <v>32.118200000000002</v>
      </c>
      <c r="F858" s="4">
        <f>32.7835 * CHOOSE(CONTROL!$C$15, $D$11, 100%, $F$11)</f>
        <v>32.783499999999997</v>
      </c>
      <c r="G858" s="8">
        <f>31.5908 * CHOOSE( CONTROL!$C$15, $D$11, 100%, $F$11)</f>
        <v>31.590800000000002</v>
      </c>
      <c r="H858" s="4">
        <f>32.4818 * CHOOSE(CONTROL!$C$15, $D$11, 100%, $F$11)</f>
        <v>32.4818</v>
      </c>
      <c r="I858" s="8">
        <f>31.1403 * CHOOSE(CONTROL!$C$15, $D$11, 100%, $F$11)</f>
        <v>31.1403</v>
      </c>
      <c r="J858" s="4">
        <f>31.0271 * CHOOSE(CONTROL!$C$15, $D$11, 100%, $F$11)</f>
        <v>31.027100000000001</v>
      </c>
      <c r="K858" s="4"/>
      <c r="L858" s="9">
        <v>24.747800000000002</v>
      </c>
      <c r="M858" s="9">
        <v>10.8962</v>
      </c>
      <c r="N858" s="9">
        <v>4.4660000000000002</v>
      </c>
      <c r="O858" s="9">
        <v>0.33829999999999999</v>
      </c>
      <c r="P858" s="9">
        <v>1.1687000000000001</v>
      </c>
      <c r="Q858" s="9">
        <v>17.782800000000002</v>
      </c>
      <c r="R858" s="9"/>
      <c r="S858" s="11"/>
    </row>
    <row r="859" spans="1:19" ht="15.75">
      <c r="A859" s="13">
        <v>68027</v>
      </c>
      <c r="B859" s="8">
        <f>31.4256 * CHOOSE(CONTROL!$C$15, $D$11, 100%, $F$11)</f>
        <v>31.425599999999999</v>
      </c>
      <c r="C859" s="8">
        <f>31.436 * CHOOSE(CONTROL!$C$15, $D$11, 100%, $F$11)</f>
        <v>31.436</v>
      </c>
      <c r="D859" s="8">
        <f>31.4161 * CHOOSE( CONTROL!$C$15, $D$11, 100%, $F$11)</f>
        <v>31.4161</v>
      </c>
      <c r="E859" s="12">
        <f>31.4223 * CHOOSE( CONTROL!$C$15, $D$11, 100%, $F$11)</f>
        <v>31.4223</v>
      </c>
      <c r="F859" s="4">
        <f>32.0845 * CHOOSE(CONTROL!$C$15, $D$11, 100%, $F$11)</f>
        <v>32.084499999999998</v>
      </c>
      <c r="G859" s="8">
        <f>30.8981 * CHOOSE( CONTROL!$C$15, $D$11, 100%, $F$11)</f>
        <v>30.898099999999999</v>
      </c>
      <c r="H859" s="4">
        <f>31.7941 * CHOOSE(CONTROL!$C$15, $D$11, 100%, $F$11)</f>
        <v>31.7941</v>
      </c>
      <c r="I859" s="8">
        <f>30.44 * CHOOSE(CONTROL!$C$15, $D$11, 100%, $F$11)</f>
        <v>30.44</v>
      </c>
      <c r="J859" s="4">
        <f>30.3666 * CHOOSE(CONTROL!$C$15, $D$11, 100%, $F$11)</f>
        <v>30.366599999999998</v>
      </c>
      <c r="K859" s="4"/>
      <c r="L859" s="9">
        <v>27.3993</v>
      </c>
      <c r="M859" s="9">
        <v>12.063700000000001</v>
      </c>
      <c r="N859" s="9">
        <v>4.9444999999999997</v>
      </c>
      <c r="O859" s="9">
        <v>0.37459999999999999</v>
      </c>
      <c r="P859" s="9">
        <v>1.2939000000000001</v>
      </c>
      <c r="Q859" s="9">
        <v>19.688099999999999</v>
      </c>
      <c r="R859" s="9"/>
      <c r="S859" s="11"/>
    </row>
    <row r="860" spans="1:19" ht="15.75">
      <c r="A860" s="13">
        <v>68057</v>
      </c>
      <c r="B860" s="8">
        <f>31.9029 * CHOOSE(CONTROL!$C$15, $D$11, 100%, $F$11)</f>
        <v>31.902899999999999</v>
      </c>
      <c r="C860" s="8">
        <f>31.9132 * CHOOSE(CONTROL!$C$15, $D$11, 100%, $F$11)</f>
        <v>31.9132</v>
      </c>
      <c r="D860" s="8">
        <f>31.9047 * CHOOSE( CONTROL!$C$15, $D$11, 100%, $F$11)</f>
        <v>31.904699999999998</v>
      </c>
      <c r="E860" s="12">
        <f>31.9063 * CHOOSE( CONTROL!$C$15, $D$11, 100%, $F$11)</f>
        <v>31.906300000000002</v>
      </c>
      <c r="F860" s="4">
        <f>32.552 * CHOOSE(CONTROL!$C$15, $D$11, 100%, $F$11)</f>
        <v>32.552</v>
      </c>
      <c r="G860" s="8">
        <f>31.3524 * CHOOSE( CONTROL!$C$15, $D$11, 100%, $F$11)</f>
        <v>31.352399999999999</v>
      </c>
      <c r="H860" s="4">
        <f>32.2539 * CHOOSE(CONTROL!$C$15, $D$11, 100%, $F$11)</f>
        <v>32.253900000000002</v>
      </c>
      <c r="I860" s="8">
        <f>30.8986 * CHOOSE(CONTROL!$C$15, $D$11, 100%, $F$11)</f>
        <v>30.898599999999998</v>
      </c>
      <c r="J860" s="4">
        <f>30.8282 * CHOOSE(CONTROL!$C$15, $D$11, 100%, $F$11)</f>
        <v>30.828199999999999</v>
      </c>
      <c r="K860" s="4"/>
      <c r="L860" s="9">
        <v>27.988800000000001</v>
      </c>
      <c r="M860" s="9">
        <v>11.6745</v>
      </c>
      <c r="N860" s="9">
        <v>4.7850000000000001</v>
      </c>
      <c r="O860" s="9">
        <v>0.36249999999999999</v>
      </c>
      <c r="P860" s="9">
        <v>1.1798</v>
      </c>
      <c r="Q860" s="9">
        <v>19.053000000000001</v>
      </c>
      <c r="R860" s="9"/>
      <c r="S860" s="11"/>
    </row>
    <row r="861" spans="1:19" ht="15.75">
      <c r="A861" s="13">
        <v>68088</v>
      </c>
      <c r="B861" s="8">
        <f>CHOOSE( CONTROL!$C$32, 32.7568, 32.7523) * CHOOSE(CONTROL!$C$15, $D$11, 100%, $F$11)</f>
        <v>32.756799999999998</v>
      </c>
      <c r="C861" s="8">
        <f>CHOOSE( CONTROL!$C$32, 32.7671, 32.7626) * CHOOSE(CONTROL!$C$15, $D$11, 100%, $F$11)</f>
        <v>32.767099999999999</v>
      </c>
      <c r="D861" s="8">
        <f>CHOOSE( CONTROL!$C$32, 32.7768, 32.7723) * CHOOSE( CONTROL!$C$15, $D$11, 100%, $F$11)</f>
        <v>32.776800000000001</v>
      </c>
      <c r="E861" s="12">
        <f>CHOOSE( CONTROL!$C$32, 32.7717, 32.7672) * CHOOSE( CONTROL!$C$15, $D$11, 100%, $F$11)</f>
        <v>32.771700000000003</v>
      </c>
      <c r="F861" s="4">
        <f>CHOOSE( CONTROL!$C$32, 33.4451, 33.4406) * CHOOSE(CONTROL!$C$15, $D$11, 100%, $F$11)</f>
        <v>33.445099999999996</v>
      </c>
      <c r="G861" s="8">
        <f>CHOOSE( CONTROL!$C$32, 32.1976, 32.1931) * CHOOSE( CONTROL!$C$15, $D$11, 100%, $F$11)</f>
        <v>32.197600000000001</v>
      </c>
      <c r="H861" s="4">
        <f>CHOOSE( CONTROL!$C$32, 33.1326, 33.1282) * CHOOSE(CONTROL!$C$15, $D$11, 100%, $F$11)</f>
        <v>33.132599999999996</v>
      </c>
      <c r="I861" s="8">
        <f>CHOOSE( CONTROL!$C$32, 31.7306, 31.7263) * CHOOSE(CONTROL!$C$15, $D$11, 100%, $F$11)</f>
        <v>31.730599999999999</v>
      </c>
      <c r="J861" s="4">
        <f>CHOOSE( CONTROL!$C$32, 31.654, 31.6496) * CHOOSE(CONTROL!$C$15, $D$11, 100%, $F$11)</f>
        <v>31.654</v>
      </c>
      <c r="K861" s="4"/>
      <c r="L861" s="9">
        <v>29.520499999999998</v>
      </c>
      <c r="M861" s="9">
        <v>12.063700000000001</v>
      </c>
      <c r="N861" s="9">
        <v>4.9444999999999997</v>
      </c>
      <c r="O861" s="9">
        <v>0.37459999999999999</v>
      </c>
      <c r="P861" s="9">
        <v>1.2192000000000001</v>
      </c>
      <c r="Q861" s="9">
        <v>19.688099999999999</v>
      </c>
      <c r="R861" s="9"/>
      <c r="S861" s="11"/>
    </row>
    <row r="862" spans="1:19" ht="15.75">
      <c r="A862" s="13">
        <v>68118</v>
      </c>
      <c r="B862" s="8">
        <f>CHOOSE( CONTROL!$C$32, 32.2306, 32.2261) * CHOOSE(CONTROL!$C$15, $D$11, 100%, $F$11)</f>
        <v>32.230600000000003</v>
      </c>
      <c r="C862" s="8">
        <f>CHOOSE( CONTROL!$C$32, 32.241, 32.2364) * CHOOSE(CONTROL!$C$15, $D$11, 100%, $F$11)</f>
        <v>32.241</v>
      </c>
      <c r="D862" s="8">
        <f>CHOOSE( CONTROL!$C$32, 32.2513, 32.2467) * CHOOSE( CONTROL!$C$15, $D$11, 100%, $F$11)</f>
        <v>32.251300000000001</v>
      </c>
      <c r="E862" s="12">
        <f>CHOOSE( CONTROL!$C$32, 32.246, 32.2414) * CHOOSE( CONTROL!$C$15, $D$11, 100%, $F$11)</f>
        <v>32.246000000000002</v>
      </c>
      <c r="F862" s="4">
        <f>CHOOSE( CONTROL!$C$32, 32.9189, 32.9144) * CHOOSE(CONTROL!$C$15, $D$11, 100%, $F$11)</f>
        <v>32.918900000000001</v>
      </c>
      <c r="G862" s="8">
        <f>CHOOSE( CONTROL!$C$32, 31.6809, 31.6764) * CHOOSE( CONTROL!$C$15, $D$11, 100%, $F$11)</f>
        <v>31.680900000000001</v>
      </c>
      <c r="H862" s="4">
        <f>CHOOSE( CONTROL!$C$32, 32.615, 32.6105) * CHOOSE(CONTROL!$C$15, $D$11, 100%, $F$11)</f>
        <v>32.615000000000002</v>
      </c>
      <c r="I862" s="8">
        <f>CHOOSE( CONTROL!$C$32, 31.2245, 31.2201) * CHOOSE(CONTROL!$C$15, $D$11, 100%, $F$11)</f>
        <v>31.224499999999999</v>
      </c>
      <c r="J862" s="4">
        <f>CHOOSE( CONTROL!$C$32, 31.1451, 31.1408) * CHOOSE(CONTROL!$C$15, $D$11, 100%, $F$11)</f>
        <v>31.145099999999999</v>
      </c>
      <c r="K862" s="4"/>
      <c r="L862" s="9">
        <v>28.568200000000001</v>
      </c>
      <c r="M862" s="9">
        <v>11.6745</v>
      </c>
      <c r="N862" s="9">
        <v>4.7850000000000001</v>
      </c>
      <c r="O862" s="9">
        <v>0.36249999999999999</v>
      </c>
      <c r="P862" s="9">
        <v>1.1798</v>
      </c>
      <c r="Q862" s="9">
        <v>19.053000000000001</v>
      </c>
      <c r="R862" s="9"/>
      <c r="S862" s="11"/>
    </row>
    <row r="863" spans="1:19" ht="15.75">
      <c r="A863" s="13">
        <v>68149</v>
      </c>
      <c r="B863" s="8">
        <f>CHOOSE( CONTROL!$C$32, 33.6162, 33.6117) * CHOOSE(CONTROL!$C$15, $D$11, 100%, $F$11)</f>
        <v>33.616199999999999</v>
      </c>
      <c r="C863" s="8">
        <f>CHOOSE( CONTROL!$C$32, 33.6265, 33.622) * CHOOSE(CONTROL!$C$15, $D$11, 100%, $F$11)</f>
        <v>33.6265</v>
      </c>
      <c r="D863" s="8">
        <f>CHOOSE( CONTROL!$C$32, 33.6374, 33.6329) * CHOOSE( CONTROL!$C$15, $D$11, 100%, $F$11)</f>
        <v>33.6374</v>
      </c>
      <c r="E863" s="12">
        <f>CHOOSE( CONTROL!$C$32, 33.6319, 33.6274) * CHOOSE( CONTROL!$C$15, $D$11, 100%, $F$11)</f>
        <v>33.631900000000002</v>
      </c>
      <c r="F863" s="4">
        <f>CHOOSE( CONTROL!$C$32, 34.3045, 34.3) * CHOOSE(CONTROL!$C$15, $D$11, 100%, $F$11)</f>
        <v>34.304499999999997</v>
      </c>
      <c r="G863" s="8">
        <f>CHOOSE( CONTROL!$C$32, 33.0449, 33.0404) * CHOOSE( CONTROL!$C$15, $D$11, 100%, $F$11)</f>
        <v>33.044899999999998</v>
      </c>
      <c r="H863" s="4">
        <f>CHOOSE( CONTROL!$C$32, 33.9781, 33.9737) * CHOOSE(CONTROL!$C$15, $D$11, 100%, $F$11)</f>
        <v>33.978099999999998</v>
      </c>
      <c r="I863" s="8">
        <f>CHOOSE( CONTROL!$C$32, 32.5679, 32.5635) * CHOOSE(CONTROL!$C$15, $D$11, 100%, $F$11)</f>
        <v>32.567900000000002</v>
      </c>
      <c r="J863" s="4">
        <f>CHOOSE( CONTROL!$C$32, 32.4851, 32.4807) * CHOOSE(CONTROL!$C$15, $D$11, 100%, $F$11)</f>
        <v>32.485100000000003</v>
      </c>
      <c r="K863" s="4"/>
      <c r="L863" s="9">
        <v>29.520499999999998</v>
      </c>
      <c r="M863" s="9">
        <v>12.063700000000001</v>
      </c>
      <c r="N863" s="9">
        <v>4.9444999999999997</v>
      </c>
      <c r="O863" s="9">
        <v>0.37459999999999999</v>
      </c>
      <c r="P863" s="9">
        <v>1.2192000000000001</v>
      </c>
      <c r="Q863" s="9">
        <v>19.688099999999999</v>
      </c>
      <c r="R863" s="9"/>
      <c r="S863" s="11"/>
    </row>
    <row r="864" spans="1:19" ht="15.75">
      <c r="A864" s="13">
        <v>68180</v>
      </c>
      <c r="B864" s="8">
        <f>CHOOSE( CONTROL!$C$32, 31.0236, 31.0191) * CHOOSE(CONTROL!$C$15, $D$11, 100%, $F$11)</f>
        <v>31.023599999999998</v>
      </c>
      <c r="C864" s="8">
        <f>CHOOSE( CONTROL!$C$32, 31.034, 31.0294) * CHOOSE(CONTROL!$C$15, $D$11, 100%, $F$11)</f>
        <v>31.033999999999999</v>
      </c>
      <c r="D864" s="8">
        <f>CHOOSE( CONTROL!$C$32, 31.0451, 31.0406) * CHOOSE( CONTROL!$C$15, $D$11, 100%, $F$11)</f>
        <v>31.045100000000001</v>
      </c>
      <c r="E864" s="12">
        <f>CHOOSE( CONTROL!$C$32, 31.0395, 31.035) * CHOOSE( CONTROL!$C$15, $D$11, 100%, $F$11)</f>
        <v>31.0395</v>
      </c>
      <c r="F864" s="4">
        <f>CHOOSE( CONTROL!$C$32, 31.7119, 31.7074) * CHOOSE(CONTROL!$C$15, $D$11, 100%, $F$11)</f>
        <v>31.7119</v>
      </c>
      <c r="G864" s="8">
        <f>CHOOSE( CONTROL!$C$32, 30.4947, 30.4902) * CHOOSE( CONTROL!$C$15, $D$11, 100%, $F$11)</f>
        <v>30.494700000000002</v>
      </c>
      <c r="H864" s="4">
        <f>CHOOSE( CONTROL!$C$32, 31.4275, 31.423) * CHOOSE(CONTROL!$C$15, $D$11, 100%, $F$11)</f>
        <v>31.427499999999998</v>
      </c>
      <c r="I864" s="8">
        <f>CHOOSE( CONTROL!$C$32, 30.0607, 30.0564) * CHOOSE(CONTROL!$C$15, $D$11, 100%, $F$11)</f>
        <v>30.060700000000001</v>
      </c>
      <c r="J864" s="4">
        <f>CHOOSE( CONTROL!$C$32, 29.9778, 29.9735) * CHOOSE(CONTROL!$C$15, $D$11, 100%, $F$11)</f>
        <v>29.977799999999998</v>
      </c>
      <c r="K864" s="4"/>
      <c r="L864" s="9">
        <v>29.520499999999998</v>
      </c>
      <c r="M864" s="9">
        <v>12.063700000000001</v>
      </c>
      <c r="N864" s="9">
        <v>4.9444999999999997</v>
      </c>
      <c r="O864" s="9">
        <v>0.37459999999999999</v>
      </c>
      <c r="P864" s="9">
        <v>1.2192000000000001</v>
      </c>
      <c r="Q864" s="9">
        <v>19.688099999999999</v>
      </c>
      <c r="R864" s="9"/>
      <c r="S864" s="11"/>
    </row>
    <row r="865" spans="1:19" ht="15.75">
      <c r="A865" s="13">
        <v>68210</v>
      </c>
      <c r="B865" s="8">
        <f>CHOOSE( CONTROL!$C$32, 30.3744, 30.3699) * CHOOSE(CONTROL!$C$15, $D$11, 100%, $F$11)</f>
        <v>30.374400000000001</v>
      </c>
      <c r="C865" s="8">
        <f>CHOOSE( CONTROL!$C$32, 30.3848, 30.3802) * CHOOSE(CONTROL!$C$15, $D$11, 100%, $F$11)</f>
        <v>30.384799999999998</v>
      </c>
      <c r="D865" s="8">
        <f>CHOOSE( CONTROL!$C$32, 30.396, 30.3915) * CHOOSE( CONTROL!$C$15, $D$11, 100%, $F$11)</f>
        <v>30.396000000000001</v>
      </c>
      <c r="E865" s="12">
        <f>CHOOSE( CONTROL!$C$32, 30.3904, 30.3858) * CHOOSE( CONTROL!$C$15, $D$11, 100%, $F$11)</f>
        <v>30.3904</v>
      </c>
      <c r="F865" s="4">
        <f>CHOOSE( CONTROL!$C$32, 31.0627, 31.0582) * CHOOSE(CONTROL!$C$15, $D$11, 100%, $F$11)</f>
        <v>31.0627</v>
      </c>
      <c r="G865" s="8">
        <f>CHOOSE( CONTROL!$C$32, 29.8561, 29.8516) * CHOOSE( CONTROL!$C$15, $D$11, 100%, $F$11)</f>
        <v>29.856100000000001</v>
      </c>
      <c r="H865" s="4">
        <f>CHOOSE( CONTROL!$C$32, 30.7888, 30.7843) * CHOOSE(CONTROL!$C$15, $D$11, 100%, $F$11)</f>
        <v>30.788799999999998</v>
      </c>
      <c r="I865" s="8">
        <f>CHOOSE( CONTROL!$C$32, 29.433, 29.4286) * CHOOSE(CONTROL!$C$15, $D$11, 100%, $F$11)</f>
        <v>29.433</v>
      </c>
      <c r="J865" s="4">
        <f>CHOOSE( CONTROL!$C$32, 29.35, 29.3456) * CHOOSE(CONTROL!$C$15, $D$11, 100%, $F$11)</f>
        <v>29.35</v>
      </c>
      <c r="K865" s="4"/>
      <c r="L865" s="9">
        <v>28.568200000000001</v>
      </c>
      <c r="M865" s="9">
        <v>11.6745</v>
      </c>
      <c r="N865" s="9">
        <v>4.7850000000000001</v>
      </c>
      <c r="O865" s="9">
        <v>0.36249999999999999</v>
      </c>
      <c r="P865" s="9">
        <v>1.1798</v>
      </c>
      <c r="Q865" s="9">
        <v>19.053000000000001</v>
      </c>
      <c r="R865" s="9"/>
      <c r="S865" s="11"/>
    </row>
    <row r="866" spans="1:19" ht="15.75">
      <c r="A866" s="13">
        <v>68241</v>
      </c>
      <c r="B866" s="8">
        <f>31.7179 * CHOOSE(CONTROL!$C$15, $D$11, 100%, $F$11)</f>
        <v>31.7179</v>
      </c>
      <c r="C866" s="8">
        <f>31.7282 * CHOOSE(CONTROL!$C$15, $D$11, 100%, $F$11)</f>
        <v>31.728200000000001</v>
      </c>
      <c r="D866" s="8">
        <f>31.7406 * CHOOSE( CONTROL!$C$15, $D$11, 100%, $F$11)</f>
        <v>31.740600000000001</v>
      </c>
      <c r="E866" s="12">
        <f>31.7354 * CHOOSE( CONTROL!$C$15, $D$11, 100%, $F$11)</f>
        <v>31.735399999999998</v>
      </c>
      <c r="F866" s="4">
        <f>32.4062 * CHOOSE(CONTROL!$C$15, $D$11, 100%, $F$11)</f>
        <v>32.406199999999998</v>
      </c>
      <c r="G866" s="8">
        <f>31.1773 * CHOOSE( CONTROL!$C$15, $D$11, 100%, $F$11)</f>
        <v>31.177299999999999</v>
      </c>
      <c r="H866" s="4">
        <f>32.1105 * CHOOSE(CONTROL!$C$15, $D$11, 100%, $F$11)</f>
        <v>32.110500000000002</v>
      </c>
      <c r="I866" s="8">
        <f>30.7342 * CHOOSE(CONTROL!$C$15, $D$11, 100%, $F$11)</f>
        <v>30.734200000000001</v>
      </c>
      <c r="J866" s="4">
        <f>30.6493 * CHOOSE(CONTROL!$C$15, $D$11, 100%, $F$11)</f>
        <v>30.6493</v>
      </c>
      <c r="K866" s="4"/>
      <c r="L866" s="9">
        <v>28.921800000000001</v>
      </c>
      <c r="M866" s="9">
        <v>12.063700000000001</v>
      </c>
      <c r="N866" s="9">
        <v>4.9444999999999997</v>
      </c>
      <c r="O866" s="9">
        <v>0.37459999999999999</v>
      </c>
      <c r="P866" s="9">
        <v>1.2192000000000001</v>
      </c>
      <c r="Q866" s="9">
        <v>19.688099999999999</v>
      </c>
      <c r="R866" s="9"/>
      <c r="S866" s="11"/>
    </row>
    <row r="867" spans="1:19" ht="15.75">
      <c r="A867" s="13">
        <v>68271</v>
      </c>
      <c r="B867" s="8">
        <f>34.206 * CHOOSE(CONTROL!$C$15, $D$11, 100%, $F$11)</f>
        <v>34.206000000000003</v>
      </c>
      <c r="C867" s="8">
        <f>34.2163 * CHOOSE(CONTROL!$C$15, $D$11, 100%, $F$11)</f>
        <v>34.216299999999997</v>
      </c>
      <c r="D867" s="8">
        <f>34.2024 * CHOOSE( CONTROL!$C$15, $D$11, 100%, $F$11)</f>
        <v>34.202399999999997</v>
      </c>
      <c r="E867" s="12">
        <f>34.2064 * CHOOSE( CONTROL!$C$15, $D$11, 100%, $F$11)</f>
        <v>34.206400000000002</v>
      </c>
      <c r="F867" s="4">
        <f>34.8602 * CHOOSE(CONTROL!$C$15, $D$11, 100%, $F$11)</f>
        <v>34.860199999999999</v>
      </c>
      <c r="G867" s="8">
        <f>33.6423 * CHOOSE( CONTROL!$C$15, $D$11, 100%, $F$11)</f>
        <v>33.642299999999999</v>
      </c>
      <c r="H867" s="4">
        <f>34.5249 * CHOOSE(CONTROL!$C$15, $D$11, 100%, $F$11)</f>
        <v>34.524900000000002</v>
      </c>
      <c r="I867" s="8">
        <f>33.1747 * CHOOSE(CONTROL!$C$15, $D$11, 100%, $F$11)</f>
        <v>33.174700000000001</v>
      </c>
      <c r="J867" s="4">
        <f>33.0555 * CHOOSE(CONTROL!$C$15, $D$11, 100%, $F$11)</f>
        <v>33.055500000000002</v>
      </c>
      <c r="K867" s="4"/>
      <c r="L867" s="9">
        <v>26.515499999999999</v>
      </c>
      <c r="M867" s="9">
        <v>11.6745</v>
      </c>
      <c r="N867" s="9">
        <v>4.7850000000000001</v>
      </c>
      <c r="O867" s="9">
        <v>0.36249999999999999</v>
      </c>
      <c r="P867" s="9">
        <v>1.2522</v>
      </c>
      <c r="Q867" s="9">
        <v>19.053000000000001</v>
      </c>
      <c r="R867" s="9"/>
      <c r="S867" s="11"/>
    </row>
    <row r="868" spans="1:19" ht="15.75">
      <c r="A868" s="13">
        <v>68302</v>
      </c>
      <c r="B868" s="8">
        <f>34.1438 * CHOOSE(CONTROL!$C$15, $D$11, 100%, $F$11)</f>
        <v>34.143799999999999</v>
      </c>
      <c r="C868" s="8">
        <f>34.1542 * CHOOSE(CONTROL!$C$15, $D$11, 100%, $F$11)</f>
        <v>34.154200000000003</v>
      </c>
      <c r="D868" s="8">
        <f>34.1427 * CHOOSE( CONTROL!$C$15, $D$11, 100%, $F$11)</f>
        <v>34.142699999999998</v>
      </c>
      <c r="E868" s="12">
        <f>34.1458 * CHOOSE( CONTROL!$C$15, $D$11, 100%, $F$11)</f>
        <v>34.145800000000001</v>
      </c>
      <c r="F868" s="4">
        <f>34.7981 * CHOOSE(CONTROL!$C$15, $D$11, 100%, $F$11)</f>
        <v>34.798099999999998</v>
      </c>
      <c r="G868" s="8">
        <f>33.583 * CHOOSE( CONTROL!$C$15, $D$11, 100%, $F$11)</f>
        <v>33.582999999999998</v>
      </c>
      <c r="H868" s="4">
        <f>34.4637 * CHOOSE(CONTROL!$C$15, $D$11, 100%, $F$11)</f>
        <v>34.463700000000003</v>
      </c>
      <c r="I868" s="8">
        <f>33.1225 * CHOOSE(CONTROL!$C$15, $D$11, 100%, $F$11)</f>
        <v>33.122500000000002</v>
      </c>
      <c r="J868" s="4">
        <f>32.9954 * CHOOSE(CONTROL!$C$15, $D$11, 100%, $F$11)</f>
        <v>32.995399999999997</v>
      </c>
      <c r="K868" s="4"/>
      <c r="L868" s="9">
        <v>27.3993</v>
      </c>
      <c r="M868" s="9">
        <v>12.063700000000001</v>
      </c>
      <c r="N868" s="9">
        <v>4.9444999999999997</v>
      </c>
      <c r="O868" s="9">
        <v>0.37459999999999999</v>
      </c>
      <c r="P868" s="9">
        <v>1.2939000000000001</v>
      </c>
      <c r="Q868" s="9">
        <v>19.688099999999999</v>
      </c>
      <c r="R868" s="9"/>
      <c r="S868" s="11"/>
    </row>
    <row r="869" spans="1:19" ht="15.75">
      <c r="A869" s="13">
        <v>68333</v>
      </c>
      <c r="B869" s="8">
        <f>35.4478 * CHOOSE(CONTROL!$C$15, $D$11, 100%, $F$11)</f>
        <v>35.447800000000001</v>
      </c>
      <c r="C869" s="8">
        <f>35.4581 * CHOOSE(CONTROL!$C$15, $D$11, 100%, $F$11)</f>
        <v>35.458100000000002</v>
      </c>
      <c r="D869" s="8">
        <f>35.4566 * CHOOSE( CONTROL!$C$15, $D$11, 100%, $F$11)</f>
        <v>35.456600000000002</v>
      </c>
      <c r="E869" s="12">
        <f>35.4561 * CHOOSE( CONTROL!$C$15, $D$11, 100%, $F$11)</f>
        <v>35.456099999999999</v>
      </c>
      <c r="F869" s="4">
        <f>36.1305 * CHOOSE(CONTROL!$C$15, $D$11, 100%, $F$11)</f>
        <v>36.130499999999998</v>
      </c>
      <c r="G869" s="8">
        <f>34.8762 * CHOOSE( CONTROL!$C$15, $D$11, 100%, $F$11)</f>
        <v>34.876199999999997</v>
      </c>
      <c r="H869" s="4">
        <f>35.7746 * CHOOSE(CONTROL!$C$15, $D$11, 100%, $F$11)</f>
        <v>35.7746</v>
      </c>
      <c r="I869" s="8">
        <f>34.3822 * CHOOSE(CONTROL!$C$15, $D$11, 100%, $F$11)</f>
        <v>34.382199999999997</v>
      </c>
      <c r="J869" s="4">
        <f>34.2564 * CHOOSE(CONTROL!$C$15, $D$11, 100%, $F$11)</f>
        <v>34.256399999999999</v>
      </c>
      <c r="K869" s="4"/>
      <c r="L869" s="9">
        <v>27.3993</v>
      </c>
      <c r="M869" s="9">
        <v>12.063700000000001</v>
      </c>
      <c r="N869" s="9">
        <v>4.9444999999999997</v>
      </c>
      <c r="O869" s="9">
        <v>0.37459999999999999</v>
      </c>
      <c r="P869" s="9">
        <v>1.2939000000000001</v>
      </c>
      <c r="Q869" s="9">
        <v>19.688099999999999</v>
      </c>
      <c r="R869" s="9"/>
      <c r="S869" s="11"/>
    </row>
    <row r="870" spans="1:19" ht="15.75">
      <c r="A870" s="13">
        <v>68361</v>
      </c>
      <c r="B870" s="8">
        <f>33.1578 * CHOOSE(CONTROL!$C$15, $D$11, 100%, $F$11)</f>
        <v>33.157800000000002</v>
      </c>
      <c r="C870" s="8">
        <f>33.1682 * CHOOSE(CONTROL!$C$15, $D$11, 100%, $F$11)</f>
        <v>33.168199999999999</v>
      </c>
      <c r="D870" s="8">
        <f>33.1687 * CHOOSE( CONTROL!$C$15, $D$11, 100%, $F$11)</f>
        <v>33.168700000000001</v>
      </c>
      <c r="E870" s="12">
        <f>33.1674 * CHOOSE( CONTROL!$C$15, $D$11, 100%, $F$11)</f>
        <v>33.167400000000001</v>
      </c>
      <c r="F870" s="4">
        <f>33.8328 * CHOOSE(CONTROL!$C$15, $D$11, 100%, $F$11)</f>
        <v>33.832799999999999</v>
      </c>
      <c r="G870" s="8">
        <f>32.623 * CHOOSE( CONTROL!$C$15, $D$11, 100%, $F$11)</f>
        <v>32.622999999999998</v>
      </c>
      <c r="H870" s="4">
        <f>33.514 * CHOOSE(CONTROL!$C$15, $D$11, 100%, $F$11)</f>
        <v>33.514000000000003</v>
      </c>
      <c r="I870" s="8">
        <f>32.1555 * CHOOSE(CONTROL!$C$15, $D$11, 100%, $F$11)</f>
        <v>32.155500000000004</v>
      </c>
      <c r="J870" s="4">
        <f>32.0418 * CHOOSE(CONTROL!$C$15, $D$11, 100%, $F$11)</f>
        <v>32.041800000000002</v>
      </c>
      <c r="K870" s="4"/>
      <c r="L870" s="9">
        <v>24.747800000000002</v>
      </c>
      <c r="M870" s="9">
        <v>10.8962</v>
      </c>
      <c r="N870" s="9">
        <v>4.4660000000000002</v>
      </c>
      <c r="O870" s="9">
        <v>0.33829999999999999</v>
      </c>
      <c r="P870" s="9">
        <v>1.1687000000000001</v>
      </c>
      <c r="Q870" s="9">
        <v>17.782800000000002</v>
      </c>
      <c r="R870" s="9"/>
      <c r="S870" s="11"/>
    </row>
    <row r="871" spans="1:19" ht="15.75">
      <c r="A871" s="13">
        <v>68392</v>
      </c>
      <c r="B871" s="8">
        <f>32.4525 * CHOOSE(CONTROL!$C$15, $D$11, 100%, $F$11)</f>
        <v>32.452500000000001</v>
      </c>
      <c r="C871" s="8">
        <f>32.4629 * CHOOSE(CONTROL!$C$15, $D$11, 100%, $F$11)</f>
        <v>32.462899999999998</v>
      </c>
      <c r="D871" s="8">
        <f>32.4429 * CHOOSE( CONTROL!$C$15, $D$11, 100%, $F$11)</f>
        <v>32.442900000000002</v>
      </c>
      <c r="E871" s="12">
        <f>32.4491 * CHOOSE( CONTROL!$C$15, $D$11, 100%, $F$11)</f>
        <v>32.449100000000001</v>
      </c>
      <c r="F871" s="4">
        <f>33.1114 * CHOOSE(CONTROL!$C$15, $D$11, 100%, $F$11)</f>
        <v>33.111400000000003</v>
      </c>
      <c r="G871" s="8">
        <f>31.9084 * CHOOSE( CONTROL!$C$15, $D$11, 100%, $F$11)</f>
        <v>31.9084</v>
      </c>
      <c r="H871" s="4">
        <f>32.8044 * CHOOSE(CONTROL!$C$15, $D$11, 100%, $F$11)</f>
        <v>32.804400000000001</v>
      </c>
      <c r="I871" s="8">
        <f>31.4336 * CHOOSE(CONTROL!$C$15, $D$11, 100%, $F$11)</f>
        <v>31.433599999999998</v>
      </c>
      <c r="J871" s="4">
        <f>31.3597 * CHOOSE(CONTROL!$C$15, $D$11, 100%, $F$11)</f>
        <v>31.3597</v>
      </c>
      <c r="K871" s="4"/>
      <c r="L871" s="9">
        <v>27.3993</v>
      </c>
      <c r="M871" s="9">
        <v>12.063700000000001</v>
      </c>
      <c r="N871" s="9">
        <v>4.9444999999999997</v>
      </c>
      <c r="O871" s="9">
        <v>0.37459999999999999</v>
      </c>
      <c r="P871" s="9">
        <v>1.2939000000000001</v>
      </c>
      <c r="Q871" s="9">
        <v>19.688099999999999</v>
      </c>
      <c r="R871" s="9"/>
      <c r="S871" s="11"/>
    </row>
    <row r="872" spans="1:19" ht="15.75">
      <c r="A872" s="13">
        <v>68422</v>
      </c>
      <c r="B872" s="8">
        <f>32.9454 * CHOOSE(CONTROL!$C$15, $D$11, 100%, $F$11)</f>
        <v>32.945399999999999</v>
      </c>
      <c r="C872" s="8">
        <f>32.9557 * CHOOSE(CONTROL!$C$15, $D$11, 100%, $F$11)</f>
        <v>32.9557</v>
      </c>
      <c r="D872" s="8">
        <f>32.9472 * CHOOSE( CONTROL!$C$15, $D$11, 100%, $F$11)</f>
        <v>32.947200000000002</v>
      </c>
      <c r="E872" s="12">
        <f>32.9488 * CHOOSE( CONTROL!$C$15, $D$11, 100%, $F$11)</f>
        <v>32.948799999999999</v>
      </c>
      <c r="F872" s="4">
        <f>33.5945 * CHOOSE(CONTROL!$C$15, $D$11, 100%, $F$11)</f>
        <v>33.594499999999996</v>
      </c>
      <c r="G872" s="8">
        <f>32.3781 * CHOOSE( CONTROL!$C$15, $D$11, 100%, $F$11)</f>
        <v>32.378100000000003</v>
      </c>
      <c r="H872" s="4">
        <f>33.2796 * CHOOSE(CONTROL!$C$15, $D$11, 100%, $F$11)</f>
        <v>33.279600000000002</v>
      </c>
      <c r="I872" s="8">
        <f>31.9073 * CHOOSE(CONTROL!$C$15, $D$11, 100%, $F$11)</f>
        <v>31.907299999999999</v>
      </c>
      <c r="J872" s="4">
        <f>31.8364 * CHOOSE(CONTROL!$C$15, $D$11, 100%, $F$11)</f>
        <v>31.836400000000001</v>
      </c>
      <c r="K872" s="4"/>
      <c r="L872" s="9">
        <v>27.988800000000001</v>
      </c>
      <c r="M872" s="9">
        <v>11.6745</v>
      </c>
      <c r="N872" s="9">
        <v>4.7850000000000001</v>
      </c>
      <c r="O872" s="9">
        <v>0.36249999999999999</v>
      </c>
      <c r="P872" s="9">
        <v>1.1798</v>
      </c>
      <c r="Q872" s="9">
        <v>19.053000000000001</v>
      </c>
      <c r="R872" s="9"/>
      <c r="S872" s="11"/>
    </row>
    <row r="873" spans="1:19" ht="15.75">
      <c r="A873" s="13">
        <v>68453</v>
      </c>
      <c r="B873" s="8">
        <f>CHOOSE( CONTROL!$C$32, 33.8271, 33.8225) * CHOOSE(CONTROL!$C$15, $D$11, 100%, $F$11)</f>
        <v>33.827100000000002</v>
      </c>
      <c r="C873" s="8">
        <f>CHOOSE( CONTROL!$C$32, 33.8374, 33.8329) * CHOOSE(CONTROL!$C$15, $D$11, 100%, $F$11)</f>
        <v>33.837400000000002</v>
      </c>
      <c r="D873" s="8">
        <f>CHOOSE( CONTROL!$C$32, 33.8471, 33.8426) * CHOOSE( CONTROL!$C$15, $D$11, 100%, $F$11)</f>
        <v>33.847099999999998</v>
      </c>
      <c r="E873" s="12">
        <f>CHOOSE( CONTROL!$C$32, 33.842, 33.8375) * CHOOSE( CONTROL!$C$15, $D$11, 100%, $F$11)</f>
        <v>33.841999999999999</v>
      </c>
      <c r="F873" s="4">
        <f>CHOOSE( CONTROL!$C$32, 34.5153, 34.5108) * CHOOSE(CONTROL!$C$15, $D$11, 100%, $F$11)</f>
        <v>34.515300000000003</v>
      </c>
      <c r="G873" s="8">
        <f>CHOOSE( CONTROL!$C$32, 33.2505, 33.2461) * CHOOSE( CONTROL!$C$15, $D$11, 100%, $F$11)</f>
        <v>33.250500000000002</v>
      </c>
      <c r="H873" s="4">
        <f>CHOOSE( CONTROL!$C$32, 34.1856, 34.1811) * CHOOSE(CONTROL!$C$15, $D$11, 100%, $F$11)</f>
        <v>34.185600000000001</v>
      </c>
      <c r="I873" s="8">
        <f>CHOOSE( CONTROL!$C$32, 32.7662, 32.7618) * CHOOSE(CONTROL!$C$15, $D$11, 100%, $F$11)</f>
        <v>32.766199999999998</v>
      </c>
      <c r="J873" s="4">
        <f>CHOOSE( CONTROL!$C$32, 32.689, 32.6847) * CHOOSE(CONTROL!$C$15, $D$11, 100%, $F$11)</f>
        <v>32.689</v>
      </c>
      <c r="K873" s="4"/>
      <c r="L873" s="9">
        <v>29.520499999999998</v>
      </c>
      <c r="M873" s="9">
        <v>12.063700000000001</v>
      </c>
      <c r="N873" s="9">
        <v>4.9444999999999997</v>
      </c>
      <c r="O873" s="9">
        <v>0.37459999999999999</v>
      </c>
      <c r="P873" s="9">
        <v>1.2192000000000001</v>
      </c>
      <c r="Q873" s="9">
        <v>19.688099999999999</v>
      </c>
      <c r="R873" s="9"/>
      <c r="S873" s="11"/>
    </row>
    <row r="874" spans="1:19" ht="15.75">
      <c r="A874" s="13">
        <v>68483</v>
      </c>
      <c r="B874" s="8">
        <f>CHOOSE( CONTROL!$C$32, 33.2837, 33.2792) * CHOOSE(CONTROL!$C$15, $D$11, 100%, $F$11)</f>
        <v>33.283700000000003</v>
      </c>
      <c r="C874" s="8">
        <f>CHOOSE( CONTROL!$C$32, 33.294, 33.2895) * CHOOSE(CONTROL!$C$15, $D$11, 100%, $F$11)</f>
        <v>33.293999999999997</v>
      </c>
      <c r="D874" s="8">
        <f>CHOOSE( CONTROL!$C$32, 33.3043, 33.2998) * CHOOSE( CONTROL!$C$15, $D$11, 100%, $F$11)</f>
        <v>33.304299999999998</v>
      </c>
      <c r="E874" s="12">
        <f>CHOOSE( CONTROL!$C$32, 33.299, 33.2945) * CHOOSE( CONTROL!$C$15, $D$11, 100%, $F$11)</f>
        <v>33.298999999999999</v>
      </c>
      <c r="F874" s="4">
        <f>CHOOSE( CONTROL!$C$32, 33.972, 33.9675) * CHOOSE(CONTROL!$C$15, $D$11, 100%, $F$11)</f>
        <v>33.972000000000001</v>
      </c>
      <c r="G874" s="8">
        <f>CHOOSE( CONTROL!$C$32, 32.7169, 32.7124) * CHOOSE( CONTROL!$C$15, $D$11, 100%, $F$11)</f>
        <v>32.716900000000003</v>
      </c>
      <c r="H874" s="4">
        <f>CHOOSE( CONTROL!$C$32, 33.651, 33.6465) * CHOOSE(CONTROL!$C$15, $D$11, 100%, $F$11)</f>
        <v>33.651000000000003</v>
      </c>
      <c r="I874" s="8">
        <f>CHOOSE( CONTROL!$C$32, 32.2434, 32.239) * CHOOSE(CONTROL!$C$15, $D$11, 100%, $F$11)</f>
        <v>32.243400000000001</v>
      </c>
      <c r="J874" s="4">
        <f>CHOOSE( CONTROL!$C$32, 32.1635, 32.1592) * CHOOSE(CONTROL!$C$15, $D$11, 100%, $F$11)</f>
        <v>32.163499999999999</v>
      </c>
      <c r="K874" s="4"/>
      <c r="L874" s="9">
        <v>28.568200000000001</v>
      </c>
      <c r="M874" s="9">
        <v>11.6745</v>
      </c>
      <c r="N874" s="9">
        <v>4.7850000000000001</v>
      </c>
      <c r="O874" s="9">
        <v>0.36249999999999999</v>
      </c>
      <c r="P874" s="9">
        <v>1.1798</v>
      </c>
      <c r="Q874" s="9">
        <v>19.053000000000001</v>
      </c>
      <c r="R874" s="9"/>
      <c r="S874" s="11"/>
    </row>
    <row r="875" spans="1:19" ht="15.75">
      <c r="A875" s="13">
        <v>68514</v>
      </c>
      <c r="B875" s="8">
        <f>CHOOSE( CONTROL!$C$32, 34.7146, 34.7101) * CHOOSE(CONTROL!$C$15, $D$11, 100%, $F$11)</f>
        <v>34.714599999999997</v>
      </c>
      <c r="C875" s="8">
        <f>CHOOSE( CONTROL!$C$32, 34.7249, 34.7204) * CHOOSE(CONTROL!$C$15, $D$11, 100%, $F$11)</f>
        <v>34.724899999999998</v>
      </c>
      <c r="D875" s="8">
        <f>CHOOSE( CONTROL!$C$32, 34.7358, 34.7313) * CHOOSE( CONTROL!$C$15, $D$11, 100%, $F$11)</f>
        <v>34.735799999999998</v>
      </c>
      <c r="E875" s="12">
        <f>CHOOSE( CONTROL!$C$32, 34.7303, 34.7258) * CHOOSE( CONTROL!$C$15, $D$11, 100%, $F$11)</f>
        <v>34.7303</v>
      </c>
      <c r="F875" s="4">
        <f>CHOOSE( CONTROL!$C$32, 35.4029, 35.3983) * CHOOSE(CONTROL!$C$15, $D$11, 100%, $F$11)</f>
        <v>35.402900000000002</v>
      </c>
      <c r="G875" s="8">
        <f>CHOOSE( CONTROL!$C$32, 34.1255, 34.121) * CHOOSE( CONTROL!$C$15, $D$11, 100%, $F$11)</f>
        <v>34.125500000000002</v>
      </c>
      <c r="H875" s="4">
        <f>CHOOSE( CONTROL!$C$32, 35.0587, 35.0543) * CHOOSE(CONTROL!$C$15, $D$11, 100%, $F$11)</f>
        <v>35.058700000000002</v>
      </c>
      <c r="I875" s="8">
        <f>CHOOSE( CONTROL!$C$32, 33.6306, 33.6263) * CHOOSE(CONTROL!$C$15, $D$11, 100%, $F$11)</f>
        <v>33.630600000000001</v>
      </c>
      <c r="J875" s="4">
        <f>CHOOSE( CONTROL!$C$32, 33.5474, 33.543) * CHOOSE(CONTROL!$C$15, $D$11, 100%, $F$11)</f>
        <v>33.547400000000003</v>
      </c>
      <c r="K875" s="4"/>
      <c r="L875" s="9">
        <v>29.520499999999998</v>
      </c>
      <c r="M875" s="9">
        <v>12.063700000000001</v>
      </c>
      <c r="N875" s="9">
        <v>4.9444999999999997</v>
      </c>
      <c r="O875" s="9">
        <v>0.37459999999999999</v>
      </c>
      <c r="P875" s="9">
        <v>1.2192000000000001</v>
      </c>
      <c r="Q875" s="9">
        <v>19.688099999999999</v>
      </c>
      <c r="R875" s="9"/>
      <c r="S875" s="11"/>
    </row>
    <row r="876" spans="1:19" ht="15.75">
      <c r="A876" s="13">
        <v>68545</v>
      </c>
      <c r="B876" s="8">
        <f>CHOOSE( CONTROL!$C$32, 32.0372, 32.0327) * CHOOSE(CONTROL!$C$15, $D$11, 100%, $F$11)</f>
        <v>32.037199999999999</v>
      </c>
      <c r="C876" s="8">
        <f>CHOOSE( CONTROL!$C$32, 32.0476, 32.043) * CHOOSE(CONTROL!$C$15, $D$11, 100%, $F$11)</f>
        <v>32.047600000000003</v>
      </c>
      <c r="D876" s="8">
        <f>CHOOSE( CONTROL!$C$32, 32.0587, 32.0542) * CHOOSE( CONTROL!$C$15, $D$11, 100%, $F$11)</f>
        <v>32.058700000000002</v>
      </c>
      <c r="E876" s="12">
        <f>CHOOSE( CONTROL!$C$32, 32.0531, 32.0486) * CHOOSE( CONTROL!$C$15, $D$11, 100%, $F$11)</f>
        <v>32.053100000000001</v>
      </c>
      <c r="F876" s="4">
        <f>CHOOSE( CONTROL!$C$32, 32.7255, 32.721) * CHOOSE(CONTROL!$C$15, $D$11, 100%, $F$11)</f>
        <v>32.725499999999997</v>
      </c>
      <c r="G876" s="8">
        <f>CHOOSE( CONTROL!$C$32, 31.4919, 31.4874) * CHOOSE( CONTROL!$C$15, $D$11, 100%, $F$11)</f>
        <v>31.491900000000001</v>
      </c>
      <c r="H876" s="4">
        <f>CHOOSE( CONTROL!$C$32, 32.4247, 32.4202) * CHOOSE(CONTROL!$C$15, $D$11, 100%, $F$11)</f>
        <v>32.424700000000001</v>
      </c>
      <c r="I876" s="8">
        <f>CHOOSE( CONTROL!$C$32, 31.0415, 31.0371) * CHOOSE(CONTROL!$C$15, $D$11, 100%, $F$11)</f>
        <v>31.041499999999999</v>
      </c>
      <c r="J876" s="4">
        <f>CHOOSE( CONTROL!$C$32, 30.9581, 30.9537) * CHOOSE(CONTROL!$C$15, $D$11, 100%, $F$11)</f>
        <v>30.958100000000002</v>
      </c>
      <c r="K876" s="4"/>
      <c r="L876" s="9">
        <v>29.520499999999998</v>
      </c>
      <c r="M876" s="9">
        <v>12.063700000000001</v>
      </c>
      <c r="N876" s="9">
        <v>4.9444999999999997</v>
      </c>
      <c r="O876" s="9">
        <v>0.37459999999999999</v>
      </c>
      <c r="P876" s="9">
        <v>1.2192000000000001</v>
      </c>
      <c r="Q876" s="9">
        <v>19.688099999999999</v>
      </c>
      <c r="R876" s="9"/>
      <c r="S876" s="11"/>
    </row>
    <row r="877" spans="1:19" ht="15.75">
      <c r="A877" s="13">
        <v>68575</v>
      </c>
      <c r="B877" s="8">
        <f>CHOOSE( CONTROL!$C$32, 31.3668, 31.3623) * CHOOSE(CONTROL!$C$15, $D$11, 100%, $F$11)</f>
        <v>31.366800000000001</v>
      </c>
      <c r="C877" s="8">
        <f>CHOOSE( CONTROL!$C$32, 31.3771, 31.3726) * CHOOSE(CONTROL!$C$15, $D$11, 100%, $F$11)</f>
        <v>31.377099999999999</v>
      </c>
      <c r="D877" s="8">
        <f>CHOOSE( CONTROL!$C$32, 31.3884, 31.3839) * CHOOSE( CONTROL!$C$15, $D$11, 100%, $F$11)</f>
        <v>31.388400000000001</v>
      </c>
      <c r="E877" s="12">
        <f>CHOOSE( CONTROL!$C$32, 31.3827, 31.3782) * CHOOSE( CONTROL!$C$15, $D$11, 100%, $F$11)</f>
        <v>31.3827</v>
      </c>
      <c r="F877" s="4">
        <f>CHOOSE( CONTROL!$C$32, 32.0551, 32.0505) * CHOOSE(CONTROL!$C$15, $D$11, 100%, $F$11)</f>
        <v>32.055100000000003</v>
      </c>
      <c r="G877" s="8">
        <f>CHOOSE( CONTROL!$C$32, 30.8324, 30.828) * CHOOSE( CONTROL!$C$15, $D$11, 100%, $F$11)</f>
        <v>30.8324</v>
      </c>
      <c r="H877" s="4">
        <f>CHOOSE( CONTROL!$C$32, 31.7651, 31.7606) * CHOOSE(CONTROL!$C$15, $D$11, 100%, $F$11)</f>
        <v>31.7651</v>
      </c>
      <c r="I877" s="8">
        <f>CHOOSE( CONTROL!$C$32, 30.3932, 30.3888) * CHOOSE(CONTROL!$C$15, $D$11, 100%, $F$11)</f>
        <v>30.3932</v>
      </c>
      <c r="J877" s="4">
        <f>CHOOSE( CONTROL!$C$32, 30.3097, 30.3053) * CHOOSE(CONTROL!$C$15, $D$11, 100%, $F$11)</f>
        <v>30.309699999999999</v>
      </c>
      <c r="K877" s="4"/>
      <c r="L877" s="9">
        <v>28.568200000000001</v>
      </c>
      <c r="M877" s="9">
        <v>11.6745</v>
      </c>
      <c r="N877" s="9">
        <v>4.7850000000000001</v>
      </c>
      <c r="O877" s="9">
        <v>0.36249999999999999</v>
      </c>
      <c r="P877" s="9">
        <v>1.1798</v>
      </c>
      <c r="Q877" s="9">
        <v>19.053000000000001</v>
      </c>
      <c r="R877" s="9"/>
      <c r="S877" s="11"/>
    </row>
    <row r="878" spans="1:19" ht="15.75">
      <c r="A878" s="13">
        <v>68606</v>
      </c>
      <c r="B878" s="8">
        <f>32.7543 * CHOOSE(CONTROL!$C$15, $D$11, 100%, $F$11)</f>
        <v>32.754300000000001</v>
      </c>
      <c r="C878" s="8">
        <f>32.7647 * CHOOSE(CONTROL!$C$15, $D$11, 100%, $F$11)</f>
        <v>32.764699999999998</v>
      </c>
      <c r="D878" s="8">
        <f>32.7771 * CHOOSE( CONTROL!$C$15, $D$11, 100%, $F$11)</f>
        <v>32.777099999999997</v>
      </c>
      <c r="E878" s="12">
        <f>32.7719 * CHOOSE( CONTROL!$C$15, $D$11, 100%, $F$11)</f>
        <v>32.771900000000002</v>
      </c>
      <c r="F878" s="4">
        <f>33.4426 * CHOOSE(CONTROL!$C$15, $D$11, 100%, $F$11)</f>
        <v>33.442599999999999</v>
      </c>
      <c r="G878" s="8">
        <f>32.197 * CHOOSE( CONTROL!$C$15, $D$11, 100%, $F$11)</f>
        <v>32.197000000000003</v>
      </c>
      <c r="H878" s="4">
        <f>33.1302 * CHOOSE(CONTROL!$C$15, $D$11, 100%, $F$11)</f>
        <v>33.130200000000002</v>
      </c>
      <c r="I878" s="8">
        <f>31.737 * CHOOSE(CONTROL!$C$15, $D$11, 100%, $F$11)</f>
        <v>31.736999999999998</v>
      </c>
      <c r="J878" s="4">
        <f>31.6516 * CHOOSE(CONTROL!$C$15, $D$11, 100%, $F$11)</f>
        <v>31.651599999999998</v>
      </c>
      <c r="K878" s="4"/>
      <c r="L878" s="9">
        <v>28.921800000000001</v>
      </c>
      <c r="M878" s="9">
        <v>12.063700000000001</v>
      </c>
      <c r="N878" s="9">
        <v>4.9444999999999997</v>
      </c>
      <c r="O878" s="9">
        <v>0.37459999999999999</v>
      </c>
      <c r="P878" s="9">
        <v>1.2192000000000001</v>
      </c>
      <c r="Q878" s="9">
        <v>19.688099999999999</v>
      </c>
      <c r="R878" s="9"/>
      <c r="S878" s="11"/>
    </row>
    <row r="879" spans="1:19" ht="15.75">
      <c r="A879" s="13">
        <v>68636</v>
      </c>
      <c r="B879" s="8">
        <f>35.3238 * CHOOSE(CONTROL!$C$15, $D$11, 100%, $F$11)</f>
        <v>35.323799999999999</v>
      </c>
      <c r="C879" s="8">
        <f>35.3341 * CHOOSE(CONTROL!$C$15, $D$11, 100%, $F$11)</f>
        <v>35.334099999999999</v>
      </c>
      <c r="D879" s="8">
        <f>35.3202 * CHOOSE( CONTROL!$C$15, $D$11, 100%, $F$11)</f>
        <v>35.3202</v>
      </c>
      <c r="E879" s="12">
        <f>35.3242 * CHOOSE( CONTROL!$C$15, $D$11, 100%, $F$11)</f>
        <v>35.324199999999998</v>
      </c>
      <c r="F879" s="4">
        <f>35.9781 * CHOOSE(CONTROL!$C$15, $D$11, 100%, $F$11)</f>
        <v>35.978099999999998</v>
      </c>
      <c r="G879" s="8">
        <f>34.7421 * CHOOSE( CONTROL!$C$15, $D$11, 100%, $F$11)</f>
        <v>34.742100000000001</v>
      </c>
      <c r="H879" s="4">
        <f>35.6246 * CHOOSE(CONTROL!$C$15, $D$11, 100%, $F$11)</f>
        <v>35.624600000000001</v>
      </c>
      <c r="I879" s="8">
        <f>34.2563 * CHOOSE(CONTROL!$C$15, $D$11, 100%, $F$11)</f>
        <v>34.256300000000003</v>
      </c>
      <c r="J879" s="4">
        <f>34.1365 * CHOOSE(CONTROL!$C$15, $D$11, 100%, $F$11)</f>
        <v>34.136499999999998</v>
      </c>
      <c r="K879" s="4"/>
      <c r="L879" s="9">
        <v>26.515499999999999</v>
      </c>
      <c r="M879" s="9">
        <v>11.6745</v>
      </c>
      <c r="N879" s="9">
        <v>4.7850000000000001</v>
      </c>
      <c r="O879" s="9">
        <v>0.36249999999999999</v>
      </c>
      <c r="P879" s="9">
        <v>1.2522</v>
      </c>
      <c r="Q879" s="9">
        <v>19.053000000000001</v>
      </c>
      <c r="R879" s="9"/>
      <c r="S879" s="11"/>
    </row>
    <row r="880" spans="1:19" ht="15.75">
      <c r="A880" s="13">
        <v>68667</v>
      </c>
      <c r="B880" s="8">
        <f>35.2596 * CHOOSE(CONTROL!$C$15, $D$11, 100%, $F$11)</f>
        <v>35.259599999999999</v>
      </c>
      <c r="C880" s="8">
        <f>35.2699 * CHOOSE(CONTROL!$C$15, $D$11, 100%, $F$11)</f>
        <v>35.2699</v>
      </c>
      <c r="D880" s="8">
        <f>35.2585 * CHOOSE( CONTROL!$C$15, $D$11, 100%, $F$11)</f>
        <v>35.258499999999998</v>
      </c>
      <c r="E880" s="12">
        <f>35.2616 * CHOOSE( CONTROL!$C$15, $D$11, 100%, $F$11)</f>
        <v>35.261600000000001</v>
      </c>
      <c r="F880" s="4">
        <f>35.9139 * CHOOSE(CONTROL!$C$15, $D$11, 100%, $F$11)</f>
        <v>35.913899999999998</v>
      </c>
      <c r="G880" s="8">
        <f>34.6807 * CHOOSE( CONTROL!$C$15, $D$11, 100%, $F$11)</f>
        <v>34.680700000000002</v>
      </c>
      <c r="H880" s="4">
        <f>35.5615 * CHOOSE(CONTROL!$C$15, $D$11, 100%, $F$11)</f>
        <v>35.561500000000002</v>
      </c>
      <c r="I880" s="8">
        <f>34.2021 * CHOOSE(CONTROL!$C$15, $D$11, 100%, $F$11)</f>
        <v>34.202100000000002</v>
      </c>
      <c r="J880" s="4">
        <f>34.0745 * CHOOSE(CONTROL!$C$15, $D$11, 100%, $F$11)</f>
        <v>34.0745</v>
      </c>
      <c r="K880" s="4"/>
      <c r="L880" s="9">
        <v>27.3993</v>
      </c>
      <c r="M880" s="9">
        <v>12.063700000000001</v>
      </c>
      <c r="N880" s="9">
        <v>4.9444999999999997</v>
      </c>
      <c r="O880" s="9">
        <v>0.37459999999999999</v>
      </c>
      <c r="P880" s="9">
        <v>1.2939000000000001</v>
      </c>
      <c r="Q880" s="9">
        <v>19.688099999999999</v>
      </c>
      <c r="R880" s="9"/>
      <c r="S880" s="11"/>
    </row>
    <row r="881" spans="1:19" ht="15.75">
      <c r="A881" s="13">
        <v>68698</v>
      </c>
      <c r="B881" s="8">
        <f>36.6062 * CHOOSE(CONTROL!$C$15, $D$11, 100%, $F$11)</f>
        <v>36.606200000000001</v>
      </c>
      <c r="C881" s="8">
        <f>36.6166 * CHOOSE(CONTROL!$C$15, $D$11, 100%, $F$11)</f>
        <v>36.616599999999998</v>
      </c>
      <c r="D881" s="8">
        <f>36.615 * CHOOSE( CONTROL!$C$15, $D$11, 100%, $F$11)</f>
        <v>36.615000000000002</v>
      </c>
      <c r="E881" s="12">
        <f>36.6145 * CHOOSE( CONTROL!$C$15, $D$11, 100%, $F$11)</f>
        <v>36.6145</v>
      </c>
      <c r="F881" s="4">
        <f>37.2889 * CHOOSE(CONTROL!$C$15, $D$11, 100%, $F$11)</f>
        <v>37.288899999999998</v>
      </c>
      <c r="G881" s="8">
        <f>36.0158 * CHOOSE( CONTROL!$C$15, $D$11, 100%, $F$11)</f>
        <v>36.015799999999999</v>
      </c>
      <c r="H881" s="4">
        <f>36.9143 * CHOOSE(CONTROL!$C$15, $D$11, 100%, $F$11)</f>
        <v>36.914299999999997</v>
      </c>
      <c r="I881" s="8">
        <f>35.503 * CHOOSE(CONTROL!$C$15, $D$11, 100%, $F$11)</f>
        <v>35.503</v>
      </c>
      <c r="J881" s="4">
        <f>35.3768 * CHOOSE(CONTROL!$C$15, $D$11, 100%, $F$11)</f>
        <v>35.376800000000003</v>
      </c>
      <c r="K881" s="4"/>
      <c r="L881" s="9">
        <v>27.3993</v>
      </c>
      <c r="M881" s="9">
        <v>12.063700000000001</v>
      </c>
      <c r="N881" s="9">
        <v>4.9444999999999997</v>
      </c>
      <c r="O881" s="9">
        <v>0.37459999999999999</v>
      </c>
      <c r="P881" s="9">
        <v>1.2939000000000001</v>
      </c>
      <c r="Q881" s="9">
        <v>19.688099999999999</v>
      </c>
      <c r="R881" s="9"/>
      <c r="S881" s="11"/>
    </row>
    <row r="882" spans="1:19" ht="15.75">
      <c r="A882" s="13">
        <v>68727</v>
      </c>
      <c r="B882" s="8">
        <f>34.2414 * CHOOSE(CONTROL!$C$15, $D$11, 100%, $F$11)</f>
        <v>34.241399999999999</v>
      </c>
      <c r="C882" s="8">
        <f>34.2517 * CHOOSE(CONTROL!$C$15, $D$11, 100%, $F$11)</f>
        <v>34.2517</v>
      </c>
      <c r="D882" s="8">
        <f>34.2522 * CHOOSE( CONTROL!$C$15, $D$11, 100%, $F$11)</f>
        <v>34.252200000000002</v>
      </c>
      <c r="E882" s="12">
        <f>34.2509 * CHOOSE( CONTROL!$C$15, $D$11, 100%, $F$11)</f>
        <v>34.250900000000001</v>
      </c>
      <c r="F882" s="4">
        <f>34.9163 * CHOOSE(CONTROL!$C$15, $D$11, 100%, $F$11)</f>
        <v>34.9163</v>
      </c>
      <c r="G882" s="8">
        <f>33.689 * CHOOSE( CONTROL!$C$15, $D$11, 100%, $F$11)</f>
        <v>33.689</v>
      </c>
      <c r="H882" s="4">
        <f>34.58 * CHOOSE(CONTROL!$C$15, $D$11, 100%, $F$11)</f>
        <v>34.58</v>
      </c>
      <c r="I882" s="8">
        <f>33.2039 * CHOOSE(CONTROL!$C$15, $D$11, 100%, $F$11)</f>
        <v>33.203899999999997</v>
      </c>
      <c r="J882" s="4">
        <f>33.0897 * CHOOSE(CONTROL!$C$15, $D$11, 100%, $F$11)</f>
        <v>33.089700000000001</v>
      </c>
      <c r="K882" s="4"/>
      <c r="L882" s="9">
        <v>25.631599999999999</v>
      </c>
      <c r="M882" s="9">
        <v>11.285299999999999</v>
      </c>
      <c r="N882" s="9">
        <v>4.6254999999999997</v>
      </c>
      <c r="O882" s="9">
        <v>0.35039999999999999</v>
      </c>
      <c r="P882" s="9">
        <v>1.2104999999999999</v>
      </c>
      <c r="Q882" s="9">
        <v>18.417899999999999</v>
      </c>
      <c r="R882" s="9"/>
      <c r="S882" s="11"/>
    </row>
    <row r="883" spans="1:19" ht="15.75">
      <c r="A883" s="13">
        <v>68758</v>
      </c>
      <c r="B883" s="8">
        <f>33.513 * CHOOSE(CONTROL!$C$15, $D$11, 100%, $F$11)</f>
        <v>33.512999999999998</v>
      </c>
      <c r="C883" s="8">
        <f>33.5233 * CHOOSE(CONTROL!$C$15, $D$11, 100%, $F$11)</f>
        <v>33.523299999999999</v>
      </c>
      <c r="D883" s="8">
        <f>33.5034 * CHOOSE( CONTROL!$C$15, $D$11, 100%, $F$11)</f>
        <v>33.503399999999999</v>
      </c>
      <c r="E883" s="12">
        <f>33.5096 * CHOOSE( CONTROL!$C$15, $D$11, 100%, $F$11)</f>
        <v>33.509599999999999</v>
      </c>
      <c r="F883" s="4">
        <f>34.1719 * CHOOSE(CONTROL!$C$15, $D$11, 100%, $F$11)</f>
        <v>34.171900000000001</v>
      </c>
      <c r="G883" s="8">
        <f>32.9517 * CHOOSE( CONTROL!$C$15, $D$11, 100%, $F$11)</f>
        <v>32.951700000000002</v>
      </c>
      <c r="H883" s="4">
        <f>33.8477 * CHOOSE(CONTROL!$C$15, $D$11, 100%, $F$11)</f>
        <v>33.847700000000003</v>
      </c>
      <c r="I883" s="8">
        <f>32.4597 * CHOOSE(CONTROL!$C$15, $D$11, 100%, $F$11)</f>
        <v>32.459699999999998</v>
      </c>
      <c r="J883" s="4">
        <f>32.3853 * CHOOSE(CONTROL!$C$15, $D$11, 100%, $F$11)</f>
        <v>32.385300000000001</v>
      </c>
      <c r="K883" s="4"/>
      <c r="L883" s="9">
        <v>27.3993</v>
      </c>
      <c r="M883" s="9">
        <v>12.063700000000001</v>
      </c>
      <c r="N883" s="9">
        <v>4.9444999999999997</v>
      </c>
      <c r="O883" s="9">
        <v>0.37459999999999999</v>
      </c>
      <c r="P883" s="9">
        <v>1.2939000000000001</v>
      </c>
      <c r="Q883" s="9">
        <v>19.688099999999999</v>
      </c>
      <c r="R883" s="9"/>
      <c r="S883" s="11"/>
    </row>
    <row r="884" spans="1:19" ht="15.75">
      <c r="A884" s="13">
        <v>68788</v>
      </c>
      <c r="B884" s="8">
        <f>34.022 * CHOOSE(CONTROL!$C$15, $D$11, 100%, $F$11)</f>
        <v>34.021999999999998</v>
      </c>
      <c r="C884" s="8">
        <f>34.0323 * CHOOSE(CONTROL!$C$15, $D$11, 100%, $F$11)</f>
        <v>34.032299999999999</v>
      </c>
      <c r="D884" s="8">
        <f>34.0238 * CHOOSE( CONTROL!$C$15, $D$11, 100%, $F$11)</f>
        <v>34.023800000000001</v>
      </c>
      <c r="E884" s="12">
        <f>34.0254 * CHOOSE( CONTROL!$C$15, $D$11, 100%, $F$11)</f>
        <v>34.025399999999998</v>
      </c>
      <c r="F884" s="4">
        <f>34.671 * CHOOSE(CONTROL!$C$15, $D$11, 100%, $F$11)</f>
        <v>34.670999999999999</v>
      </c>
      <c r="G884" s="8">
        <f>33.4372 * CHOOSE( CONTROL!$C$15, $D$11, 100%, $F$11)</f>
        <v>33.437199999999997</v>
      </c>
      <c r="H884" s="4">
        <f>34.3388 * CHOOSE(CONTROL!$C$15, $D$11, 100%, $F$11)</f>
        <v>34.338799999999999</v>
      </c>
      <c r="I884" s="8">
        <f>32.9489 * CHOOSE(CONTROL!$C$15, $D$11, 100%, $F$11)</f>
        <v>32.948900000000002</v>
      </c>
      <c r="J884" s="4">
        <f>32.8775 * CHOOSE(CONTROL!$C$15, $D$11, 100%, $F$11)</f>
        <v>32.877499999999998</v>
      </c>
      <c r="K884" s="4"/>
      <c r="L884" s="9">
        <v>27.988800000000001</v>
      </c>
      <c r="M884" s="9">
        <v>11.6745</v>
      </c>
      <c r="N884" s="9">
        <v>4.7850000000000001</v>
      </c>
      <c r="O884" s="9">
        <v>0.36249999999999999</v>
      </c>
      <c r="P884" s="9">
        <v>1.1798</v>
      </c>
      <c r="Q884" s="9">
        <v>19.053000000000001</v>
      </c>
      <c r="R884" s="9"/>
      <c r="S884" s="11"/>
    </row>
    <row r="885" spans="1:19" ht="15.75">
      <c r="A885" s="13">
        <v>68819</v>
      </c>
      <c r="B885" s="8">
        <f>CHOOSE( CONTROL!$C$32, 34.9323, 34.9278) * CHOOSE(CONTROL!$C$15, $D$11, 100%, $F$11)</f>
        <v>34.932299999999998</v>
      </c>
      <c r="C885" s="8">
        <f>CHOOSE( CONTROL!$C$32, 34.9427, 34.9381) * CHOOSE(CONTROL!$C$15, $D$11, 100%, $F$11)</f>
        <v>34.942700000000002</v>
      </c>
      <c r="D885" s="8">
        <f>CHOOSE( CONTROL!$C$32, 34.9524, 34.9478) * CHOOSE( CONTROL!$C$15, $D$11, 100%, $F$11)</f>
        <v>34.952399999999997</v>
      </c>
      <c r="E885" s="12">
        <f>CHOOSE( CONTROL!$C$32, 34.9473, 34.9427) * CHOOSE( CONTROL!$C$15, $D$11, 100%, $F$11)</f>
        <v>34.947299999999998</v>
      </c>
      <c r="F885" s="4">
        <f>CHOOSE( CONTROL!$C$32, 35.6206, 35.6161) * CHOOSE(CONTROL!$C$15, $D$11, 100%, $F$11)</f>
        <v>35.620600000000003</v>
      </c>
      <c r="G885" s="8">
        <f>CHOOSE( CONTROL!$C$32, 34.3379, 34.3335) * CHOOSE( CONTROL!$C$15, $D$11, 100%, $F$11)</f>
        <v>34.337899999999998</v>
      </c>
      <c r="H885" s="4">
        <f>CHOOSE( CONTROL!$C$32, 35.273, 35.2685) * CHOOSE(CONTROL!$C$15, $D$11, 100%, $F$11)</f>
        <v>35.273000000000003</v>
      </c>
      <c r="I885" s="8">
        <f>CHOOSE( CONTROL!$C$32, 33.8357, 33.8313) * CHOOSE(CONTROL!$C$15, $D$11, 100%, $F$11)</f>
        <v>33.835700000000003</v>
      </c>
      <c r="J885" s="4">
        <f>CHOOSE( CONTROL!$C$32, 33.7579, 33.7536) * CHOOSE(CONTROL!$C$15, $D$11, 100%, $F$11)</f>
        <v>33.757899999999999</v>
      </c>
      <c r="K885" s="4"/>
      <c r="L885" s="9">
        <v>29.520499999999998</v>
      </c>
      <c r="M885" s="9">
        <v>12.063700000000001</v>
      </c>
      <c r="N885" s="9">
        <v>4.9444999999999997</v>
      </c>
      <c r="O885" s="9">
        <v>0.37459999999999999</v>
      </c>
      <c r="P885" s="9">
        <v>1.2192000000000001</v>
      </c>
      <c r="Q885" s="9">
        <v>19.688099999999999</v>
      </c>
      <c r="R885" s="9"/>
      <c r="S885" s="11"/>
    </row>
    <row r="886" spans="1:19" ht="15.75">
      <c r="A886" s="13">
        <v>68849</v>
      </c>
      <c r="B886" s="8">
        <f>CHOOSE( CONTROL!$C$32, 34.3712, 34.3667) * CHOOSE(CONTROL!$C$15, $D$11, 100%, $F$11)</f>
        <v>34.371200000000002</v>
      </c>
      <c r="C886" s="8">
        <f>CHOOSE( CONTROL!$C$32, 34.3815, 34.377) * CHOOSE(CONTROL!$C$15, $D$11, 100%, $F$11)</f>
        <v>34.381500000000003</v>
      </c>
      <c r="D886" s="8">
        <f>CHOOSE( CONTROL!$C$32, 34.3918, 34.3873) * CHOOSE( CONTROL!$C$15, $D$11, 100%, $F$11)</f>
        <v>34.391800000000003</v>
      </c>
      <c r="E886" s="12">
        <f>CHOOSE( CONTROL!$C$32, 34.3865, 34.382) * CHOOSE( CONTROL!$C$15, $D$11, 100%, $F$11)</f>
        <v>34.386499999999998</v>
      </c>
      <c r="F886" s="4">
        <f>CHOOSE( CONTROL!$C$32, 35.0595, 35.055) * CHOOSE(CONTROL!$C$15, $D$11, 100%, $F$11)</f>
        <v>35.0595</v>
      </c>
      <c r="G886" s="8">
        <f>CHOOSE( CONTROL!$C$32, 33.7868, 33.7823) * CHOOSE( CONTROL!$C$15, $D$11, 100%, $F$11)</f>
        <v>33.786799999999999</v>
      </c>
      <c r="H886" s="4">
        <f>CHOOSE( CONTROL!$C$32, 34.7209, 34.7165) * CHOOSE(CONTROL!$C$15, $D$11, 100%, $F$11)</f>
        <v>34.7209</v>
      </c>
      <c r="I886" s="8">
        <f>CHOOSE( CONTROL!$C$32, 33.2957, 33.2913) * CHOOSE(CONTROL!$C$15, $D$11, 100%, $F$11)</f>
        <v>33.295699999999997</v>
      </c>
      <c r="J886" s="4">
        <f>CHOOSE( CONTROL!$C$32, 33.2153, 33.2109) * CHOOSE(CONTROL!$C$15, $D$11, 100%, $F$11)</f>
        <v>33.215299999999999</v>
      </c>
      <c r="K886" s="4"/>
      <c r="L886" s="9">
        <v>28.568200000000001</v>
      </c>
      <c r="M886" s="9">
        <v>11.6745</v>
      </c>
      <c r="N886" s="9">
        <v>4.7850000000000001</v>
      </c>
      <c r="O886" s="9">
        <v>0.36249999999999999</v>
      </c>
      <c r="P886" s="9">
        <v>1.1798</v>
      </c>
      <c r="Q886" s="9">
        <v>19.053000000000001</v>
      </c>
      <c r="R886" s="9"/>
      <c r="S886" s="11"/>
    </row>
    <row r="887" spans="1:19" ht="15.75">
      <c r="A887" s="13">
        <v>68880</v>
      </c>
      <c r="B887" s="8">
        <f>CHOOSE( CONTROL!$C$32, 35.8489, 35.8444) * CHOOSE(CONTROL!$C$15, $D$11, 100%, $F$11)</f>
        <v>35.8489</v>
      </c>
      <c r="C887" s="8">
        <f>CHOOSE( CONTROL!$C$32, 35.8592, 35.8547) * CHOOSE(CONTROL!$C$15, $D$11, 100%, $F$11)</f>
        <v>35.859200000000001</v>
      </c>
      <c r="D887" s="8">
        <f>CHOOSE( CONTROL!$C$32, 35.8701, 35.8656) * CHOOSE( CONTROL!$C$15, $D$11, 100%, $F$11)</f>
        <v>35.870100000000001</v>
      </c>
      <c r="E887" s="12">
        <f>CHOOSE( CONTROL!$C$32, 35.8646, 35.8601) * CHOOSE( CONTROL!$C$15, $D$11, 100%, $F$11)</f>
        <v>35.864600000000003</v>
      </c>
      <c r="F887" s="4">
        <f>CHOOSE( CONTROL!$C$32, 36.5372, 36.5326) * CHOOSE(CONTROL!$C$15, $D$11, 100%, $F$11)</f>
        <v>36.537199999999999</v>
      </c>
      <c r="G887" s="8">
        <f>CHOOSE( CONTROL!$C$32, 35.2414, 35.237) * CHOOSE( CONTROL!$C$15, $D$11, 100%, $F$11)</f>
        <v>35.241399999999999</v>
      </c>
      <c r="H887" s="4">
        <f>CHOOSE( CONTROL!$C$32, 36.1747, 36.1702) * CHOOSE(CONTROL!$C$15, $D$11, 100%, $F$11)</f>
        <v>36.174700000000001</v>
      </c>
      <c r="I887" s="8">
        <f>CHOOSE( CONTROL!$C$32, 34.7282, 34.7238) * CHOOSE(CONTROL!$C$15, $D$11, 100%, $F$11)</f>
        <v>34.728200000000001</v>
      </c>
      <c r="J887" s="4">
        <f>CHOOSE( CONTROL!$C$32, 34.6443, 34.64) * CHOOSE(CONTROL!$C$15, $D$11, 100%, $F$11)</f>
        <v>34.644300000000001</v>
      </c>
      <c r="K887" s="4"/>
      <c r="L887" s="9">
        <v>29.520499999999998</v>
      </c>
      <c r="M887" s="9">
        <v>12.063700000000001</v>
      </c>
      <c r="N887" s="9">
        <v>4.9444999999999997</v>
      </c>
      <c r="O887" s="9">
        <v>0.37459999999999999</v>
      </c>
      <c r="P887" s="9">
        <v>1.2192000000000001</v>
      </c>
      <c r="Q887" s="9">
        <v>19.688099999999999</v>
      </c>
      <c r="R887" s="9"/>
      <c r="S887" s="11"/>
    </row>
    <row r="888" spans="1:19" ht="15.75">
      <c r="A888" s="13">
        <v>68911</v>
      </c>
      <c r="B888" s="8">
        <f>CHOOSE( CONTROL!$C$32, 33.084, 33.0794) * CHOOSE(CONTROL!$C$15, $D$11, 100%, $F$11)</f>
        <v>33.084000000000003</v>
      </c>
      <c r="C888" s="8">
        <f>CHOOSE( CONTROL!$C$32, 33.0943, 33.0898) * CHOOSE(CONTROL!$C$15, $D$11, 100%, $F$11)</f>
        <v>33.094299999999997</v>
      </c>
      <c r="D888" s="8">
        <f>CHOOSE( CONTROL!$C$32, 33.1055, 33.1009) * CHOOSE( CONTROL!$C$15, $D$11, 100%, $F$11)</f>
        <v>33.105499999999999</v>
      </c>
      <c r="E888" s="12">
        <f>CHOOSE( CONTROL!$C$32, 33.0999, 33.0953) * CHOOSE( CONTROL!$C$15, $D$11, 100%, $F$11)</f>
        <v>33.099899999999998</v>
      </c>
      <c r="F888" s="4">
        <f>CHOOSE( CONTROL!$C$32, 33.7723, 33.7677) * CHOOSE(CONTROL!$C$15, $D$11, 100%, $F$11)</f>
        <v>33.772300000000001</v>
      </c>
      <c r="G888" s="8">
        <f>CHOOSE( CONTROL!$C$32, 32.5217, 32.5172) * CHOOSE( CONTROL!$C$15, $D$11, 100%, $F$11)</f>
        <v>32.521700000000003</v>
      </c>
      <c r="H888" s="4">
        <f>CHOOSE( CONTROL!$C$32, 33.4545, 33.45) * CHOOSE(CONTROL!$C$15, $D$11, 100%, $F$11)</f>
        <v>33.454500000000003</v>
      </c>
      <c r="I888" s="8">
        <f>CHOOSE( CONTROL!$C$32, 32.0543, 32.0499) * CHOOSE(CONTROL!$C$15, $D$11, 100%, $F$11)</f>
        <v>32.054299999999998</v>
      </c>
      <c r="J888" s="4">
        <f>CHOOSE( CONTROL!$C$32, 31.9704, 31.966) * CHOOSE(CONTROL!$C$15, $D$11, 100%, $F$11)</f>
        <v>31.970400000000001</v>
      </c>
      <c r="K888" s="4"/>
      <c r="L888" s="9">
        <v>29.520499999999998</v>
      </c>
      <c r="M888" s="9">
        <v>12.063700000000001</v>
      </c>
      <c r="N888" s="9">
        <v>4.9444999999999997</v>
      </c>
      <c r="O888" s="9">
        <v>0.37459999999999999</v>
      </c>
      <c r="P888" s="9">
        <v>1.2192000000000001</v>
      </c>
      <c r="Q888" s="9">
        <v>19.688099999999999</v>
      </c>
      <c r="R888" s="9"/>
      <c r="S888" s="11"/>
    </row>
    <row r="889" spans="1:19" ht="15.75">
      <c r="A889" s="13">
        <v>68941</v>
      </c>
      <c r="B889" s="8">
        <f>CHOOSE( CONTROL!$C$32, 32.3916, 32.3871) * CHOOSE(CONTROL!$C$15, $D$11, 100%, $F$11)</f>
        <v>32.391599999999997</v>
      </c>
      <c r="C889" s="8">
        <f>CHOOSE( CONTROL!$C$32, 32.4019, 32.3974) * CHOOSE(CONTROL!$C$15, $D$11, 100%, $F$11)</f>
        <v>32.401899999999998</v>
      </c>
      <c r="D889" s="8">
        <f>CHOOSE( CONTROL!$C$32, 32.4132, 32.4087) * CHOOSE( CONTROL!$C$15, $D$11, 100%, $F$11)</f>
        <v>32.413200000000003</v>
      </c>
      <c r="E889" s="12">
        <f>CHOOSE( CONTROL!$C$32, 32.4075, 32.403) * CHOOSE( CONTROL!$C$15, $D$11, 100%, $F$11)</f>
        <v>32.407499999999999</v>
      </c>
      <c r="F889" s="4">
        <f>CHOOSE( CONTROL!$C$32, 33.0799, 33.0754) * CHOOSE(CONTROL!$C$15, $D$11, 100%, $F$11)</f>
        <v>33.079900000000002</v>
      </c>
      <c r="G889" s="8">
        <f>CHOOSE( CONTROL!$C$32, 31.8406, 31.8362) * CHOOSE( CONTROL!$C$15, $D$11, 100%, $F$11)</f>
        <v>31.840599999999998</v>
      </c>
      <c r="H889" s="4">
        <f>CHOOSE( CONTROL!$C$32, 32.7733, 32.7689) * CHOOSE(CONTROL!$C$15, $D$11, 100%, $F$11)</f>
        <v>32.773299999999999</v>
      </c>
      <c r="I889" s="8">
        <f>CHOOSE( CONTROL!$C$32, 31.3848, 31.3804) * CHOOSE(CONTROL!$C$15, $D$11, 100%, $F$11)</f>
        <v>31.384799999999998</v>
      </c>
      <c r="J889" s="4">
        <f>CHOOSE( CONTROL!$C$32, 31.3008, 31.2964) * CHOOSE(CONTROL!$C$15, $D$11, 100%, $F$11)</f>
        <v>31.300799999999999</v>
      </c>
      <c r="K889" s="4"/>
      <c r="L889" s="9">
        <v>28.568200000000001</v>
      </c>
      <c r="M889" s="9">
        <v>11.6745</v>
      </c>
      <c r="N889" s="9">
        <v>4.7850000000000001</v>
      </c>
      <c r="O889" s="9">
        <v>0.36249999999999999</v>
      </c>
      <c r="P889" s="9">
        <v>1.1798</v>
      </c>
      <c r="Q889" s="9">
        <v>19.053000000000001</v>
      </c>
      <c r="R889" s="9"/>
      <c r="S889" s="11"/>
    </row>
    <row r="890" spans="1:19" ht="15.75">
      <c r="A890" s="13">
        <v>68972</v>
      </c>
      <c r="B890" s="8">
        <f>33.8247 * CHOOSE(CONTROL!$C$15, $D$11, 100%, $F$11)</f>
        <v>33.8247</v>
      </c>
      <c r="C890" s="8">
        <f>33.835 * CHOOSE(CONTROL!$C$15, $D$11, 100%, $F$11)</f>
        <v>33.835000000000001</v>
      </c>
      <c r="D890" s="8">
        <f>33.8474 * CHOOSE( CONTROL!$C$15, $D$11, 100%, $F$11)</f>
        <v>33.8474</v>
      </c>
      <c r="E890" s="12">
        <f>33.8422 * CHOOSE( CONTROL!$C$15, $D$11, 100%, $F$11)</f>
        <v>33.842199999999998</v>
      </c>
      <c r="F890" s="4">
        <f>34.513 * CHOOSE(CONTROL!$C$15, $D$11, 100%, $F$11)</f>
        <v>34.512999999999998</v>
      </c>
      <c r="G890" s="8">
        <f>33.25 * CHOOSE( CONTROL!$C$15, $D$11, 100%, $F$11)</f>
        <v>33.25</v>
      </c>
      <c r="H890" s="4">
        <f>34.1832 * CHOOSE(CONTROL!$C$15, $D$11, 100%, $F$11)</f>
        <v>34.183199999999999</v>
      </c>
      <c r="I890" s="8">
        <f>32.7727 * CHOOSE(CONTROL!$C$15, $D$11, 100%, $F$11)</f>
        <v>32.7727</v>
      </c>
      <c r="J890" s="4">
        <f>32.6867 * CHOOSE(CONTROL!$C$15, $D$11, 100%, $F$11)</f>
        <v>32.686700000000002</v>
      </c>
      <c r="K890" s="4"/>
      <c r="L890" s="9">
        <v>28.921800000000001</v>
      </c>
      <c r="M890" s="9">
        <v>12.063700000000001</v>
      </c>
      <c r="N890" s="9">
        <v>4.9444999999999997</v>
      </c>
      <c r="O890" s="9">
        <v>0.37459999999999999</v>
      </c>
      <c r="P890" s="9">
        <v>1.2192000000000001</v>
      </c>
      <c r="Q890" s="9">
        <v>19.688099999999999</v>
      </c>
      <c r="R890" s="9"/>
      <c r="S890" s="11"/>
    </row>
    <row r="891" spans="1:19" ht="15.75">
      <c r="A891" s="13">
        <v>69002</v>
      </c>
      <c r="B891" s="8">
        <f>36.4782 * CHOOSE(CONTROL!$C$15, $D$11, 100%, $F$11)</f>
        <v>36.478200000000001</v>
      </c>
      <c r="C891" s="8">
        <f>36.4885 * CHOOSE(CONTROL!$C$15, $D$11, 100%, $F$11)</f>
        <v>36.488500000000002</v>
      </c>
      <c r="D891" s="8">
        <f>36.4746 * CHOOSE( CONTROL!$C$15, $D$11, 100%, $F$11)</f>
        <v>36.474600000000002</v>
      </c>
      <c r="E891" s="12">
        <f>36.4786 * CHOOSE( CONTROL!$C$15, $D$11, 100%, $F$11)</f>
        <v>36.4786</v>
      </c>
      <c r="F891" s="4">
        <f>37.1324 * CHOOSE(CONTROL!$C$15, $D$11, 100%, $F$11)</f>
        <v>37.132399999999997</v>
      </c>
      <c r="G891" s="8">
        <f>35.8778 * CHOOSE( CONTROL!$C$15, $D$11, 100%, $F$11)</f>
        <v>35.877800000000001</v>
      </c>
      <c r="H891" s="4">
        <f>36.7603 * CHOOSE(CONTROL!$C$15, $D$11, 100%, $F$11)</f>
        <v>36.760300000000001</v>
      </c>
      <c r="I891" s="8">
        <f>35.3732 * CHOOSE(CONTROL!$C$15, $D$11, 100%, $F$11)</f>
        <v>35.373199999999997</v>
      </c>
      <c r="J891" s="4">
        <f>35.2529 * CHOOSE(CONTROL!$C$15, $D$11, 100%, $F$11)</f>
        <v>35.252899999999997</v>
      </c>
      <c r="K891" s="4"/>
      <c r="L891" s="9">
        <v>26.515499999999999</v>
      </c>
      <c r="M891" s="9">
        <v>11.6745</v>
      </c>
      <c r="N891" s="9">
        <v>4.7850000000000001</v>
      </c>
      <c r="O891" s="9">
        <v>0.36249999999999999</v>
      </c>
      <c r="P891" s="9">
        <v>1.2522</v>
      </c>
      <c r="Q891" s="9">
        <v>19.053000000000001</v>
      </c>
      <c r="R891" s="9"/>
      <c r="S891" s="11"/>
    </row>
    <row r="892" spans="1:19" ht="15.75">
      <c r="A892" s="13">
        <v>69033</v>
      </c>
      <c r="B892" s="8">
        <f>36.4119 * CHOOSE(CONTROL!$C$15, $D$11, 100%, $F$11)</f>
        <v>36.411900000000003</v>
      </c>
      <c r="C892" s="8">
        <f>36.4222 * CHOOSE(CONTROL!$C$15, $D$11, 100%, $F$11)</f>
        <v>36.422199999999997</v>
      </c>
      <c r="D892" s="8">
        <f>36.4107 * CHOOSE( CONTROL!$C$15, $D$11, 100%, $F$11)</f>
        <v>36.410699999999999</v>
      </c>
      <c r="E892" s="12">
        <f>36.4138 * CHOOSE( CONTROL!$C$15, $D$11, 100%, $F$11)</f>
        <v>36.413800000000002</v>
      </c>
      <c r="F892" s="4">
        <f>37.0661 * CHOOSE(CONTROL!$C$15, $D$11, 100%, $F$11)</f>
        <v>37.066099999999999</v>
      </c>
      <c r="G892" s="8">
        <f>35.8144 * CHOOSE( CONTROL!$C$15, $D$11, 100%, $F$11)</f>
        <v>35.814399999999999</v>
      </c>
      <c r="H892" s="4">
        <f>36.6951 * CHOOSE(CONTROL!$C$15, $D$11, 100%, $F$11)</f>
        <v>36.695099999999996</v>
      </c>
      <c r="I892" s="8">
        <f>35.317 * CHOOSE(CONTROL!$C$15, $D$11, 100%, $F$11)</f>
        <v>35.317</v>
      </c>
      <c r="J892" s="4">
        <f>35.1888 * CHOOSE(CONTROL!$C$15, $D$11, 100%, $F$11)</f>
        <v>35.188800000000001</v>
      </c>
      <c r="K892" s="4"/>
      <c r="L892" s="9">
        <v>27.3993</v>
      </c>
      <c r="M892" s="9">
        <v>12.063700000000001</v>
      </c>
      <c r="N892" s="9">
        <v>4.9444999999999997</v>
      </c>
      <c r="O892" s="9">
        <v>0.37459999999999999</v>
      </c>
      <c r="P892" s="9">
        <v>1.2939000000000001</v>
      </c>
      <c r="Q892" s="9">
        <v>19.688099999999999</v>
      </c>
      <c r="R892" s="9"/>
      <c r="S892" s="11"/>
    </row>
    <row r="893" spans="1:19" ht="15.75">
      <c r="A893" s="13">
        <v>69064</v>
      </c>
      <c r="B893" s="8">
        <f>37.8025 * CHOOSE(CONTROL!$C$15, $D$11, 100%, $F$11)</f>
        <v>37.802500000000002</v>
      </c>
      <c r="C893" s="8">
        <f>37.8129 * CHOOSE(CONTROL!$C$15, $D$11, 100%, $F$11)</f>
        <v>37.812899999999999</v>
      </c>
      <c r="D893" s="8">
        <f>37.8113 * CHOOSE( CONTROL!$C$15, $D$11, 100%, $F$11)</f>
        <v>37.811300000000003</v>
      </c>
      <c r="E893" s="12">
        <f>37.8108 * CHOOSE( CONTROL!$C$15, $D$11, 100%, $F$11)</f>
        <v>37.8108</v>
      </c>
      <c r="F893" s="4">
        <f>38.4852 * CHOOSE(CONTROL!$C$15, $D$11, 100%, $F$11)</f>
        <v>38.485199999999999</v>
      </c>
      <c r="G893" s="8">
        <f>37.1928 * CHOOSE( CONTROL!$C$15, $D$11, 100%, $F$11)</f>
        <v>37.192799999999998</v>
      </c>
      <c r="H893" s="4">
        <f>38.0912 * CHOOSE(CONTROL!$C$15, $D$11, 100%, $F$11)</f>
        <v>38.091200000000001</v>
      </c>
      <c r="I893" s="8">
        <f>36.6606 * CHOOSE(CONTROL!$C$15, $D$11, 100%, $F$11)</f>
        <v>36.660600000000002</v>
      </c>
      <c r="J893" s="4">
        <f>36.5337 * CHOOSE(CONTROL!$C$15, $D$11, 100%, $F$11)</f>
        <v>36.533700000000003</v>
      </c>
      <c r="K893" s="4"/>
      <c r="L893" s="9">
        <v>27.3993</v>
      </c>
      <c r="M893" s="9">
        <v>12.063700000000001</v>
      </c>
      <c r="N893" s="9">
        <v>4.9444999999999997</v>
      </c>
      <c r="O893" s="9">
        <v>0.37459999999999999</v>
      </c>
      <c r="P893" s="9">
        <v>1.2939000000000001</v>
      </c>
      <c r="Q893" s="9">
        <v>19.688099999999999</v>
      </c>
      <c r="R893" s="9"/>
      <c r="S893" s="11"/>
    </row>
    <row r="894" spans="1:19" ht="15.75">
      <c r="A894" s="13">
        <v>69092</v>
      </c>
      <c r="B894" s="8">
        <f>35.3603 * CHOOSE(CONTROL!$C$15, $D$11, 100%, $F$11)</f>
        <v>35.360300000000002</v>
      </c>
      <c r="C894" s="8">
        <f>35.3707 * CHOOSE(CONTROL!$C$15, $D$11, 100%, $F$11)</f>
        <v>35.370699999999999</v>
      </c>
      <c r="D894" s="8">
        <f>35.3712 * CHOOSE( CONTROL!$C$15, $D$11, 100%, $F$11)</f>
        <v>35.371200000000002</v>
      </c>
      <c r="E894" s="12">
        <f>35.3699 * CHOOSE( CONTROL!$C$15, $D$11, 100%, $F$11)</f>
        <v>35.369900000000001</v>
      </c>
      <c r="F894" s="4">
        <f>36.0353 * CHOOSE(CONTROL!$C$15, $D$11, 100%, $F$11)</f>
        <v>36.035299999999999</v>
      </c>
      <c r="G894" s="8">
        <f>34.7899 * CHOOSE( CONTROL!$C$15, $D$11, 100%, $F$11)</f>
        <v>34.789900000000003</v>
      </c>
      <c r="H894" s="4">
        <f>35.6809 * CHOOSE(CONTROL!$C$15, $D$11, 100%, $F$11)</f>
        <v>35.680900000000001</v>
      </c>
      <c r="I894" s="8">
        <f>34.2866 * CHOOSE(CONTROL!$C$15, $D$11, 100%, $F$11)</f>
        <v>34.2866</v>
      </c>
      <c r="J894" s="4">
        <f>34.1719 * CHOOSE(CONTROL!$C$15, $D$11, 100%, $F$11)</f>
        <v>34.171900000000001</v>
      </c>
      <c r="K894" s="4"/>
      <c r="L894" s="9">
        <v>24.747800000000002</v>
      </c>
      <c r="M894" s="9">
        <v>10.8962</v>
      </c>
      <c r="N894" s="9">
        <v>4.4660000000000002</v>
      </c>
      <c r="O894" s="9">
        <v>0.33829999999999999</v>
      </c>
      <c r="P894" s="9">
        <v>1.1687000000000001</v>
      </c>
      <c r="Q894" s="9">
        <v>17.782800000000002</v>
      </c>
      <c r="R894" s="9"/>
      <c r="S894" s="11"/>
    </row>
    <row r="895" spans="1:19" ht="15.75">
      <c r="A895" s="13">
        <v>69123</v>
      </c>
      <c r="B895" s="8">
        <f>34.6081 * CHOOSE(CONTROL!$C$15, $D$11, 100%, $F$11)</f>
        <v>34.6081</v>
      </c>
      <c r="C895" s="8">
        <f>34.6185 * CHOOSE(CONTROL!$C$15, $D$11, 100%, $F$11)</f>
        <v>34.618499999999997</v>
      </c>
      <c r="D895" s="8">
        <f>34.5986 * CHOOSE( CONTROL!$C$15, $D$11, 100%, $F$11)</f>
        <v>34.598599999999998</v>
      </c>
      <c r="E895" s="12">
        <f>34.6048 * CHOOSE( CONTROL!$C$15, $D$11, 100%, $F$11)</f>
        <v>34.604799999999997</v>
      </c>
      <c r="F895" s="4">
        <f>35.2671 * CHOOSE(CONTROL!$C$15, $D$11, 100%, $F$11)</f>
        <v>35.267099999999999</v>
      </c>
      <c r="G895" s="8">
        <f>34.0291 * CHOOSE( CONTROL!$C$15, $D$11, 100%, $F$11)</f>
        <v>34.0291</v>
      </c>
      <c r="H895" s="4">
        <f>34.9251 * CHOOSE(CONTROL!$C$15, $D$11, 100%, $F$11)</f>
        <v>34.9251</v>
      </c>
      <c r="I895" s="8">
        <f>33.5193 * CHOOSE(CONTROL!$C$15, $D$11, 100%, $F$11)</f>
        <v>33.519300000000001</v>
      </c>
      <c r="J895" s="4">
        <f>33.4444 * CHOOSE(CONTROL!$C$15, $D$11, 100%, $F$11)</f>
        <v>33.444400000000002</v>
      </c>
      <c r="K895" s="4"/>
      <c r="L895" s="9">
        <v>27.3993</v>
      </c>
      <c r="M895" s="9">
        <v>12.063700000000001</v>
      </c>
      <c r="N895" s="9">
        <v>4.9444999999999997</v>
      </c>
      <c r="O895" s="9">
        <v>0.37459999999999999</v>
      </c>
      <c r="P895" s="9">
        <v>1.2939000000000001</v>
      </c>
      <c r="Q895" s="9">
        <v>19.688099999999999</v>
      </c>
      <c r="R895" s="9"/>
      <c r="S895" s="11"/>
    </row>
    <row r="896" spans="1:19" ht="15.75">
      <c r="A896" s="13">
        <v>69153</v>
      </c>
      <c r="B896" s="8">
        <f>35.1338 * CHOOSE(CONTROL!$C$15, $D$11, 100%, $F$11)</f>
        <v>35.133800000000001</v>
      </c>
      <c r="C896" s="8">
        <f>35.1441 * CHOOSE(CONTROL!$C$15, $D$11, 100%, $F$11)</f>
        <v>35.144100000000002</v>
      </c>
      <c r="D896" s="8">
        <f>35.1356 * CHOOSE( CONTROL!$C$15, $D$11, 100%, $F$11)</f>
        <v>35.135599999999997</v>
      </c>
      <c r="E896" s="12">
        <f>35.1372 * CHOOSE( CONTROL!$C$15, $D$11, 100%, $F$11)</f>
        <v>35.1372</v>
      </c>
      <c r="F896" s="4">
        <f>35.7828 * CHOOSE(CONTROL!$C$15, $D$11, 100%, $F$11)</f>
        <v>35.782800000000002</v>
      </c>
      <c r="G896" s="8">
        <f>34.531 * CHOOSE( CONTROL!$C$15, $D$11, 100%, $F$11)</f>
        <v>34.530999999999999</v>
      </c>
      <c r="H896" s="4">
        <f>35.4326 * CHOOSE(CONTROL!$C$15, $D$11, 100%, $F$11)</f>
        <v>35.432600000000001</v>
      </c>
      <c r="I896" s="8">
        <f>34.0247 * CHOOSE(CONTROL!$C$15, $D$11, 100%, $F$11)</f>
        <v>34.024700000000003</v>
      </c>
      <c r="J896" s="4">
        <f>33.9527 * CHOOSE(CONTROL!$C$15, $D$11, 100%, $F$11)</f>
        <v>33.9527</v>
      </c>
      <c r="K896" s="4"/>
      <c r="L896" s="9">
        <v>27.988800000000001</v>
      </c>
      <c r="M896" s="9">
        <v>11.6745</v>
      </c>
      <c r="N896" s="9">
        <v>4.7850000000000001</v>
      </c>
      <c r="O896" s="9">
        <v>0.36249999999999999</v>
      </c>
      <c r="P896" s="9">
        <v>1.1798</v>
      </c>
      <c r="Q896" s="9">
        <v>19.053000000000001</v>
      </c>
      <c r="R896" s="9"/>
      <c r="S896" s="11"/>
    </row>
    <row r="897" spans="1:19" ht="15.75">
      <c r="A897" s="13">
        <v>69184</v>
      </c>
      <c r="B897" s="8">
        <f>CHOOSE( CONTROL!$C$32, 36.0737, 36.0692) * CHOOSE(CONTROL!$C$15, $D$11, 100%, $F$11)</f>
        <v>36.073700000000002</v>
      </c>
      <c r="C897" s="8">
        <f>CHOOSE( CONTROL!$C$32, 36.0841, 36.0796) * CHOOSE(CONTROL!$C$15, $D$11, 100%, $F$11)</f>
        <v>36.084099999999999</v>
      </c>
      <c r="D897" s="8">
        <f>CHOOSE( CONTROL!$C$32, 36.0938, 36.0893) * CHOOSE( CONTROL!$C$15, $D$11, 100%, $F$11)</f>
        <v>36.093800000000002</v>
      </c>
      <c r="E897" s="12">
        <f>CHOOSE( CONTROL!$C$32, 36.0887, 36.0842) * CHOOSE( CONTROL!$C$15, $D$11, 100%, $F$11)</f>
        <v>36.088700000000003</v>
      </c>
      <c r="F897" s="4">
        <f>CHOOSE( CONTROL!$C$32, 36.762, 36.7575) * CHOOSE(CONTROL!$C$15, $D$11, 100%, $F$11)</f>
        <v>36.762</v>
      </c>
      <c r="G897" s="8">
        <f>CHOOSE( CONTROL!$C$32, 35.4609, 35.4564) * CHOOSE( CONTROL!$C$15, $D$11, 100%, $F$11)</f>
        <v>35.460900000000002</v>
      </c>
      <c r="H897" s="4">
        <f>CHOOSE( CONTROL!$C$32, 36.3959, 36.3915) * CHOOSE(CONTROL!$C$15, $D$11, 100%, $F$11)</f>
        <v>36.395899999999997</v>
      </c>
      <c r="I897" s="8">
        <f>CHOOSE( CONTROL!$C$32, 34.9401, 34.9357) * CHOOSE(CONTROL!$C$15, $D$11, 100%, $F$11)</f>
        <v>34.940100000000001</v>
      </c>
      <c r="J897" s="4">
        <f>CHOOSE( CONTROL!$C$32, 34.8618, 34.8574) * CHOOSE(CONTROL!$C$15, $D$11, 100%, $F$11)</f>
        <v>34.861800000000002</v>
      </c>
      <c r="K897" s="4"/>
      <c r="L897" s="9">
        <v>29.520499999999998</v>
      </c>
      <c r="M897" s="9">
        <v>12.063700000000001</v>
      </c>
      <c r="N897" s="9">
        <v>4.9444999999999997</v>
      </c>
      <c r="O897" s="9">
        <v>0.37459999999999999</v>
      </c>
      <c r="P897" s="9">
        <v>1.2192000000000001</v>
      </c>
      <c r="Q897" s="9">
        <v>19.688099999999999</v>
      </c>
      <c r="R897" s="9"/>
      <c r="S897" s="11"/>
    </row>
    <row r="898" spans="1:19" ht="15.75">
      <c r="A898" s="13">
        <v>69214</v>
      </c>
      <c r="B898" s="8">
        <f>CHOOSE( CONTROL!$C$32, 35.4943, 35.4897) * CHOOSE(CONTROL!$C$15, $D$11, 100%, $F$11)</f>
        <v>35.494300000000003</v>
      </c>
      <c r="C898" s="8">
        <f>CHOOSE( CONTROL!$C$32, 35.5046, 35.5001) * CHOOSE(CONTROL!$C$15, $D$11, 100%, $F$11)</f>
        <v>35.504600000000003</v>
      </c>
      <c r="D898" s="8">
        <f>CHOOSE( CONTROL!$C$32, 35.5149, 35.5104) * CHOOSE( CONTROL!$C$15, $D$11, 100%, $F$11)</f>
        <v>35.514899999999997</v>
      </c>
      <c r="E898" s="12">
        <f>CHOOSE( CONTROL!$C$32, 35.5096, 35.5051) * CHOOSE( CONTROL!$C$15, $D$11, 100%, $F$11)</f>
        <v>35.509599999999999</v>
      </c>
      <c r="F898" s="4">
        <f>CHOOSE( CONTROL!$C$32, 36.1825, 36.178) * CHOOSE(CONTROL!$C$15, $D$11, 100%, $F$11)</f>
        <v>36.182499999999997</v>
      </c>
      <c r="G898" s="8">
        <f>CHOOSE( CONTROL!$C$32, 34.8917, 34.8873) * CHOOSE( CONTROL!$C$15, $D$11, 100%, $F$11)</f>
        <v>34.8917</v>
      </c>
      <c r="H898" s="4">
        <f>CHOOSE( CONTROL!$C$32, 35.8258, 35.8214) * CHOOSE(CONTROL!$C$15, $D$11, 100%, $F$11)</f>
        <v>35.825800000000001</v>
      </c>
      <c r="I898" s="8">
        <f>CHOOSE( CONTROL!$C$32, 34.3823, 34.378) * CHOOSE(CONTROL!$C$15, $D$11, 100%, $F$11)</f>
        <v>34.382300000000001</v>
      </c>
      <c r="J898" s="4">
        <f>CHOOSE( CONTROL!$C$32, 34.3014, 34.297) * CHOOSE(CONTROL!$C$15, $D$11, 100%, $F$11)</f>
        <v>34.301400000000001</v>
      </c>
      <c r="K898" s="4"/>
      <c r="L898" s="9">
        <v>28.568200000000001</v>
      </c>
      <c r="M898" s="9">
        <v>11.6745</v>
      </c>
      <c r="N898" s="9">
        <v>4.7850000000000001</v>
      </c>
      <c r="O898" s="9">
        <v>0.36249999999999999</v>
      </c>
      <c r="P898" s="9">
        <v>1.1798</v>
      </c>
      <c r="Q898" s="9">
        <v>19.053000000000001</v>
      </c>
      <c r="R898" s="9"/>
      <c r="S898" s="11"/>
    </row>
    <row r="899" spans="1:19" ht="15.75">
      <c r="A899" s="13">
        <v>69245</v>
      </c>
      <c r="B899" s="8">
        <f>CHOOSE( CONTROL!$C$32, 37.0203, 37.0157) * CHOOSE(CONTROL!$C$15, $D$11, 100%, $F$11)</f>
        <v>37.020299999999999</v>
      </c>
      <c r="C899" s="8">
        <f>CHOOSE( CONTROL!$C$32, 37.0306, 37.0261) * CHOOSE(CONTROL!$C$15, $D$11, 100%, $F$11)</f>
        <v>37.0306</v>
      </c>
      <c r="D899" s="8">
        <f>CHOOSE( CONTROL!$C$32, 37.0415, 37.037) * CHOOSE( CONTROL!$C$15, $D$11, 100%, $F$11)</f>
        <v>37.041499999999999</v>
      </c>
      <c r="E899" s="12">
        <f>CHOOSE( CONTROL!$C$32, 37.036, 37.0315) * CHOOSE( CONTROL!$C$15, $D$11, 100%, $F$11)</f>
        <v>37.036000000000001</v>
      </c>
      <c r="F899" s="4">
        <f>CHOOSE( CONTROL!$C$32, 37.7086, 37.704) * CHOOSE(CONTROL!$C$15, $D$11, 100%, $F$11)</f>
        <v>37.708599999999997</v>
      </c>
      <c r="G899" s="8">
        <f>CHOOSE( CONTROL!$C$32, 36.3939, 36.3894) * CHOOSE( CONTROL!$C$15, $D$11, 100%, $F$11)</f>
        <v>36.393900000000002</v>
      </c>
      <c r="H899" s="4">
        <f>CHOOSE( CONTROL!$C$32, 37.3271, 37.3227) * CHOOSE(CONTROL!$C$15, $D$11, 100%, $F$11)</f>
        <v>37.327100000000002</v>
      </c>
      <c r="I899" s="8">
        <f>CHOOSE( CONTROL!$C$32, 35.8616, 35.8572) * CHOOSE(CONTROL!$C$15, $D$11, 100%, $F$11)</f>
        <v>35.861600000000003</v>
      </c>
      <c r="J899" s="4">
        <f>CHOOSE( CONTROL!$C$32, 35.7772, 35.7728) * CHOOSE(CONTROL!$C$15, $D$11, 100%, $F$11)</f>
        <v>35.777200000000001</v>
      </c>
      <c r="K899" s="4"/>
      <c r="L899" s="9">
        <v>29.520499999999998</v>
      </c>
      <c r="M899" s="9">
        <v>12.063700000000001</v>
      </c>
      <c r="N899" s="9">
        <v>4.9444999999999997</v>
      </c>
      <c r="O899" s="9">
        <v>0.37459999999999999</v>
      </c>
      <c r="P899" s="9">
        <v>1.2192000000000001</v>
      </c>
      <c r="Q899" s="9">
        <v>19.688099999999999</v>
      </c>
      <c r="R899" s="9"/>
      <c r="S899" s="11"/>
    </row>
    <row r="900" spans="1:19" ht="15.75">
      <c r="A900" s="13">
        <v>69276</v>
      </c>
      <c r="B900" s="8">
        <f>CHOOSE( CONTROL!$C$32, 34.1649, 34.1604) * CHOOSE(CONTROL!$C$15, $D$11, 100%, $F$11)</f>
        <v>34.164900000000003</v>
      </c>
      <c r="C900" s="8">
        <f>CHOOSE( CONTROL!$C$32, 34.1753, 34.1707) * CHOOSE(CONTROL!$C$15, $D$11, 100%, $F$11)</f>
        <v>34.1753</v>
      </c>
      <c r="D900" s="8">
        <f>CHOOSE( CONTROL!$C$32, 34.1864, 34.1819) * CHOOSE( CONTROL!$C$15, $D$11, 100%, $F$11)</f>
        <v>34.186399999999999</v>
      </c>
      <c r="E900" s="12">
        <f>CHOOSE( CONTROL!$C$32, 34.1808, 34.1763) * CHOOSE( CONTROL!$C$15, $D$11, 100%, $F$11)</f>
        <v>34.180799999999998</v>
      </c>
      <c r="F900" s="4">
        <f>CHOOSE( CONTROL!$C$32, 34.8532, 34.8487) * CHOOSE(CONTROL!$C$15, $D$11, 100%, $F$11)</f>
        <v>34.853200000000001</v>
      </c>
      <c r="G900" s="8">
        <f>CHOOSE( CONTROL!$C$32, 33.5852, 33.5807) * CHOOSE( CONTROL!$C$15, $D$11, 100%, $F$11)</f>
        <v>33.5852</v>
      </c>
      <c r="H900" s="4">
        <f>CHOOSE( CONTROL!$C$32, 34.518, 34.5135) * CHOOSE(CONTROL!$C$15, $D$11, 100%, $F$11)</f>
        <v>34.518000000000001</v>
      </c>
      <c r="I900" s="8">
        <f>CHOOSE( CONTROL!$C$32, 33.1002, 33.0958) * CHOOSE(CONTROL!$C$15, $D$11, 100%, $F$11)</f>
        <v>33.100200000000001</v>
      </c>
      <c r="J900" s="4">
        <f>CHOOSE( CONTROL!$C$32, 33.0158, 33.0114) * CHOOSE(CONTROL!$C$15, $D$11, 100%, $F$11)</f>
        <v>33.015799999999999</v>
      </c>
      <c r="K900" s="4"/>
      <c r="L900" s="9">
        <v>29.520499999999998</v>
      </c>
      <c r="M900" s="9">
        <v>12.063700000000001</v>
      </c>
      <c r="N900" s="9">
        <v>4.9444999999999997</v>
      </c>
      <c r="O900" s="9">
        <v>0.37459999999999999</v>
      </c>
      <c r="P900" s="9">
        <v>1.2192000000000001</v>
      </c>
      <c r="Q900" s="9">
        <v>19.688099999999999</v>
      </c>
      <c r="R900" s="9"/>
      <c r="S900" s="11"/>
    </row>
    <row r="901" spans="1:19" ht="15.75">
      <c r="A901" s="13">
        <v>69306</v>
      </c>
      <c r="B901" s="8">
        <f>CHOOSE( CONTROL!$C$32, 33.4499, 33.4454) * CHOOSE(CONTROL!$C$15, $D$11, 100%, $F$11)</f>
        <v>33.4499</v>
      </c>
      <c r="C901" s="8">
        <f>CHOOSE( CONTROL!$C$32, 33.4603, 33.4557) * CHOOSE(CONTROL!$C$15, $D$11, 100%, $F$11)</f>
        <v>33.460299999999997</v>
      </c>
      <c r="D901" s="8">
        <f>CHOOSE( CONTROL!$C$32, 33.4715, 33.467) * CHOOSE( CONTROL!$C$15, $D$11, 100%, $F$11)</f>
        <v>33.471499999999999</v>
      </c>
      <c r="E901" s="12">
        <f>CHOOSE( CONTROL!$C$32, 33.4659, 33.4613) * CHOOSE( CONTROL!$C$15, $D$11, 100%, $F$11)</f>
        <v>33.465899999999998</v>
      </c>
      <c r="F901" s="4">
        <f>CHOOSE( CONTROL!$C$32, 34.1382, 34.1337) * CHOOSE(CONTROL!$C$15, $D$11, 100%, $F$11)</f>
        <v>34.138199999999998</v>
      </c>
      <c r="G901" s="8">
        <f>CHOOSE( CONTROL!$C$32, 32.8819, 32.8774) * CHOOSE( CONTROL!$C$15, $D$11, 100%, $F$11)</f>
        <v>32.881900000000002</v>
      </c>
      <c r="H901" s="4">
        <f>CHOOSE( CONTROL!$C$32, 33.8145, 33.8101) * CHOOSE(CONTROL!$C$15, $D$11, 100%, $F$11)</f>
        <v>33.814500000000002</v>
      </c>
      <c r="I901" s="8">
        <f>CHOOSE( CONTROL!$C$32, 32.4088, 32.4044) * CHOOSE(CONTROL!$C$15, $D$11, 100%, $F$11)</f>
        <v>32.408799999999999</v>
      </c>
      <c r="J901" s="4">
        <f>CHOOSE( CONTROL!$C$32, 32.3243, 32.3199) * CHOOSE(CONTROL!$C$15, $D$11, 100%, $F$11)</f>
        <v>32.324300000000001</v>
      </c>
      <c r="K901" s="4"/>
      <c r="L901" s="9">
        <v>28.568200000000001</v>
      </c>
      <c r="M901" s="9">
        <v>11.6745</v>
      </c>
      <c r="N901" s="9">
        <v>4.7850000000000001</v>
      </c>
      <c r="O901" s="9">
        <v>0.36249999999999999</v>
      </c>
      <c r="P901" s="9">
        <v>1.1798</v>
      </c>
      <c r="Q901" s="9">
        <v>19.053000000000001</v>
      </c>
      <c r="R901" s="9"/>
      <c r="S901" s="11"/>
    </row>
    <row r="902" spans="1:19" ht="15.75">
      <c r="A902" s="13">
        <v>69337</v>
      </c>
      <c r="B902" s="8">
        <f>34.93 * CHOOSE(CONTROL!$C$15, $D$11, 100%, $F$11)</f>
        <v>34.93</v>
      </c>
      <c r="C902" s="8">
        <f>34.9403 * CHOOSE(CONTROL!$C$15, $D$11, 100%, $F$11)</f>
        <v>34.940300000000001</v>
      </c>
      <c r="D902" s="8">
        <f>34.9528 * CHOOSE( CONTROL!$C$15, $D$11, 100%, $F$11)</f>
        <v>34.952800000000003</v>
      </c>
      <c r="E902" s="12">
        <f>34.9476 * CHOOSE( CONTROL!$C$15, $D$11, 100%, $F$11)</f>
        <v>34.947600000000001</v>
      </c>
      <c r="F902" s="4">
        <f>35.6183 * CHOOSE(CONTROL!$C$15, $D$11, 100%, $F$11)</f>
        <v>35.618299999999998</v>
      </c>
      <c r="G902" s="8">
        <f>34.3375 * CHOOSE( CONTROL!$C$15, $D$11, 100%, $F$11)</f>
        <v>34.337499999999999</v>
      </c>
      <c r="H902" s="4">
        <f>35.2707 * CHOOSE(CONTROL!$C$15, $D$11, 100%, $F$11)</f>
        <v>35.270699999999998</v>
      </c>
      <c r="I902" s="8">
        <f>33.8422 * CHOOSE(CONTROL!$C$15, $D$11, 100%, $F$11)</f>
        <v>33.842199999999998</v>
      </c>
      <c r="J902" s="4">
        <f>33.7557 * CHOOSE(CONTROL!$C$15, $D$11, 100%, $F$11)</f>
        <v>33.755699999999997</v>
      </c>
      <c r="K902" s="4"/>
      <c r="L902" s="9">
        <v>28.921800000000001</v>
      </c>
      <c r="M902" s="9">
        <v>12.063700000000001</v>
      </c>
      <c r="N902" s="9">
        <v>4.9444999999999997</v>
      </c>
      <c r="O902" s="9">
        <v>0.37459999999999999</v>
      </c>
      <c r="P902" s="9">
        <v>1.2192000000000001</v>
      </c>
      <c r="Q902" s="9">
        <v>19.688099999999999</v>
      </c>
      <c r="R902" s="9"/>
      <c r="S902" s="11"/>
    </row>
    <row r="903" spans="1:19" ht="15.75">
      <c r="A903" s="13">
        <v>69367</v>
      </c>
      <c r="B903" s="8">
        <f>37.6703 * CHOOSE(CONTROL!$C$15, $D$11, 100%, $F$11)</f>
        <v>37.670299999999997</v>
      </c>
      <c r="C903" s="8">
        <f>37.6806 * CHOOSE(CONTROL!$C$15, $D$11, 100%, $F$11)</f>
        <v>37.680599999999998</v>
      </c>
      <c r="D903" s="8">
        <f>37.6667 * CHOOSE( CONTROL!$C$15, $D$11, 100%, $F$11)</f>
        <v>37.666699999999999</v>
      </c>
      <c r="E903" s="12">
        <f>37.6707 * CHOOSE( CONTROL!$C$15, $D$11, 100%, $F$11)</f>
        <v>37.670699999999997</v>
      </c>
      <c r="F903" s="4">
        <f>38.3245 * CHOOSE(CONTROL!$C$15, $D$11, 100%, $F$11)</f>
        <v>38.3245</v>
      </c>
      <c r="G903" s="8">
        <f>37.0506 * CHOOSE( CONTROL!$C$15, $D$11, 100%, $F$11)</f>
        <v>37.050600000000003</v>
      </c>
      <c r="H903" s="4">
        <f>37.9332 * CHOOSE(CONTROL!$C$15, $D$11, 100%, $F$11)</f>
        <v>37.933199999999999</v>
      </c>
      <c r="I903" s="8">
        <f>36.5267 * CHOOSE(CONTROL!$C$15, $D$11, 100%, $F$11)</f>
        <v>36.526699999999998</v>
      </c>
      <c r="J903" s="4">
        <f>36.4058 * CHOOSE(CONTROL!$C$15, $D$11, 100%, $F$11)</f>
        <v>36.405799999999999</v>
      </c>
      <c r="K903" s="4"/>
      <c r="L903" s="9">
        <v>26.515499999999999</v>
      </c>
      <c r="M903" s="9">
        <v>11.6745</v>
      </c>
      <c r="N903" s="9">
        <v>4.7850000000000001</v>
      </c>
      <c r="O903" s="9">
        <v>0.36249999999999999</v>
      </c>
      <c r="P903" s="9">
        <v>1.2522</v>
      </c>
      <c r="Q903" s="9">
        <v>19.053000000000001</v>
      </c>
      <c r="R903" s="9"/>
      <c r="S903" s="11"/>
    </row>
    <row r="904" spans="1:19" ht="15.75">
      <c r="A904" s="13">
        <v>69398</v>
      </c>
      <c r="B904" s="8">
        <f>37.6018 * CHOOSE(CONTROL!$C$15, $D$11, 100%, $F$11)</f>
        <v>37.601799999999997</v>
      </c>
      <c r="C904" s="8">
        <f>37.6122 * CHOOSE(CONTROL!$C$15, $D$11, 100%, $F$11)</f>
        <v>37.612200000000001</v>
      </c>
      <c r="D904" s="8">
        <f>37.6007 * CHOOSE( CONTROL!$C$15, $D$11, 100%, $F$11)</f>
        <v>37.600700000000003</v>
      </c>
      <c r="E904" s="12">
        <f>37.6038 * CHOOSE( CONTROL!$C$15, $D$11, 100%, $F$11)</f>
        <v>37.6038</v>
      </c>
      <c r="F904" s="4">
        <f>38.2561 * CHOOSE(CONTROL!$C$15, $D$11, 100%, $F$11)</f>
        <v>38.256100000000004</v>
      </c>
      <c r="G904" s="8">
        <f>36.9851 * CHOOSE( CONTROL!$C$15, $D$11, 100%, $F$11)</f>
        <v>36.985100000000003</v>
      </c>
      <c r="H904" s="4">
        <f>37.8658 * CHOOSE(CONTROL!$C$15, $D$11, 100%, $F$11)</f>
        <v>37.8658</v>
      </c>
      <c r="I904" s="8">
        <f>36.4684 * CHOOSE(CONTROL!$C$15, $D$11, 100%, $F$11)</f>
        <v>36.468400000000003</v>
      </c>
      <c r="J904" s="4">
        <f>36.3396 * CHOOSE(CONTROL!$C$15, $D$11, 100%, $F$11)</f>
        <v>36.339599999999997</v>
      </c>
      <c r="K904" s="4"/>
      <c r="L904" s="9">
        <v>27.3993</v>
      </c>
      <c r="M904" s="9">
        <v>12.063700000000001</v>
      </c>
      <c r="N904" s="9">
        <v>4.9444999999999997</v>
      </c>
      <c r="O904" s="9">
        <v>0.37459999999999999</v>
      </c>
      <c r="P904" s="9">
        <v>1.2939000000000001</v>
      </c>
      <c r="Q904" s="9">
        <v>19.688099999999999</v>
      </c>
      <c r="R904" s="9"/>
      <c r="S904" s="11"/>
    </row>
    <row r="905" spans="1:19" ht="15.75">
      <c r="A905" s="13">
        <v>69429</v>
      </c>
      <c r="B905" s="8">
        <f>39.038 * CHOOSE(CONTROL!$C$15, $D$11, 100%, $F$11)</f>
        <v>39.037999999999997</v>
      </c>
      <c r="C905" s="8">
        <f>39.0483 * CHOOSE(CONTROL!$C$15, $D$11, 100%, $F$11)</f>
        <v>39.048299999999998</v>
      </c>
      <c r="D905" s="8">
        <f>39.0467 * CHOOSE( CONTROL!$C$15, $D$11, 100%, $F$11)</f>
        <v>39.046700000000001</v>
      </c>
      <c r="E905" s="12">
        <f>39.0462 * CHOOSE( CONTROL!$C$15, $D$11, 100%, $F$11)</f>
        <v>39.046199999999999</v>
      </c>
      <c r="F905" s="4">
        <f>39.7206 * CHOOSE(CONTROL!$C$15, $D$11, 100%, $F$11)</f>
        <v>39.720599999999997</v>
      </c>
      <c r="G905" s="8">
        <f>38.4083 * CHOOSE( CONTROL!$C$15, $D$11, 100%, $F$11)</f>
        <v>38.408299999999997</v>
      </c>
      <c r="H905" s="4">
        <f>39.3067 * CHOOSE(CONTROL!$C$15, $D$11, 100%, $F$11)</f>
        <v>39.306699999999999</v>
      </c>
      <c r="I905" s="8">
        <f>37.856 * CHOOSE(CONTROL!$C$15, $D$11, 100%, $F$11)</f>
        <v>37.856000000000002</v>
      </c>
      <c r="J905" s="4">
        <f>37.7285 * CHOOSE(CONTROL!$C$15, $D$11, 100%, $F$11)</f>
        <v>37.728499999999997</v>
      </c>
      <c r="K905" s="4"/>
      <c r="L905" s="9">
        <v>27.3993</v>
      </c>
      <c r="M905" s="9">
        <v>12.063700000000001</v>
      </c>
      <c r="N905" s="9">
        <v>4.9444999999999997</v>
      </c>
      <c r="O905" s="9">
        <v>0.37459999999999999</v>
      </c>
      <c r="P905" s="9">
        <v>1.2939000000000001</v>
      </c>
      <c r="Q905" s="9">
        <v>19.688099999999999</v>
      </c>
      <c r="R905" s="9"/>
      <c r="S905" s="11"/>
    </row>
    <row r="906" spans="1:19" ht="15.75">
      <c r="A906" s="13">
        <v>69457</v>
      </c>
      <c r="B906" s="8">
        <f>36.5159 * CHOOSE(CONTROL!$C$15, $D$11, 100%, $F$11)</f>
        <v>36.515900000000002</v>
      </c>
      <c r="C906" s="8">
        <f>36.5262 * CHOOSE(CONTROL!$C$15, $D$11, 100%, $F$11)</f>
        <v>36.526200000000003</v>
      </c>
      <c r="D906" s="8">
        <f>36.5268 * CHOOSE( CONTROL!$C$15, $D$11, 100%, $F$11)</f>
        <v>36.526800000000001</v>
      </c>
      <c r="E906" s="12">
        <f>36.5255 * CHOOSE( CONTROL!$C$15, $D$11, 100%, $F$11)</f>
        <v>36.525500000000001</v>
      </c>
      <c r="F906" s="4">
        <f>37.1908 * CHOOSE(CONTROL!$C$15, $D$11, 100%, $F$11)</f>
        <v>37.190800000000003</v>
      </c>
      <c r="G906" s="8">
        <f>35.9268 * CHOOSE( CONTROL!$C$15, $D$11, 100%, $F$11)</f>
        <v>35.9268</v>
      </c>
      <c r="H906" s="4">
        <f>36.8178 * CHOOSE(CONTROL!$C$15, $D$11, 100%, $F$11)</f>
        <v>36.817799999999998</v>
      </c>
      <c r="I906" s="8">
        <f>35.4047 * CHOOSE(CONTROL!$C$15, $D$11, 100%, $F$11)</f>
        <v>35.404699999999998</v>
      </c>
      <c r="J906" s="4">
        <f>35.2894 * CHOOSE(CONTROL!$C$15, $D$11, 100%, $F$11)</f>
        <v>35.289400000000001</v>
      </c>
      <c r="K906" s="4"/>
      <c r="L906" s="9">
        <v>24.747800000000002</v>
      </c>
      <c r="M906" s="9">
        <v>10.8962</v>
      </c>
      <c r="N906" s="9">
        <v>4.4660000000000002</v>
      </c>
      <c r="O906" s="9">
        <v>0.33829999999999999</v>
      </c>
      <c r="P906" s="9">
        <v>1.1687000000000001</v>
      </c>
      <c r="Q906" s="9">
        <v>17.782800000000002</v>
      </c>
      <c r="R906" s="9"/>
      <c r="S906" s="11"/>
    </row>
    <row r="907" spans="1:19" ht="15.75">
      <c r="A907" s="13">
        <v>69488</v>
      </c>
      <c r="B907" s="8">
        <f>35.7391 * CHOOSE(CONTROL!$C$15, $D$11, 100%, $F$11)</f>
        <v>35.739100000000001</v>
      </c>
      <c r="C907" s="8">
        <f>35.7494 * CHOOSE(CONTROL!$C$15, $D$11, 100%, $F$11)</f>
        <v>35.749400000000001</v>
      </c>
      <c r="D907" s="8">
        <f>35.7295 * CHOOSE( CONTROL!$C$15, $D$11, 100%, $F$11)</f>
        <v>35.729500000000002</v>
      </c>
      <c r="E907" s="12">
        <f>35.7357 * CHOOSE( CONTROL!$C$15, $D$11, 100%, $F$11)</f>
        <v>35.735700000000001</v>
      </c>
      <c r="F907" s="4">
        <f>36.398 * CHOOSE(CONTROL!$C$15, $D$11, 100%, $F$11)</f>
        <v>36.398000000000003</v>
      </c>
      <c r="G907" s="8">
        <f>35.1418 * CHOOSE( CONTROL!$C$15, $D$11, 100%, $F$11)</f>
        <v>35.141800000000003</v>
      </c>
      <c r="H907" s="4">
        <f>36.0378 * CHOOSE(CONTROL!$C$15, $D$11, 100%, $F$11)</f>
        <v>36.037799999999997</v>
      </c>
      <c r="I907" s="8">
        <f>34.6136 * CHOOSE(CONTROL!$C$15, $D$11, 100%, $F$11)</f>
        <v>34.613599999999998</v>
      </c>
      <c r="J907" s="4">
        <f>34.5382 * CHOOSE(CONTROL!$C$15, $D$11, 100%, $F$11)</f>
        <v>34.538200000000003</v>
      </c>
      <c r="K907" s="4"/>
      <c r="L907" s="9">
        <v>27.3993</v>
      </c>
      <c r="M907" s="9">
        <v>12.063700000000001</v>
      </c>
      <c r="N907" s="9">
        <v>4.9444999999999997</v>
      </c>
      <c r="O907" s="9">
        <v>0.37459999999999999</v>
      </c>
      <c r="P907" s="9">
        <v>1.2939000000000001</v>
      </c>
      <c r="Q907" s="9">
        <v>19.688099999999999</v>
      </c>
      <c r="R907" s="9"/>
      <c r="S907" s="11"/>
    </row>
    <row r="908" spans="1:19" ht="15.75">
      <c r="A908" s="13">
        <v>69518</v>
      </c>
      <c r="B908" s="8">
        <f>36.2819 * CHOOSE(CONTROL!$C$15, $D$11, 100%, $F$11)</f>
        <v>36.2819</v>
      </c>
      <c r="C908" s="8">
        <f>36.2923 * CHOOSE(CONTROL!$C$15, $D$11, 100%, $F$11)</f>
        <v>36.292299999999997</v>
      </c>
      <c r="D908" s="8">
        <f>36.2838 * CHOOSE( CONTROL!$C$15, $D$11, 100%, $F$11)</f>
        <v>36.283799999999999</v>
      </c>
      <c r="E908" s="12">
        <f>36.2854 * CHOOSE( CONTROL!$C$15, $D$11, 100%, $F$11)</f>
        <v>36.285400000000003</v>
      </c>
      <c r="F908" s="4">
        <f>36.931 * CHOOSE(CONTROL!$C$15, $D$11, 100%, $F$11)</f>
        <v>36.930999999999997</v>
      </c>
      <c r="G908" s="8">
        <f>35.6606 * CHOOSE( CONTROL!$C$15, $D$11, 100%, $F$11)</f>
        <v>35.660600000000002</v>
      </c>
      <c r="H908" s="4">
        <f>36.5621 * CHOOSE(CONTROL!$C$15, $D$11, 100%, $F$11)</f>
        <v>36.562100000000001</v>
      </c>
      <c r="I908" s="8">
        <f>35.1356 * CHOOSE(CONTROL!$C$15, $D$11, 100%, $F$11)</f>
        <v>35.135599999999997</v>
      </c>
      <c r="J908" s="4">
        <f>35.0631 * CHOOSE(CONTROL!$C$15, $D$11, 100%, $F$11)</f>
        <v>35.063099999999999</v>
      </c>
      <c r="K908" s="4"/>
      <c r="L908" s="9">
        <v>27.988800000000001</v>
      </c>
      <c r="M908" s="9">
        <v>11.6745</v>
      </c>
      <c r="N908" s="9">
        <v>4.7850000000000001</v>
      </c>
      <c r="O908" s="9">
        <v>0.36249999999999999</v>
      </c>
      <c r="P908" s="9">
        <v>1.1798</v>
      </c>
      <c r="Q908" s="9">
        <v>19.053000000000001</v>
      </c>
      <c r="R908" s="9"/>
      <c r="S908" s="11"/>
    </row>
    <row r="909" spans="1:19" ht="15.75">
      <c r="A909" s="13">
        <v>69549</v>
      </c>
      <c r="B909" s="8">
        <f>CHOOSE( CONTROL!$C$32, 37.2525, 37.248) * CHOOSE(CONTROL!$C$15, $D$11, 100%, $F$11)</f>
        <v>37.252499999999998</v>
      </c>
      <c r="C909" s="8">
        <f>CHOOSE( CONTROL!$C$32, 37.2628, 37.2583) * CHOOSE(CONTROL!$C$15, $D$11, 100%, $F$11)</f>
        <v>37.262799999999999</v>
      </c>
      <c r="D909" s="8">
        <f>CHOOSE( CONTROL!$C$32, 37.2725, 37.268) * CHOOSE( CONTROL!$C$15, $D$11, 100%, $F$11)</f>
        <v>37.272500000000001</v>
      </c>
      <c r="E909" s="12">
        <f>CHOOSE( CONTROL!$C$32, 37.2674, 37.2629) * CHOOSE( CONTROL!$C$15, $D$11, 100%, $F$11)</f>
        <v>37.267400000000002</v>
      </c>
      <c r="F909" s="4">
        <f>CHOOSE( CONTROL!$C$32, 37.9408, 37.9363) * CHOOSE(CONTROL!$C$15, $D$11, 100%, $F$11)</f>
        <v>37.940800000000003</v>
      </c>
      <c r="G909" s="8">
        <f>CHOOSE( CONTROL!$C$32, 36.6206, 36.6161) * CHOOSE( CONTROL!$C$15, $D$11, 100%, $F$11)</f>
        <v>36.620600000000003</v>
      </c>
      <c r="H909" s="4">
        <f>CHOOSE( CONTROL!$C$32, 37.5556, 37.5512) * CHOOSE(CONTROL!$C$15, $D$11, 100%, $F$11)</f>
        <v>37.555599999999998</v>
      </c>
      <c r="I909" s="8">
        <f>CHOOSE( CONTROL!$C$32, 36.0806, 36.0762) * CHOOSE(CONTROL!$C$15, $D$11, 100%, $F$11)</f>
        <v>36.080599999999997</v>
      </c>
      <c r="J909" s="4">
        <f>CHOOSE( CONTROL!$C$32, 36.0018, 35.9974) * CHOOSE(CONTROL!$C$15, $D$11, 100%, $F$11)</f>
        <v>36.001800000000003</v>
      </c>
      <c r="K909" s="4"/>
      <c r="L909" s="9">
        <v>29.520499999999998</v>
      </c>
      <c r="M909" s="9">
        <v>12.063700000000001</v>
      </c>
      <c r="N909" s="9">
        <v>4.9444999999999997</v>
      </c>
      <c r="O909" s="9">
        <v>0.37459999999999999</v>
      </c>
      <c r="P909" s="9">
        <v>1.2192000000000001</v>
      </c>
      <c r="Q909" s="9">
        <v>19.688099999999999</v>
      </c>
      <c r="R909" s="9"/>
      <c r="S909" s="11"/>
    </row>
    <row r="910" spans="1:19" ht="15.75">
      <c r="A910" s="13">
        <v>69579</v>
      </c>
      <c r="B910" s="8">
        <f>CHOOSE( CONTROL!$C$32, 36.6541, 36.6495) * CHOOSE(CONTROL!$C$15, $D$11, 100%, $F$11)</f>
        <v>36.6541</v>
      </c>
      <c r="C910" s="8">
        <f>CHOOSE( CONTROL!$C$32, 36.6644, 36.6599) * CHOOSE(CONTROL!$C$15, $D$11, 100%, $F$11)</f>
        <v>36.664400000000001</v>
      </c>
      <c r="D910" s="8">
        <f>CHOOSE( CONTROL!$C$32, 36.6747, 36.6702) * CHOOSE( CONTROL!$C$15, $D$11, 100%, $F$11)</f>
        <v>36.674700000000001</v>
      </c>
      <c r="E910" s="12">
        <f>CHOOSE( CONTROL!$C$32, 36.6694, 36.6649) * CHOOSE( CONTROL!$C$15, $D$11, 100%, $F$11)</f>
        <v>36.669400000000003</v>
      </c>
      <c r="F910" s="4">
        <f>CHOOSE( CONTROL!$C$32, 37.3423, 37.3378) * CHOOSE(CONTROL!$C$15, $D$11, 100%, $F$11)</f>
        <v>37.342300000000002</v>
      </c>
      <c r="G910" s="8">
        <f>CHOOSE( CONTROL!$C$32, 36.0327, 36.0283) * CHOOSE( CONTROL!$C$15, $D$11, 100%, $F$11)</f>
        <v>36.032699999999998</v>
      </c>
      <c r="H910" s="4">
        <f>CHOOSE( CONTROL!$C$32, 36.9668, 36.9624) * CHOOSE(CONTROL!$C$15, $D$11, 100%, $F$11)</f>
        <v>36.966799999999999</v>
      </c>
      <c r="I910" s="8">
        <f>CHOOSE( CONTROL!$C$32, 35.5045, 35.5002) * CHOOSE(CONTROL!$C$15, $D$11, 100%, $F$11)</f>
        <v>35.5045</v>
      </c>
      <c r="J910" s="4">
        <f>CHOOSE( CONTROL!$C$32, 35.423, 35.4187) * CHOOSE(CONTROL!$C$15, $D$11, 100%, $F$11)</f>
        <v>35.423000000000002</v>
      </c>
      <c r="K910" s="4"/>
      <c r="L910" s="9">
        <v>28.568200000000001</v>
      </c>
      <c r="M910" s="9">
        <v>11.6745</v>
      </c>
      <c r="N910" s="9">
        <v>4.7850000000000001</v>
      </c>
      <c r="O910" s="9">
        <v>0.36249999999999999</v>
      </c>
      <c r="P910" s="9">
        <v>1.1798</v>
      </c>
      <c r="Q910" s="9">
        <v>19.053000000000001</v>
      </c>
      <c r="R910" s="9"/>
      <c r="S910" s="11"/>
    </row>
    <row r="911" spans="1:19" ht="15.75">
      <c r="A911" s="13">
        <v>69610</v>
      </c>
      <c r="B911" s="8">
        <f>CHOOSE( CONTROL!$C$32, 38.23, 38.2255) * CHOOSE(CONTROL!$C$15, $D$11, 100%, $F$11)</f>
        <v>38.229999999999997</v>
      </c>
      <c r="C911" s="8">
        <f>CHOOSE( CONTROL!$C$32, 38.2403, 38.2358) * CHOOSE(CONTROL!$C$15, $D$11, 100%, $F$11)</f>
        <v>38.240299999999998</v>
      </c>
      <c r="D911" s="8">
        <f>CHOOSE( CONTROL!$C$32, 38.2512, 38.2467) * CHOOSE( CONTROL!$C$15, $D$11, 100%, $F$11)</f>
        <v>38.251199999999997</v>
      </c>
      <c r="E911" s="12">
        <f>CHOOSE( CONTROL!$C$32, 38.2457, 38.2412) * CHOOSE( CONTROL!$C$15, $D$11, 100%, $F$11)</f>
        <v>38.245699999999999</v>
      </c>
      <c r="F911" s="4">
        <f>CHOOSE( CONTROL!$C$32, 38.9183, 38.9137) * CHOOSE(CONTROL!$C$15, $D$11, 100%, $F$11)</f>
        <v>38.918300000000002</v>
      </c>
      <c r="G911" s="8">
        <f>CHOOSE( CONTROL!$C$32, 37.584, 37.5796) * CHOOSE( CONTROL!$C$15, $D$11, 100%, $F$11)</f>
        <v>37.584000000000003</v>
      </c>
      <c r="H911" s="4">
        <f>CHOOSE( CONTROL!$C$32, 38.5173, 38.5128) * CHOOSE(CONTROL!$C$15, $D$11, 100%, $F$11)</f>
        <v>38.517299999999999</v>
      </c>
      <c r="I911" s="8">
        <f>CHOOSE( CONTROL!$C$32, 37.0321, 37.0277) * CHOOSE(CONTROL!$C$15, $D$11, 100%, $F$11)</f>
        <v>37.0321</v>
      </c>
      <c r="J911" s="4">
        <f>CHOOSE( CONTROL!$C$32, 36.9471, 36.9427) * CHOOSE(CONTROL!$C$15, $D$11, 100%, $F$11)</f>
        <v>36.947099999999999</v>
      </c>
      <c r="K911" s="4"/>
      <c r="L911" s="9">
        <v>29.520499999999998</v>
      </c>
      <c r="M911" s="9">
        <v>12.063700000000001</v>
      </c>
      <c r="N911" s="9">
        <v>4.9444999999999997</v>
      </c>
      <c r="O911" s="9">
        <v>0.37459999999999999</v>
      </c>
      <c r="P911" s="9">
        <v>1.2192000000000001</v>
      </c>
      <c r="Q911" s="9">
        <v>19.688099999999999</v>
      </c>
      <c r="R911" s="9"/>
      <c r="S911" s="11"/>
    </row>
    <row r="912" spans="1:19" ht="15.75">
      <c r="A912" s="13">
        <v>69641</v>
      </c>
      <c r="B912" s="8">
        <f>CHOOSE( CONTROL!$C$32, 35.2813, 35.2767) * CHOOSE(CONTROL!$C$15, $D$11, 100%, $F$11)</f>
        <v>35.281300000000002</v>
      </c>
      <c r="C912" s="8">
        <f>CHOOSE( CONTROL!$C$32, 35.2916, 35.2871) * CHOOSE(CONTROL!$C$15, $D$11, 100%, $F$11)</f>
        <v>35.291600000000003</v>
      </c>
      <c r="D912" s="8">
        <f>CHOOSE( CONTROL!$C$32, 35.3028, 35.2982) * CHOOSE( CONTROL!$C$15, $D$11, 100%, $F$11)</f>
        <v>35.302799999999998</v>
      </c>
      <c r="E912" s="12">
        <f>CHOOSE( CONTROL!$C$32, 35.2972, 35.2926) * CHOOSE( CONTROL!$C$15, $D$11, 100%, $F$11)</f>
        <v>35.297199999999997</v>
      </c>
      <c r="F912" s="4">
        <f>CHOOSE( CONTROL!$C$32, 35.9695, 35.965) * CHOOSE(CONTROL!$C$15, $D$11, 100%, $F$11)</f>
        <v>35.969499999999996</v>
      </c>
      <c r="G912" s="8">
        <f>CHOOSE( CONTROL!$C$32, 34.6834, 34.679) * CHOOSE( CONTROL!$C$15, $D$11, 100%, $F$11)</f>
        <v>34.683399999999999</v>
      </c>
      <c r="H912" s="4">
        <f>CHOOSE( CONTROL!$C$32, 35.6162, 35.6118) * CHOOSE(CONTROL!$C$15, $D$11, 100%, $F$11)</f>
        <v>35.616199999999999</v>
      </c>
      <c r="I912" s="8">
        <f>CHOOSE( CONTROL!$C$32, 34.1804, 34.176) * CHOOSE(CONTROL!$C$15, $D$11, 100%, $F$11)</f>
        <v>34.180399999999999</v>
      </c>
      <c r="J912" s="4">
        <f>CHOOSE( CONTROL!$C$32, 34.0954, 34.091) * CHOOSE(CONTROL!$C$15, $D$11, 100%, $F$11)</f>
        <v>34.095399999999998</v>
      </c>
      <c r="K912" s="4"/>
      <c r="L912" s="9">
        <v>29.520499999999998</v>
      </c>
      <c r="M912" s="9">
        <v>12.063700000000001</v>
      </c>
      <c r="N912" s="9">
        <v>4.9444999999999997</v>
      </c>
      <c r="O912" s="9">
        <v>0.37459999999999999</v>
      </c>
      <c r="P912" s="9">
        <v>1.2192000000000001</v>
      </c>
      <c r="Q912" s="9">
        <v>19.688099999999999</v>
      </c>
      <c r="R912" s="9"/>
      <c r="S912" s="11"/>
    </row>
    <row r="913" spans="1:19" ht="15.75">
      <c r="A913" s="13">
        <v>69671</v>
      </c>
      <c r="B913" s="8">
        <f>CHOOSE( CONTROL!$C$32, 34.5429, 34.5383) * CHOOSE(CONTROL!$C$15, $D$11, 100%, $F$11)</f>
        <v>34.542900000000003</v>
      </c>
      <c r="C913" s="8">
        <f>CHOOSE( CONTROL!$C$32, 34.5532, 34.5487) * CHOOSE(CONTROL!$C$15, $D$11, 100%, $F$11)</f>
        <v>34.553199999999997</v>
      </c>
      <c r="D913" s="8">
        <f>CHOOSE( CONTROL!$C$32, 34.5645, 34.5599) * CHOOSE( CONTROL!$C$15, $D$11, 100%, $F$11)</f>
        <v>34.564500000000002</v>
      </c>
      <c r="E913" s="12">
        <f>CHOOSE( CONTROL!$C$32, 34.5588, 34.5543) * CHOOSE( CONTROL!$C$15, $D$11, 100%, $F$11)</f>
        <v>34.558799999999998</v>
      </c>
      <c r="F913" s="4">
        <f>CHOOSE( CONTROL!$C$32, 35.2312, 35.2266) * CHOOSE(CONTROL!$C$15, $D$11, 100%, $F$11)</f>
        <v>35.231200000000001</v>
      </c>
      <c r="G913" s="8">
        <f>CHOOSE( CONTROL!$C$32, 33.9571, 33.9527) * CHOOSE( CONTROL!$C$15, $D$11, 100%, $F$11)</f>
        <v>33.957099999999997</v>
      </c>
      <c r="H913" s="4">
        <f>CHOOSE( CONTROL!$C$32, 34.8898, 34.8853) * CHOOSE(CONTROL!$C$15, $D$11, 100%, $F$11)</f>
        <v>34.889800000000001</v>
      </c>
      <c r="I913" s="8">
        <f>CHOOSE( CONTROL!$C$32, 33.4663, 33.462) * CHOOSE(CONTROL!$C$15, $D$11, 100%, $F$11)</f>
        <v>33.466299999999997</v>
      </c>
      <c r="J913" s="4">
        <f>CHOOSE( CONTROL!$C$32, 33.3813, 33.3769) * CHOOSE(CONTROL!$C$15, $D$11, 100%, $F$11)</f>
        <v>33.381300000000003</v>
      </c>
      <c r="K913" s="4"/>
      <c r="L913" s="9">
        <v>28.568200000000001</v>
      </c>
      <c r="M913" s="9">
        <v>11.6745</v>
      </c>
      <c r="N913" s="9">
        <v>4.7850000000000001</v>
      </c>
      <c r="O913" s="9">
        <v>0.36249999999999999</v>
      </c>
      <c r="P913" s="9">
        <v>1.1798</v>
      </c>
      <c r="Q913" s="9">
        <v>19.053000000000001</v>
      </c>
      <c r="R913" s="9"/>
      <c r="S913" s="11"/>
    </row>
    <row r="914" spans="1:19" ht="15.75">
      <c r="A914" s="13">
        <v>69702</v>
      </c>
      <c r="B914" s="8">
        <f>36.0715 * CHOOSE(CONTROL!$C$15, $D$11, 100%, $F$11)</f>
        <v>36.0715</v>
      </c>
      <c r="C914" s="8">
        <f>36.0818 * CHOOSE(CONTROL!$C$15, $D$11, 100%, $F$11)</f>
        <v>36.081800000000001</v>
      </c>
      <c r="D914" s="8">
        <f>36.0943 * CHOOSE( CONTROL!$C$15, $D$11, 100%, $F$11)</f>
        <v>36.094299999999997</v>
      </c>
      <c r="E914" s="12">
        <f>36.0891 * CHOOSE( CONTROL!$C$15, $D$11, 100%, $F$11)</f>
        <v>36.089100000000002</v>
      </c>
      <c r="F914" s="4">
        <f>36.7598 * CHOOSE(CONTROL!$C$15, $D$11, 100%, $F$11)</f>
        <v>36.759799999999998</v>
      </c>
      <c r="G914" s="8">
        <f>35.4605 * CHOOSE( CONTROL!$C$15, $D$11, 100%, $F$11)</f>
        <v>35.460500000000003</v>
      </c>
      <c r="H914" s="4">
        <f>36.3937 * CHOOSE(CONTROL!$C$15, $D$11, 100%, $F$11)</f>
        <v>36.393700000000003</v>
      </c>
      <c r="I914" s="8">
        <f>34.9467 * CHOOSE(CONTROL!$C$15, $D$11, 100%, $F$11)</f>
        <v>34.9467</v>
      </c>
      <c r="J914" s="4">
        <f>34.8596 * CHOOSE(CONTROL!$C$15, $D$11, 100%, $F$11)</f>
        <v>34.8596</v>
      </c>
      <c r="K914" s="4"/>
      <c r="L914" s="9">
        <v>28.921800000000001</v>
      </c>
      <c r="M914" s="9">
        <v>12.063700000000001</v>
      </c>
      <c r="N914" s="9">
        <v>4.9444999999999997</v>
      </c>
      <c r="O914" s="9">
        <v>0.37459999999999999</v>
      </c>
      <c r="P914" s="9">
        <v>1.2192000000000001</v>
      </c>
      <c r="Q914" s="9">
        <v>19.688099999999999</v>
      </c>
      <c r="R914" s="9"/>
      <c r="S914" s="11"/>
    </row>
    <row r="915" spans="1:19" ht="15.75">
      <c r="A915" s="13">
        <v>69732</v>
      </c>
      <c r="B915" s="8">
        <f>38.9014 * CHOOSE(CONTROL!$C$15, $D$11, 100%, $F$11)</f>
        <v>38.901400000000002</v>
      </c>
      <c r="C915" s="8">
        <f>38.9117 * CHOOSE(CONTROL!$C$15, $D$11, 100%, $F$11)</f>
        <v>38.911700000000003</v>
      </c>
      <c r="D915" s="8">
        <f>38.8978 * CHOOSE( CONTROL!$C$15, $D$11, 100%, $F$11)</f>
        <v>38.897799999999997</v>
      </c>
      <c r="E915" s="12">
        <f>38.9018 * CHOOSE( CONTROL!$C$15, $D$11, 100%, $F$11)</f>
        <v>38.901800000000001</v>
      </c>
      <c r="F915" s="4">
        <f>39.5557 * CHOOSE(CONTROL!$C$15, $D$11, 100%, $F$11)</f>
        <v>39.555700000000002</v>
      </c>
      <c r="G915" s="8">
        <f>38.2618 * CHOOSE( CONTROL!$C$15, $D$11, 100%, $F$11)</f>
        <v>38.261800000000001</v>
      </c>
      <c r="H915" s="4">
        <f>39.1444 * CHOOSE(CONTROL!$C$15, $D$11, 100%, $F$11)</f>
        <v>39.144399999999997</v>
      </c>
      <c r="I915" s="8">
        <f>37.7179 * CHOOSE(CONTROL!$C$15, $D$11, 100%, $F$11)</f>
        <v>37.7179</v>
      </c>
      <c r="J915" s="4">
        <f>37.5964 * CHOOSE(CONTROL!$C$15, $D$11, 100%, $F$11)</f>
        <v>37.596400000000003</v>
      </c>
      <c r="K915" s="4"/>
      <c r="L915" s="9">
        <v>26.515499999999999</v>
      </c>
      <c r="M915" s="9">
        <v>11.6745</v>
      </c>
      <c r="N915" s="9">
        <v>4.7850000000000001</v>
      </c>
      <c r="O915" s="9">
        <v>0.36249999999999999</v>
      </c>
      <c r="P915" s="9">
        <v>1.2522</v>
      </c>
      <c r="Q915" s="9">
        <v>19.053000000000001</v>
      </c>
      <c r="R915" s="9"/>
      <c r="S915" s="11"/>
    </row>
    <row r="916" spans="1:19" ht="15.75">
      <c r="A916" s="13">
        <v>69763</v>
      </c>
      <c r="B916" s="8">
        <f>38.8307 * CHOOSE(CONTROL!$C$15, $D$11, 100%, $F$11)</f>
        <v>38.8307</v>
      </c>
      <c r="C916" s="8">
        <f>38.841 * CHOOSE(CONTROL!$C$15, $D$11, 100%, $F$11)</f>
        <v>38.841000000000001</v>
      </c>
      <c r="D916" s="8">
        <f>38.8296 * CHOOSE( CONTROL!$C$15, $D$11, 100%, $F$11)</f>
        <v>38.829599999999999</v>
      </c>
      <c r="E916" s="12">
        <f>38.8327 * CHOOSE( CONTROL!$C$15, $D$11, 100%, $F$11)</f>
        <v>38.832700000000003</v>
      </c>
      <c r="F916" s="4">
        <f>39.485 * CHOOSE(CONTROL!$C$15, $D$11, 100%, $F$11)</f>
        <v>39.484999999999999</v>
      </c>
      <c r="G916" s="8">
        <f>38.1941 * CHOOSE( CONTROL!$C$15, $D$11, 100%, $F$11)</f>
        <v>38.194099999999999</v>
      </c>
      <c r="H916" s="4">
        <f>39.0748 * CHOOSE(CONTROL!$C$15, $D$11, 100%, $F$11)</f>
        <v>39.074800000000003</v>
      </c>
      <c r="I916" s="8">
        <f>37.6574 * CHOOSE(CONTROL!$C$15, $D$11, 100%, $F$11)</f>
        <v>37.657400000000003</v>
      </c>
      <c r="J916" s="4">
        <f>37.5281 * CHOOSE(CONTROL!$C$15, $D$11, 100%, $F$11)</f>
        <v>37.528100000000002</v>
      </c>
      <c r="K916" s="4"/>
      <c r="L916" s="9">
        <v>27.3993</v>
      </c>
      <c r="M916" s="9">
        <v>12.063700000000001</v>
      </c>
      <c r="N916" s="9">
        <v>4.9444999999999997</v>
      </c>
      <c r="O916" s="9">
        <v>0.37459999999999999</v>
      </c>
      <c r="P916" s="9">
        <v>1.2939000000000001</v>
      </c>
      <c r="Q916" s="9">
        <v>19.688099999999999</v>
      </c>
      <c r="R916" s="9"/>
      <c r="S916" s="11"/>
    </row>
    <row r="917" spans="1:19" ht="15.75">
      <c r="A917" s="13">
        <v>69794</v>
      </c>
      <c r="B917" s="8">
        <f>40.3138 * CHOOSE(CONTROL!$C$15, $D$11, 100%, $F$11)</f>
        <v>40.313800000000001</v>
      </c>
      <c r="C917" s="8">
        <f>40.3241 * CHOOSE(CONTROL!$C$15, $D$11, 100%, $F$11)</f>
        <v>40.324100000000001</v>
      </c>
      <c r="D917" s="8">
        <f>40.3226 * CHOOSE( CONTROL!$C$15, $D$11, 100%, $F$11)</f>
        <v>40.322600000000001</v>
      </c>
      <c r="E917" s="12">
        <f>40.3221 * CHOOSE( CONTROL!$C$15, $D$11, 100%, $F$11)</f>
        <v>40.322099999999999</v>
      </c>
      <c r="F917" s="4">
        <f>40.9965 * CHOOSE(CONTROL!$C$15, $D$11, 100%, $F$11)</f>
        <v>40.996499999999997</v>
      </c>
      <c r="G917" s="8">
        <f>39.6635 * CHOOSE( CONTROL!$C$15, $D$11, 100%, $F$11)</f>
        <v>39.663499999999999</v>
      </c>
      <c r="H917" s="4">
        <f>40.5619 * CHOOSE(CONTROL!$C$15, $D$11, 100%, $F$11)</f>
        <v>40.561900000000001</v>
      </c>
      <c r="I917" s="8">
        <f>39.0904 * CHOOSE(CONTROL!$C$15, $D$11, 100%, $F$11)</f>
        <v>39.090400000000002</v>
      </c>
      <c r="J917" s="4">
        <f>38.9624 * CHOOSE(CONTROL!$C$15, $D$11, 100%, $F$11)</f>
        <v>38.962400000000002</v>
      </c>
      <c r="K917" s="4"/>
      <c r="L917" s="9">
        <v>27.3993</v>
      </c>
      <c r="M917" s="9">
        <v>12.063700000000001</v>
      </c>
      <c r="N917" s="9">
        <v>4.9444999999999997</v>
      </c>
      <c r="O917" s="9">
        <v>0.37459999999999999</v>
      </c>
      <c r="P917" s="9">
        <v>1.2939000000000001</v>
      </c>
      <c r="Q917" s="9">
        <v>19.688099999999999</v>
      </c>
      <c r="R917" s="9"/>
      <c r="S917" s="11"/>
    </row>
    <row r="918" spans="1:19" ht="15.75">
      <c r="A918" s="13">
        <v>69822</v>
      </c>
      <c r="B918" s="8">
        <f>37.7093 * CHOOSE(CONTROL!$C$15, $D$11, 100%, $F$11)</f>
        <v>37.709299999999999</v>
      </c>
      <c r="C918" s="8">
        <f>37.7196 * CHOOSE(CONTROL!$C$15, $D$11, 100%, $F$11)</f>
        <v>37.7196</v>
      </c>
      <c r="D918" s="8">
        <f>37.7201 * CHOOSE( CONTROL!$C$15, $D$11, 100%, $F$11)</f>
        <v>37.720100000000002</v>
      </c>
      <c r="E918" s="12">
        <f>37.7188 * CHOOSE( CONTROL!$C$15, $D$11, 100%, $F$11)</f>
        <v>37.718800000000002</v>
      </c>
      <c r="F918" s="4">
        <f>38.3842 * CHOOSE(CONTROL!$C$15, $D$11, 100%, $F$11)</f>
        <v>38.3842</v>
      </c>
      <c r="G918" s="8">
        <f>37.1008 * CHOOSE( CONTROL!$C$15, $D$11, 100%, $F$11)</f>
        <v>37.1008</v>
      </c>
      <c r="H918" s="4">
        <f>37.9918 * CHOOSE(CONTROL!$C$15, $D$11, 100%, $F$11)</f>
        <v>37.991799999999998</v>
      </c>
      <c r="I918" s="8">
        <f>36.5594 * CHOOSE(CONTROL!$C$15, $D$11, 100%, $F$11)</f>
        <v>36.559399999999997</v>
      </c>
      <c r="J918" s="4">
        <f>36.4435 * CHOOSE(CONTROL!$C$15, $D$11, 100%, $F$11)</f>
        <v>36.4435</v>
      </c>
      <c r="K918" s="4"/>
      <c r="L918" s="9">
        <v>24.747800000000002</v>
      </c>
      <c r="M918" s="9">
        <v>10.8962</v>
      </c>
      <c r="N918" s="9">
        <v>4.4660000000000002</v>
      </c>
      <c r="O918" s="9">
        <v>0.33829999999999999</v>
      </c>
      <c r="P918" s="9">
        <v>1.1687000000000001</v>
      </c>
      <c r="Q918" s="9">
        <v>17.782800000000002</v>
      </c>
      <c r="R918" s="9"/>
      <c r="S918" s="11"/>
    </row>
    <row r="919" spans="1:19" ht="15.75">
      <c r="A919" s="13">
        <v>69853</v>
      </c>
      <c r="B919" s="8">
        <f>36.9071 * CHOOSE(CONTROL!$C$15, $D$11, 100%, $F$11)</f>
        <v>36.9071</v>
      </c>
      <c r="C919" s="8">
        <f>36.9174 * CHOOSE(CONTROL!$C$15, $D$11, 100%, $F$11)</f>
        <v>36.917400000000001</v>
      </c>
      <c r="D919" s="8">
        <f>36.8975 * CHOOSE( CONTROL!$C$15, $D$11, 100%, $F$11)</f>
        <v>36.897500000000001</v>
      </c>
      <c r="E919" s="12">
        <f>36.9037 * CHOOSE( CONTROL!$C$15, $D$11, 100%, $F$11)</f>
        <v>36.903700000000001</v>
      </c>
      <c r="F919" s="4">
        <f>37.566 * CHOOSE(CONTROL!$C$15, $D$11, 100%, $F$11)</f>
        <v>37.566000000000003</v>
      </c>
      <c r="G919" s="8">
        <f>36.2909 * CHOOSE( CONTROL!$C$15, $D$11, 100%, $F$11)</f>
        <v>36.290900000000001</v>
      </c>
      <c r="H919" s="4">
        <f>37.1869 * CHOOSE(CONTROL!$C$15, $D$11, 100%, $F$11)</f>
        <v>37.186900000000001</v>
      </c>
      <c r="I919" s="8">
        <f>35.7437 * CHOOSE(CONTROL!$C$15, $D$11, 100%, $F$11)</f>
        <v>35.743699999999997</v>
      </c>
      <c r="J919" s="4">
        <f>35.6677 * CHOOSE(CONTROL!$C$15, $D$11, 100%, $F$11)</f>
        <v>35.667700000000004</v>
      </c>
      <c r="K919" s="4"/>
      <c r="L919" s="9">
        <v>27.3993</v>
      </c>
      <c r="M919" s="9">
        <v>12.063700000000001</v>
      </c>
      <c r="N919" s="9">
        <v>4.9444999999999997</v>
      </c>
      <c r="O919" s="9">
        <v>0.37459999999999999</v>
      </c>
      <c r="P919" s="9">
        <v>1.2939000000000001</v>
      </c>
      <c r="Q919" s="9">
        <v>19.688099999999999</v>
      </c>
      <c r="R919" s="9"/>
      <c r="S919" s="11"/>
    </row>
    <row r="920" spans="1:19" ht="15.75">
      <c r="A920" s="13">
        <v>69883</v>
      </c>
      <c r="B920" s="8">
        <f>37.4676 * CHOOSE(CONTROL!$C$15, $D$11, 100%, $F$11)</f>
        <v>37.467599999999997</v>
      </c>
      <c r="C920" s="8">
        <f>37.478 * CHOOSE(CONTROL!$C$15, $D$11, 100%, $F$11)</f>
        <v>37.478000000000002</v>
      </c>
      <c r="D920" s="8">
        <f>37.4695 * CHOOSE( CONTROL!$C$15, $D$11, 100%, $F$11)</f>
        <v>37.469499999999996</v>
      </c>
      <c r="E920" s="12">
        <f>37.4711 * CHOOSE( CONTROL!$C$15, $D$11, 100%, $F$11)</f>
        <v>37.4711</v>
      </c>
      <c r="F920" s="4">
        <f>38.1167 * CHOOSE(CONTROL!$C$15, $D$11, 100%, $F$11)</f>
        <v>38.116700000000002</v>
      </c>
      <c r="G920" s="8">
        <f>36.8272 * CHOOSE( CONTROL!$C$15, $D$11, 100%, $F$11)</f>
        <v>36.827199999999998</v>
      </c>
      <c r="H920" s="4">
        <f>37.7287 * CHOOSE(CONTROL!$C$15, $D$11, 100%, $F$11)</f>
        <v>37.728700000000003</v>
      </c>
      <c r="I920" s="8">
        <f>36.2829 * CHOOSE(CONTROL!$C$15, $D$11, 100%, $F$11)</f>
        <v>36.282899999999998</v>
      </c>
      <c r="J920" s="4">
        <f>36.2098 * CHOOSE(CONTROL!$C$15, $D$11, 100%, $F$11)</f>
        <v>36.209800000000001</v>
      </c>
      <c r="K920" s="4"/>
      <c r="L920" s="9">
        <v>27.988800000000001</v>
      </c>
      <c r="M920" s="9">
        <v>11.6745</v>
      </c>
      <c r="N920" s="9">
        <v>4.7850000000000001</v>
      </c>
      <c r="O920" s="9">
        <v>0.36249999999999999</v>
      </c>
      <c r="P920" s="9">
        <v>1.1798</v>
      </c>
      <c r="Q920" s="9">
        <v>19.053000000000001</v>
      </c>
      <c r="R920" s="9"/>
      <c r="S920" s="11"/>
    </row>
    <row r="921" spans="1:19" ht="15.75">
      <c r="A921" s="13">
        <v>69914</v>
      </c>
      <c r="B921" s="8">
        <f>CHOOSE( CONTROL!$C$32, 38.4698, 38.4653) * CHOOSE(CONTROL!$C$15, $D$11, 100%, $F$11)</f>
        <v>38.469799999999999</v>
      </c>
      <c r="C921" s="8">
        <f>CHOOSE( CONTROL!$C$32, 38.4801, 38.4756) * CHOOSE(CONTROL!$C$15, $D$11, 100%, $F$11)</f>
        <v>38.4801</v>
      </c>
      <c r="D921" s="8">
        <f>CHOOSE( CONTROL!$C$32, 38.4898, 38.4853) * CHOOSE( CONTROL!$C$15, $D$11, 100%, $F$11)</f>
        <v>38.489800000000002</v>
      </c>
      <c r="E921" s="12">
        <f>CHOOSE( CONTROL!$C$32, 38.4847, 38.4802) * CHOOSE( CONTROL!$C$15, $D$11, 100%, $F$11)</f>
        <v>38.484699999999997</v>
      </c>
      <c r="F921" s="4">
        <f>CHOOSE( CONTROL!$C$32, 39.1581, 39.1536) * CHOOSE(CONTROL!$C$15, $D$11, 100%, $F$11)</f>
        <v>39.158099999999997</v>
      </c>
      <c r="G921" s="8">
        <f>CHOOSE( CONTROL!$C$32, 37.8182, 37.8137) * CHOOSE( CONTROL!$C$15, $D$11, 100%, $F$11)</f>
        <v>37.818199999999997</v>
      </c>
      <c r="H921" s="4">
        <f>CHOOSE( CONTROL!$C$32, 38.7532, 38.7488) * CHOOSE(CONTROL!$C$15, $D$11, 100%, $F$11)</f>
        <v>38.7532</v>
      </c>
      <c r="I921" s="8">
        <f>CHOOSE( CONTROL!$C$32, 37.2584, 37.2541) * CHOOSE(CONTROL!$C$15, $D$11, 100%, $F$11)</f>
        <v>37.258400000000002</v>
      </c>
      <c r="J921" s="4">
        <f>CHOOSE( CONTROL!$C$32, 37.179, 37.1747) * CHOOSE(CONTROL!$C$15, $D$11, 100%, $F$11)</f>
        <v>37.179000000000002</v>
      </c>
      <c r="K921" s="4"/>
      <c r="L921" s="9">
        <v>29.520499999999998</v>
      </c>
      <c r="M921" s="9">
        <v>12.063700000000001</v>
      </c>
      <c r="N921" s="9">
        <v>4.9444999999999997</v>
      </c>
      <c r="O921" s="9">
        <v>0.37459999999999999</v>
      </c>
      <c r="P921" s="9">
        <v>1.2192000000000001</v>
      </c>
      <c r="Q921" s="9">
        <v>19.688099999999999</v>
      </c>
      <c r="R921" s="9"/>
      <c r="S921" s="11"/>
    </row>
    <row r="922" spans="1:19" ht="15.75">
      <c r="A922" s="13">
        <v>69944</v>
      </c>
      <c r="B922" s="8">
        <f>CHOOSE( CONTROL!$C$32, 37.8518, 37.8473) * CHOOSE(CONTROL!$C$15, $D$11, 100%, $F$11)</f>
        <v>37.851799999999997</v>
      </c>
      <c r="C922" s="8">
        <f>CHOOSE( CONTROL!$C$32, 37.8621, 37.8576) * CHOOSE(CONTROL!$C$15, $D$11, 100%, $F$11)</f>
        <v>37.862099999999998</v>
      </c>
      <c r="D922" s="8">
        <f>CHOOSE( CONTROL!$C$32, 37.8724, 37.8679) * CHOOSE( CONTROL!$C$15, $D$11, 100%, $F$11)</f>
        <v>37.872399999999999</v>
      </c>
      <c r="E922" s="12">
        <f>CHOOSE( CONTROL!$C$32, 37.8671, 37.8626) * CHOOSE( CONTROL!$C$15, $D$11, 100%, $F$11)</f>
        <v>37.867100000000001</v>
      </c>
      <c r="F922" s="4">
        <f>CHOOSE( CONTROL!$C$32, 38.5401, 38.5355) * CHOOSE(CONTROL!$C$15, $D$11, 100%, $F$11)</f>
        <v>38.540100000000002</v>
      </c>
      <c r="G922" s="8">
        <f>CHOOSE( CONTROL!$C$32, 37.2111, 37.2066) * CHOOSE( CONTROL!$C$15, $D$11, 100%, $F$11)</f>
        <v>37.211100000000002</v>
      </c>
      <c r="H922" s="4">
        <f>CHOOSE( CONTROL!$C$32, 38.1452, 38.1407) * CHOOSE(CONTROL!$C$15, $D$11, 100%, $F$11)</f>
        <v>38.145200000000003</v>
      </c>
      <c r="I922" s="8">
        <f>CHOOSE( CONTROL!$C$32, 36.6634, 36.6591) * CHOOSE(CONTROL!$C$15, $D$11, 100%, $F$11)</f>
        <v>36.663400000000003</v>
      </c>
      <c r="J922" s="4">
        <f>CHOOSE( CONTROL!$C$32, 36.5813, 36.577) * CHOOSE(CONTROL!$C$15, $D$11, 100%, $F$11)</f>
        <v>36.581299999999999</v>
      </c>
      <c r="K922" s="4"/>
      <c r="L922" s="9">
        <v>28.568200000000001</v>
      </c>
      <c r="M922" s="9">
        <v>11.6745</v>
      </c>
      <c r="N922" s="9">
        <v>4.7850000000000001</v>
      </c>
      <c r="O922" s="9">
        <v>0.36249999999999999</v>
      </c>
      <c r="P922" s="9">
        <v>1.1798</v>
      </c>
      <c r="Q922" s="9">
        <v>19.053000000000001</v>
      </c>
      <c r="R922" s="9"/>
      <c r="S922" s="11"/>
    </row>
    <row r="923" spans="1:19" ht="15.75">
      <c r="A923" s="13">
        <v>69975</v>
      </c>
      <c r="B923" s="8">
        <f>CHOOSE( CONTROL!$C$32, 39.4792, 39.4747) * CHOOSE(CONTROL!$C$15, $D$11, 100%, $F$11)</f>
        <v>39.479199999999999</v>
      </c>
      <c r="C923" s="8">
        <f>CHOOSE( CONTROL!$C$32, 39.4896, 39.4851) * CHOOSE(CONTROL!$C$15, $D$11, 100%, $F$11)</f>
        <v>39.489600000000003</v>
      </c>
      <c r="D923" s="8">
        <f>CHOOSE( CONTROL!$C$32, 39.5005, 39.4959) * CHOOSE( CONTROL!$C$15, $D$11, 100%, $F$11)</f>
        <v>39.500500000000002</v>
      </c>
      <c r="E923" s="12">
        <f>CHOOSE( CONTROL!$C$32, 39.495, 39.4904) * CHOOSE( CONTROL!$C$15, $D$11, 100%, $F$11)</f>
        <v>39.494999999999997</v>
      </c>
      <c r="F923" s="4">
        <f>CHOOSE( CONTROL!$C$32, 40.1675, 40.163) * CHOOSE(CONTROL!$C$15, $D$11, 100%, $F$11)</f>
        <v>40.167499999999997</v>
      </c>
      <c r="G923" s="8">
        <f>CHOOSE( CONTROL!$C$32, 38.8131, 38.8086) * CHOOSE( CONTROL!$C$15, $D$11, 100%, $F$11)</f>
        <v>38.813099999999999</v>
      </c>
      <c r="H923" s="4">
        <f>CHOOSE( CONTROL!$C$32, 39.7463, 39.7419) * CHOOSE(CONTROL!$C$15, $D$11, 100%, $F$11)</f>
        <v>39.746299999999998</v>
      </c>
      <c r="I923" s="8">
        <f>CHOOSE( CONTROL!$C$32, 38.2408, 38.2365) * CHOOSE(CONTROL!$C$15, $D$11, 100%, $F$11)</f>
        <v>38.2408</v>
      </c>
      <c r="J923" s="4">
        <f>CHOOSE( CONTROL!$C$32, 38.1553, 38.1509) * CHOOSE(CONTROL!$C$15, $D$11, 100%, $F$11)</f>
        <v>38.155299999999997</v>
      </c>
      <c r="K923" s="4"/>
      <c r="L923" s="9">
        <v>29.520499999999998</v>
      </c>
      <c r="M923" s="9">
        <v>12.063700000000001</v>
      </c>
      <c r="N923" s="9">
        <v>4.9444999999999997</v>
      </c>
      <c r="O923" s="9">
        <v>0.37459999999999999</v>
      </c>
      <c r="P923" s="9">
        <v>1.2192000000000001</v>
      </c>
      <c r="Q923" s="9">
        <v>19.688099999999999</v>
      </c>
      <c r="R923" s="9"/>
      <c r="S923" s="11"/>
    </row>
    <row r="924" spans="1:19" ht="15.75">
      <c r="A924" s="13">
        <v>70006</v>
      </c>
      <c r="B924" s="8">
        <f>CHOOSE( CONTROL!$C$32, 36.4341, 36.4296) * CHOOSE(CONTROL!$C$15, $D$11, 100%, $F$11)</f>
        <v>36.434100000000001</v>
      </c>
      <c r="C924" s="8">
        <f>CHOOSE( CONTROL!$C$32, 36.4444, 36.4399) * CHOOSE(CONTROL!$C$15, $D$11, 100%, $F$11)</f>
        <v>36.444400000000002</v>
      </c>
      <c r="D924" s="8">
        <f>CHOOSE( CONTROL!$C$32, 36.4556, 36.4511) * CHOOSE( CONTROL!$C$15, $D$11, 100%, $F$11)</f>
        <v>36.455599999999997</v>
      </c>
      <c r="E924" s="12">
        <f>CHOOSE( CONTROL!$C$32, 36.45, 36.4455) * CHOOSE( CONTROL!$C$15, $D$11, 100%, $F$11)</f>
        <v>36.450000000000003</v>
      </c>
      <c r="F924" s="4">
        <f>CHOOSE( CONTROL!$C$32, 37.1224, 37.1179) * CHOOSE(CONTROL!$C$15, $D$11, 100%, $F$11)</f>
        <v>37.122399999999999</v>
      </c>
      <c r="G924" s="8">
        <f>CHOOSE( CONTROL!$C$32, 35.8176, 35.8132) * CHOOSE( CONTROL!$C$15, $D$11, 100%, $F$11)</f>
        <v>35.817599999999999</v>
      </c>
      <c r="H924" s="4">
        <f>CHOOSE( CONTROL!$C$32, 36.7504, 36.746) * CHOOSE(CONTROL!$C$15, $D$11, 100%, $F$11)</f>
        <v>36.750399999999999</v>
      </c>
      <c r="I924" s="8">
        <f>CHOOSE( CONTROL!$C$32, 35.2958, 35.2914) * CHOOSE(CONTROL!$C$15, $D$11, 100%, $F$11)</f>
        <v>35.2958</v>
      </c>
      <c r="J924" s="4">
        <f>CHOOSE( CONTROL!$C$32, 35.2103, 35.2059) * CHOOSE(CONTROL!$C$15, $D$11, 100%, $F$11)</f>
        <v>35.210299999999997</v>
      </c>
      <c r="K924" s="4"/>
      <c r="L924" s="9">
        <v>29.520499999999998</v>
      </c>
      <c r="M924" s="9">
        <v>12.063700000000001</v>
      </c>
      <c r="N924" s="9">
        <v>4.9444999999999997</v>
      </c>
      <c r="O924" s="9">
        <v>0.37459999999999999</v>
      </c>
      <c r="P924" s="9">
        <v>1.2192000000000001</v>
      </c>
      <c r="Q924" s="9">
        <v>19.688099999999999</v>
      </c>
      <c r="R924" s="9"/>
      <c r="S924" s="11"/>
    </row>
    <row r="925" spans="1:19" ht="15.75">
      <c r="A925" s="13">
        <v>70036</v>
      </c>
      <c r="B925" s="8">
        <f>CHOOSE( CONTROL!$C$32, 35.6715, 35.667) * CHOOSE(CONTROL!$C$15, $D$11, 100%, $F$11)</f>
        <v>35.671500000000002</v>
      </c>
      <c r="C925" s="8">
        <f>CHOOSE( CONTROL!$C$32, 35.6819, 35.6774) * CHOOSE(CONTROL!$C$15, $D$11, 100%, $F$11)</f>
        <v>35.681899999999999</v>
      </c>
      <c r="D925" s="8">
        <f>CHOOSE( CONTROL!$C$32, 35.6931, 35.6886) * CHOOSE( CONTROL!$C$15, $D$11, 100%, $F$11)</f>
        <v>35.693100000000001</v>
      </c>
      <c r="E925" s="12">
        <f>CHOOSE( CONTROL!$C$32, 35.6875, 35.683) * CHOOSE( CONTROL!$C$15, $D$11, 100%, $F$11)</f>
        <v>35.6875</v>
      </c>
      <c r="F925" s="4">
        <f>CHOOSE( CONTROL!$C$32, 36.3598, 36.3553) * CHOOSE(CONTROL!$C$15, $D$11, 100%, $F$11)</f>
        <v>36.3598</v>
      </c>
      <c r="G925" s="8">
        <f>CHOOSE( CONTROL!$C$32, 35.0675, 35.0631) * CHOOSE( CONTROL!$C$15, $D$11, 100%, $F$11)</f>
        <v>35.067500000000003</v>
      </c>
      <c r="H925" s="4">
        <f>CHOOSE( CONTROL!$C$32, 36.0002, 35.9958) * CHOOSE(CONTROL!$C$15, $D$11, 100%, $F$11)</f>
        <v>36.0002</v>
      </c>
      <c r="I925" s="8">
        <f>CHOOSE( CONTROL!$C$32, 34.5584, 34.5541) * CHOOSE(CONTROL!$C$15, $D$11, 100%, $F$11)</f>
        <v>34.558399999999999</v>
      </c>
      <c r="J925" s="4">
        <f>CHOOSE( CONTROL!$C$32, 34.4728, 34.4685) * CHOOSE(CONTROL!$C$15, $D$11, 100%, $F$11)</f>
        <v>34.472799999999999</v>
      </c>
      <c r="K925" s="4"/>
      <c r="L925" s="9">
        <v>28.568200000000001</v>
      </c>
      <c r="M925" s="9">
        <v>11.6745</v>
      </c>
      <c r="N925" s="9">
        <v>4.7850000000000001</v>
      </c>
      <c r="O925" s="9">
        <v>0.36249999999999999</v>
      </c>
      <c r="P925" s="9">
        <v>1.1798</v>
      </c>
      <c r="Q925" s="9">
        <v>19.053000000000001</v>
      </c>
      <c r="R925" s="9"/>
      <c r="S925" s="11"/>
    </row>
    <row r="926" spans="1:19" ht="15.75">
      <c r="A926" s="13">
        <v>70067</v>
      </c>
      <c r="B926" s="8">
        <f>37.2503 * CHOOSE(CONTROL!$C$15, $D$11, 100%, $F$11)</f>
        <v>37.250300000000003</v>
      </c>
      <c r="C926" s="8">
        <f>37.2607 * CHOOSE(CONTROL!$C$15, $D$11, 100%, $F$11)</f>
        <v>37.2607</v>
      </c>
      <c r="D926" s="8">
        <f>37.2731 * CHOOSE( CONTROL!$C$15, $D$11, 100%, $F$11)</f>
        <v>37.273099999999999</v>
      </c>
      <c r="E926" s="12">
        <f>37.2679 * CHOOSE( CONTROL!$C$15, $D$11, 100%, $F$11)</f>
        <v>37.267899999999997</v>
      </c>
      <c r="F926" s="4">
        <f>37.9386 * CHOOSE(CONTROL!$C$15, $D$11, 100%, $F$11)</f>
        <v>37.938600000000001</v>
      </c>
      <c r="G926" s="8">
        <f>36.6202 * CHOOSE( CONTROL!$C$15, $D$11, 100%, $F$11)</f>
        <v>36.620199999999997</v>
      </c>
      <c r="H926" s="4">
        <f>37.5535 * CHOOSE(CONTROL!$C$15, $D$11, 100%, $F$11)</f>
        <v>37.5535</v>
      </c>
      <c r="I926" s="8">
        <f>36.0873 * CHOOSE(CONTROL!$C$15, $D$11, 100%, $F$11)</f>
        <v>36.087299999999999</v>
      </c>
      <c r="J926" s="4">
        <f>35.9997 * CHOOSE(CONTROL!$C$15, $D$11, 100%, $F$11)</f>
        <v>35.999699999999997</v>
      </c>
      <c r="K926" s="4"/>
      <c r="L926" s="9">
        <v>28.921800000000001</v>
      </c>
      <c r="M926" s="9">
        <v>12.063700000000001</v>
      </c>
      <c r="N926" s="9">
        <v>4.9444999999999997</v>
      </c>
      <c r="O926" s="9">
        <v>0.37459999999999999</v>
      </c>
      <c r="P926" s="9">
        <v>1.2192000000000001</v>
      </c>
      <c r="Q926" s="9">
        <v>19.688099999999999</v>
      </c>
      <c r="R926" s="9"/>
      <c r="S926" s="11"/>
    </row>
    <row r="927" spans="1:19" ht="15.75">
      <c r="A927" s="13">
        <v>70097</v>
      </c>
      <c r="B927" s="8">
        <f>40.1728 * CHOOSE(CONTROL!$C$15, $D$11, 100%, $F$11)</f>
        <v>40.172800000000002</v>
      </c>
      <c r="C927" s="8">
        <f>40.1831 * CHOOSE(CONTROL!$C$15, $D$11, 100%, $F$11)</f>
        <v>40.183100000000003</v>
      </c>
      <c r="D927" s="8">
        <f>40.1692 * CHOOSE( CONTROL!$C$15, $D$11, 100%, $F$11)</f>
        <v>40.169199999999996</v>
      </c>
      <c r="E927" s="12">
        <f>40.1732 * CHOOSE( CONTROL!$C$15, $D$11, 100%, $F$11)</f>
        <v>40.173200000000001</v>
      </c>
      <c r="F927" s="4">
        <f>40.827 * CHOOSE(CONTROL!$C$15, $D$11, 100%, $F$11)</f>
        <v>40.826999999999998</v>
      </c>
      <c r="G927" s="8">
        <f>39.5126 * CHOOSE( CONTROL!$C$15, $D$11, 100%, $F$11)</f>
        <v>39.512599999999999</v>
      </c>
      <c r="H927" s="4">
        <f>40.3952 * CHOOSE(CONTROL!$C$15, $D$11, 100%, $F$11)</f>
        <v>40.395200000000003</v>
      </c>
      <c r="I927" s="8">
        <f>38.9481 * CHOOSE(CONTROL!$C$15, $D$11, 100%, $F$11)</f>
        <v>38.948099999999997</v>
      </c>
      <c r="J927" s="4">
        <f>38.826 * CHOOSE(CONTROL!$C$15, $D$11, 100%, $F$11)</f>
        <v>38.826000000000001</v>
      </c>
      <c r="K927" s="4"/>
      <c r="L927" s="9">
        <v>26.515499999999999</v>
      </c>
      <c r="M927" s="9">
        <v>11.6745</v>
      </c>
      <c r="N927" s="9">
        <v>4.7850000000000001</v>
      </c>
      <c r="O927" s="9">
        <v>0.36249999999999999</v>
      </c>
      <c r="P927" s="9">
        <v>1.2522</v>
      </c>
      <c r="Q927" s="9">
        <v>19.053000000000001</v>
      </c>
      <c r="R927" s="9"/>
      <c r="S927" s="11"/>
    </row>
    <row r="928" spans="1:19" ht="15.75">
      <c r="A928" s="13">
        <v>70128</v>
      </c>
      <c r="B928" s="8">
        <f>40.0998 * CHOOSE(CONTROL!$C$15, $D$11, 100%, $F$11)</f>
        <v>40.099800000000002</v>
      </c>
      <c r="C928" s="8">
        <f>40.1101 * CHOOSE(CONTROL!$C$15, $D$11, 100%, $F$11)</f>
        <v>40.110100000000003</v>
      </c>
      <c r="D928" s="8">
        <f>40.0986 * CHOOSE( CONTROL!$C$15, $D$11, 100%, $F$11)</f>
        <v>40.098599999999998</v>
      </c>
      <c r="E928" s="12">
        <f>40.1017 * CHOOSE( CONTROL!$C$15, $D$11, 100%, $F$11)</f>
        <v>40.101700000000001</v>
      </c>
      <c r="F928" s="4">
        <f>40.754 * CHOOSE(CONTROL!$C$15, $D$11, 100%, $F$11)</f>
        <v>40.753999999999998</v>
      </c>
      <c r="G928" s="8">
        <f>39.4426 * CHOOSE( CONTROL!$C$15, $D$11, 100%, $F$11)</f>
        <v>39.442599999999999</v>
      </c>
      <c r="H928" s="4">
        <f>40.3233 * CHOOSE(CONTROL!$C$15, $D$11, 100%, $F$11)</f>
        <v>40.323300000000003</v>
      </c>
      <c r="I928" s="8">
        <f>38.8854 * CHOOSE(CONTROL!$C$15, $D$11, 100%, $F$11)</f>
        <v>38.885399999999997</v>
      </c>
      <c r="J928" s="4">
        <f>38.7554 * CHOOSE(CONTROL!$C$15, $D$11, 100%, $F$11)</f>
        <v>38.755400000000002</v>
      </c>
      <c r="K928" s="4"/>
      <c r="L928" s="9">
        <v>27.3993</v>
      </c>
      <c r="M928" s="9">
        <v>12.063700000000001</v>
      </c>
      <c r="N928" s="9">
        <v>4.9444999999999997</v>
      </c>
      <c r="O928" s="9">
        <v>0.37459999999999999</v>
      </c>
      <c r="P928" s="9">
        <v>1.2939000000000001</v>
      </c>
      <c r="Q928" s="9">
        <v>19.688099999999999</v>
      </c>
      <c r="R928" s="9"/>
      <c r="S928" s="11"/>
    </row>
    <row r="929" spans="1:19" ht="15.75">
      <c r="A929" s="13">
        <v>70159</v>
      </c>
      <c r="B929" s="8">
        <f>41.6314 * CHOOSE(CONTROL!$C$15, $D$11, 100%, $F$11)</f>
        <v>41.631399999999999</v>
      </c>
      <c r="C929" s="8">
        <f>41.6417 * CHOOSE(CONTROL!$C$15, $D$11, 100%, $F$11)</f>
        <v>41.6417</v>
      </c>
      <c r="D929" s="8">
        <f>41.6401 * CHOOSE( CONTROL!$C$15, $D$11, 100%, $F$11)</f>
        <v>41.640099999999997</v>
      </c>
      <c r="E929" s="12">
        <f>41.6396 * CHOOSE( CONTROL!$C$15, $D$11, 100%, $F$11)</f>
        <v>41.639600000000002</v>
      </c>
      <c r="F929" s="4">
        <f>42.314 * CHOOSE(CONTROL!$C$15, $D$11, 100%, $F$11)</f>
        <v>42.314</v>
      </c>
      <c r="G929" s="8">
        <f>40.9597 * CHOOSE( CONTROL!$C$15, $D$11, 100%, $F$11)</f>
        <v>40.959699999999998</v>
      </c>
      <c r="H929" s="4">
        <f>41.8581 * CHOOSE(CONTROL!$C$15, $D$11, 100%, $F$11)</f>
        <v>41.8581</v>
      </c>
      <c r="I929" s="8">
        <f>40.3653 * CHOOSE(CONTROL!$C$15, $D$11, 100%, $F$11)</f>
        <v>40.365299999999998</v>
      </c>
      <c r="J929" s="4">
        <f>40.2366 * CHOOSE(CONTROL!$C$15, $D$11, 100%, $F$11)</f>
        <v>40.236600000000003</v>
      </c>
      <c r="K929" s="4"/>
      <c r="L929" s="9">
        <v>27.3993</v>
      </c>
      <c r="M929" s="9">
        <v>12.063700000000001</v>
      </c>
      <c r="N929" s="9">
        <v>4.9444999999999997</v>
      </c>
      <c r="O929" s="9">
        <v>0.37459999999999999</v>
      </c>
      <c r="P929" s="9">
        <v>1.2939000000000001</v>
      </c>
      <c r="Q929" s="9">
        <v>19.688099999999999</v>
      </c>
      <c r="R929" s="9"/>
      <c r="S929" s="11"/>
    </row>
    <row r="930" spans="1:19" ht="15.75">
      <c r="A930" s="13">
        <v>70188</v>
      </c>
      <c r="B930" s="8">
        <f>38.9416 * CHOOSE(CONTROL!$C$15, $D$11, 100%, $F$11)</f>
        <v>38.941600000000001</v>
      </c>
      <c r="C930" s="8">
        <f>38.952 * CHOOSE(CONTROL!$C$15, $D$11, 100%, $F$11)</f>
        <v>38.951999999999998</v>
      </c>
      <c r="D930" s="8">
        <f>38.9525 * CHOOSE( CONTROL!$C$15, $D$11, 100%, $F$11)</f>
        <v>38.952500000000001</v>
      </c>
      <c r="E930" s="12">
        <f>38.9512 * CHOOSE( CONTROL!$C$15, $D$11, 100%, $F$11)</f>
        <v>38.9512</v>
      </c>
      <c r="F930" s="4">
        <f>39.6166 * CHOOSE(CONTROL!$C$15, $D$11, 100%, $F$11)</f>
        <v>39.616599999999998</v>
      </c>
      <c r="G930" s="8">
        <f>38.3133 * CHOOSE( CONTROL!$C$15, $D$11, 100%, $F$11)</f>
        <v>38.313299999999998</v>
      </c>
      <c r="H930" s="4">
        <f>39.2043 * CHOOSE(CONTROL!$C$15, $D$11, 100%, $F$11)</f>
        <v>39.204300000000003</v>
      </c>
      <c r="I930" s="8">
        <f>37.7518 * CHOOSE(CONTROL!$C$15, $D$11, 100%, $F$11)</f>
        <v>37.751800000000003</v>
      </c>
      <c r="J930" s="4">
        <f>37.6353 * CHOOSE(CONTROL!$C$15, $D$11, 100%, $F$11)</f>
        <v>37.635300000000001</v>
      </c>
      <c r="K930" s="4"/>
      <c r="L930" s="9">
        <v>25.631599999999999</v>
      </c>
      <c r="M930" s="9">
        <v>11.285299999999999</v>
      </c>
      <c r="N930" s="9">
        <v>4.6254999999999997</v>
      </c>
      <c r="O930" s="9">
        <v>0.35039999999999999</v>
      </c>
      <c r="P930" s="9">
        <v>1.2104999999999999</v>
      </c>
      <c r="Q930" s="9">
        <v>18.417899999999999</v>
      </c>
      <c r="R930" s="9"/>
      <c r="S930" s="11"/>
    </row>
    <row r="931" spans="1:19" ht="15.75">
      <c r="A931" s="13">
        <v>70219</v>
      </c>
      <c r="B931" s="8">
        <f>38.1132 * CHOOSE(CONTROL!$C$15, $D$11, 100%, $F$11)</f>
        <v>38.113199999999999</v>
      </c>
      <c r="C931" s="8">
        <f>38.1236 * CHOOSE(CONTROL!$C$15, $D$11, 100%, $F$11)</f>
        <v>38.123600000000003</v>
      </c>
      <c r="D931" s="8">
        <f>38.1036 * CHOOSE( CONTROL!$C$15, $D$11, 100%, $F$11)</f>
        <v>38.1036</v>
      </c>
      <c r="E931" s="12">
        <f>38.1098 * CHOOSE( CONTROL!$C$15, $D$11, 100%, $F$11)</f>
        <v>38.1098</v>
      </c>
      <c r="F931" s="4">
        <f>38.7721 * CHOOSE(CONTROL!$C$15, $D$11, 100%, $F$11)</f>
        <v>38.772100000000002</v>
      </c>
      <c r="G931" s="8">
        <f>37.4775 * CHOOSE( CONTROL!$C$15, $D$11, 100%, $F$11)</f>
        <v>37.477499999999999</v>
      </c>
      <c r="H931" s="4">
        <f>38.3735 * CHOOSE(CONTROL!$C$15, $D$11, 100%, $F$11)</f>
        <v>38.3735</v>
      </c>
      <c r="I931" s="8">
        <f>36.9107 * CHOOSE(CONTROL!$C$15, $D$11, 100%, $F$11)</f>
        <v>36.910699999999999</v>
      </c>
      <c r="J931" s="4">
        <f>36.8342 * CHOOSE(CONTROL!$C$15, $D$11, 100%, $F$11)</f>
        <v>36.834200000000003</v>
      </c>
      <c r="K931" s="4"/>
      <c r="L931" s="9">
        <v>27.3993</v>
      </c>
      <c r="M931" s="9">
        <v>12.063700000000001</v>
      </c>
      <c r="N931" s="9">
        <v>4.9444999999999997</v>
      </c>
      <c r="O931" s="9">
        <v>0.37459999999999999</v>
      </c>
      <c r="P931" s="9">
        <v>1.2939000000000001</v>
      </c>
      <c r="Q931" s="9">
        <v>19.688099999999999</v>
      </c>
      <c r="R931" s="9"/>
      <c r="S931" s="11"/>
    </row>
    <row r="932" spans="1:19" ht="15.75">
      <c r="A932" s="13">
        <v>70249</v>
      </c>
      <c r="B932" s="8">
        <f>38.6921 * CHOOSE(CONTROL!$C$15, $D$11, 100%, $F$11)</f>
        <v>38.692100000000003</v>
      </c>
      <c r="C932" s="8">
        <f>38.7024 * CHOOSE(CONTROL!$C$15, $D$11, 100%, $F$11)</f>
        <v>38.702399999999997</v>
      </c>
      <c r="D932" s="8">
        <f>38.694 * CHOOSE( CONTROL!$C$15, $D$11, 100%, $F$11)</f>
        <v>38.694000000000003</v>
      </c>
      <c r="E932" s="12">
        <f>38.6956 * CHOOSE( CONTROL!$C$15, $D$11, 100%, $F$11)</f>
        <v>38.695599999999999</v>
      </c>
      <c r="F932" s="4">
        <f>39.3412 * CHOOSE(CONTROL!$C$15, $D$11, 100%, $F$11)</f>
        <v>39.341200000000001</v>
      </c>
      <c r="G932" s="8">
        <f>38.0318 * CHOOSE( CONTROL!$C$15, $D$11, 100%, $F$11)</f>
        <v>38.031799999999997</v>
      </c>
      <c r="H932" s="4">
        <f>38.9333 * CHOOSE(CONTROL!$C$15, $D$11, 100%, $F$11)</f>
        <v>38.933300000000003</v>
      </c>
      <c r="I932" s="8">
        <f>37.4677 * CHOOSE(CONTROL!$C$15, $D$11, 100%, $F$11)</f>
        <v>37.467700000000001</v>
      </c>
      <c r="J932" s="4">
        <f>37.394 * CHOOSE(CONTROL!$C$15, $D$11, 100%, $F$11)</f>
        <v>37.393999999999998</v>
      </c>
      <c r="K932" s="4"/>
      <c r="L932" s="9">
        <v>27.988800000000001</v>
      </c>
      <c r="M932" s="9">
        <v>11.6745</v>
      </c>
      <c r="N932" s="9">
        <v>4.7850000000000001</v>
      </c>
      <c r="O932" s="9">
        <v>0.36249999999999999</v>
      </c>
      <c r="P932" s="9">
        <v>1.1798</v>
      </c>
      <c r="Q932" s="9">
        <v>19.053000000000001</v>
      </c>
      <c r="R932" s="9"/>
      <c r="S932" s="11"/>
    </row>
    <row r="933" spans="1:19" ht="15.75">
      <c r="A933" s="13">
        <v>70280</v>
      </c>
      <c r="B933" s="8">
        <f>CHOOSE( CONTROL!$C$32, 39.7269, 39.7224) * CHOOSE(CONTROL!$C$15, $D$11, 100%, $F$11)</f>
        <v>39.726900000000001</v>
      </c>
      <c r="C933" s="8">
        <f>CHOOSE( CONTROL!$C$32, 39.7372, 39.7327) * CHOOSE(CONTROL!$C$15, $D$11, 100%, $F$11)</f>
        <v>39.737200000000001</v>
      </c>
      <c r="D933" s="8">
        <f>CHOOSE( CONTROL!$C$32, 39.7469, 39.7424) * CHOOSE( CONTROL!$C$15, $D$11, 100%, $F$11)</f>
        <v>39.746899999999997</v>
      </c>
      <c r="E933" s="12">
        <f>CHOOSE( CONTROL!$C$32, 39.7418, 39.7373) * CHOOSE( CONTROL!$C$15, $D$11, 100%, $F$11)</f>
        <v>39.741799999999998</v>
      </c>
      <c r="F933" s="4">
        <f>CHOOSE( CONTROL!$C$32, 40.4152, 40.4107) * CHOOSE(CONTROL!$C$15, $D$11, 100%, $F$11)</f>
        <v>40.415199999999999</v>
      </c>
      <c r="G933" s="8">
        <f>CHOOSE( CONTROL!$C$32, 39.055, 39.0505) * CHOOSE( CONTROL!$C$15, $D$11, 100%, $F$11)</f>
        <v>39.055</v>
      </c>
      <c r="H933" s="4">
        <f>CHOOSE( CONTROL!$C$32, 39.99, 39.9855) * CHOOSE(CONTROL!$C$15, $D$11, 100%, $F$11)</f>
        <v>39.99</v>
      </c>
      <c r="I933" s="8">
        <f>CHOOSE( CONTROL!$C$32, 38.4748, 38.4704) * CHOOSE(CONTROL!$C$15, $D$11, 100%, $F$11)</f>
        <v>38.474800000000002</v>
      </c>
      <c r="J933" s="4">
        <f>CHOOSE( CONTROL!$C$32, 38.3948, 38.3904) * CHOOSE(CONTROL!$C$15, $D$11, 100%, $F$11)</f>
        <v>38.394799999999996</v>
      </c>
      <c r="K933" s="4"/>
      <c r="L933" s="9">
        <v>29.520499999999998</v>
      </c>
      <c r="M933" s="9">
        <v>12.063700000000001</v>
      </c>
      <c r="N933" s="9">
        <v>4.9444999999999997</v>
      </c>
      <c r="O933" s="9">
        <v>0.37459999999999999</v>
      </c>
      <c r="P933" s="9">
        <v>1.2192000000000001</v>
      </c>
      <c r="Q933" s="9">
        <v>19.688099999999999</v>
      </c>
      <c r="R933" s="9"/>
      <c r="S933" s="11"/>
    </row>
    <row r="934" spans="1:19" ht="15.75">
      <c r="A934" s="13">
        <v>70310</v>
      </c>
      <c r="B934" s="8">
        <f>CHOOSE( CONTROL!$C$32, 39.0887, 39.0842) * CHOOSE(CONTROL!$C$15, $D$11, 100%, $F$11)</f>
        <v>39.088700000000003</v>
      </c>
      <c r="C934" s="8">
        <f>CHOOSE( CONTROL!$C$32, 39.099, 39.0945) * CHOOSE(CONTROL!$C$15, $D$11, 100%, $F$11)</f>
        <v>39.098999999999997</v>
      </c>
      <c r="D934" s="8">
        <f>CHOOSE( CONTROL!$C$32, 39.1093, 39.1048) * CHOOSE( CONTROL!$C$15, $D$11, 100%, $F$11)</f>
        <v>39.109299999999998</v>
      </c>
      <c r="E934" s="12">
        <f>CHOOSE( CONTROL!$C$32, 39.104, 39.0995) * CHOOSE( CONTROL!$C$15, $D$11, 100%, $F$11)</f>
        <v>39.103999999999999</v>
      </c>
      <c r="F934" s="4">
        <f>CHOOSE( CONTROL!$C$32, 39.777, 39.7724) * CHOOSE(CONTROL!$C$15, $D$11, 100%, $F$11)</f>
        <v>39.777000000000001</v>
      </c>
      <c r="G934" s="8">
        <f>CHOOSE( CONTROL!$C$32, 38.428, 38.4235) * CHOOSE( CONTROL!$C$15, $D$11, 100%, $F$11)</f>
        <v>38.427999999999997</v>
      </c>
      <c r="H934" s="4">
        <f>CHOOSE( CONTROL!$C$32, 39.3621, 39.3576) * CHOOSE(CONTROL!$C$15, $D$11, 100%, $F$11)</f>
        <v>39.362099999999998</v>
      </c>
      <c r="I934" s="8">
        <f>CHOOSE( CONTROL!$C$32, 37.8602, 37.8559) * CHOOSE(CONTROL!$C$15, $D$11, 100%, $F$11)</f>
        <v>37.860199999999999</v>
      </c>
      <c r="J934" s="4">
        <f>CHOOSE( CONTROL!$C$32, 37.7776, 37.7732) * CHOOSE(CONTROL!$C$15, $D$11, 100%, $F$11)</f>
        <v>37.7776</v>
      </c>
      <c r="K934" s="4"/>
      <c r="L934" s="9">
        <v>28.568200000000001</v>
      </c>
      <c r="M934" s="9">
        <v>11.6745</v>
      </c>
      <c r="N934" s="9">
        <v>4.7850000000000001</v>
      </c>
      <c r="O934" s="9">
        <v>0.36249999999999999</v>
      </c>
      <c r="P934" s="9">
        <v>1.1798</v>
      </c>
      <c r="Q934" s="9">
        <v>19.053000000000001</v>
      </c>
      <c r="R934" s="9"/>
      <c r="S934" s="11"/>
    </row>
    <row r="935" spans="1:19" ht="15.75">
      <c r="A935" s="13">
        <v>70341</v>
      </c>
      <c r="B935" s="8">
        <f>CHOOSE( CONTROL!$C$32, 40.7694, 40.7648) * CHOOSE(CONTROL!$C$15, $D$11, 100%, $F$11)</f>
        <v>40.769399999999997</v>
      </c>
      <c r="C935" s="8">
        <f>CHOOSE( CONTROL!$C$32, 40.7797, 40.7752) * CHOOSE(CONTROL!$C$15, $D$11, 100%, $F$11)</f>
        <v>40.779699999999998</v>
      </c>
      <c r="D935" s="8">
        <f>CHOOSE( CONTROL!$C$32, 40.7906, 40.7861) * CHOOSE( CONTROL!$C$15, $D$11, 100%, $F$11)</f>
        <v>40.790599999999998</v>
      </c>
      <c r="E935" s="12">
        <f>CHOOSE( CONTROL!$C$32, 40.7851, 40.7806) * CHOOSE( CONTROL!$C$15, $D$11, 100%, $F$11)</f>
        <v>40.7851</v>
      </c>
      <c r="F935" s="4">
        <f>CHOOSE( CONTROL!$C$32, 41.4577, 41.4531) * CHOOSE(CONTROL!$C$15, $D$11, 100%, $F$11)</f>
        <v>41.457700000000003</v>
      </c>
      <c r="G935" s="8">
        <f>CHOOSE( CONTROL!$C$32, 40.0823, 40.0779) * CHOOSE( CONTROL!$C$15, $D$11, 100%, $F$11)</f>
        <v>40.082299999999996</v>
      </c>
      <c r="H935" s="4">
        <f>CHOOSE( CONTROL!$C$32, 41.0156, 41.0111) * CHOOSE(CONTROL!$C$15, $D$11, 100%, $F$11)</f>
        <v>41.015599999999999</v>
      </c>
      <c r="I935" s="8">
        <f>CHOOSE( CONTROL!$C$32, 39.4891, 39.4848) * CHOOSE(CONTROL!$C$15, $D$11, 100%, $F$11)</f>
        <v>39.489100000000001</v>
      </c>
      <c r="J935" s="4">
        <f>CHOOSE( CONTROL!$C$32, 39.4029, 39.3986) * CHOOSE(CONTROL!$C$15, $D$11, 100%, $F$11)</f>
        <v>39.402900000000002</v>
      </c>
      <c r="K935" s="4"/>
      <c r="L935" s="9">
        <v>29.520499999999998</v>
      </c>
      <c r="M935" s="9">
        <v>12.063700000000001</v>
      </c>
      <c r="N935" s="9">
        <v>4.9444999999999997</v>
      </c>
      <c r="O935" s="9">
        <v>0.37459999999999999</v>
      </c>
      <c r="P935" s="9">
        <v>1.2192000000000001</v>
      </c>
      <c r="Q935" s="9">
        <v>19.688099999999999</v>
      </c>
      <c r="R935" s="9"/>
      <c r="S935" s="11"/>
    </row>
    <row r="936" spans="1:19" ht="15.75">
      <c r="A936" s="13">
        <v>70372</v>
      </c>
      <c r="B936" s="8">
        <f>CHOOSE( CONTROL!$C$32, 37.6246, 37.6201) * CHOOSE(CONTROL!$C$15, $D$11, 100%, $F$11)</f>
        <v>37.624600000000001</v>
      </c>
      <c r="C936" s="8">
        <f>CHOOSE( CONTROL!$C$32, 37.635, 37.6304) * CHOOSE(CONTROL!$C$15, $D$11, 100%, $F$11)</f>
        <v>37.634999999999998</v>
      </c>
      <c r="D936" s="8">
        <f>CHOOSE( CONTROL!$C$32, 37.6461, 37.6416) * CHOOSE( CONTROL!$C$15, $D$11, 100%, $F$11)</f>
        <v>37.646099999999997</v>
      </c>
      <c r="E936" s="12">
        <f>CHOOSE( CONTROL!$C$32, 37.6405, 37.636) * CHOOSE( CONTROL!$C$15, $D$11, 100%, $F$11)</f>
        <v>37.640500000000003</v>
      </c>
      <c r="F936" s="4">
        <f>CHOOSE( CONTROL!$C$32, 38.3129, 38.3084) * CHOOSE(CONTROL!$C$15, $D$11, 100%, $F$11)</f>
        <v>38.312899999999999</v>
      </c>
      <c r="G936" s="8">
        <f>CHOOSE( CONTROL!$C$32, 36.9889, 36.9844) * CHOOSE( CONTROL!$C$15, $D$11, 100%, $F$11)</f>
        <v>36.988900000000001</v>
      </c>
      <c r="H936" s="4">
        <f>CHOOSE( CONTROL!$C$32, 37.9217, 37.9173) * CHOOSE(CONTROL!$C$15, $D$11, 100%, $F$11)</f>
        <v>37.921700000000001</v>
      </c>
      <c r="I936" s="8">
        <f>CHOOSE( CONTROL!$C$32, 36.4478, 36.4434) * CHOOSE(CONTROL!$C$15, $D$11, 100%, $F$11)</f>
        <v>36.447800000000001</v>
      </c>
      <c r="J936" s="4">
        <f>CHOOSE( CONTROL!$C$32, 36.3617, 36.3573) * CHOOSE(CONTROL!$C$15, $D$11, 100%, $F$11)</f>
        <v>36.361699999999999</v>
      </c>
      <c r="K936" s="4"/>
      <c r="L936" s="9">
        <v>29.520499999999998</v>
      </c>
      <c r="M936" s="9">
        <v>12.063700000000001</v>
      </c>
      <c r="N936" s="9">
        <v>4.9444999999999997</v>
      </c>
      <c r="O936" s="9">
        <v>0.37459999999999999</v>
      </c>
      <c r="P936" s="9">
        <v>1.2192000000000001</v>
      </c>
      <c r="Q936" s="9">
        <v>19.688099999999999</v>
      </c>
      <c r="R936" s="9"/>
      <c r="S936" s="11"/>
    </row>
    <row r="937" spans="1:19" ht="15.75">
      <c r="A937" s="13">
        <v>70402</v>
      </c>
      <c r="B937" s="8">
        <f>CHOOSE( CONTROL!$C$32, 36.8371, 36.8326) * CHOOSE(CONTROL!$C$15, $D$11, 100%, $F$11)</f>
        <v>36.8371</v>
      </c>
      <c r="C937" s="8">
        <f>CHOOSE( CONTROL!$C$32, 36.8475, 36.843) * CHOOSE(CONTROL!$C$15, $D$11, 100%, $F$11)</f>
        <v>36.847499999999997</v>
      </c>
      <c r="D937" s="8">
        <f>CHOOSE( CONTROL!$C$32, 36.8587, 36.8542) * CHOOSE( CONTROL!$C$15, $D$11, 100%, $F$11)</f>
        <v>36.858699999999999</v>
      </c>
      <c r="E937" s="12">
        <f>CHOOSE( CONTROL!$C$32, 36.8531, 36.8486) * CHOOSE( CONTROL!$C$15, $D$11, 100%, $F$11)</f>
        <v>36.853099999999998</v>
      </c>
      <c r="F937" s="4">
        <f>CHOOSE( CONTROL!$C$32, 37.5254, 37.5209) * CHOOSE(CONTROL!$C$15, $D$11, 100%, $F$11)</f>
        <v>37.525399999999998</v>
      </c>
      <c r="G937" s="8">
        <f>CHOOSE( CONTROL!$C$32, 36.2143, 36.2098) * CHOOSE( CONTROL!$C$15, $D$11, 100%, $F$11)</f>
        <v>36.214300000000001</v>
      </c>
      <c r="H937" s="4">
        <f>CHOOSE( CONTROL!$C$32, 37.147, 37.1425) * CHOOSE(CONTROL!$C$15, $D$11, 100%, $F$11)</f>
        <v>37.146999999999998</v>
      </c>
      <c r="I937" s="8">
        <f>CHOOSE( CONTROL!$C$32, 35.6862, 35.6819) * CHOOSE(CONTROL!$C$15, $D$11, 100%, $F$11)</f>
        <v>35.686199999999999</v>
      </c>
      <c r="J937" s="4">
        <f>CHOOSE( CONTROL!$C$32, 35.6001, 35.5957) * CHOOSE(CONTROL!$C$15, $D$11, 100%, $F$11)</f>
        <v>35.600099999999998</v>
      </c>
      <c r="K937" s="4"/>
      <c r="L937" s="9">
        <v>28.568200000000001</v>
      </c>
      <c r="M937" s="9">
        <v>11.6745</v>
      </c>
      <c r="N937" s="9">
        <v>4.7850000000000001</v>
      </c>
      <c r="O937" s="9">
        <v>0.36249999999999999</v>
      </c>
      <c r="P937" s="9">
        <v>1.1798</v>
      </c>
      <c r="Q937" s="9">
        <v>19.053000000000001</v>
      </c>
      <c r="R937" s="9"/>
      <c r="S937" s="11"/>
    </row>
    <row r="938" spans="1:19" ht="15.75">
      <c r="A938" s="13">
        <v>70433</v>
      </c>
      <c r="B938" s="8">
        <f>38.4677 * CHOOSE(CONTROL!$C$15, $D$11, 100%, $F$11)</f>
        <v>38.467700000000001</v>
      </c>
      <c r="C938" s="8">
        <f>38.478 * CHOOSE(CONTROL!$C$15, $D$11, 100%, $F$11)</f>
        <v>38.478000000000002</v>
      </c>
      <c r="D938" s="8">
        <f>38.4904 * CHOOSE( CONTROL!$C$15, $D$11, 100%, $F$11)</f>
        <v>38.490400000000001</v>
      </c>
      <c r="E938" s="12">
        <f>38.4852 * CHOOSE( CONTROL!$C$15, $D$11, 100%, $F$11)</f>
        <v>38.485199999999999</v>
      </c>
      <c r="F938" s="4">
        <f>39.156 * CHOOSE(CONTROL!$C$15, $D$11, 100%, $F$11)</f>
        <v>39.155999999999999</v>
      </c>
      <c r="G938" s="8">
        <f>37.8179 * CHOOSE( CONTROL!$C$15, $D$11, 100%, $F$11)</f>
        <v>37.817900000000002</v>
      </c>
      <c r="H938" s="4">
        <f>38.7511 * CHOOSE(CONTROL!$C$15, $D$11, 100%, $F$11)</f>
        <v>38.751100000000001</v>
      </c>
      <c r="I938" s="8">
        <f>37.2652 * CHOOSE(CONTROL!$C$15, $D$11, 100%, $F$11)</f>
        <v>37.2652</v>
      </c>
      <c r="J938" s="4">
        <f>37.177 * CHOOSE(CONTROL!$C$15, $D$11, 100%, $F$11)</f>
        <v>37.177</v>
      </c>
      <c r="K938" s="4"/>
      <c r="L938" s="9">
        <v>28.921800000000001</v>
      </c>
      <c r="M938" s="9">
        <v>12.063700000000001</v>
      </c>
      <c r="N938" s="9">
        <v>4.9444999999999997</v>
      </c>
      <c r="O938" s="9">
        <v>0.37459999999999999</v>
      </c>
      <c r="P938" s="9">
        <v>1.2192000000000001</v>
      </c>
      <c r="Q938" s="9">
        <v>19.688099999999999</v>
      </c>
      <c r="R938" s="9"/>
      <c r="S938" s="11"/>
    </row>
    <row r="939" spans="1:19" ht="15.75">
      <c r="A939" s="13">
        <v>70463</v>
      </c>
      <c r="B939" s="8">
        <f>41.4857 * CHOOSE(CONTROL!$C$15, $D$11, 100%, $F$11)</f>
        <v>41.485700000000001</v>
      </c>
      <c r="C939" s="8">
        <f>41.4961 * CHOOSE(CONTROL!$C$15, $D$11, 100%, $F$11)</f>
        <v>41.496099999999998</v>
      </c>
      <c r="D939" s="8">
        <f>41.4821 * CHOOSE( CONTROL!$C$15, $D$11, 100%, $F$11)</f>
        <v>41.482100000000003</v>
      </c>
      <c r="E939" s="12">
        <f>41.4861 * CHOOSE( CONTROL!$C$15, $D$11, 100%, $F$11)</f>
        <v>41.4861</v>
      </c>
      <c r="F939" s="4">
        <f>42.14 * CHOOSE(CONTROL!$C$15, $D$11, 100%, $F$11)</f>
        <v>42.14</v>
      </c>
      <c r="G939" s="8">
        <f>40.8043 * CHOOSE( CONTROL!$C$15, $D$11, 100%, $F$11)</f>
        <v>40.804299999999998</v>
      </c>
      <c r="H939" s="4">
        <f>41.6869 * CHOOSE(CONTROL!$C$15, $D$11, 100%, $F$11)</f>
        <v>41.686900000000001</v>
      </c>
      <c r="I939" s="8">
        <f>40.2184 * CHOOSE(CONTROL!$C$15, $D$11, 100%, $F$11)</f>
        <v>40.218400000000003</v>
      </c>
      <c r="J939" s="4">
        <f>40.0957 * CHOOSE(CONTROL!$C$15, $D$11, 100%, $F$11)</f>
        <v>40.095700000000001</v>
      </c>
      <c r="K939" s="4"/>
      <c r="L939" s="9">
        <v>26.515499999999999</v>
      </c>
      <c r="M939" s="9">
        <v>11.6745</v>
      </c>
      <c r="N939" s="9">
        <v>4.7850000000000001</v>
      </c>
      <c r="O939" s="9">
        <v>0.36249999999999999</v>
      </c>
      <c r="P939" s="9">
        <v>1.2522</v>
      </c>
      <c r="Q939" s="9">
        <v>19.053000000000001</v>
      </c>
      <c r="R939" s="9"/>
      <c r="S939" s="11"/>
    </row>
    <row r="940" spans="1:19" ht="15.75">
      <c r="A940" s="13">
        <v>70494</v>
      </c>
      <c r="B940" s="8">
        <f>41.4103 * CHOOSE(CONTROL!$C$15, $D$11, 100%, $F$11)</f>
        <v>41.410299999999999</v>
      </c>
      <c r="C940" s="8">
        <f>41.4207 * CHOOSE(CONTROL!$C$15, $D$11, 100%, $F$11)</f>
        <v>41.420699999999997</v>
      </c>
      <c r="D940" s="8">
        <f>41.4092 * CHOOSE( CONTROL!$C$15, $D$11, 100%, $F$11)</f>
        <v>41.409199999999998</v>
      </c>
      <c r="E940" s="12">
        <f>41.4123 * CHOOSE( CONTROL!$C$15, $D$11, 100%, $F$11)</f>
        <v>41.412300000000002</v>
      </c>
      <c r="F940" s="4">
        <f>42.0646 * CHOOSE(CONTROL!$C$15, $D$11, 100%, $F$11)</f>
        <v>42.064599999999999</v>
      </c>
      <c r="G940" s="8">
        <f>40.732 * CHOOSE( CONTROL!$C$15, $D$11, 100%, $F$11)</f>
        <v>40.731999999999999</v>
      </c>
      <c r="H940" s="4">
        <f>41.6127 * CHOOSE(CONTROL!$C$15, $D$11, 100%, $F$11)</f>
        <v>41.612699999999997</v>
      </c>
      <c r="I940" s="8">
        <f>40.1534 * CHOOSE(CONTROL!$C$15, $D$11, 100%, $F$11)</f>
        <v>40.153399999999998</v>
      </c>
      <c r="J940" s="4">
        <f>40.0228 * CHOOSE(CONTROL!$C$15, $D$11, 100%, $F$11)</f>
        <v>40.022799999999997</v>
      </c>
      <c r="K940" s="4"/>
      <c r="L940" s="9">
        <v>27.3993</v>
      </c>
      <c r="M940" s="9">
        <v>12.063700000000001</v>
      </c>
      <c r="N940" s="9">
        <v>4.9444999999999997</v>
      </c>
      <c r="O940" s="9">
        <v>0.37459999999999999</v>
      </c>
      <c r="P940" s="9">
        <v>1.2939000000000001</v>
      </c>
      <c r="Q940" s="9">
        <v>19.688099999999999</v>
      </c>
      <c r="R940" s="9"/>
      <c r="S940" s="11"/>
    </row>
    <row r="941" spans="1:19" ht="15.75">
      <c r="A941" s="13">
        <v>70525</v>
      </c>
      <c r="B941" s="8">
        <f>42.992 * CHOOSE(CONTROL!$C$15, $D$11, 100%, $F$11)</f>
        <v>42.991999999999997</v>
      </c>
      <c r="C941" s="8">
        <f>43.0023 * CHOOSE(CONTROL!$C$15, $D$11, 100%, $F$11)</f>
        <v>43.002299999999998</v>
      </c>
      <c r="D941" s="8">
        <f>43.0008 * CHOOSE( CONTROL!$C$15, $D$11, 100%, $F$11)</f>
        <v>43.000799999999998</v>
      </c>
      <c r="E941" s="12">
        <f>43.0003 * CHOOSE( CONTROL!$C$15, $D$11, 100%, $F$11)</f>
        <v>43.000300000000003</v>
      </c>
      <c r="F941" s="4">
        <f>43.6747 * CHOOSE(CONTROL!$C$15, $D$11, 100%, $F$11)</f>
        <v>43.674700000000001</v>
      </c>
      <c r="G941" s="8">
        <f>42.2983 * CHOOSE( CONTROL!$C$15, $D$11, 100%, $F$11)</f>
        <v>42.298299999999998</v>
      </c>
      <c r="H941" s="4">
        <f>43.1968 * CHOOSE(CONTROL!$C$15, $D$11, 100%, $F$11)</f>
        <v>43.196800000000003</v>
      </c>
      <c r="I941" s="8">
        <f>41.6818 * CHOOSE(CONTROL!$C$15, $D$11, 100%, $F$11)</f>
        <v>41.681800000000003</v>
      </c>
      <c r="J941" s="4">
        <f>41.5525 * CHOOSE(CONTROL!$C$15, $D$11, 100%, $F$11)</f>
        <v>41.552500000000002</v>
      </c>
      <c r="K941" s="4"/>
      <c r="L941" s="9">
        <v>27.3993</v>
      </c>
      <c r="M941" s="9">
        <v>12.063700000000001</v>
      </c>
      <c r="N941" s="9">
        <v>4.9444999999999997</v>
      </c>
      <c r="O941" s="9">
        <v>0.37459999999999999</v>
      </c>
      <c r="P941" s="9">
        <v>1.2939000000000001</v>
      </c>
      <c r="Q941" s="9">
        <v>19.688099999999999</v>
      </c>
      <c r="R941" s="9"/>
      <c r="S941" s="11"/>
    </row>
    <row r="942" spans="1:19" ht="15.75">
      <c r="A942" s="13">
        <v>70553</v>
      </c>
      <c r="B942" s="8">
        <f>40.2143 * CHOOSE(CONTROL!$C$15, $D$11, 100%, $F$11)</f>
        <v>40.214300000000001</v>
      </c>
      <c r="C942" s="8">
        <f>40.2247 * CHOOSE(CONTROL!$C$15, $D$11, 100%, $F$11)</f>
        <v>40.224699999999999</v>
      </c>
      <c r="D942" s="8">
        <f>40.2252 * CHOOSE( CONTROL!$C$15, $D$11, 100%, $F$11)</f>
        <v>40.225200000000001</v>
      </c>
      <c r="E942" s="12">
        <f>40.2239 * CHOOSE( CONTROL!$C$15, $D$11, 100%, $F$11)</f>
        <v>40.2239</v>
      </c>
      <c r="F942" s="4">
        <f>40.8893 * CHOOSE(CONTROL!$C$15, $D$11, 100%, $F$11)</f>
        <v>40.889299999999999</v>
      </c>
      <c r="G942" s="8">
        <f>39.5654 * CHOOSE( CONTROL!$C$15, $D$11, 100%, $F$11)</f>
        <v>39.565399999999997</v>
      </c>
      <c r="H942" s="4">
        <f>40.4564 * CHOOSE(CONTROL!$C$15, $D$11, 100%, $F$11)</f>
        <v>40.456400000000002</v>
      </c>
      <c r="I942" s="8">
        <f>38.9833 * CHOOSE(CONTROL!$C$15, $D$11, 100%, $F$11)</f>
        <v>38.9833</v>
      </c>
      <c r="J942" s="4">
        <f>38.8662 * CHOOSE(CONTROL!$C$15, $D$11, 100%, $F$11)</f>
        <v>38.866199999999999</v>
      </c>
      <c r="K942" s="4"/>
      <c r="L942" s="9">
        <v>24.747800000000002</v>
      </c>
      <c r="M942" s="9">
        <v>10.8962</v>
      </c>
      <c r="N942" s="9">
        <v>4.4660000000000002</v>
      </c>
      <c r="O942" s="9">
        <v>0.33829999999999999</v>
      </c>
      <c r="P942" s="9">
        <v>1.1687000000000001</v>
      </c>
      <c r="Q942" s="9">
        <v>17.782800000000002</v>
      </c>
      <c r="R942" s="9"/>
      <c r="S942" s="11"/>
    </row>
    <row r="943" spans="1:19" ht="15.75">
      <c r="A943" s="13">
        <v>70584</v>
      </c>
      <c r="B943" s="8">
        <f>39.3588 * CHOOSE(CONTROL!$C$15, $D$11, 100%, $F$11)</f>
        <v>39.358800000000002</v>
      </c>
      <c r="C943" s="8">
        <f>39.3691 * CHOOSE(CONTROL!$C$15, $D$11, 100%, $F$11)</f>
        <v>39.369100000000003</v>
      </c>
      <c r="D943" s="8">
        <f>39.3492 * CHOOSE( CONTROL!$C$15, $D$11, 100%, $F$11)</f>
        <v>39.349200000000003</v>
      </c>
      <c r="E943" s="12">
        <f>39.3554 * CHOOSE( CONTROL!$C$15, $D$11, 100%, $F$11)</f>
        <v>39.355400000000003</v>
      </c>
      <c r="F943" s="4">
        <f>40.0177 * CHOOSE(CONTROL!$C$15, $D$11, 100%, $F$11)</f>
        <v>40.017699999999998</v>
      </c>
      <c r="G943" s="8">
        <f>38.703 * CHOOSE( CONTROL!$C$15, $D$11, 100%, $F$11)</f>
        <v>38.703000000000003</v>
      </c>
      <c r="H943" s="4">
        <f>39.5989 * CHOOSE(CONTROL!$C$15, $D$11, 100%, $F$11)</f>
        <v>39.5989</v>
      </c>
      <c r="I943" s="8">
        <f>38.116 * CHOOSE(CONTROL!$C$15, $D$11, 100%, $F$11)</f>
        <v>38.116</v>
      </c>
      <c r="J943" s="4">
        <f>38.0388 * CHOOSE(CONTROL!$C$15, $D$11, 100%, $F$11)</f>
        <v>38.038800000000002</v>
      </c>
      <c r="K943" s="4"/>
      <c r="L943" s="9">
        <v>27.3993</v>
      </c>
      <c r="M943" s="9">
        <v>12.063700000000001</v>
      </c>
      <c r="N943" s="9">
        <v>4.9444999999999997</v>
      </c>
      <c r="O943" s="9">
        <v>0.37459999999999999</v>
      </c>
      <c r="P943" s="9">
        <v>1.2939000000000001</v>
      </c>
      <c r="Q943" s="9">
        <v>19.688099999999999</v>
      </c>
      <c r="R943" s="9"/>
      <c r="S943" s="11"/>
    </row>
    <row r="944" spans="1:19" ht="15.75">
      <c r="A944" s="13">
        <v>70614</v>
      </c>
      <c r="B944" s="8">
        <f>39.9566 * CHOOSE(CONTROL!$C$15, $D$11, 100%, $F$11)</f>
        <v>39.956600000000002</v>
      </c>
      <c r="C944" s="8">
        <f>39.967 * CHOOSE(CONTROL!$C$15, $D$11, 100%, $F$11)</f>
        <v>39.966999999999999</v>
      </c>
      <c r="D944" s="8">
        <f>39.9585 * CHOOSE( CONTROL!$C$15, $D$11, 100%, $F$11)</f>
        <v>39.958500000000001</v>
      </c>
      <c r="E944" s="12">
        <f>39.9601 * CHOOSE( CONTROL!$C$15, $D$11, 100%, $F$11)</f>
        <v>39.960099999999997</v>
      </c>
      <c r="F944" s="4">
        <f>40.6057 * CHOOSE(CONTROL!$C$15, $D$11, 100%, $F$11)</f>
        <v>40.605699999999999</v>
      </c>
      <c r="G944" s="8">
        <f>39.2759 * CHOOSE( CONTROL!$C$15, $D$11, 100%, $F$11)</f>
        <v>39.2759</v>
      </c>
      <c r="H944" s="4">
        <f>40.1774 * CHOOSE(CONTROL!$C$15, $D$11, 100%, $F$11)</f>
        <v>40.177399999999999</v>
      </c>
      <c r="I944" s="8">
        <f>38.6912 * CHOOSE(CONTROL!$C$15, $D$11, 100%, $F$11)</f>
        <v>38.691200000000002</v>
      </c>
      <c r="J944" s="4">
        <f>38.6169 * CHOOSE(CONTROL!$C$15, $D$11, 100%, $F$11)</f>
        <v>38.616900000000001</v>
      </c>
      <c r="K944" s="4"/>
      <c r="L944" s="9">
        <v>27.988800000000001</v>
      </c>
      <c r="M944" s="9">
        <v>11.6745</v>
      </c>
      <c r="N944" s="9">
        <v>4.7850000000000001</v>
      </c>
      <c r="O944" s="9">
        <v>0.36249999999999999</v>
      </c>
      <c r="P944" s="9">
        <v>1.1798</v>
      </c>
      <c r="Q944" s="9">
        <v>19.053000000000001</v>
      </c>
      <c r="R944" s="9"/>
      <c r="S944" s="11"/>
    </row>
    <row r="945" spans="1:19" ht="15.75">
      <c r="A945" s="13">
        <v>70645</v>
      </c>
      <c r="B945" s="8">
        <f>CHOOSE( CONTROL!$C$32, 41.0251, 41.0206) * CHOOSE(CONTROL!$C$15, $D$11, 100%, $F$11)</f>
        <v>41.025100000000002</v>
      </c>
      <c r="C945" s="8">
        <f>CHOOSE( CONTROL!$C$32, 41.0355, 41.0309) * CHOOSE(CONTROL!$C$15, $D$11, 100%, $F$11)</f>
        <v>41.035499999999999</v>
      </c>
      <c r="D945" s="8">
        <f>CHOOSE( CONTROL!$C$32, 41.0452, 41.0406) * CHOOSE( CONTROL!$C$15, $D$11, 100%, $F$11)</f>
        <v>41.045200000000001</v>
      </c>
      <c r="E945" s="12">
        <f>CHOOSE( CONTROL!$C$32, 41.0401, 41.0355) * CHOOSE( CONTROL!$C$15, $D$11, 100%, $F$11)</f>
        <v>41.040100000000002</v>
      </c>
      <c r="F945" s="4">
        <f>CHOOSE( CONTROL!$C$32, 41.7134, 41.7089) * CHOOSE(CONTROL!$C$15, $D$11, 100%, $F$11)</f>
        <v>41.7134</v>
      </c>
      <c r="G945" s="8">
        <f>CHOOSE( CONTROL!$C$32, 40.3322, 40.3277) * CHOOSE( CONTROL!$C$15, $D$11, 100%, $F$11)</f>
        <v>40.3322</v>
      </c>
      <c r="H945" s="4">
        <f>CHOOSE( CONTROL!$C$32, 41.2672, 41.2628) * CHOOSE(CONTROL!$C$15, $D$11, 100%, $F$11)</f>
        <v>41.267200000000003</v>
      </c>
      <c r="I945" s="8">
        <f>CHOOSE( CONTROL!$C$32, 39.7309, 39.7266) * CHOOSE(CONTROL!$C$15, $D$11, 100%, $F$11)</f>
        <v>39.730899999999998</v>
      </c>
      <c r="J945" s="4">
        <f>CHOOSE( CONTROL!$C$32, 39.6503, 39.6459) * CHOOSE(CONTROL!$C$15, $D$11, 100%, $F$11)</f>
        <v>39.650300000000001</v>
      </c>
      <c r="K945" s="4"/>
      <c r="L945" s="9">
        <v>29.520499999999998</v>
      </c>
      <c r="M945" s="9">
        <v>12.063700000000001</v>
      </c>
      <c r="N945" s="9">
        <v>4.9444999999999997</v>
      </c>
      <c r="O945" s="9">
        <v>0.37459999999999999</v>
      </c>
      <c r="P945" s="9">
        <v>1.2192000000000001</v>
      </c>
      <c r="Q945" s="9">
        <v>19.688099999999999</v>
      </c>
      <c r="R945" s="9"/>
      <c r="S945" s="11"/>
    </row>
    <row r="946" spans="1:19" ht="15.75">
      <c r="A946" s="13">
        <v>70675</v>
      </c>
      <c r="B946" s="8">
        <f>CHOOSE( CONTROL!$C$32, 40.366, 40.3615) * CHOOSE(CONTROL!$C$15, $D$11, 100%, $F$11)</f>
        <v>40.366</v>
      </c>
      <c r="C946" s="8">
        <f>CHOOSE( CONTROL!$C$32, 40.3764, 40.3718) * CHOOSE(CONTROL!$C$15, $D$11, 100%, $F$11)</f>
        <v>40.376399999999997</v>
      </c>
      <c r="D946" s="8">
        <f>CHOOSE( CONTROL!$C$32, 40.3867, 40.3822) * CHOOSE( CONTROL!$C$15, $D$11, 100%, $F$11)</f>
        <v>40.386699999999998</v>
      </c>
      <c r="E946" s="12">
        <f>CHOOSE( CONTROL!$C$32, 40.3814, 40.3769) * CHOOSE( CONTROL!$C$15, $D$11, 100%, $F$11)</f>
        <v>40.381399999999999</v>
      </c>
      <c r="F946" s="4">
        <f>CHOOSE( CONTROL!$C$32, 41.0543, 41.0498) * CHOOSE(CONTROL!$C$15, $D$11, 100%, $F$11)</f>
        <v>41.054299999999998</v>
      </c>
      <c r="G946" s="8">
        <f>CHOOSE( CONTROL!$C$32, 39.6847, 39.6802) * CHOOSE( CONTROL!$C$15, $D$11, 100%, $F$11)</f>
        <v>39.684699999999999</v>
      </c>
      <c r="H946" s="4">
        <f>CHOOSE( CONTROL!$C$32, 40.6188, 40.6143) * CHOOSE(CONTROL!$C$15, $D$11, 100%, $F$11)</f>
        <v>40.6188</v>
      </c>
      <c r="I946" s="8">
        <f>CHOOSE( CONTROL!$C$32, 39.0962, 39.0918) * CHOOSE(CONTROL!$C$15, $D$11, 100%, $F$11)</f>
        <v>39.096200000000003</v>
      </c>
      <c r="J946" s="4">
        <f>CHOOSE( CONTROL!$C$32, 39.0129, 39.0085) * CHOOSE(CONTROL!$C$15, $D$11, 100%, $F$11)</f>
        <v>39.012900000000002</v>
      </c>
      <c r="K946" s="4"/>
      <c r="L946" s="9">
        <v>28.568200000000001</v>
      </c>
      <c r="M946" s="9">
        <v>11.6745</v>
      </c>
      <c r="N946" s="9">
        <v>4.7850000000000001</v>
      </c>
      <c r="O946" s="9">
        <v>0.36249999999999999</v>
      </c>
      <c r="P946" s="9">
        <v>1.1798</v>
      </c>
      <c r="Q946" s="9">
        <v>19.053000000000001</v>
      </c>
      <c r="R946" s="9"/>
      <c r="S946" s="11"/>
    </row>
    <row r="947" spans="1:19" ht="15.75">
      <c r="A947" s="13">
        <v>70706</v>
      </c>
      <c r="B947" s="8">
        <f>CHOOSE( CONTROL!$C$32, 42.1017, 42.0972) * CHOOSE(CONTROL!$C$15, $D$11, 100%, $F$11)</f>
        <v>42.101700000000001</v>
      </c>
      <c r="C947" s="8">
        <f>CHOOSE( CONTROL!$C$32, 42.112, 42.1075) * CHOOSE(CONTROL!$C$15, $D$11, 100%, $F$11)</f>
        <v>42.112000000000002</v>
      </c>
      <c r="D947" s="8">
        <f>CHOOSE( CONTROL!$C$32, 42.1229, 42.1184) * CHOOSE( CONTROL!$C$15, $D$11, 100%, $F$11)</f>
        <v>42.122900000000001</v>
      </c>
      <c r="E947" s="12">
        <f>CHOOSE( CONTROL!$C$32, 42.1174, 42.1129) * CHOOSE( CONTROL!$C$15, $D$11, 100%, $F$11)</f>
        <v>42.117400000000004</v>
      </c>
      <c r="F947" s="4">
        <f>CHOOSE( CONTROL!$C$32, 42.79, 42.7854) * CHOOSE(CONTROL!$C$15, $D$11, 100%, $F$11)</f>
        <v>42.79</v>
      </c>
      <c r="G947" s="8">
        <f>CHOOSE( CONTROL!$C$32, 41.3931, 41.3886) * CHOOSE( CONTROL!$C$15, $D$11, 100%, $F$11)</f>
        <v>41.393099999999997</v>
      </c>
      <c r="H947" s="4">
        <f>CHOOSE( CONTROL!$C$32, 42.3263, 42.3219) * CHOOSE(CONTROL!$C$15, $D$11, 100%, $F$11)</f>
        <v>42.326300000000003</v>
      </c>
      <c r="I947" s="8">
        <f>CHOOSE( CONTROL!$C$32, 40.7783, 40.7739) * CHOOSE(CONTROL!$C$15, $D$11, 100%, $F$11)</f>
        <v>40.778300000000002</v>
      </c>
      <c r="J947" s="4">
        <f>CHOOSE( CONTROL!$C$32, 40.6914, 40.687) * CHOOSE(CONTROL!$C$15, $D$11, 100%, $F$11)</f>
        <v>40.691400000000002</v>
      </c>
      <c r="K947" s="4"/>
      <c r="L947" s="9">
        <v>29.520499999999998</v>
      </c>
      <c r="M947" s="9">
        <v>12.063700000000001</v>
      </c>
      <c r="N947" s="9">
        <v>4.9444999999999997</v>
      </c>
      <c r="O947" s="9">
        <v>0.37459999999999999</v>
      </c>
      <c r="P947" s="9">
        <v>1.2192000000000001</v>
      </c>
      <c r="Q947" s="9">
        <v>19.688099999999999</v>
      </c>
      <c r="R947" s="9"/>
      <c r="S947" s="11"/>
    </row>
    <row r="948" spans="1:19" ht="15.75">
      <c r="A948" s="13">
        <v>70737</v>
      </c>
      <c r="B948" s="8">
        <f>CHOOSE( CONTROL!$C$32, 38.8541, 38.8496) * CHOOSE(CONTROL!$C$15, $D$11, 100%, $F$11)</f>
        <v>38.854100000000003</v>
      </c>
      <c r="C948" s="8">
        <f>CHOOSE( CONTROL!$C$32, 38.8644, 38.8599) * CHOOSE(CONTROL!$C$15, $D$11, 100%, $F$11)</f>
        <v>38.864400000000003</v>
      </c>
      <c r="D948" s="8">
        <f>CHOOSE( CONTROL!$C$32, 38.8756, 38.8711) * CHOOSE( CONTROL!$C$15, $D$11, 100%, $F$11)</f>
        <v>38.875599999999999</v>
      </c>
      <c r="E948" s="12">
        <f>CHOOSE( CONTROL!$C$32, 38.87, 38.8655) * CHOOSE( CONTROL!$C$15, $D$11, 100%, $F$11)</f>
        <v>38.869999999999997</v>
      </c>
      <c r="F948" s="4">
        <f>CHOOSE( CONTROL!$C$32, 39.5424, 39.5379) * CHOOSE(CONTROL!$C$15, $D$11, 100%, $F$11)</f>
        <v>39.542400000000001</v>
      </c>
      <c r="G948" s="8">
        <f>CHOOSE( CONTROL!$C$32, 38.1985, 38.194) * CHOOSE( CONTROL!$C$15, $D$11, 100%, $F$11)</f>
        <v>38.198500000000003</v>
      </c>
      <c r="H948" s="4">
        <f>CHOOSE( CONTROL!$C$32, 39.1313, 39.1268) * CHOOSE(CONTROL!$C$15, $D$11, 100%, $F$11)</f>
        <v>39.131300000000003</v>
      </c>
      <c r="I948" s="8">
        <f>CHOOSE( CONTROL!$C$32, 37.6374, 37.633) * CHOOSE(CONTROL!$C$15, $D$11, 100%, $F$11)</f>
        <v>37.6374</v>
      </c>
      <c r="J948" s="4">
        <f>CHOOSE( CONTROL!$C$32, 37.5507, 37.5463) * CHOOSE(CONTROL!$C$15, $D$11, 100%, $F$11)</f>
        <v>37.550699999999999</v>
      </c>
      <c r="K948" s="4"/>
      <c r="L948" s="9">
        <v>29.520499999999998</v>
      </c>
      <c r="M948" s="9">
        <v>12.063700000000001</v>
      </c>
      <c r="N948" s="9">
        <v>4.9444999999999997</v>
      </c>
      <c r="O948" s="9">
        <v>0.37459999999999999</v>
      </c>
      <c r="P948" s="9">
        <v>1.2192000000000001</v>
      </c>
      <c r="Q948" s="9">
        <v>19.688099999999999</v>
      </c>
      <c r="R948" s="9"/>
      <c r="S948" s="11"/>
    </row>
    <row r="949" spans="1:19" ht="15.75">
      <c r="A949" s="13">
        <v>70767</v>
      </c>
      <c r="B949" s="8">
        <f>CHOOSE( CONTROL!$C$32, 38.0409, 38.0363) * CHOOSE(CONTROL!$C$15, $D$11, 100%, $F$11)</f>
        <v>38.040900000000001</v>
      </c>
      <c r="C949" s="8">
        <f>CHOOSE( CONTROL!$C$32, 38.0512, 38.0467) * CHOOSE(CONTROL!$C$15, $D$11, 100%, $F$11)</f>
        <v>38.051200000000001</v>
      </c>
      <c r="D949" s="8">
        <f>CHOOSE( CONTROL!$C$32, 38.0625, 38.0579) * CHOOSE( CONTROL!$C$15, $D$11, 100%, $F$11)</f>
        <v>38.0625</v>
      </c>
      <c r="E949" s="12">
        <f>CHOOSE( CONTROL!$C$32, 38.0568, 38.0523) * CHOOSE( CONTROL!$C$15, $D$11, 100%, $F$11)</f>
        <v>38.056800000000003</v>
      </c>
      <c r="F949" s="4">
        <f>CHOOSE( CONTROL!$C$32, 38.7291, 38.7246) * CHOOSE(CONTROL!$C$15, $D$11, 100%, $F$11)</f>
        <v>38.729100000000003</v>
      </c>
      <c r="G949" s="8">
        <f>CHOOSE( CONTROL!$C$32, 37.3985, 37.3941) * CHOOSE( CONTROL!$C$15, $D$11, 100%, $F$11)</f>
        <v>37.398499999999999</v>
      </c>
      <c r="H949" s="4">
        <f>CHOOSE( CONTROL!$C$32, 38.3312, 38.3268) * CHOOSE(CONTROL!$C$15, $D$11, 100%, $F$11)</f>
        <v>38.331200000000003</v>
      </c>
      <c r="I949" s="8">
        <f>CHOOSE( CONTROL!$C$32, 36.8509, 36.8466) * CHOOSE(CONTROL!$C$15, $D$11, 100%, $F$11)</f>
        <v>36.850900000000003</v>
      </c>
      <c r="J949" s="4">
        <f>CHOOSE( CONTROL!$C$32, 36.7642, 36.7598) * CHOOSE(CONTROL!$C$15, $D$11, 100%, $F$11)</f>
        <v>36.764200000000002</v>
      </c>
      <c r="K949" s="4"/>
      <c r="L949" s="9">
        <v>28.568200000000001</v>
      </c>
      <c r="M949" s="9">
        <v>11.6745</v>
      </c>
      <c r="N949" s="9">
        <v>4.7850000000000001</v>
      </c>
      <c r="O949" s="9">
        <v>0.36249999999999999</v>
      </c>
      <c r="P949" s="9">
        <v>1.1798</v>
      </c>
      <c r="Q949" s="9">
        <v>19.053000000000001</v>
      </c>
      <c r="R949" s="9"/>
      <c r="S949" s="11"/>
    </row>
    <row r="950" spans="1:19" ht="15.75">
      <c r="A950" s="13">
        <v>70798</v>
      </c>
      <c r="B950" s="8">
        <f>39.7249 * CHOOSE(CONTROL!$C$15, $D$11, 100%, $F$11)</f>
        <v>39.724899999999998</v>
      </c>
      <c r="C950" s="8">
        <f>39.7352 * CHOOSE(CONTROL!$C$15, $D$11, 100%, $F$11)</f>
        <v>39.735199999999999</v>
      </c>
      <c r="D950" s="8">
        <f>39.7476 * CHOOSE( CONTROL!$C$15, $D$11, 100%, $F$11)</f>
        <v>39.747599999999998</v>
      </c>
      <c r="E950" s="12">
        <f>39.7424 * CHOOSE( CONTROL!$C$15, $D$11, 100%, $F$11)</f>
        <v>39.742400000000004</v>
      </c>
      <c r="F950" s="4">
        <f>40.4132 * CHOOSE(CONTROL!$C$15, $D$11, 100%, $F$11)</f>
        <v>40.413200000000003</v>
      </c>
      <c r="G950" s="8">
        <f>39.0548 * CHOOSE( CONTROL!$C$15, $D$11, 100%, $F$11)</f>
        <v>39.0548</v>
      </c>
      <c r="H950" s="4">
        <f>39.988 * CHOOSE(CONTROL!$C$15, $D$11, 100%, $F$11)</f>
        <v>39.988</v>
      </c>
      <c r="I950" s="8">
        <f>38.4816 * CHOOSE(CONTROL!$C$15, $D$11, 100%, $F$11)</f>
        <v>38.4816</v>
      </c>
      <c r="J950" s="4">
        <f>38.3928 * CHOOSE(CONTROL!$C$15, $D$11, 100%, $F$11)</f>
        <v>38.392800000000001</v>
      </c>
      <c r="K950" s="4"/>
      <c r="L950" s="9">
        <v>28.921800000000001</v>
      </c>
      <c r="M950" s="9">
        <v>12.063700000000001</v>
      </c>
      <c r="N950" s="9">
        <v>4.9444999999999997</v>
      </c>
      <c r="O950" s="9">
        <v>0.37459999999999999</v>
      </c>
      <c r="P950" s="9">
        <v>1.2192000000000001</v>
      </c>
      <c r="Q950" s="9">
        <v>19.688099999999999</v>
      </c>
      <c r="R950" s="9"/>
      <c r="S950" s="11"/>
    </row>
    <row r="951" spans="1:19" ht="15.75">
      <c r="A951" s="13">
        <v>70828</v>
      </c>
      <c r="B951" s="8">
        <f>42.8416 * CHOOSE(CONTROL!$C$15, $D$11, 100%, $F$11)</f>
        <v>42.8416</v>
      </c>
      <c r="C951" s="8">
        <f>42.852 * CHOOSE(CONTROL!$C$15, $D$11, 100%, $F$11)</f>
        <v>42.851999999999997</v>
      </c>
      <c r="D951" s="8">
        <f>42.838 * CHOOSE( CONTROL!$C$15, $D$11, 100%, $F$11)</f>
        <v>42.838000000000001</v>
      </c>
      <c r="E951" s="12">
        <f>42.842 * CHOOSE( CONTROL!$C$15, $D$11, 100%, $F$11)</f>
        <v>42.841999999999999</v>
      </c>
      <c r="F951" s="4">
        <f>43.4959 * CHOOSE(CONTROL!$C$15, $D$11, 100%, $F$11)</f>
        <v>43.495899999999999</v>
      </c>
      <c r="G951" s="8">
        <f>42.1383 * CHOOSE( CONTROL!$C$15, $D$11, 100%, $F$11)</f>
        <v>42.138300000000001</v>
      </c>
      <c r="H951" s="4">
        <f>43.0208 * CHOOSE(CONTROL!$C$15, $D$11, 100%, $F$11)</f>
        <v>43.020800000000001</v>
      </c>
      <c r="I951" s="8">
        <f>41.5304 * CHOOSE(CONTROL!$C$15, $D$11, 100%, $F$11)</f>
        <v>41.5304</v>
      </c>
      <c r="J951" s="4">
        <f>41.407 * CHOOSE(CONTROL!$C$15, $D$11, 100%, $F$11)</f>
        <v>41.406999999999996</v>
      </c>
      <c r="K951" s="4"/>
      <c r="L951" s="9">
        <v>26.515499999999999</v>
      </c>
      <c r="M951" s="9">
        <v>11.6745</v>
      </c>
      <c r="N951" s="9">
        <v>4.7850000000000001</v>
      </c>
      <c r="O951" s="9">
        <v>0.36249999999999999</v>
      </c>
      <c r="P951" s="9">
        <v>1.2522</v>
      </c>
      <c r="Q951" s="9">
        <v>19.053000000000001</v>
      </c>
      <c r="R951" s="9"/>
      <c r="S951" s="11"/>
    </row>
    <row r="952" spans="1:19" ht="15.75">
      <c r="A952" s="13">
        <v>70859</v>
      </c>
      <c r="B952" s="8">
        <f>42.7637 * CHOOSE(CONTROL!$C$15, $D$11, 100%, $F$11)</f>
        <v>42.7637</v>
      </c>
      <c r="C952" s="8">
        <f>42.7741 * CHOOSE(CONTROL!$C$15, $D$11, 100%, $F$11)</f>
        <v>42.774099999999997</v>
      </c>
      <c r="D952" s="8">
        <f>42.7626 * CHOOSE( CONTROL!$C$15, $D$11, 100%, $F$11)</f>
        <v>42.762599999999999</v>
      </c>
      <c r="E952" s="12">
        <f>42.7657 * CHOOSE( CONTROL!$C$15, $D$11, 100%, $F$11)</f>
        <v>42.765700000000002</v>
      </c>
      <c r="F952" s="4">
        <f>43.418 * CHOOSE(CONTROL!$C$15, $D$11, 100%, $F$11)</f>
        <v>43.417999999999999</v>
      </c>
      <c r="G952" s="8">
        <f>42.0635 * CHOOSE( CONTROL!$C$15, $D$11, 100%, $F$11)</f>
        <v>42.063499999999998</v>
      </c>
      <c r="H952" s="4">
        <f>42.9442 * CHOOSE(CONTROL!$C$15, $D$11, 100%, $F$11)</f>
        <v>42.944200000000002</v>
      </c>
      <c r="I952" s="8">
        <f>41.463 * CHOOSE(CONTROL!$C$15, $D$11, 100%, $F$11)</f>
        <v>41.463000000000001</v>
      </c>
      <c r="J952" s="4">
        <f>41.3317 * CHOOSE(CONTROL!$C$15, $D$11, 100%, $F$11)</f>
        <v>41.331699999999998</v>
      </c>
      <c r="K952" s="4"/>
      <c r="L952" s="9">
        <v>27.3993</v>
      </c>
      <c r="M952" s="9">
        <v>12.063700000000001</v>
      </c>
      <c r="N952" s="9">
        <v>4.9444999999999997</v>
      </c>
      <c r="O952" s="9">
        <v>0.37459999999999999</v>
      </c>
      <c r="P952" s="9">
        <v>1.2939000000000001</v>
      </c>
      <c r="Q952" s="9">
        <v>19.688099999999999</v>
      </c>
      <c r="R952" s="9"/>
      <c r="S952" s="11"/>
    </row>
    <row r="953" spans="1:19" ht="15.75">
      <c r="A953" s="13">
        <v>70890</v>
      </c>
      <c r="B953" s="8">
        <f>44.3972 * CHOOSE(CONTROL!$C$15, $D$11, 100%, $F$11)</f>
        <v>44.397199999999998</v>
      </c>
      <c r="C953" s="8">
        <f>44.4075 * CHOOSE(CONTROL!$C$15, $D$11, 100%, $F$11)</f>
        <v>44.407499999999999</v>
      </c>
      <c r="D953" s="8">
        <f>44.4059 * CHOOSE( CONTROL!$C$15, $D$11, 100%, $F$11)</f>
        <v>44.405900000000003</v>
      </c>
      <c r="E953" s="12">
        <f>44.4054 * CHOOSE( CONTROL!$C$15, $D$11, 100%, $F$11)</f>
        <v>44.4054</v>
      </c>
      <c r="F953" s="4">
        <f>45.0798 * CHOOSE(CONTROL!$C$15, $D$11, 100%, $F$11)</f>
        <v>45.079799999999999</v>
      </c>
      <c r="G953" s="8">
        <f>43.6808 * CHOOSE( CONTROL!$C$15, $D$11, 100%, $F$11)</f>
        <v>43.680799999999998</v>
      </c>
      <c r="H953" s="4">
        <f>44.5792 * CHOOSE(CONTROL!$C$15, $D$11, 100%, $F$11)</f>
        <v>44.5792</v>
      </c>
      <c r="I953" s="8">
        <f>43.0414 * CHOOSE(CONTROL!$C$15, $D$11, 100%, $F$11)</f>
        <v>43.041400000000003</v>
      </c>
      <c r="J953" s="4">
        <f>42.9114 * CHOOSE(CONTROL!$C$15, $D$11, 100%, $F$11)</f>
        <v>42.9114</v>
      </c>
      <c r="K953" s="4"/>
      <c r="L953" s="9">
        <v>27.3993</v>
      </c>
      <c r="M953" s="9">
        <v>12.063700000000001</v>
      </c>
      <c r="N953" s="9">
        <v>4.9444999999999997</v>
      </c>
      <c r="O953" s="9">
        <v>0.37459999999999999</v>
      </c>
      <c r="P953" s="9">
        <v>1.2939000000000001</v>
      </c>
      <c r="Q953" s="9">
        <v>19.688099999999999</v>
      </c>
      <c r="R953" s="9"/>
      <c r="S953" s="11"/>
    </row>
    <row r="954" spans="1:19" ht="15.75">
      <c r="A954" s="13">
        <v>70918</v>
      </c>
      <c r="B954" s="8">
        <f>41.5286 * CHOOSE(CONTROL!$C$15, $D$11, 100%, $F$11)</f>
        <v>41.528599999999997</v>
      </c>
      <c r="C954" s="8">
        <f>41.539 * CHOOSE(CONTROL!$C$15, $D$11, 100%, $F$11)</f>
        <v>41.539000000000001</v>
      </c>
      <c r="D954" s="8">
        <f>41.5395 * CHOOSE( CONTROL!$C$15, $D$11, 100%, $F$11)</f>
        <v>41.539499999999997</v>
      </c>
      <c r="E954" s="12">
        <f>41.5382 * CHOOSE( CONTROL!$C$15, $D$11, 100%, $F$11)</f>
        <v>41.538200000000003</v>
      </c>
      <c r="F954" s="4">
        <f>42.2036 * CHOOSE(CONTROL!$C$15, $D$11, 100%, $F$11)</f>
        <v>42.203600000000002</v>
      </c>
      <c r="G954" s="8">
        <f>40.8584 * CHOOSE( CONTROL!$C$15, $D$11, 100%, $F$11)</f>
        <v>40.858400000000003</v>
      </c>
      <c r="H954" s="4">
        <f>41.7494 * CHOOSE(CONTROL!$C$15, $D$11, 100%, $F$11)</f>
        <v>41.749400000000001</v>
      </c>
      <c r="I954" s="8">
        <f>40.255 * CHOOSE(CONTROL!$C$15, $D$11, 100%, $F$11)</f>
        <v>40.255000000000003</v>
      </c>
      <c r="J954" s="4">
        <f>40.1372 * CHOOSE(CONTROL!$C$15, $D$11, 100%, $F$11)</f>
        <v>40.1372</v>
      </c>
      <c r="K954" s="4"/>
      <c r="L954" s="9">
        <v>24.747800000000002</v>
      </c>
      <c r="M954" s="9">
        <v>10.8962</v>
      </c>
      <c r="N954" s="9">
        <v>4.4660000000000002</v>
      </c>
      <c r="O954" s="9">
        <v>0.33829999999999999</v>
      </c>
      <c r="P954" s="9">
        <v>1.1687000000000001</v>
      </c>
      <c r="Q954" s="9">
        <v>17.782800000000002</v>
      </c>
      <c r="R954" s="9"/>
      <c r="S954" s="11"/>
    </row>
    <row r="955" spans="1:19" ht="15.75">
      <c r="A955" s="13">
        <v>70949</v>
      </c>
      <c r="B955" s="8">
        <f>40.6451 * CHOOSE(CONTROL!$C$15, $D$11, 100%, $F$11)</f>
        <v>40.645099999999999</v>
      </c>
      <c r="C955" s="8">
        <f>40.6555 * CHOOSE(CONTROL!$C$15, $D$11, 100%, $F$11)</f>
        <v>40.655500000000004</v>
      </c>
      <c r="D955" s="8">
        <f>40.6356 * CHOOSE( CONTROL!$C$15, $D$11, 100%, $F$11)</f>
        <v>40.635599999999997</v>
      </c>
      <c r="E955" s="12">
        <f>40.6418 * CHOOSE( CONTROL!$C$15, $D$11, 100%, $F$11)</f>
        <v>40.641800000000003</v>
      </c>
      <c r="F955" s="4">
        <f>41.304 * CHOOSE(CONTROL!$C$15, $D$11, 100%, $F$11)</f>
        <v>41.304000000000002</v>
      </c>
      <c r="G955" s="8">
        <f>39.9685 * CHOOSE( CONTROL!$C$15, $D$11, 100%, $F$11)</f>
        <v>39.968499999999999</v>
      </c>
      <c r="H955" s="4">
        <f>40.8645 * CHOOSE(CONTROL!$C$15, $D$11, 100%, $F$11)</f>
        <v>40.8645</v>
      </c>
      <c r="I955" s="8">
        <f>39.3606 * CHOOSE(CONTROL!$C$15, $D$11, 100%, $F$11)</f>
        <v>39.360599999999998</v>
      </c>
      <c r="J955" s="4">
        <f>39.2828 * CHOOSE(CONTROL!$C$15, $D$11, 100%, $F$11)</f>
        <v>39.282800000000002</v>
      </c>
      <c r="K955" s="4"/>
      <c r="L955" s="9">
        <v>27.3993</v>
      </c>
      <c r="M955" s="9">
        <v>12.063700000000001</v>
      </c>
      <c r="N955" s="9">
        <v>4.9444999999999997</v>
      </c>
      <c r="O955" s="9">
        <v>0.37459999999999999</v>
      </c>
      <c r="P955" s="9">
        <v>1.2939000000000001</v>
      </c>
      <c r="Q955" s="9">
        <v>19.688099999999999</v>
      </c>
      <c r="R955" s="9"/>
      <c r="S955" s="11"/>
    </row>
    <row r="956" spans="1:19" ht="15.75">
      <c r="A956" s="13">
        <v>70979</v>
      </c>
      <c r="B956" s="8">
        <f>41.2625 * CHOOSE(CONTROL!$C$15, $D$11, 100%, $F$11)</f>
        <v>41.262500000000003</v>
      </c>
      <c r="C956" s="8">
        <f>41.2728 * CHOOSE(CONTROL!$C$15, $D$11, 100%, $F$11)</f>
        <v>41.272799999999997</v>
      </c>
      <c r="D956" s="8">
        <f>41.2644 * CHOOSE( CONTROL!$C$15, $D$11, 100%, $F$11)</f>
        <v>41.264400000000002</v>
      </c>
      <c r="E956" s="12">
        <f>41.266 * CHOOSE( CONTROL!$C$15, $D$11, 100%, $F$11)</f>
        <v>41.265999999999998</v>
      </c>
      <c r="F956" s="4">
        <f>41.9116 * CHOOSE(CONTROL!$C$15, $D$11, 100%, $F$11)</f>
        <v>41.9116</v>
      </c>
      <c r="G956" s="8">
        <f>40.5607 * CHOOSE( CONTROL!$C$15, $D$11, 100%, $F$11)</f>
        <v>40.560699999999997</v>
      </c>
      <c r="H956" s="4">
        <f>41.4622 * CHOOSE(CONTROL!$C$15, $D$11, 100%, $F$11)</f>
        <v>41.462200000000003</v>
      </c>
      <c r="I956" s="8">
        <f>39.9548 * CHOOSE(CONTROL!$C$15, $D$11, 100%, $F$11)</f>
        <v>39.954799999999999</v>
      </c>
      <c r="J956" s="4">
        <f>39.8799 * CHOOSE(CONTROL!$C$15, $D$11, 100%, $F$11)</f>
        <v>39.879899999999999</v>
      </c>
      <c r="K956" s="4"/>
      <c r="L956" s="9">
        <v>27.988800000000001</v>
      </c>
      <c r="M956" s="9">
        <v>11.6745</v>
      </c>
      <c r="N956" s="9">
        <v>4.7850000000000001</v>
      </c>
      <c r="O956" s="9">
        <v>0.36249999999999999</v>
      </c>
      <c r="P956" s="9">
        <v>1.1798</v>
      </c>
      <c r="Q956" s="9">
        <v>19.053000000000001</v>
      </c>
      <c r="R956" s="9"/>
      <c r="S956" s="11"/>
    </row>
    <row r="957" spans="1:19" ht="15.75">
      <c r="A957" s="13">
        <v>71010</v>
      </c>
      <c r="B957" s="8">
        <f>CHOOSE( CONTROL!$C$32, 42.3658, 42.3613) * CHOOSE(CONTROL!$C$15, $D$11, 100%, $F$11)</f>
        <v>42.3658</v>
      </c>
      <c r="C957" s="8">
        <f>CHOOSE( CONTROL!$C$32, 42.3761, 42.3716) * CHOOSE(CONTROL!$C$15, $D$11, 100%, $F$11)</f>
        <v>42.376100000000001</v>
      </c>
      <c r="D957" s="8">
        <f>CHOOSE( CONTROL!$C$32, 42.3858, 42.3813) * CHOOSE( CONTROL!$C$15, $D$11, 100%, $F$11)</f>
        <v>42.385800000000003</v>
      </c>
      <c r="E957" s="12">
        <f>CHOOSE( CONTROL!$C$32, 42.3807, 42.3762) * CHOOSE( CONTROL!$C$15, $D$11, 100%, $F$11)</f>
        <v>42.380699999999997</v>
      </c>
      <c r="F957" s="4">
        <f>CHOOSE( CONTROL!$C$32, 43.0541, 43.0496) * CHOOSE(CONTROL!$C$15, $D$11, 100%, $F$11)</f>
        <v>43.054099999999998</v>
      </c>
      <c r="G957" s="8">
        <f>CHOOSE( CONTROL!$C$32, 41.6512, 41.6467) * CHOOSE( CONTROL!$C$15, $D$11, 100%, $F$11)</f>
        <v>41.651200000000003</v>
      </c>
      <c r="H957" s="4">
        <f>CHOOSE( CONTROL!$C$32, 42.5862, 42.5818) * CHOOSE(CONTROL!$C$15, $D$11, 100%, $F$11)</f>
        <v>42.586199999999998</v>
      </c>
      <c r="I957" s="8">
        <f>CHOOSE( CONTROL!$C$32, 41.0282, 41.0238) * CHOOSE(CONTROL!$C$15, $D$11, 100%, $F$11)</f>
        <v>41.028199999999998</v>
      </c>
      <c r="J957" s="4">
        <f>CHOOSE( CONTROL!$C$32, 40.9469, 40.9425) * CHOOSE(CONTROL!$C$15, $D$11, 100%, $F$11)</f>
        <v>40.946899999999999</v>
      </c>
      <c r="K957" s="4"/>
      <c r="L957" s="9">
        <v>29.520499999999998</v>
      </c>
      <c r="M957" s="9">
        <v>12.063700000000001</v>
      </c>
      <c r="N957" s="9">
        <v>4.9444999999999997</v>
      </c>
      <c r="O957" s="9">
        <v>0.37459999999999999</v>
      </c>
      <c r="P957" s="9">
        <v>1.2192000000000001</v>
      </c>
      <c r="Q957" s="9">
        <v>19.688099999999999</v>
      </c>
      <c r="R957" s="9"/>
      <c r="S957" s="11"/>
    </row>
    <row r="958" spans="1:19" ht="15.75">
      <c r="A958" s="13">
        <v>71040</v>
      </c>
      <c r="B958" s="8">
        <f>CHOOSE( CONTROL!$C$32, 41.6851, 41.6806) * CHOOSE(CONTROL!$C$15, $D$11, 100%, $F$11)</f>
        <v>41.685099999999998</v>
      </c>
      <c r="C958" s="8">
        <f>CHOOSE( CONTROL!$C$32, 41.6955, 41.691) * CHOOSE(CONTROL!$C$15, $D$11, 100%, $F$11)</f>
        <v>41.695500000000003</v>
      </c>
      <c r="D958" s="8">
        <f>CHOOSE( CONTROL!$C$32, 41.7058, 41.7013) * CHOOSE( CONTROL!$C$15, $D$11, 100%, $F$11)</f>
        <v>41.705800000000004</v>
      </c>
      <c r="E958" s="12">
        <f>CHOOSE( CONTROL!$C$32, 41.7005, 41.696) * CHOOSE( CONTROL!$C$15, $D$11, 100%, $F$11)</f>
        <v>41.700499999999998</v>
      </c>
      <c r="F958" s="4">
        <f>CHOOSE( CONTROL!$C$32, 42.3734, 42.3689) * CHOOSE(CONTROL!$C$15, $D$11, 100%, $F$11)</f>
        <v>42.373399999999997</v>
      </c>
      <c r="G958" s="8">
        <f>CHOOSE( CONTROL!$C$32, 40.9825, 40.978) * CHOOSE( CONTROL!$C$15, $D$11, 100%, $F$11)</f>
        <v>40.982500000000002</v>
      </c>
      <c r="H958" s="4">
        <f>CHOOSE( CONTROL!$C$32, 41.9166, 41.9121) * CHOOSE(CONTROL!$C$15, $D$11, 100%, $F$11)</f>
        <v>41.916600000000003</v>
      </c>
      <c r="I958" s="8">
        <f>CHOOSE( CONTROL!$C$32, 40.3725, 40.3682) * CHOOSE(CONTROL!$C$15, $D$11, 100%, $F$11)</f>
        <v>40.372500000000002</v>
      </c>
      <c r="J958" s="4">
        <f>CHOOSE( CONTROL!$C$32, 40.2886, 40.2842) * CHOOSE(CONTROL!$C$15, $D$11, 100%, $F$11)</f>
        <v>40.288600000000002</v>
      </c>
      <c r="K958" s="4"/>
      <c r="L958" s="9">
        <v>28.568200000000001</v>
      </c>
      <c r="M958" s="9">
        <v>11.6745</v>
      </c>
      <c r="N958" s="9">
        <v>4.7850000000000001</v>
      </c>
      <c r="O958" s="9">
        <v>0.36249999999999999</v>
      </c>
      <c r="P958" s="9">
        <v>1.1798</v>
      </c>
      <c r="Q958" s="9">
        <v>19.053000000000001</v>
      </c>
      <c r="R958" s="9"/>
      <c r="S958" s="11"/>
    </row>
    <row r="959" spans="1:19" ht="15.75">
      <c r="A959" s="13">
        <v>71071</v>
      </c>
      <c r="B959" s="8">
        <f>CHOOSE( CONTROL!$C$32, 43.4776, 43.473) * CHOOSE(CONTROL!$C$15, $D$11, 100%, $F$11)</f>
        <v>43.477600000000002</v>
      </c>
      <c r="C959" s="8">
        <f>CHOOSE( CONTROL!$C$32, 43.4879, 43.4834) * CHOOSE(CONTROL!$C$15, $D$11, 100%, $F$11)</f>
        <v>43.487900000000003</v>
      </c>
      <c r="D959" s="8">
        <f>CHOOSE( CONTROL!$C$32, 43.4988, 43.4943) * CHOOSE( CONTROL!$C$15, $D$11, 100%, $F$11)</f>
        <v>43.498800000000003</v>
      </c>
      <c r="E959" s="12">
        <f>CHOOSE( CONTROL!$C$32, 43.4933, 43.4888) * CHOOSE( CONTROL!$C$15, $D$11, 100%, $F$11)</f>
        <v>43.493299999999998</v>
      </c>
      <c r="F959" s="4">
        <f>CHOOSE( CONTROL!$C$32, 44.1659, 44.1613) * CHOOSE(CONTROL!$C$15, $D$11, 100%, $F$11)</f>
        <v>44.165900000000001</v>
      </c>
      <c r="G959" s="8">
        <f>CHOOSE( CONTROL!$C$32, 42.7467, 42.7423) * CHOOSE( CONTROL!$C$15, $D$11, 100%, $F$11)</f>
        <v>42.746699999999997</v>
      </c>
      <c r="H959" s="4">
        <f>CHOOSE( CONTROL!$C$32, 43.68, 43.6755) * CHOOSE(CONTROL!$C$15, $D$11, 100%, $F$11)</f>
        <v>43.68</v>
      </c>
      <c r="I959" s="8">
        <f>CHOOSE( CONTROL!$C$32, 42.1096, 42.1052) * CHOOSE(CONTROL!$C$15, $D$11, 100%, $F$11)</f>
        <v>42.1096</v>
      </c>
      <c r="J959" s="4">
        <f>CHOOSE( CONTROL!$C$32, 42.022, 42.0177) * CHOOSE(CONTROL!$C$15, $D$11, 100%, $F$11)</f>
        <v>42.021999999999998</v>
      </c>
      <c r="K959" s="4"/>
      <c r="L959" s="9">
        <v>29.520499999999998</v>
      </c>
      <c r="M959" s="9">
        <v>12.063700000000001</v>
      </c>
      <c r="N959" s="9">
        <v>4.9444999999999997</v>
      </c>
      <c r="O959" s="9">
        <v>0.37459999999999999</v>
      </c>
      <c r="P959" s="9">
        <v>1.2192000000000001</v>
      </c>
      <c r="Q959" s="9">
        <v>19.688099999999999</v>
      </c>
      <c r="R959" s="9"/>
      <c r="S959" s="11"/>
    </row>
    <row r="960" spans="1:19" ht="15.75">
      <c r="A960" s="13">
        <v>71102</v>
      </c>
      <c r="B960" s="8">
        <f>CHOOSE( CONTROL!$C$32, 40.1238, 40.1192) * CHOOSE(CONTROL!$C$15, $D$11, 100%, $F$11)</f>
        <v>40.123800000000003</v>
      </c>
      <c r="C960" s="8">
        <f>CHOOSE( CONTROL!$C$32, 40.1341, 40.1296) * CHOOSE(CONTROL!$C$15, $D$11, 100%, $F$11)</f>
        <v>40.134099999999997</v>
      </c>
      <c r="D960" s="8">
        <f>CHOOSE( CONTROL!$C$32, 40.1453, 40.1407) * CHOOSE( CONTROL!$C$15, $D$11, 100%, $F$11)</f>
        <v>40.145299999999999</v>
      </c>
      <c r="E960" s="12">
        <f>CHOOSE( CONTROL!$C$32, 40.1397, 40.1351) * CHOOSE( CONTROL!$C$15, $D$11, 100%, $F$11)</f>
        <v>40.139699999999998</v>
      </c>
      <c r="F960" s="4">
        <f>CHOOSE( CONTROL!$C$32, 40.8121, 40.8075) * CHOOSE(CONTROL!$C$15, $D$11, 100%, $F$11)</f>
        <v>40.812100000000001</v>
      </c>
      <c r="G960" s="8">
        <f>CHOOSE( CONTROL!$C$32, 39.4476, 39.4432) * CHOOSE( CONTROL!$C$15, $D$11, 100%, $F$11)</f>
        <v>39.447600000000001</v>
      </c>
      <c r="H960" s="4">
        <f>CHOOSE( CONTROL!$C$32, 40.3804, 40.376) * CHOOSE(CONTROL!$C$15, $D$11, 100%, $F$11)</f>
        <v>40.380400000000002</v>
      </c>
      <c r="I960" s="8">
        <f>CHOOSE( CONTROL!$C$32, 38.8659, 38.8615) * CHOOSE(CONTROL!$C$15, $D$11, 100%, $F$11)</f>
        <v>38.865900000000003</v>
      </c>
      <c r="J960" s="4">
        <f>CHOOSE( CONTROL!$C$32, 38.7786, 38.7742) * CHOOSE(CONTROL!$C$15, $D$11, 100%, $F$11)</f>
        <v>38.778599999999997</v>
      </c>
      <c r="K960" s="4"/>
      <c r="L960" s="9">
        <v>29.520499999999998</v>
      </c>
      <c r="M960" s="9">
        <v>12.063700000000001</v>
      </c>
      <c r="N960" s="9">
        <v>4.9444999999999997</v>
      </c>
      <c r="O960" s="9">
        <v>0.37459999999999999</v>
      </c>
      <c r="P960" s="9">
        <v>1.2192000000000001</v>
      </c>
      <c r="Q960" s="9">
        <v>19.688099999999999</v>
      </c>
      <c r="R960" s="9"/>
      <c r="S960" s="11"/>
    </row>
    <row r="961" spans="1:19" ht="15.75">
      <c r="A961" s="13">
        <v>71132</v>
      </c>
      <c r="B961" s="8">
        <f>CHOOSE( CONTROL!$C$32, 39.2839, 39.2794) * CHOOSE(CONTROL!$C$15, $D$11, 100%, $F$11)</f>
        <v>39.283900000000003</v>
      </c>
      <c r="C961" s="8">
        <f>CHOOSE( CONTROL!$C$32, 39.2943, 39.2897) * CHOOSE(CONTROL!$C$15, $D$11, 100%, $F$11)</f>
        <v>39.2943</v>
      </c>
      <c r="D961" s="8">
        <f>CHOOSE( CONTROL!$C$32, 39.3055, 39.301) * CHOOSE( CONTROL!$C$15, $D$11, 100%, $F$11)</f>
        <v>39.305500000000002</v>
      </c>
      <c r="E961" s="12">
        <f>CHOOSE( CONTROL!$C$32, 39.2999, 39.2953) * CHOOSE( CONTROL!$C$15, $D$11, 100%, $F$11)</f>
        <v>39.299900000000001</v>
      </c>
      <c r="F961" s="4">
        <f>CHOOSE( CONTROL!$C$32, 39.9722, 39.9677) * CHOOSE(CONTROL!$C$15, $D$11, 100%, $F$11)</f>
        <v>39.972200000000001</v>
      </c>
      <c r="G961" s="8">
        <f>CHOOSE( CONTROL!$C$32, 38.6215, 38.6171) * CHOOSE( CONTROL!$C$15, $D$11, 100%, $F$11)</f>
        <v>38.621499999999997</v>
      </c>
      <c r="H961" s="4">
        <f>CHOOSE( CONTROL!$C$32, 39.5542, 39.5497) * CHOOSE(CONTROL!$C$15, $D$11, 100%, $F$11)</f>
        <v>39.554200000000002</v>
      </c>
      <c r="I961" s="8">
        <f>CHOOSE( CONTROL!$C$32, 38.0537, 38.0493) * CHOOSE(CONTROL!$C$15, $D$11, 100%, $F$11)</f>
        <v>38.053699999999999</v>
      </c>
      <c r="J961" s="4">
        <f>CHOOSE( CONTROL!$C$32, 37.9664, 37.962) * CHOOSE(CONTROL!$C$15, $D$11, 100%, $F$11)</f>
        <v>37.9664</v>
      </c>
      <c r="K961" s="4"/>
      <c r="L961" s="9">
        <v>28.568200000000001</v>
      </c>
      <c r="M961" s="9">
        <v>11.6745</v>
      </c>
      <c r="N961" s="9">
        <v>4.7850000000000001</v>
      </c>
      <c r="O961" s="9">
        <v>0.36249999999999999</v>
      </c>
      <c r="P961" s="9">
        <v>1.1798</v>
      </c>
      <c r="Q961" s="9">
        <v>19.053000000000001</v>
      </c>
      <c r="R961" s="9"/>
      <c r="S961" s="11"/>
    </row>
    <row r="962" spans="1:19" ht="15.75">
      <c r="A962" s="13">
        <v>71163</v>
      </c>
      <c r="B962" s="8">
        <f>41.0232 * CHOOSE(CONTROL!$C$15, $D$11, 100%, $F$11)</f>
        <v>41.023200000000003</v>
      </c>
      <c r="C962" s="8">
        <f>41.0335 * CHOOSE(CONTROL!$C$15, $D$11, 100%, $F$11)</f>
        <v>41.033499999999997</v>
      </c>
      <c r="D962" s="8">
        <f>41.0459 * CHOOSE( CONTROL!$C$15, $D$11, 100%, $F$11)</f>
        <v>41.045900000000003</v>
      </c>
      <c r="E962" s="12">
        <f>41.0407 * CHOOSE( CONTROL!$C$15, $D$11, 100%, $F$11)</f>
        <v>41.040700000000001</v>
      </c>
      <c r="F962" s="4">
        <f>41.7115 * CHOOSE(CONTROL!$C$15, $D$11, 100%, $F$11)</f>
        <v>41.711500000000001</v>
      </c>
      <c r="G962" s="8">
        <f>40.3321 * CHOOSE( CONTROL!$C$15, $D$11, 100%, $F$11)</f>
        <v>40.332099999999997</v>
      </c>
      <c r="H962" s="4">
        <f>41.2653 * CHOOSE(CONTROL!$C$15, $D$11, 100%, $F$11)</f>
        <v>41.265300000000003</v>
      </c>
      <c r="I962" s="8">
        <f>39.7379 * CHOOSE(CONTROL!$C$15, $D$11, 100%, $F$11)</f>
        <v>39.737900000000003</v>
      </c>
      <c r="J962" s="4">
        <f>39.6484 * CHOOSE(CONTROL!$C$15, $D$11, 100%, $F$11)</f>
        <v>39.648400000000002</v>
      </c>
      <c r="K962" s="4"/>
      <c r="L962" s="9">
        <v>28.921800000000001</v>
      </c>
      <c r="M962" s="9">
        <v>12.063700000000001</v>
      </c>
      <c r="N962" s="9">
        <v>4.9444999999999997</v>
      </c>
      <c r="O962" s="9">
        <v>0.37459999999999999</v>
      </c>
      <c r="P962" s="9">
        <v>1.2192000000000001</v>
      </c>
      <c r="Q962" s="9">
        <v>19.688099999999999</v>
      </c>
      <c r="R962" s="9"/>
      <c r="S962" s="11"/>
    </row>
    <row r="963" spans="1:19" ht="15.75">
      <c r="A963" s="13">
        <v>71193</v>
      </c>
      <c r="B963" s="8">
        <f>44.2418 * CHOOSE(CONTROL!$C$15, $D$11, 100%, $F$11)</f>
        <v>44.241799999999998</v>
      </c>
      <c r="C963" s="8">
        <f>44.2522 * CHOOSE(CONTROL!$C$15, $D$11, 100%, $F$11)</f>
        <v>44.252200000000002</v>
      </c>
      <c r="D963" s="8">
        <f>44.2382 * CHOOSE( CONTROL!$C$15, $D$11, 100%, $F$11)</f>
        <v>44.238199999999999</v>
      </c>
      <c r="E963" s="12">
        <f>44.2422 * CHOOSE( CONTROL!$C$15, $D$11, 100%, $F$11)</f>
        <v>44.242199999999997</v>
      </c>
      <c r="F963" s="4">
        <f>44.8961 * CHOOSE(CONTROL!$C$15, $D$11, 100%, $F$11)</f>
        <v>44.896099999999997</v>
      </c>
      <c r="G963" s="8">
        <f>43.5159 * CHOOSE( CONTROL!$C$15, $D$11, 100%, $F$11)</f>
        <v>43.515900000000002</v>
      </c>
      <c r="H963" s="4">
        <f>44.3984 * CHOOSE(CONTROL!$C$15, $D$11, 100%, $F$11)</f>
        <v>44.398400000000002</v>
      </c>
      <c r="I963" s="8">
        <f>42.8852 * CHOOSE(CONTROL!$C$15, $D$11, 100%, $F$11)</f>
        <v>42.885199999999998</v>
      </c>
      <c r="J963" s="4">
        <f>42.7612 * CHOOSE(CONTROL!$C$15, $D$11, 100%, $F$11)</f>
        <v>42.761200000000002</v>
      </c>
      <c r="K963" s="4"/>
      <c r="L963" s="9">
        <v>26.515499999999999</v>
      </c>
      <c r="M963" s="9">
        <v>11.6745</v>
      </c>
      <c r="N963" s="9">
        <v>4.7850000000000001</v>
      </c>
      <c r="O963" s="9">
        <v>0.36249999999999999</v>
      </c>
      <c r="P963" s="9">
        <v>1.2522</v>
      </c>
      <c r="Q963" s="9">
        <v>19.053000000000001</v>
      </c>
      <c r="R963" s="9"/>
      <c r="S963" s="11"/>
    </row>
    <row r="964" spans="1:19" ht="15.75">
      <c r="A964" s="13">
        <v>71224</v>
      </c>
      <c r="B964" s="8">
        <f>44.1614 * CHOOSE(CONTROL!$C$15, $D$11, 100%, $F$11)</f>
        <v>44.1614</v>
      </c>
      <c r="C964" s="8">
        <f>44.1718 * CHOOSE(CONTROL!$C$15, $D$11, 100%, $F$11)</f>
        <v>44.171799999999998</v>
      </c>
      <c r="D964" s="8">
        <f>44.1603 * CHOOSE( CONTROL!$C$15, $D$11, 100%, $F$11)</f>
        <v>44.160299999999999</v>
      </c>
      <c r="E964" s="12">
        <f>44.1634 * CHOOSE( CONTROL!$C$15, $D$11, 100%, $F$11)</f>
        <v>44.163400000000003</v>
      </c>
      <c r="F964" s="4">
        <f>44.8157 * CHOOSE(CONTROL!$C$15, $D$11, 100%, $F$11)</f>
        <v>44.8157</v>
      </c>
      <c r="G964" s="8">
        <f>43.4386 * CHOOSE( CONTROL!$C$15, $D$11, 100%, $F$11)</f>
        <v>43.438600000000001</v>
      </c>
      <c r="H964" s="4">
        <f>44.3193 * CHOOSE(CONTROL!$C$15, $D$11, 100%, $F$11)</f>
        <v>44.319299999999998</v>
      </c>
      <c r="I964" s="8">
        <f>42.8154 * CHOOSE(CONTROL!$C$15, $D$11, 100%, $F$11)</f>
        <v>42.815399999999997</v>
      </c>
      <c r="J964" s="4">
        <f>42.6834 * CHOOSE(CONTROL!$C$15, $D$11, 100%, $F$11)</f>
        <v>42.683399999999999</v>
      </c>
      <c r="K964" s="4"/>
      <c r="L964" s="9">
        <v>27.3993</v>
      </c>
      <c r="M964" s="9">
        <v>12.063700000000001</v>
      </c>
      <c r="N964" s="9">
        <v>4.9444999999999997</v>
      </c>
      <c r="O964" s="9">
        <v>0.37459999999999999</v>
      </c>
      <c r="P964" s="9">
        <v>1.2939000000000001</v>
      </c>
      <c r="Q964" s="9">
        <v>19.688099999999999</v>
      </c>
      <c r="R964" s="9"/>
      <c r="S964" s="11"/>
    </row>
    <row r="965" spans="1:19" ht="15.75">
      <c r="A965" s="13">
        <v>71255</v>
      </c>
      <c r="B965" s="8">
        <f>45.8483 * CHOOSE(CONTROL!$C$15, $D$11, 100%, $F$11)</f>
        <v>45.848300000000002</v>
      </c>
      <c r="C965" s="8">
        <f>45.8586 * CHOOSE(CONTROL!$C$15, $D$11, 100%, $F$11)</f>
        <v>45.858600000000003</v>
      </c>
      <c r="D965" s="8">
        <f>45.857 * CHOOSE( CONTROL!$C$15, $D$11, 100%, $F$11)</f>
        <v>45.856999999999999</v>
      </c>
      <c r="E965" s="12">
        <f>45.8565 * CHOOSE( CONTROL!$C$15, $D$11, 100%, $F$11)</f>
        <v>45.856499999999997</v>
      </c>
      <c r="F965" s="4">
        <f>46.5309 * CHOOSE(CONTROL!$C$15, $D$11, 100%, $F$11)</f>
        <v>46.530900000000003</v>
      </c>
      <c r="G965" s="8">
        <f>45.1084 * CHOOSE( CONTROL!$C$15, $D$11, 100%, $F$11)</f>
        <v>45.108400000000003</v>
      </c>
      <c r="H965" s="4">
        <f>46.0068 * CHOOSE(CONTROL!$C$15, $D$11, 100%, $F$11)</f>
        <v>46.006799999999998</v>
      </c>
      <c r="I965" s="8">
        <f>44.4455 * CHOOSE(CONTROL!$C$15, $D$11, 100%, $F$11)</f>
        <v>44.445500000000003</v>
      </c>
      <c r="J965" s="4">
        <f>44.3147 * CHOOSE(CONTROL!$C$15, $D$11, 100%, $F$11)</f>
        <v>44.314700000000002</v>
      </c>
      <c r="K965" s="4"/>
      <c r="L965" s="9">
        <v>27.3993</v>
      </c>
      <c r="M965" s="9">
        <v>12.063700000000001</v>
      </c>
      <c r="N965" s="9">
        <v>4.9444999999999997</v>
      </c>
      <c r="O965" s="9">
        <v>0.37459999999999999</v>
      </c>
      <c r="P965" s="9">
        <v>1.2939000000000001</v>
      </c>
      <c r="Q965" s="9">
        <v>19.688099999999999</v>
      </c>
      <c r="R965" s="9"/>
      <c r="S965" s="11"/>
    </row>
    <row r="966" spans="1:19" ht="15.75">
      <c r="A966" s="13">
        <v>71283</v>
      </c>
      <c r="B966" s="8">
        <f>42.8859 * CHOOSE(CONTROL!$C$15, $D$11, 100%, $F$11)</f>
        <v>42.885899999999999</v>
      </c>
      <c r="C966" s="8">
        <f>42.8963 * CHOOSE(CONTROL!$C$15, $D$11, 100%, $F$11)</f>
        <v>42.896299999999997</v>
      </c>
      <c r="D966" s="8">
        <f>42.8968 * CHOOSE( CONTROL!$C$15, $D$11, 100%, $F$11)</f>
        <v>42.896799999999999</v>
      </c>
      <c r="E966" s="12">
        <f>42.8955 * CHOOSE( CONTROL!$C$15, $D$11, 100%, $F$11)</f>
        <v>42.895499999999998</v>
      </c>
      <c r="F966" s="4">
        <f>43.5609 * CHOOSE(CONTROL!$C$15, $D$11, 100%, $F$11)</f>
        <v>43.560899999999997</v>
      </c>
      <c r="G966" s="8">
        <f>42.1937 * CHOOSE( CONTROL!$C$15, $D$11, 100%, $F$11)</f>
        <v>42.1937</v>
      </c>
      <c r="H966" s="4">
        <f>43.0848 * CHOOSE(CONTROL!$C$15, $D$11, 100%, $F$11)</f>
        <v>43.084800000000001</v>
      </c>
      <c r="I966" s="8">
        <f>41.5683 * CHOOSE(CONTROL!$C$15, $D$11, 100%, $F$11)</f>
        <v>41.568300000000001</v>
      </c>
      <c r="J966" s="4">
        <f>41.4499 * CHOOSE(CONTROL!$C$15, $D$11, 100%, $F$11)</f>
        <v>41.4499</v>
      </c>
      <c r="K966" s="4"/>
      <c r="L966" s="9">
        <v>24.747800000000002</v>
      </c>
      <c r="M966" s="9">
        <v>10.8962</v>
      </c>
      <c r="N966" s="9">
        <v>4.4660000000000002</v>
      </c>
      <c r="O966" s="9">
        <v>0.33829999999999999</v>
      </c>
      <c r="P966" s="9">
        <v>1.1687000000000001</v>
      </c>
      <c r="Q966" s="9">
        <v>17.782800000000002</v>
      </c>
      <c r="R966" s="9"/>
      <c r="S966" s="11"/>
    </row>
    <row r="967" spans="1:19" ht="15.75">
      <c r="A967" s="13">
        <v>71314</v>
      </c>
      <c r="B967" s="8">
        <f>41.9735 * CHOOSE(CONTROL!$C$15, $D$11, 100%, $F$11)</f>
        <v>41.973500000000001</v>
      </c>
      <c r="C967" s="8">
        <f>41.9839 * CHOOSE(CONTROL!$C$15, $D$11, 100%, $F$11)</f>
        <v>41.983899999999998</v>
      </c>
      <c r="D967" s="8">
        <f>41.9639 * CHOOSE( CONTROL!$C$15, $D$11, 100%, $F$11)</f>
        <v>41.963900000000002</v>
      </c>
      <c r="E967" s="12">
        <f>41.9701 * CHOOSE( CONTROL!$C$15, $D$11, 100%, $F$11)</f>
        <v>41.970100000000002</v>
      </c>
      <c r="F967" s="4">
        <f>42.6324 * CHOOSE(CONTROL!$C$15, $D$11, 100%, $F$11)</f>
        <v>42.632399999999997</v>
      </c>
      <c r="G967" s="8">
        <f>41.2754 * CHOOSE( CONTROL!$C$15, $D$11, 100%, $F$11)</f>
        <v>41.275399999999998</v>
      </c>
      <c r="H967" s="4">
        <f>42.1714 * CHOOSE(CONTROL!$C$15, $D$11, 100%, $F$11)</f>
        <v>42.171399999999998</v>
      </c>
      <c r="I967" s="8">
        <f>40.6459 * CHOOSE(CONTROL!$C$15, $D$11, 100%, $F$11)</f>
        <v>40.645899999999997</v>
      </c>
      <c r="J967" s="4">
        <f>40.5675 * CHOOSE(CONTROL!$C$15, $D$11, 100%, $F$11)</f>
        <v>40.567500000000003</v>
      </c>
      <c r="K967" s="4"/>
      <c r="L967" s="9">
        <v>27.3993</v>
      </c>
      <c r="M967" s="9">
        <v>12.063700000000001</v>
      </c>
      <c r="N967" s="9">
        <v>4.9444999999999997</v>
      </c>
      <c r="O967" s="9">
        <v>0.37459999999999999</v>
      </c>
      <c r="P967" s="9">
        <v>1.2939000000000001</v>
      </c>
      <c r="Q967" s="9">
        <v>19.688099999999999</v>
      </c>
      <c r="R967" s="9"/>
      <c r="S967" s="11"/>
    </row>
    <row r="968" spans="1:19" ht="15.75">
      <c r="A968" s="13">
        <v>71344</v>
      </c>
      <c r="B968" s="8">
        <f>42.6111 * CHOOSE(CONTROL!$C$15, $D$11, 100%, $F$11)</f>
        <v>42.6111</v>
      </c>
      <c r="C968" s="8">
        <f>42.6214 * CHOOSE(CONTROL!$C$15, $D$11, 100%, $F$11)</f>
        <v>42.621400000000001</v>
      </c>
      <c r="D968" s="8">
        <f>42.613 * CHOOSE( CONTROL!$C$15, $D$11, 100%, $F$11)</f>
        <v>42.613</v>
      </c>
      <c r="E968" s="12">
        <f>42.6146 * CHOOSE( CONTROL!$C$15, $D$11, 100%, $F$11)</f>
        <v>42.614600000000003</v>
      </c>
      <c r="F968" s="4">
        <f>43.2602 * CHOOSE(CONTROL!$C$15, $D$11, 100%, $F$11)</f>
        <v>43.260199999999998</v>
      </c>
      <c r="G968" s="8">
        <f>41.8874 * CHOOSE( CONTROL!$C$15, $D$11, 100%, $F$11)</f>
        <v>41.8874</v>
      </c>
      <c r="H968" s="4">
        <f>42.789 * CHOOSE(CONTROL!$C$15, $D$11, 100%, $F$11)</f>
        <v>42.789000000000001</v>
      </c>
      <c r="I968" s="8">
        <f>41.2596 * CHOOSE(CONTROL!$C$15, $D$11, 100%, $F$11)</f>
        <v>41.259599999999999</v>
      </c>
      <c r="J968" s="4">
        <f>41.1841 * CHOOSE(CONTROL!$C$15, $D$11, 100%, $F$11)</f>
        <v>41.184100000000001</v>
      </c>
      <c r="K968" s="4"/>
      <c r="L968" s="9">
        <v>27.988800000000001</v>
      </c>
      <c r="M968" s="9">
        <v>11.6745</v>
      </c>
      <c r="N968" s="9">
        <v>4.7850000000000001</v>
      </c>
      <c r="O968" s="9">
        <v>0.36249999999999999</v>
      </c>
      <c r="P968" s="9">
        <v>1.1798</v>
      </c>
      <c r="Q968" s="9">
        <v>19.053000000000001</v>
      </c>
      <c r="R968" s="9"/>
      <c r="S968" s="11"/>
    </row>
    <row r="969" spans="1:19" ht="15.75">
      <c r="A969" s="13">
        <v>71375</v>
      </c>
      <c r="B969" s="8">
        <f>CHOOSE( CONTROL!$C$32, 43.7503, 43.7458) * CHOOSE(CONTROL!$C$15, $D$11, 100%, $F$11)</f>
        <v>43.750300000000003</v>
      </c>
      <c r="C969" s="8">
        <f>CHOOSE( CONTROL!$C$32, 43.7607, 43.7561) * CHOOSE(CONTROL!$C$15, $D$11, 100%, $F$11)</f>
        <v>43.7607</v>
      </c>
      <c r="D969" s="8">
        <f>CHOOSE( CONTROL!$C$32, 43.7704, 43.7658) * CHOOSE( CONTROL!$C$15, $D$11, 100%, $F$11)</f>
        <v>43.770400000000002</v>
      </c>
      <c r="E969" s="12">
        <f>CHOOSE( CONTROL!$C$32, 43.7653, 43.7607) * CHOOSE( CONTROL!$C$15, $D$11, 100%, $F$11)</f>
        <v>43.765300000000003</v>
      </c>
      <c r="F969" s="4">
        <f>CHOOSE( CONTROL!$C$32, 44.4386, 44.4341) * CHOOSE(CONTROL!$C$15, $D$11, 100%, $F$11)</f>
        <v>44.438600000000001</v>
      </c>
      <c r="G969" s="8">
        <f>CHOOSE( CONTROL!$C$32, 43.0133, 43.0088) * CHOOSE( CONTROL!$C$15, $D$11, 100%, $F$11)</f>
        <v>43.013300000000001</v>
      </c>
      <c r="H969" s="4">
        <f>CHOOSE( CONTROL!$C$32, 43.9483, 43.9439) * CHOOSE(CONTROL!$C$15, $D$11, 100%, $F$11)</f>
        <v>43.948300000000003</v>
      </c>
      <c r="I969" s="8">
        <f>CHOOSE( CONTROL!$C$32, 42.3678, 42.3634) * CHOOSE(CONTROL!$C$15, $D$11, 100%, $F$11)</f>
        <v>42.367800000000003</v>
      </c>
      <c r="J969" s="4">
        <f>CHOOSE( CONTROL!$C$32, 42.2858, 42.2815) * CHOOSE(CONTROL!$C$15, $D$11, 100%, $F$11)</f>
        <v>42.285800000000002</v>
      </c>
      <c r="K969" s="4"/>
      <c r="L969" s="9">
        <v>29.520499999999998</v>
      </c>
      <c r="M969" s="9">
        <v>12.063700000000001</v>
      </c>
      <c r="N969" s="9">
        <v>4.9444999999999997</v>
      </c>
      <c r="O969" s="9">
        <v>0.37459999999999999</v>
      </c>
      <c r="P969" s="9">
        <v>1.2192000000000001</v>
      </c>
      <c r="Q969" s="9">
        <v>19.688099999999999</v>
      </c>
      <c r="R969" s="9"/>
      <c r="S969" s="11"/>
    </row>
    <row r="970" spans="1:19" ht="15.75">
      <c r="A970" s="13">
        <v>71405</v>
      </c>
      <c r="B970" s="8">
        <f>CHOOSE( CONTROL!$C$32, 43.0474, 43.0429) * CHOOSE(CONTROL!$C$15, $D$11, 100%, $F$11)</f>
        <v>43.047400000000003</v>
      </c>
      <c r="C970" s="8">
        <f>CHOOSE( CONTROL!$C$32, 43.0577, 43.0532) * CHOOSE(CONTROL!$C$15, $D$11, 100%, $F$11)</f>
        <v>43.057699999999997</v>
      </c>
      <c r="D970" s="8">
        <f>CHOOSE( CONTROL!$C$32, 43.0681, 43.0635) * CHOOSE( CONTROL!$C$15, $D$11, 100%, $F$11)</f>
        <v>43.068100000000001</v>
      </c>
      <c r="E970" s="12">
        <f>CHOOSE( CONTROL!$C$32, 43.0628, 43.0582) * CHOOSE( CONTROL!$C$15, $D$11, 100%, $F$11)</f>
        <v>43.062800000000003</v>
      </c>
      <c r="F970" s="4">
        <f>CHOOSE( CONTROL!$C$32, 43.7357, 43.7312) * CHOOSE(CONTROL!$C$15, $D$11, 100%, $F$11)</f>
        <v>43.735700000000001</v>
      </c>
      <c r="G970" s="8">
        <f>CHOOSE( CONTROL!$C$32, 42.3227, 42.3182) * CHOOSE( CONTROL!$C$15, $D$11, 100%, $F$11)</f>
        <v>42.322699999999998</v>
      </c>
      <c r="H970" s="4">
        <f>CHOOSE( CONTROL!$C$32, 43.2568, 43.2523) * CHOOSE(CONTROL!$C$15, $D$11, 100%, $F$11)</f>
        <v>43.256799999999998</v>
      </c>
      <c r="I970" s="8">
        <f>CHOOSE( CONTROL!$C$32, 41.6906, 41.6863) * CHOOSE(CONTROL!$C$15, $D$11, 100%, $F$11)</f>
        <v>41.690600000000003</v>
      </c>
      <c r="J970" s="4">
        <f>CHOOSE( CONTROL!$C$32, 41.606, 41.6017) * CHOOSE(CONTROL!$C$15, $D$11, 100%, $F$11)</f>
        <v>41.606000000000002</v>
      </c>
      <c r="K970" s="4"/>
      <c r="L970" s="9">
        <v>28.568200000000001</v>
      </c>
      <c r="M970" s="9">
        <v>11.6745</v>
      </c>
      <c r="N970" s="9">
        <v>4.7850000000000001</v>
      </c>
      <c r="O970" s="9">
        <v>0.36249999999999999</v>
      </c>
      <c r="P970" s="9">
        <v>1.1798</v>
      </c>
      <c r="Q970" s="9">
        <v>19.053000000000001</v>
      </c>
      <c r="R970" s="9"/>
      <c r="S970" s="11"/>
    </row>
    <row r="971" spans="1:19" ht="15.75">
      <c r="A971" s="13">
        <v>71436</v>
      </c>
      <c r="B971" s="8">
        <f>CHOOSE( CONTROL!$C$32, 44.8984, 44.8939) * CHOOSE(CONTROL!$C$15, $D$11, 100%, $F$11)</f>
        <v>44.898400000000002</v>
      </c>
      <c r="C971" s="8">
        <f>CHOOSE( CONTROL!$C$32, 44.9088, 44.9043) * CHOOSE(CONTROL!$C$15, $D$11, 100%, $F$11)</f>
        <v>44.908799999999999</v>
      </c>
      <c r="D971" s="8">
        <f>CHOOSE( CONTROL!$C$32, 44.9197, 44.9151) * CHOOSE( CONTROL!$C$15, $D$11, 100%, $F$11)</f>
        <v>44.919699999999999</v>
      </c>
      <c r="E971" s="12">
        <f>CHOOSE( CONTROL!$C$32, 44.9142, 44.9096) * CHOOSE( CONTROL!$C$15, $D$11, 100%, $F$11)</f>
        <v>44.914200000000001</v>
      </c>
      <c r="F971" s="4">
        <f>CHOOSE( CONTROL!$C$32, 45.5867, 45.5822) * CHOOSE(CONTROL!$C$15, $D$11, 100%, $F$11)</f>
        <v>45.5867</v>
      </c>
      <c r="G971" s="8">
        <f>CHOOSE( CONTROL!$C$32, 44.1446, 44.1402) * CHOOSE( CONTROL!$C$15, $D$11, 100%, $F$11)</f>
        <v>44.144599999999997</v>
      </c>
      <c r="H971" s="4">
        <f>CHOOSE( CONTROL!$C$32, 45.0779, 45.0734) * CHOOSE(CONTROL!$C$15, $D$11, 100%, $F$11)</f>
        <v>45.0779</v>
      </c>
      <c r="I971" s="8">
        <f>CHOOSE( CONTROL!$C$32, 43.4844, 43.48) * CHOOSE(CONTROL!$C$15, $D$11, 100%, $F$11)</f>
        <v>43.484400000000001</v>
      </c>
      <c r="J971" s="4">
        <f>CHOOSE( CONTROL!$C$32, 43.3962, 43.3918) * CHOOSE(CONTROL!$C$15, $D$11, 100%, $F$11)</f>
        <v>43.3962</v>
      </c>
      <c r="K971" s="4"/>
      <c r="L971" s="9">
        <v>29.520499999999998</v>
      </c>
      <c r="M971" s="9">
        <v>12.063700000000001</v>
      </c>
      <c r="N971" s="9">
        <v>4.9444999999999997</v>
      </c>
      <c r="O971" s="9">
        <v>0.37459999999999999</v>
      </c>
      <c r="P971" s="9">
        <v>1.2192000000000001</v>
      </c>
      <c r="Q971" s="9">
        <v>19.688099999999999</v>
      </c>
      <c r="R971" s="9"/>
      <c r="S971" s="11"/>
    </row>
    <row r="972" spans="1:19" ht="15.75">
      <c r="A972" s="13">
        <v>71467</v>
      </c>
      <c r="B972" s="8">
        <f>CHOOSE( CONTROL!$C$32, 41.435, 41.4304) * CHOOSE(CONTROL!$C$15, $D$11, 100%, $F$11)</f>
        <v>41.435000000000002</v>
      </c>
      <c r="C972" s="8">
        <f>CHOOSE( CONTROL!$C$32, 41.4453, 41.4408) * CHOOSE(CONTROL!$C$15, $D$11, 100%, $F$11)</f>
        <v>41.445300000000003</v>
      </c>
      <c r="D972" s="8">
        <f>CHOOSE( CONTROL!$C$32, 41.4565, 41.4519) * CHOOSE( CONTROL!$C$15, $D$11, 100%, $F$11)</f>
        <v>41.456499999999998</v>
      </c>
      <c r="E972" s="12">
        <f>CHOOSE( CONTROL!$C$32, 41.4509, 41.4463) * CHOOSE( CONTROL!$C$15, $D$11, 100%, $F$11)</f>
        <v>41.450899999999997</v>
      </c>
      <c r="F972" s="4">
        <f>CHOOSE( CONTROL!$C$32, 42.1233, 42.1187) * CHOOSE(CONTROL!$C$15, $D$11, 100%, $F$11)</f>
        <v>42.1233</v>
      </c>
      <c r="G972" s="8">
        <f>CHOOSE( CONTROL!$C$32, 40.7376, 40.7332) * CHOOSE( CONTROL!$C$15, $D$11, 100%, $F$11)</f>
        <v>40.7376</v>
      </c>
      <c r="H972" s="4">
        <f>CHOOSE( CONTROL!$C$32, 41.6704, 41.666) * CHOOSE(CONTROL!$C$15, $D$11, 100%, $F$11)</f>
        <v>41.670400000000001</v>
      </c>
      <c r="I972" s="8">
        <f>CHOOSE( CONTROL!$C$32, 40.1346, 40.1302) * CHOOSE(CONTROL!$C$15, $D$11, 100%, $F$11)</f>
        <v>40.134599999999999</v>
      </c>
      <c r="J972" s="4">
        <f>CHOOSE( CONTROL!$C$32, 40.0466, 40.0423) * CHOOSE(CONTROL!$C$15, $D$11, 100%, $F$11)</f>
        <v>40.046599999999998</v>
      </c>
      <c r="K972" s="4"/>
      <c r="L972" s="9">
        <v>29.520499999999998</v>
      </c>
      <c r="M972" s="9">
        <v>12.063700000000001</v>
      </c>
      <c r="N972" s="9">
        <v>4.9444999999999997</v>
      </c>
      <c r="O972" s="9">
        <v>0.37459999999999999</v>
      </c>
      <c r="P972" s="9">
        <v>1.2192000000000001</v>
      </c>
      <c r="Q972" s="9">
        <v>19.688099999999999</v>
      </c>
      <c r="R972" s="9"/>
      <c r="S972" s="11"/>
    </row>
    <row r="973" spans="1:19" ht="15.75">
      <c r="A973" s="13">
        <v>71497</v>
      </c>
      <c r="B973" s="8">
        <f>CHOOSE( CONTROL!$C$32, 40.5677, 40.5631) * CHOOSE(CONTROL!$C$15, $D$11, 100%, $F$11)</f>
        <v>40.567700000000002</v>
      </c>
      <c r="C973" s="8">
        <f>CHOOSE( CONTROL!$C$32, 40.578, 40.5735) * CHOOSE(CONTROL!$C$15, $D$11, 100%, $F$11)</f>
        <v>40.578000000000003</v>
      </c>
      <c r="D973" s="8">
        <f>CHOOSE( CONTROL!$C$32, 40.5893, 40.5847) * CHOOSE( CONTROL!$C$15, $D$11, 100%, $F$11)</f>
        <v>40.589300000000001</v>
      </c>
      <c r="E973" s="12">
        <f>CHOOSE( CONTROL!$C$32, 40.5836, 40.5791) * CHOOSE( CONTROL!$C$15, $D$11, 100%, $F$11)</f>
        <v>40.583599999999997</v>
      </c>
      <c r="F973" s="4">
        <f>CHOOSE( CONTROL!$C$32, 41.256, 41.2514) * CHOOSE(CONTROL!$C$15, $D$11, 100%, $F$11)</f>
        <v>41.256</v>
      </c>
      <c r="G973" s="8">
        <f>CHOOSE( CONTROL!$C$32, 39.8845, 39.88) * CHOOSE( CONTROL!$C$15, $D$11, 100%, $F$11)</f>
        <v>39.884500000000003</v>
      </c>
      <c r="H973" s="4">
        <f>CHOOSE( CONTROL!$C$32, 40.8172, 40.8127) * CHOOSE(CONTROL!$C$15, $D$11, 100%, $F$11)</f>
        <v>40.8172</v>
      </c>
      <c r="I973" s="8">
        <f>CHOOSE( CONTROL!$C$32, 39.2958, 39.2915) * CHOOSE(CONTROL!$C$15, $D$11, 100%, $F$11)</f>
        <v>39.2958</v>
      </c>
      <c r="J973" s="4">
        <f>CHOOSE( CONTROL!$C$32, 39.2079, 39.2035) * CHOOSE(CONTROL!$C$15, $D$11, 100%, $F$11)</f>
        <v>39.207900000000002</v>
      </c>
      <c r="K973" s="4"/>
      <c r="L973" s="9">
        <v>28.568200000000001</v>
      </c>
      <c r="M973" s="9">
        <v>11.6745</v>
      </c>
      <c r="N973" s="9">
        <v>4.7850000000000001</v>
      </c>
      <c r="O973" s="9">
        <v>0.36249999999999999</v>
      </c>
      <c r="P973" s="9">
        <v>1.1798</v>
      </c>
      <c r="Q973" s="9">
        <v>19.053000000000001</v>
      </c>
      <c r="R973" s="9"/>
      <c r="S973" s="11"/>
    </row>
    <row r="974" spans="1:19" ht="15.75">
      <c r="A974" s="13">
        <v>71528</v>
      </c>
      <c r="B974" s="8">
        <f>42.3639 * CHOOSE(CONTROL!$C$15, $D$11, 100%, $F$11)</f>
        <v>42.363900000000001</v>
      </c>
      <c r="C974" s="8">
        <f>42.3743 * CHOOSE(CONTROL!$C$15, $D$11, 100%, $F$11)</f>
        <v>42.374299999999998</v>
      </c>
      <c r="D974" s="8">
        <f>42.3867 * CHOOSE( CONTROL!$C$15, $D$11, 100%, $F$11)</f>
        <v>42.386699999999998</v>
      </c>
      <c r="E974" s="12">
        <f>42.3815 * CHOOSE( CONTROL!$C$15, $D$11, 100%, $F$11)</f>
        <v>42.381500000000003</v>
      </c>
      <c r="F974" s="4">
        <f>43.0522 * CHOOSE(CONTROL!$C$15, $D$11, 100%, $F$11)</f>
        <v>43.052199999999999</v>
      </c>
      <c r="G974" s="8">
        <f>41.6512 * CHOOSE( CONTROL!$C$15, $D$11, 100%, $F$11)</f>
        <v>41.651200000000003</v>
      </c>
      <c r="H974" s="4">
        <f>42.5844 * CHOOSE(CONTROL!$C$15, $D$11, 100%, $F$11)</f>
        <v>42.584400000000002</v>
      </c>
      <c r="I974" s="8">
        <f>41.0352 * CHOOSE(CONTROL!$C$15, $D$11, 100%, $F$11)</f>
        <v>41.035200000000003</v>
      </c>
      <c r="J974" s="4">
        <f>40.9451 * CHOOSE(CONTROL!$C$15, $D$11, 100%, $F$11)</f>
        <v>40.945099999999996</v>
      </c>
      <c r="K974" s="4"/>
      <c r="L974" s="9">
        <v>28.921800000000001</v>
      </c>
      <c r="M974" s="9">
        <v>12.063700000000001</v>
      </c>
      <c r="N974" s="9">
        <v>4.9444999999999997</v>
      </c>
      <c r="O974" s="9">
        <v>0.37459999999999999</v>
      </c>
      <c r="P974" s="9">
        <v>1.2192000000000001</v>
      </c>
      <c r="Q974" s="9">
        <v>19.688099999999999</v>
      </c>
      <c r="R974" s="9"/>
      <c r="S974" s="11"/>
    </row>
    <row r="975" spans="1:19" ht="15.75">
      <c r="A975" s="13">
        <v>71558</v>
      </c>
      <c r="B975" s="8">
        <f>45.6879 * CHOOSE(CONTROL!$C$15, $D$11, 100%, $F$11)</f>
        <v>45.687899999999999</v>
      </c>
      <c r="C975" s="8">
        <f>45.6982 * CHOOSE(CONTROL!$C$15, $D$11, 100%, $F$11)</f>
        <v>45.6982</v>
      </c>
      <c r="D975" s="8">
        <f>45.6842 * CHOOSE( CONTROL!$C$15, $D$11, 100%, $F$11)</f>
        <v>45.684199999999997</v>
      </c>
      <c r="E975" s="12">
        <f>45.6882 * CHOOSE( CONTROL!$C$15, $D$11, 100%, $F$11)</f>
        <v>45.688200000000002</v>
      </c>
      <c r="F975" s="4">
        <f>46.3421 * CHOOSE(CONTROL!$C$15, $D$11, 100%, $F$11)</f>
        <v>46.342100000000002</v>
      </c>
      <c r="G975" s="8">
        <f>44.9385 * CHOOSE( CONTROL!$C$15, $D$11, 100%, $F$11)</f>
        <v>44.938499999999998</v>
      </c>
      <c r="H975" s="4">
        <f>45.821 * CHOOSE(CONTROL!$C$15, $D$11, 100%, $F$11)</f>
        <v>45.820999999999998</v>
      </c>
      <c r="I975" s="8">
        <f>44.2844 * CHOOSE(CONTROL!$C$15, $D$11, 100%, $F$11)</f>
        <v>44.284399999999998</v>
      </c>
      <c r="J975" s="4">
        <f>44.1596 * CHOOSE(CONTROL!$C$15, $D$11, 100%, $F$11)</f>
        <v>44.159599999999998</v>
      </c>
      <c r="K975" s="4"/>
      <c r="L975" s="9">
        <v>26.515499999999999</v>
      </c>
      <c r="M975" s="9">
        <v>11.6745</v>
      </c>
      <c r="N975" s="9">
        <v>4.7850000000000001</v>
      </c>
      <c r="O975" s="9">
        <v>0.36249999999999999</v>
      </c>
      <c r="P975" s="9">
        <v>1.2522</v>
      </c>
      <c r="Q975" s="9">
        <v>19.053000000000001</v>
      </c>
      <c r="R975" s="9"/>
      <c r="S975" s="11"/>
    </row>
    <row r="976" spans="1:19" ht="15.75">
      <c r="A976" s="13">
        <v>71589</v>
      </c>
      <c r="B976" s="8">
        <f>45.6048 * CHOOSE(CONTROL!$C$15, $D$11, 100%, $F$11)</f>
        <v>45.604799999999997</v>
      </c>
      <c r="C976" s="8">
        <f>45.6152 * CHOOSE(CONTROL!$C$15, $D$11, 100%, $F$11)</f>
        <v>45.615200000000002</v>
      </c>
      <c r="D976" s="8">
        <f>45.6037 * CHOOSE( CONTROL!$C$15, $D$11, 100%, $F$11)</f>
        <v>45.603700000000003</v>
      </c>
      <c r="E976" s="12">
        <f>45.6068 * CHOOSE( CONTROL!$C$15, $D$11, 100%, $F$11)</f>
        <v>45.6068</v>
      </c>
      <c r="F976" s="4">
        <f>46.2591 * CHOOSE(CONTROL!$C$15, $D$11, 100%, $F$11)</f>
        <v>46.259099999999997</v>
      </c>
      <c r="G976" s="8">
        <f>44.8586 * CHOOSE( CONTROL!$C$15, $D$11, 100%, $F$11)</f>
        <v>44.858600000000003</v>
      </c>
      <c r="H976" s="4">
        <f>45.7393 * CHOOSE(CONTROL!$C$15, $D$11, 100%, $F$11)</f>
        <v>45.7393</v>
      </c>
      <c r="I976" s="8">
        <f>44.212 * CHOOSE(CONTROL!$C$15, $D$11, 100%, $F$11)</f>
        <v>44.212000000000003</v>
      </c>
      <c r="J976" s="4">
        <f>44.0793 * CHOOSE(CONTROL!$C$15, $D$11, 100%, $F$11)</f>
        <v>44.079300000000003</v>
      </c>
      <c r="K976" s="4"/>
      <c r="L976" s="9">
        <v>27.3993</v>
      </c>
      <c r="M976" s="9">
        <v>12.063700000000001</v>
      </c>
      <c r="N976" s="9">
        <v>4.9444999999999997</v>
      </c>
      <c r="O976" s="9">
        <v>0.37459999999999999</v>
      </c>
      <c r="P976" s="9">
        <v>1.2939000000000001</v>
      </c>
      <c r="Q976" s="9">
        <v>19.688099999999999</v>
      </c>
      <c r="R976" s="9"/>
      <c r="S976" s="11"/>
    </row>
    <row r="977" spans="1:19" ht="15.75">
      <c r="A977" s="13">
        <v>71620</v>
      </c>
      <c r="B977" s="8">
        <f>47.3468 * CHOOSE(CONTROL!$C$15, $D$11, 100%, $F$11)</f>
        <v>47.346800000000002</v>
      </c>
      <c r="C977" s="8">
        <f>47.3572 * CHOOSE(CONTROL!$C$15, $D$11, 100%, $F$11)</f>
        <v>47.357199999999999</v>
      </c>
      <c r="D977" s="8">
        <f>47.3556 * CHOOSE( CONTROL!$C$15, $D$11, 100%, $F$11)</f>
        <v>47.355600000000003</v>
      </c>
      <c r="E977" s="12">
        <f>47.3551 * CHOOSE( CONTROL!$C$15, $D$11, 100%, $F$11)</f>
        <v>47.3551</v>
      </c>
      <c r="F977" s="4">
        <f>48.0295 * CHOOSE(CONTROL!$C$15, $D$11, 100%, $F$11)</f>
        <v>48.029499999999999</v>
      </c>
      <c r="G977" s="8">
        <f>46.5827 * CHOOSE( CONTROL!$C$15, $D$11, 100%, $F$11)</f>
        <v>46.582700000000003</v>
      </c>
      <c r="H977" s="4">
        <f>47.4811 * CHOOSE(CONTROL!$C$15, $D$11, 100%, $F$11)</f>
        <v>47.481099999999998</v>
      </c>
      <c r="I977" s="8">
        <f>45.8955 * CHOOSE(CONTROL!$C$15, $D$11, 100%, $F$11)</f>
        <v>45.895499999999998</v>
      </c>
      <c r="J977" s="4">
        <f>45.764 * CHOOSE(CONTROL!$C$15, $D$11, 100%, $F$11)</f>
        <v>45.764000000000003</v>
      </c>
      <c r="K977" s="4"/>
      <c r="L977" s="9">
        <v>27.3993</v>
      </c>
      <c r="M977" s="9">
        <v>12.063700000000001</v>
      </c>
      <c r="N977" s="9">
        <v>4.9444999999999997</v>
      </c>
      <c r="O977" s="9">
        <v>0.37459999999999999</v>
      </c>
      <c r="P977" s="9">
        <v>1.2939000000000001</v>
      </c>
      <c r="Q977" s="9">
        <v>19.688099999999999</v>
      </c>
      <c r="R977" s="9"/>
      <c r="S977" s="11"/>
    </row>
    <row r="978" spans="1:19" ht="15.75">
      <c r="A978" s="13">
        <v>71649</v>
      </c>
      <c r="B978" s="8">
        <f>44.2876 * CHOOSE(CONTROL!$C$15, $D$11, 100%, $F$11)</f>
        <v>44.287599999999998</v>
      </c>
      <c r="C978" s="8">
        <f>44.2979 * CHOOSE(CONTROL!$C$15, $D$11, 100%, $F$11)</f>
        <v>44.297899999999998</v>
      </c>
      <c r="D978" s="8">
        <f>44.2985 * CHOOSE( CONTROL!$C$15, $D$11, 100%, $F$11)</f>
        <v>44.298499999999997</v>
      </c>
      <c r="E978" s="12">
        <f>44.2972 * CHOOSE( CONTROL!$C$15, $D$11, 100%, $F$11)</f>
        <v>44.297199999999997</v>
      </c>
      <c r="F978" s="4">
        <f>44.9625 * CHOOSE(CONTROL!$C$15, $D$11, 100%, $F$11)</f>
        <v>44.962499999999999</v>
      </c>
      <c r="G978" s="8">
        <f>43.5728 * CHOOSE( CONTROL!$C$15, $D$11, 100%, $F$11)</f>
        <v>43.572800000000001</v>
      </c>
      <c r="H978" s="4">
        <f>44.4638 * CHOOSE(CONTROL!$C$15, $D$11, 100%, $F$11)</f>
        <v>44.463799999999999</v>
      </c>
      <c r="I978" s="8">
        <f>42.9245 * CHOOSE(CONTROL!$C$15, $D$11, 100%, $F$11)</f>
        <v>42.924500000000002</v>
      </c>
      <c r="J978" s="4">
        <f>42.8054 * CHOOSE(CONTROL!$C$15, $D$11, 100%, $F$11)</f>
        <v>42.805399999999999</v>
      </c>
      <c r="K978" s="4"/>
      <c r="L978" s="9">
        <v>25.631599999999999</v>
      </c>
      <c r="M978" s="9">
        <v>11.285299999999999</v>
      </c>
      <c r="N978" s="9">
        <v>4.6254999999999997</v>
      </c>
      <c r="O978" s="9">
        <v>0.35039999999999999</v>
      </c>
      <c r="P978" s="9">
        <v>1.2104999999999999</v>
      </c>
      <c r="Q978" s="9">
        <v>18.417899999999999</v>
      </c>
      <c r="R978" s="9"/>
      <c r="S978" s="11"/>
    </row>
    <row r="979" spans="1:19" ht="15.75">
      <c r="A979" s="13">
        <v>71680</v>
      </c>
      <c r="B979" s="8">
        <f>43.3454 * CHOOSE(CONTROL!$C$15, $D$11, 100%, $F$11)</f>
        <v>43.345399999999998</v>
      </c>
      <c r="C979" s="8">
        <f>43.3557 * CHOOSE(CONTROL!$C$15, $D$11, 100%, $F$11)</f>
        <v>43.355699999999999</v>
      </c>
      <c r="D979" s="8">
        <f>43.3358 * CHOOSE( CONTROL!$C$15, $D$11, 100%, $F$11)</f>
        <v>43.335799999999999</v>
      </c>
      <c r="E979" s="12">
        <f>43.342 * CHOOSE( CONTROL!$C$15, $D$11, 100%, $F$11)</f>
        <v>43.341999999999999</v>
      </c>
      <c r="F979" s="4">
        <f>44.0043 * CHOOSE(CONTROL!$C$15, $D$11, 100%, $F$11)</f>
        <v>44.004300000000001</v>
      </c>
      <c r="G979" s="8">
        <f>42.625 * CHOOSE( CONTROL!$C$15, $D$11, 100%, $F$11)</f>
        <v>42.625</v>
      </c>
      <c r="H979" s="4">
        <f>43.521 * CHOOSE(CONTROL!$C$15, $D$11, 100%, $F$11)</f>
        <v>43.521000000000001</v>
      </c>
      <c r="I979" s="8">
        <f>41.9733 * CHOOSE(CONTROL!$C$15, $D$11, 100%, $F$11)</f>
        <v>41.973300000000002</v>
      </c>
      <c r="J979" s="4">
        <f>41.8942 * CHOOSE(CONTROL!$C$15, $D$11, 100%, $F$11)</f>
        <v>41.894199999999998</v>
      </c>
      <c r="K979" s="4"/>
      <c r="L979" s="9">
        <v>27.3993</v>
      </c>
      <c r="M979" s="9">
        <v>12.063700000000001</v>
      </c>
      <c r="N979" s="9">
        <v>4.9444999999999997</v>
      </c>
      <c r="O979" s="9">
        <v>0.37459999999999999</v>
      </c>
      <c r="P979" s="9">
        <v>1.2939000000000001</v>
      </c>
      <c r="Q979" s="9">
        <v>19.688099999999999</v>
      </c>
      <c r="R979" s="9"/>
      <c r="S979" s="11"/>
    </row>
    <row r="980" spans="1:19" ht="15.75">
      <c r="A980" s="13">
        <v>71710</v>
      </c>
      <c r="B980" s="8">
        <f>44.0038 * CHOOSE(CONTROL!$C$15, $D$11, 100%, $F$11)</f>
        <v>44.003799999999998</v>
      </c>
      <c r="C980" s="8">
        <f>44.0141 * CHOOSE(CONTROL!$C$15, $D$11, 100%, $F$11)</f>
        <v>44.014099999999999</v>
      </c>
      <c r="D980" s="8">
        <f>44.0056 * CHOOSE( CONTROL!$C$15, $D$11, 100%, $F$11)</f>
        <v>44.005600000000001</v>
      </c>
      <c r="E980" s="12">
        <f>44.0072 * CHOOSE( CONTROL!$C$15, $D$11, 100%, $F$11)</f>
        <v>44.007199999999997</v>
      </c>
      <c r="F980" s="4">
        <f>44.6529 * CHOOSE(CONTROL!$C$15, $D$11, 100%, $F$11)</f>
        <v>44.652900000000002</v>
      </c>
      <c r="G980" s="8">
        <f>43.2576 * CHOOSE( CONTROL!$C$15, $D$11, 100%, $F$11)</f>
        <v>43.257599999999996</v>
      </c>
      <c r="H980" s="4">
        <f>44.1591 * CHOOSE(CONTROL!$C$15, $D$11, 100%, $F$11)</f>
        <v>44.159100000000002</v>
      </c>
      <c r="I980" s="8">
        <f>42.6072 * CHOOSE(CONTROL!$C$15, $D$11, 100%, $F$11)</f>
        <v>42.607199999999999</v>
      </c>
      <c r="J980" s="4">
        <f>42.531 * CHOOSE(CONTROL!$C$15, $D$11, 100%, $F$11)</f>
        <v>42.530999999999999</v>
      </c>
      <c r="K980" s="4"/>
      <c r="L980" s="9">
        <v>27.988800000000001</v>
      </c>
      <c r="M980" s="9">
        <v>11.6745</v>
      </c>
      <c r="N980" s="9">
        <v>4.7850000000000001</v>
      </c>
      <c r="O980" s="9">
        <v>0.36249999999999999</v>
      </c>
      <c r="P980" s="9">
        <v>1.1798</v>
      </c>
      <c r="Q980" s="9">
        <v>19.053000000000001</v>
      </c>
      <c r="R980" s="9"/>
      <c r="S980" s="11"/>
    </row>
    <row r="981" spans="1:19" ht="15.75">
      <c r="A981" s="13">
        <v>71741</v>
      </c>
      <c r="B981" s="8">
        <f>CHOOSE( CONTROL!$C$32, 45.1801, 45.1756) * CHOOSE(CONTROL!$C$15, $D$11, 100%, $F$11)</f>
        <v>45.180100000000003</v>
      </c>
      <c r="C981" s="8">
        <f>CHOOSE( CONTROL!$C$32, 45.1905, 45.1859) * CHOOSE(CONTROL!$C$15, $D$11, 100%, $F$11)</f>
        <v>45.1905</v>
      </c>
      <c r="D981" s="8">
        <f>CHOOSE( CONTROL!$C$32, 45.2002, 45.1956) * CHOOSE( CONTROL!$C$15, $D$11, 100%, $F$11)</f>
        <v>45.200200000000002</v>
      </c>
      <c r="E981" s="12">
        <f>CHOOSE( CONTROL!$C$32, 45.1951, 45.1905) * CHOOSE( CONTROL!$C$15, $D$11, 100%, $F$11)</f>
        <v>45.195099999999996</v>
      </c>
      <c r="F981" s="4">
        <f>CHOOSE( CONTROL!$C$32, 45.8684, 45.8639) * CHOOSE(CONTROL!$C$15, $D$11, 100%, $F$11)</f>
        <v>45.868400000000001</v>
      </c>
      <c r="G981" s="8">
        <f>CHOOSE( CONTROL!$C$32, 44.42, 44.4155) * CHOOSE( CONTROL!$C$15, $D$11, 100%, $F$11)</f>
        <v>44.42</v>
      </c>
      <c r="H981" s="4">
        <f>CHOOSE( CONTROL!$C$32, 45.355, 45.3506) * CHOOSE(CONTROL!$C$15, $D$11, 100%, $F$11)</f>
        <v>45.354999999999997</v>
      </c>
      <c r="I981" s="8">
        <f>CHOOSE( CONTROL!$C$32, 43.7513, 43.7469) * CHOOSE(CONTROL!$C$15, $D$11, 100%, $F$11)</f>
        <v>43.751300000000001</v>
      </c>
      <c r="J981" s="4">
        <f>CHOOSE( CONTROL!$C$32, 43.6686, 43.6642) * CHOOSE(CONTROL!$C$15, $D$11, 100%, $F$11)</f>
        <v>43.668599999999998</v>
      </c>
      <c r="K981" s="4"/>
      <c r="L981" s="9">
        <v>29.520499999999998</v>
      </c>
      <c r="M981" s="9">
        <v>12.063700000000001</v>
      </c>
      <c r="N981" s="9">
        <v>4.9444999999999997</v>
      </c>
      <c r="O981" s="9">
        <v>0.37459999999999999</v>
      </c>
      <c r="P981" s="9">
        <v>1.2192000000000001</v>
      </c>
      <c r="Q981" s="9">
        <v>19.688099999999999</v>
      </c>
      <c r="R981" s="9"/>
      <c r="S981" s="11"/>
    </row>
    <row r="982" spans="1:19" ht="15.75">
      <c r="A982" s="13">
        <v>71771</v>
      </c>
      <c r="B982" s="8">
        <f>CHOOSE( CONTROL!$C$32, 44.4542, 44.4497) * CHOOSE(CONTROL!$C$15, $D$11, 100%, $F$11)</f>
        <v>44.4542</v>
      </c>
      <c r="C982" s="8">
        <f>CHOOSE( CONTROL!$C$32, 44.4646, 44.46) * CHOOSE(CONTROL!$C$15, $D$11, 100%, $F$11)</f>
        <v>44.464599999999997</v>
      </c>
      <c r="D982" s="8">
        <f>CHOOSE( CONTROL!$C$32, 44.4749, 44.4704) * CHOOSE( CONTROL!$C$15, $D$11, 100%, $F$11)</f>
        <v>44.474899999999998</v>
      </c>
      <c r="E982" s="12">
        <f>CHOOSE( CONTROL!$C$32, 44.4696, 44.4651) * CHOOSE( CONTROL!$C$15, $D$11, 100%, $F$11)</f>
        <v>44.4696</v>
      </c>
      <c r="F982" s="4">
        <f>CHOOSE( CONTROL!$C$32, 45.1425, 45.138) * CHOOSE(CONTROL!$C$15, $D$11, 100%, $F$11)</f>
        <v>45.142499999999998</v>
      </c>
      <c r="G982" s="8">
        <f>CHOOSE( CONTROL!$C$32, 43.7067, 43.7023) * CHOOSE( CONTROL!$C$15, $D$11, 100%, $F$11)</f>
        <v>43.706699999999998</v>
      </c>
      <c r="H982" s="4">
        <f>CHOOSE( CONTROL!$C$32, 44.6408, 44.6364) * CHOOSE(CONTROL!$C$15, $D$11, 100%, $F$11)</f>
        <v>44.640799999999999</v>
      </c>
      <c r="I982" s="8">
        <f>CHOOSE( CONTROL!$C$32, 43.0519, 43.0475) * CHOOSE(CONTROL!$C$15, $D$11, 100%, $F$11)</f>
        <v>43.051900000000003</v>
      </c>
      <c r="J982" s="4">
        <f>CHOOSE( CONTROL!$C$32, 42.9666, 42.9622) * CHOOSE(CONTROL!$C$15, $D$11, 100%, $F$11)</f>
        <v>42.9666</v>
      </c>
      <c r="K982" s="4"/>
      <c r="L982" s="9">
        <v>28.568200000000001</v>
      </c>
      <c r="M982" s="9">
        <v>11.6745</v>
      </c>
      <c r="N982" s="9">
        <v>4.7850000000000001</v>
      </c>
      <c r="O982" s="9">
        <v>0.36249999999999999</v>
      </c>
      <c r="P982" s="9">
        <v>1.1798</v>
      </c>
      <c r="Q982" s="9">
        <v>19.053000000000001</v>
      </c>
      <c r="R982" s="9"/>
      <c r="S982" s="11"/>
    </row>
    <row r="983" spans="1:19" ht="15.75">
      <c r="A983" s="13">
        <v>71802</v>
      </c>
      <c r="B983" s="8">
        <f>CHOOSE( CONTROL!$C$32, 46.3658, 46.3613) * CHOOSE(CONTROL!$C$15, $D$11, 100%, $F$11)</f>
        <v>46.3658</v>
      </c>
      <c r="C983" s="8">
        <f>CHOOSE( CONTROL!$C$32, 46.3761, 46.3716) * CHOOSE(CONTROL!$C$15, $D$11, 100%, $F$11)</f>
        <v>46.376100000000001</v>
      </c>
      <c r="D983" s="8">
        <f>CHOOSE( CONTROL!$C$32, 46.387, 46.3825) * CHOOSE( CONTROL!$C$15, $D$11, 100%, $F$11)</f>
        <v>46.387</v>
      </c>
      <c r="E983" s="12">
        <f>CHOOSE( CONTROL!$C$32, 46.3815, 46.377) * CHOOSE( CONTROL!$C$15, $D$11, 100%, $F$11)</f>
        <v>46.381500000000003</v>
      </c>
      <c r="F983" s="4">
        <f>CHOOSE( CONTROL!$C$32, 47.0541, 47.0496) * CHOOSE(CONTROL!$C$15, $D$11, 100%, $F$11)</f>
        <v>47.054099999999998</v>
      </c>
      <c r="G983" s="8">
        <f>CHOOSE( CONTROL!$C$32, 45.5882, 45.5838) * CHOOSE( CONTROL!$C$15, $D$11, 100%, $F$11)</f>
        <v>45.588200000000001</v>
      </c>
      <c r="H983" s="4">
        <f>CHOOSE( CONTROL!$C$32, 46.5215, 46.517) * CHOOSE(CONTROL!$C$15, $D$11, 100%, $F$11)</f>
        <v>46.521500000000003</v>
      </c>
      <c r="I983" s="8">
        <f>CHOOSE( CONTROL!$C$32, 44.9042, 44.8998) * CHOOSE(CONTROL!$C$15, $D$11, 100%, $F$11)</f>
        <v>44.904200000000003</v>
      </c>
      <c r="J983" s="4">
        <f>CHOOSE( CONTROL!$C$32, 44.8152, 44.8109) * CHOOSE(CONTROL!$C$15, $D$11, 100%, $F$11)</f>
        <v>44.815199999999997</v>
      </c>
      <c r="K983" s="4"/>
      <c r="L983" s="9">
        <v>29.520499999999998</v>
      </c>
      <c r="M983" s="9">
        <v>12.063700000000001</v>
      </c>
      <c r="N983" s="9">
        <v>4.9444999999999997</v>
      </c>
      <c r="O983" s="9">
        <v>0.37459999999999999</v>
      </c>
      <c r="P983" s="9">
        <v>1.2192000000000001</v>
      </c>
      <c r="Q983" s="9">
        <v>19.688099999999999</v>
      </c>
      <c r="R983" s="9"/>
      <c r="S983" s="11"/>
    </row>
    <row r="984" spans="1:19" ht="15.75">
      <c r="A984" s="13">
        <v>71833</v>
      </c>
      <c r="B984" s="8">
        <f>CHOOSE( CONTROL!$C$32, 42.789, 42.7845) * CHOOSE(CONTROL!$C$15, $D$11, 100%, $F$11)</f>
        <v>42.789000000000001</v>
      </c>
      <c r="C984" s="8">
        <f>CHOOSE( CONTROL!$C$32, 42.7994, 42.7949) * CHOOSE(CONTROL!$C$15, $D$11, 100%, $F$11)</f>
        <v>42.799399999999999</v>
      </c>
      <c r="D984" s="8">
        <f>CHOOSE( CONTROL!$C$32, 42.8106, 42.806) * CHOOSE( CONTROL!$C$15, $D$11, 100%, $F$11)</f>
        <v>42.810600000000001</v>
      </c>
      <c r="E984" s="12">
        <f>CHOOSE( CONTROL!$C$32, 42.805, 42.8004) * CHOOSE( CONTROL!$C$15, $D$11, 100%, $F$11)</f>
        <v>42.805</v>
      </c>
      <c r="F984" s="4">
        <f>CHOOSE( CONTROL!$C$32, 43.4773, 43.4728) * CHOOSE(CONTROL!$C$15, $D$11, 100%, $F$11)</f>
        <v>43.4773</v>
      </c>
      <c r="G984" s="8">
        <f>CHOOSE( CONTROL!$C$32, 42.0698, 42.0653) * CHOOSE( CONTROL!$C$15, $D$11, 100%, $F$11)</f>
        <v>42.069800000000001</v>
      </c>
      <c r="H984" s="4">
        <f>CHOOSE( CONTROL!$C$32, 43.0026, 42.9981) * CHOOSE(CONTROL!$C$15, $D$11, 100%, $F$11)</f>
        <v>43.002600000000001</v>
      </c>
      <c r="I984" s="8">
        <f>CHOOSE( CONTROL!$C$32, 41.4448, 41.4404) * CHOOSE(CONTROL!$C$15, $D$11, 100%, $F$11)</f>
        <v>41.444800000000001</v>
      </c>
      <c r="J984" s="4">
        <f>CHOOSE( CONTROL!$C$32, 41.3562, 41.3518) * CHOOSE(CONTROL!$C$15, $D$11, 100%, $F$11)</f>
        <v>41.356200000000001</v>
      </c>
      <c r="K984" s="4"/>
      <c r="L984" s="9">
        <v>29.520499999999998</v>
      </c>
      <c r="M984" s="9">
        <v>12.063700000000001</v>
      </c>
      <c r="N984" s="9">
        <v>4.9444999999999997</v>
      </c>
      <c r="O984" s="9">
        <v>0.37459999999999999</v>
      </c>
      <c r="P984" s="9">
        <v>1.2192000000000001</v>
      </c>
      <c r="Q984" s="9">
        <v>19.688099999999999</v>
      </c>
      <c r="R984" s="9"/>
      <c r="S984" s="11"/>
    </row>
    <row r="985" spans="1:19" ht="15.75">
      <c r="A985" s="13">
        <v>71863</v>
      </c>
      <c r="B985" s="8">
        <f>CHOOSE( CONTROL!$C$32, 41.8934, 41.8889) * CHOOSE(CONTROL!$C$15, $D$11, 100%, $F$11)</f>
        <v>41.8934</v>
      </c>
      <c r="C985" s="8">
        <f>CHOOSE( CONTROL!$C$32, 41.9037, 41.8992) * CHOOSE(CONTROL!$C$15, $D$11, 100%, $F$11)</f>
        <v>41.903700000000001</v>
      </c>
      <c r="D985" s="8">
        <f>CHOOSE( CONTROL!$C$32, 41.915, 41.9105) * CHOOSE( CONTROL!$C$15, $D$11, 100%, $F$11)</f>
        <v>41.914999999999999</v>
      </c>
      <c r="E985" s="12">
        <f>CHOOSE( CONTROL!$C$32, 41.9093, 41.9048) * CHOOSE( CONTROL!$C$15, $D$11, 100%, $F$11)</f>
        <v>41.909300000000002</v>
      </c>
      <c r="F985" s="4">
        <f>CHOOSE( CONTROL!$C$32, 42.5817, 42.5772) * CHOOSE(CONTROL!$C$15, $D$11, 100%, $F$11)</f>
        <v>42.581699999999998</v>
      </c>
      <c r="G985" s="8">
        <f>CHOOSE( CONTROL!$C$32, 41.1887, 41.1843) * CHOOSE( CONTROL!$C$15, $D$11, 100%, $F$11)</f>
        <v>41.188699999999997</v>
      </c>
      <c r="H985" s="4">
        <f>CHOOSE( CONTROL!$C$32, 42.1214, 42.117) * CHOOSE(CONTROL!$C$15, $D$11, 100%, $F$11)</f>
        <v>42.121400000000001</v>
      </c>
      <c r="I985" s="8">
        <f>CHOOSE( CONTROL!$C$32, 40.5786, 40.5742) * CHOOSE(CONTROL!$C$15, $D$11, 100%, $F$11)</f>
        <v>40.578600000000002</v>
      </c>
      <c r="J985" s="4">
        <f>CHOOSE( CONTROL!$C$32, 40.49, 40.4856) * CHOOSE(CONTROL!$C$15, $D$11, 100%, $F$11)</f>
        <v>40.49</v>
      </c>
      <c r="K985" s="4"/>
      <c r="L985" s="9">
        <v>28.568200000000001</v>
      </c>
      <c r="M985" s="9">
        <v>11.6745</v>
      </c>
      <c r="N985" s="9">
        <v>4.7850000000000001</v>
      </c>
      <c r="O985" s="9">
        <v>0.36249999999999999</v>
      </c>
      <c r="P985" s="9">
        <v>1.1798</v>
      </c>
      <c r="Q985" s="9">
        <v>19.053000000000001</v>
      </c>
      <c r="R985" s="9"/>
      <c r="S985" s="11"/>
    </row>
    <row r="986" spans="1:19" ht="15.75">
      <c r="A986" s="13">
        <v>71894</v>
      </c>
      <c r="B986" s="8">
        <f>43.7486 * CHOOSE(CONTROL!$C$15, $D$11, 100%, $F$11)</f>
        <v>43.748600000000003</v>
      </c>
      <c r="C986" s="8">
        <f>43.7589 * CHOOSE(CONTROL!$C$15, $D$11, 100%, $F$11)</f>
        <v>43.758899999999997</v>
      </c>
      <c r="D986" s="8">
        <f>43.7713 * CHOOSE( CONTROL!$C$15, $D$11, 100%, $F$11)</f>
        <v>43.771299999999997</v>
      </c>
      <c r="E986" s="12">
        <f>43.7661 * CHOOSE( CONTROL!$C$15, $D$11, 100%, $F$11)</f>
        <v>43.766100000000002</v>
      </c>
      <c r="F986" s="4">
        <f>44.4368 * CHOOSE(CONTROL!$C$15, $D$11, 100%, $F$11)</f>
        <v>44.436799999999998</v>
      </c>
      <c r="G986" s="8">
        <f>43.0134 * CHOOSE( CONTROL!$C$15, $D$11, 100%, $F$11)</f>
        <v>43.013399999999997</v>
      </c>
      <c r="H986" s="4">
        <f>43.9466 * CHOOSE(CONTROL!$C$15, $D$11, 100%, $F$11)</f>
        <v>43.946599999999997</v>
      </c>
      <c r="I986" s="8">
        <f>42.3749 * CHOOSE(CONTROL!$C$15, $D$11, 100%, $F$11)</f>
        <v>42.374899999999997</v>
      </c>
      <c r="J986" s="4">
        <f>42.2841 * CHOOSE(CONTROL!$C$15, $D$11, 100%, $F$11)</f>
        <v>42.284100000000002</v>
      </c>
      <c r="K986" s="4"/>
      <c r="L986" s="9">
        <v>28.921800000000001</v>
      </c>
      <c r="M986" s="9">
        <v>12.063700000000001</v>
      </c>
      <c r="N986" s="9">
        <v>4.9444999999999997</v>
      </c>
      <c r="O986" s="9">
        <v>0.37459999999999999</v>
      </c>
      <c r="P986" s="9">
        <v>1.2192000000000001</v>
      </c>
      <c r="Q986" s="9">
        <v>19.688099999999999</v>
      </c>
      <c r="R986" s="9"/>
      <c r="S986" s="11"/>
    </row>
    <row r="987" spans="1:19" ht="15.75">
      <c r="A987" s="13">
        <v>71924</v>
      </c>
      <c r="B987" s="8">
        <f>47.1812 * CHOOSE(CONTROL!$C$15, $D$11, 100%, $F$11)</f>
        <v>47.181199999999997</v>
      </c>
      <c r="C987" s="8">
        <f>47.1915 * CHOOSE(CONTROL!$C$15, $D$11, 100%, $F$11)</f>
        <v>47.191499999999998</v>
      </c>
      <c r="D987" s="8">
        <f>47.1776 * CHOOSE( CONTROL!$C$15, $D$11, 100%, $F$11)</f>
        <v>47.177599999999998</v>
      </c>
      <c r="E987" s="12">
        <f>47.1816 * CHOOSE( CONTROL!$C$15, $D$11, 100%, $F$11)</f>
        <v>47.181600000000003</v>
      </c>
      <c r="F987" s="4">
        <f>47.8354 * CHOOSE(CONTROL!$C$15, $D$11, 100%, $F$11)</f>
        <v>47.8354</v>
      </c>
      <c r="G987" s="8">
        <f>46.4077 * CHOOSE( CONTROL!$C$15, $D$11, 100%, $F$11)</f>
        <v>46.407699999999998</v>
      </c>
      <c r="H987" s="4">
        <f>47.2902 * CHOOSE(CONTROL!$C$15, $D$11, 100%, $F$11)</f>
        <v>47.290199999999999</v>
      </c>
      <c r="I987" s="8">
        <f>45.7293 * CHOOSE(CONTROL!$C$15, $D$11, 100%, $F$11)</f>
        <v>45.729300000000002</v>
      </c>
      <c r="J987" s="4">
        <f>45.6038 * CHOOSE(CONTROL!$C$15, $D$11, 100%, $F$11)</f>
        <v>45.6038</v>
      </c>
      <c r="K987" s="4"/>
      <c r="L987" s="9">
        <v>26.515499999999999</v>
      </c>
      <c r="M987" s="9">
        <v>11.6745</v>
      </c>
      <c r="N987" s="9">
        <v>4.7850000000000001</v>
      </c>
      <c r="O987" s="9">
        <v>0.36249999999999999</v>
      </c>
      <c r="P987" s="9">
        <v>1.2522</v>
      </c>
      <c r="Q987" s="9">
        <v>19.053000000000001</v>
      </c>
      <c r="R987" s="9"/>
      <c r="S987" s="11"/>
    </row>
    <row r="988" spans="1:19" ht="15.75">
      <c r="A988" s="13">
        <v>71955</v>
      </c>
      <c r="B988" s="8">
        <f>47.0954 * CHOOSE(CONTROL!$C$15, $D$11, 100%, $F$11)</f>
        <v>47.095399999999998</v>
      </c>
      <c r="C988" s="8">
        <f>47.1058 * CHOOSE(CONTROL!$C$15, $D$11, 100%, $F$11)</f>
        <v>47.105800000000002</v>
      </c>
      <c r="D988" s="8">
        <f>47.0943 * CHOOSE( CONTROL!$C$15, $D$11, 100%, $F$11)</f>
        <v>47.094299999999997</v>
      </c>
      <c r="E988" s="12">
        <f>47.0974 * CHOOSE( CONTROL!$C$15, $D$11, 100%, $F$11)</f>
        <v>47.0974</v>
      </c>
      <c r="F988" s="4">
        <f>47.7497 * CHOOSE(CONTROL!$C$15, $D$11, 100%, $F$11)</f>
        <v>47.749699999999997</v>
      </c>
      <c r="G988" s="8">
        <f>46.3251 * CHOOSE( CONTROL!$C$15, $D$11, 100%, $F$11)</f>
        <v>46.325099999999999</v>
      </c>
      <c r="H988" s="4">
        <f>47.2058 * CHOOSE(CONTROL!$C$15, $D$11, 100%, $F$11)</f>
        <v>47.205800000000004</v>
      </c>
      <c r="I988" s="8">
        <f>45.6542 * CHOOSE(CONTROL!$C$15, $D$11, 100%, $F$11)</f>
        <v>45.654200000000003</v>
      </c>
      <c r="J988" s="4">
        <f>45.5209 * CHOOSE(CONTROL!$C$15, $D$11, 100%, $F$11)</f>
        <v>45.520899999999997</v>
      </c>
      <c r="K988" s="4"/>
      <c r="L988" s="9">
        <v>27.3993</v>
      </c>
      <c r="M988" s="9">
        <v>12.063700000000001</v>
      </c>
      <c r="N988" s="9">
        <v>4.9444999999999997</v>
      </c>
      <c r="O988" s="9">
        <v>0.37459999999999999</v>
      </c>
      <c r="P988" s="9">
        <v>1.2939000000000001</v>
      </c>
      <c r="Q988" s="9">
        <v>19.688099999999999</v>
      </c>
      <c r="R988" s="9"/>
      <c r="S988" s="11"/>
    </row>
    <row r="989" spans="1:19" ht="15.75">
      <c r="A989" s="13">
        <v>71986</v>
      </c>
      <c r="B989" s="8">
        <f>48.8944 * CHOOSE(CONTROL!$C$15, $D$11, 100%, $F$11)</f>
        <v>48.894399999999997</v>
      </c>
      <c r="C989" s="8">
        <f>48.9047 * CHOOSE(CONTROL!$C$15, $D$11, 100%, $F$11)</f>
        <v>48.904699999999998</v>
      </c>
      <c r="D989" s="8">
        <f>48.9031 * CHOOSE( CONTROL!$C$15, $D$11, 100%, $F$11)</f>
        <v>48.903100000000002</v>
      </c>
      <c r="E989" s="12">
        <f>48.9026 * CHOOSE( CONTROL!$C$15, $D$11, 100%, $F$11)</f>
        <v>48.9026</v>
      </c>
      <c r="F989" s="4">
        <f>49.5771 * CHOOSE(CONTROL!$C$15, $D$11, 100%, $F$11)</f>
        <v>49.577100000000002</v>
      </c>
      <c r="G989" s="8">
        <f>48.1053 * CHOOSE( CONTROL!$C$15, $D$11, 100%, $F$11)</f>
        <v>48.1053</v>
      </c>
      <c r="H989" s="4">
        <f>49.0037 * CHOOSE(CONTROL!$C$15, $D$11, 100%, $F$11)</f>
        <v>49.003700000000002</v>
      </c>
      <c r="I989" s="8">
        <f>47.3929 * CHOOSE(CONTROL!$C$15, $D$11, 100%, $F$11)</f>
        <v>47.392899999999997</v>
      </c>
      <c r="J989" s="4">
        <f>47.2607 * CHOOSE(CONTROL!$C$15, $D$11, 100%, $F$11)</f>
        <v>47.2607</v>
      </c>
      <c r="K989" s="4"/>
      <c r="L989" s="9">
        <v>27.3993</v>
      </c>
      <c r="M989" s="9">
        <v>12.063700000000001</v>
      </c>
      <c r="N989" s="9">
        <v>4.9444999999999997</v>
      </c>
      <c r="O989" s="9">
        <v>0.37459999999999999</v>
      </c>
      <c r="P989" s="9">
        <v>1.2939000000000001</v>
      </c>
      <c r="Q989" s="9">
        <v>19.688099999999999</v>
      </c>
      <c r="R989" s="9"/>
      <c r="S989" s="11"/>
    </row>
    <row r="990" spans="1:19" ht="15.75">
      <c r="A990" s="13">
        <v>72014</v>
      </c>
      <c r="B990" s="8">
        <f>45.7351 * CHOOSE(CONTROL!$C$15, $D$11, 100%, $F$11)</f>
        <v>45.735100000000003</v>
      </c>
      <c r="C990" s="8">
        <f>45.7455 * CHOOSE(CONTROL!$C$15, $D$11, 100%, $F$11)</f>
        <v>45.7455</v>
      </c>
      <c r="D990" s="8">
        <f>45.746 * CHOOSE( CONTROL!$C$15, $D$11, 100%, $F$11)</f>
        <v>45.746000000000002</v>
      </c>
      <c r="E990" s="12">
        <f>45.7447 * CHOOSE( CONTROL!$C$15, $D$11, 100%, $F$11)</f>
        <v>45.744700000000002</v>
      </c>
      <c r="F990" s="4">
        <f>46.4101 * CHOOSE(CONTROL!$C$15, $D$11, 100%, $F$11)</f>
        <v>46.4101</v>
      </c>
      <c r="G990" s="8">
        <f>44.9969 * CHOOSE( CONTROL!$C$15, $D$11, 100%, $F$11)</f>
        <v>44.996899999999997</v>
      </c>
      <c r="H990" s="4">
        <f>45.8879 * CHOOSE(CONTROL!$C$15, $D$11, 100%, $F$11)</f>
        <v>45.887900000000002</v>
      </c>
      <c r="I990" s="8">
        <f>44.3251 * CHOOSE(CONTROL!$C$15, $D$11, 100%, $F$11)</f>
        <v>44.325099999999999</v>
      </c>
      <c r="J990" s="4">
        <f>44.2053 * CHOOSE(CONTROL!$C$15, $D$11, 100%, $F$11)</f>
        <v>44.205300000000001</v>
      </c>
      <c r="K990" s="4"/>
      <c r="L990" s="9">
        <v>24.747800000000002</v>
      </c>
      <c r="M990" s="9">
        <v>10.8962</v>
      </c>
      <c r="N990" s="9">
        <v>4.4660000000000002</v>
      </c>
      <c r="O990" s="9">
        <v>0.33829999999999999</v>
      </c>
      <c r="P990" s="9">
        <v>1.1687000000000001</v>
      </c>
      <c r="Q990" s="9">
        <v>17.782800000000002</v>
      </c>
      <c r="R990" s="9"/>
      <c r="S990" s="11"/>
    </row>
    <row r="991" spans="1:19" ht="15.75">
      <c r="A991" s="13">
        <v>72045</v>
      </c>
      <c r="B991" s="8">
        <f>44.7621 * CHOOSE(CONTROL!$C$15, $D$11, 100%, $F$11)</f>
        <v>44.762099999999997</v>
      </c>
      <c r="C991" s="8">
        <f>44.7724 * CHOOSE(CONTROL!$C$15, $D$11, 100%, $F$11)</f>
        <v>44.772399999999998</v>
      </c>
      <c r="D991" s="8">
        <f>44.7525 * CHOOSE( CONTROL!$C$15, $D$11, 100%, $F$11)</f>
        <v>44.752499999999998</v>
      </c>
      <c r="E991" s="12">
        <f>44.7587 * CHOOSE( CONTROL!$C$15, $D$11, 100%, $F$11)</f>
        <v>44.758699999999997</v>
      </c>
      <c r="F991" s="4">
        <f>45.421 * CHOOSE(CONTROL!$C$15, $D$11, 100%, $F$11)</f>
        <v>45.420999999999999</v>
      </c>
      <c r="G991" s="8">
        <f>44.0188 * CHOOSE( CONTROL!$C$15, $D$11, 100%, $F$11)</f>
        <v>44.018799999999999</v>
      </c>
      <c r="H991" s="4">
        <f>44.9148 * CHOOSE(CONTROL!$C$15, $D$11, 100%, $F$11)</f>
        <v>44.9148</v>
      </c>
      <c r="I991" s="8">
        <f>43.3441 * CHOOSE(CONTROL!$C$15, $D$11, 100%, $F$11)</f>
        <v>43.344099999999997</v>
      </c>
      <c r="J991" s="4">
        <f>43.2643 * CHOOSE(CONTROL!$C$15, $D$11, 100%, $F$11)</f>
        <v>43.264299999999999</v>
      </c>
      <c r="K991" s="4"/>
      <c r="L991" s="9">
        <v>27.3993</v>
      </c>
      <c r="M991" s="9">
        <v>12.063700000000001</v>
      </c>
      <c r="N991" s="9">
        <v>4.9444999999999997</v>
      </c>
      <c r="O991" s="9">
        <v>0.37459999999999999</v>
      </c>
      <c r="P991" s="9">
        <v>1.2939000000000001</v>
      </c>
      <c r="Q991" s="9">
        <v>19.688099999999999</v>
      </c>
      <c r="R991" s="9"/>
      <c r="S991" s="11"/>
    </row>
    <row r="992" spans="1:19" ht="15.75">
      <c r="A992" s="13">
        <v>72075</v>
      </c>
      <c r="B992" s="8">
        <f>45.442 * CHOOSE(CONTROL!$C$15, $D$11, 100%, $F$11)</f>
        <v>45.442</v>
      </c>
      <c r="C992" s="8">
        <f>45.4524 * CHOOSE(CONTROL!$C$15, $D$11, 100%, $F$11)</f>
        <v>45.452399999999997</v>
      </c>
      <c r="D992" s="8">
        <f>45.4439 * CHOOSE( CONTROL!$C$15, $D$11, 100%, $F$11)</f>
        <v>45.443899999999999</v>
      </c>
      <c r="E992" s="12">
        <f>45.4455 * CHOOSE( CONTROL!$C$15, $D$11, 100%, $F$11)</f>
        <v>45.445500000000003</v>
      </c>
      <c r="F992" s="4">
        <f>46.0911 * CHOOSE(CONTROL!$C$15, $D$11, 100%, $F$11)</f>
        <v>46.091099999999997</v>
      </c>
      <c r="G992" s="8">
        <f>44.6726 * CHOOSE( CONTROL!$C$15, $D$11, 100%, $F$11)</f>
        <v>44.672600000000003</v>
      </c>
      <c r="H992" s="4">
        <f>45.5741 * CHOOSE(CONTROL!$C$15, $D$11, 100%, $F$11)</f>
        <v>45.574100000000001</v>
      </c>
      <c r="I992" s="8">
        <f>43.9988 * CHOOSE(CONTROL!$C$15, $D$11, 100%, $F$11)</f>
        <v>43.998800000000003</v>
      </c>
      <c r="J992" s="4">
        <f>43.9219 * CHOOSE(CONTROL!$C$15, $D$11, 100%, $F$11)</f>
        <v>43.921900000000001</v>
      </c>
      <c r="K992" s="4"/>
      <c r="L992" s="9">
        <v>27.988800000000001</v>
      </c>
      <c r="M992" s="9">
        <v>11.6745</v>
      </c>
      <c r="N992" s="9">
        <v>4.7850000000000001</v>
      </c>
      <c r="O992" s="9">
        <v>0.36249999999999999</v>
      </c>
      <c r="P992" s="9">
        <v>1.1798</v>
      </c>
      <c r="Q992" s="9">
        <v>19.053000000000001</v>
      </c>
      <c r="R992" s="9"/>
      <c r="S992" s="11"/>
    </row>
    <row r="993" spans="1:19" ht="15.75">
      <c r="A993" s="13">
        <v>72106</v>
      </c>
      <c r="B993" s="8">
        <f>CHOOSE( CONTROL!$C$32, 46.6567, 46.6522) * CHOOSE(CONTROL!$C$15, $D$11, 100%, $F$11)</f>
        <v>46.656700000000001</v>
      </c>
      <c r="C993" s="8">
        <f>CHOOSE( CONTROL!$C$32, 46.667, 46.6625) * CHOOSE(CONTROL!$C$15, $D$11, 100%, $F$11)</f>
        <v>46.667000000000002</v>
      </c>
      <c r="D993" s="8">
        <f>CHOOSE( CONTROL!$C$32, 46.6767, 46.6722) * CHOOSE( CONTROL!$C$15, $D$11, 100%, $F$11)</f>
        <v>46.676699999999997</v>
      </c>
      <c r="E993" s="12">
        <f>CHOOSE( CONTROL!$C$32, 46.6716, 46.6671) * CHOOSE( CONTROL!$C$15, $D$11, 100%, $F$11)</f>
        <v>46.671599999999998</v>
      </c>
      <c r="F993" s="4">
        <f>CHOOSE( CONTROL!$C$32, 47.345, 47.3405) * CHOOSE(CONTROL!$C$15, $D$11, 100%, $F$11)</f>
        <v>47.344999999999999</v>
      </c>
      <c r="G993" s="8">
        <f>CHOOSE( CONTROL!$C$32, 45.8727, 45.8682) * CHOOSE( CONTROL!$C$15, $D$11, 100%, $F$11)</f>
        <v>45.872700000000002</v>
      </c>
      <c r="H993" s="4">
        <f>CHOOSE( CONTROL!$C$32, 46.8077, 46.8032) * CHOOSE(CONTROL!$C$15, $D$11, 100%, $F$11)</f>
        <v>46.807699999999997</v>
      </c>
      <c r="I993" s="8">
        <f>CHOOSE( CONTROL!$C$32, 45.1799, 45.1756) * CHOOSE(CONTROL!$C$15, $D$11, 100%, $F$11)</f>
        <v>45.179900000000004</v>
      </c>
      <c r="J993" s="4">
        <f>CHOOSE( CONTROL!$C$32, 45.0966, 45.0922) * CHOOSE(CONTROL!$C$15, $D$11, 100%, $F$11)</f>
        <v>45.096600000000002</v>
      </c>
      <c r="K993" s="4"/>
      <c r="L993" s="9">
        <v>29.520499999999998</v>
      </c>
      <c r="M993" s="9">
        <v>12.063700000000001</v>
      </c>
      <c r="N993" s="9">
        <v>4.9444999999999997</v>
      </c>
      <c r="O993" s="9">
        <v>0.37459999999999999</v>
      </c>
      <c r="P993" s="9">
        <v>1.2192000000000001</v>
      </c>
      <c r="Q993" s="9">
        <v>19.688099999999999</v>
      </c>
      <c r="R993" s="9"/>
      <c r="S993" s="11"/>
    </row>
    <row r="994" spans="1:19" ht="15.75">
      <c r="A994" s="13">
        <v>72136</v>
      </c>
      <c r="B994" s="8">
        <f>CHOOSE( CONTROL!$C$32, 45.907, 45.9025) * CHOOSE(CONTROL!$C$15, $D$11, 100%, $F$11)</f>
        <v>45.906999999999996</v>
      </c>
      <c r="C994" s="8">
        <f>CHOOSE( CONTROL!$C$32, 45.9174, 45.9129) * CHOOSE(CONTROL!$C$15, $D$11, 100%, $F$11)</f>
        <v>45.917400000000001</v>
      </c>
      <c r="D994" s="8">
        <f>CHOOSE( CONTROL!$C$32, 45.9277, 45.9232) * CHOOSE( CONTROL!$C$15, $D$11, 100%, $F$11)</f>
        <v>45.927700000000002</v>
      </c>
      <c r="E994" s="12">
        <f>CHOOSE( CONTROL!$C$32, 45.9224, 45.9179) * CHOOSE( CONTROL!$C$15, $D$11, 100%, $F$11)</f>
        <v>45.922400000000003</v>
      </c>
      <c r="F994" s="4">
        <f>CHOOSE( CONTROL!$C$32, 46.5953, 46.5908) * CHOOSE(CONTROL!$C$15, $D$11, 100%, $F$11)</f>
        <v>46.595300000000002</v>
      </c>
      <c r="G994" s="8">
        <f>CHOOSE( CONTROL!$C$32, 45.1361, 45.1316) * CHOOSE( CONTROL!$C$15, $D$11, 100%, $F$11)</f>
        <v>45.136099999999999</v>
      </c>
      <c r="H994" s="4">
        <f>CHOOSE( CONTROL!$C$32, 46.0702, 46.0657) * CHOOSE(CONTROL!$C$15, $D$11, 100%, $F$11)</f>
        <v>46.0702</v>
      </c>
      <c r="I994" s="8">
        <f>CHOOSE( CONTROL!$C$32, 44.4576, 44.4532) * CHOOSE(CONTROL!$C$15, $D$11, 100%, $F$11)</f>
        <v>44.457599999999999</v>
      </c>
      <c r="J994" s="4">
        <f>CHOOSE( CONTROL!$C$32, 44.3716, 44.3672) * CHOOSE(CONTROL!$C$15, $D$11, 100%, $F$11)</f>
        <v>44.371600000000001</v>
      </c>
      <c r="K994" s="4"/>
      <c r="L994" s="9">
        <v>28.568200000000001</v>
      </c>
      <c r="M994" s="9">
        <v>11.6745</v>
      </c>
      <c r="N994" s="9">
        <v>4.7850000000000001</v>
      </c>
      <c r="O994" s="9">
        <v>0.36249999999999999</v>
      </c>
      <c r="P994" s="9">
        <v>1.1798</v>
      </c>
      <c r="Q994" s="9">
        <v>19.053000000000001</v>
      </c>
      <c r="R994" s="9"/>
      <c r="S994" s="11"/>
    </row>
    <row r="995" spans="1:19" ht="15.75">
      <c r="A995" s="13">
        <v>72167</v>
      </c>
      <c r="B995" s="8">
        <f>CHOOSE( CONTROL!$C$32, 47.8811, 47.8766) * CHOOSE(CONTROL!$C$15, $D$11, 100%, $F$11)</f>
        <v>47.881100000000004</v>
      </c>
      <c r="C995" s="8">
        <f>CHOOSE( CONTROL!$C$32, 47.8915, 47.8869) * CHOOSE(CONTROL!$C$15, $D$11, 100%, $F$11)</f>
        <v>47.891500000000001</v>
      </c>
      <c r="D995" s="8">
        <f>CHOOSE( CONTROL!$C$32, 47.9023, 47.8978) * CHOOSE( CONTROL!$C$15, $D$11, 100%, $F$11)</f>
        <v>47.902299999999997</v>
      </c>
      <c r="E995" s="12">
        <f>CHOOSE( CONTROL!$C$32, 47.8968, 47.8923) * CHOOSE( CONTROL!$C$15, $D$11, 100%, $F$11)</f>
        <v>47.896799999999999</v>
      </c>
      <c r="F995" s="4">
        <f>CHOOSE( CONTROL!$C$32, 48.5694, 48.5649) * CHOOSE(CONTROL!$C$15, $D$11, 100%, $F$11)</f>
        <v>48.569400000000002</v>
      </c>
      <c r="G995" s="8">
        <f>CHOOSE( CONTROL!$C$32, 47.0791, 47.0746) * CHOOSE( CONTROL!$C$15, $D$11, 100%, $F$11)</f>
        <v>47.079099999999997</v>
      </c>
      <c r="H995" s="4">
        <f>CHOOSE( CONTROL!$C$32, 48.0123, 48.0079) * CHOOSE(CONTROL!$C$15, $D$11, 100%, $F$11)</f>
        <v>48.012300000000003</v>
      </c>
      <c r="I995" s="8">
        <f>CHOOSE( CONTROL!$C$32, 46.3704, 46.366) * CHOOSE(CONTROL!$C$15, $D$11, 100%, $F$11)</f>
        <v>46.370399999999997</v>
      </c>
      <c r="J995" s="4">
        <f>CHOOSE( CONTROL!$C$32, 46.2807, 46.2764) * CHOOSE(CONTROL!$C$15, $D$11, 100%, $F$11)</f>
        <v>46.280700000000003</v>
      </c>
      <c r="K995" s="4"/>
      <c r="L995" s="9">
        <v>29.520499999999998</v>
      </c>
      <c r="M995" s="9">
        <v>12.063700000000001</v>
      </c>
      <c r="N995" s="9">
        <v>4.9444999999999997</v>
      </c>
      <c r="O995" s="9">
        <v>0.37459999999999999</v>
      </c>
      <c r="P995" s="9">
        <v>1.2192000000000001</v>
      </c>
      <c r="Q995" s="9">
        <v>19.688099999999999</v>
      </c>
      <c r="R995" s="9"/>
      <c r="S995" s="11"/>
    </row>
    <row r="996" spans="1:19" ht="15.75">
      <c r="A996" s="13">
        <v>72198</v>
      </c>
      <c r="B996" s="8">
        <f>CHOOSE( CONTROL!$C$32, 44.1874, 44.1829) * CHOOSE(CONTROL!$C$15, $D$11, 100%, $F$11)</f>
        <v>44.187399999999997</v>
      </c>
      <c r="C996" s="8">
        <f>CHOOSE( CONTROL!$C$32, 44.1977, 44.1932) * CHOOSE(CONTROL!$C$15, $D$11, 100%, $F$11)</f>
        <v>44.197699999999998</v>
      </c>
      <c r="D996" s="8">
        <f>CHOOSE( CONTROL!$C$32, 44.2089, 44.2044) * CHOOSE( CONTROL!$C$15, $D$11, 100%, $F$11)</f>
        <v>44.2089</v>
      </c>
      <c r="E996" s="12">
        <f>CHOOSE( CONTROL!$C$32, 44.2033, 44.1988) * CHOOSE( CONTROL!$C$15, $D$11, 100%, $F$11)</f>
        <v>44.203299999999999</v>
      </c>
      <c r="F996" s="4">
        <f>CHOOSE( CONTROL!$C$32, 44.8757, 44.8712) * CHOOSE(CONTROL!$C$15, $D$11, 100%, $F$11)</f>
        <v>44.875700000000002</v>
      </c>
      <c r="G996" s="8">
        <f>CHOOSE( CONTROL!$C$32, 43.4455, 43.4411) * CHOOSE( CONTROL!$C$15, $D$11, 100%, $F$11)</f>
        <v>43.445500000000003</v>
      </c>
      <c r="H996" s="4">
        <f>CHOOSE( CONTROL!$C$32, 44.3783, 44.3739) * CHOOSE(CONTROL!$C$15, $D$11, 100%, $F$11)</f>
        <v>44.378300000000003</v>
      </c>
      <c r="I996" s="8">
        <f>CHOOSE( CONTROL!$C$32, 42.7978, 42.7934) * CHOOSE(CONTROL!$C$15, $D$11, 100%, $F$11)</f>
        <v>42.797800000000002</v>
      </c>
      <c r="J996" s="4">
        <f>CHOOSE( CONTROL!$C$32, 42.7085, 42.7042) * CHOOSE(CONTROL!$C$15, $D$11, 100%, $F$11)</f>
        <v>42.708500000000001</v>
      </c>
      <c r="K996" s="4"/>
      <c r="L996" s="9">
        <v>29.520499999999998</v>
      </c>
      <c r="M996" s="9">
        <v>12.063700000000001</v>
      </c>
      <c r="N996" s="9">
        <v>4.9444999999999997</v>
      </c>
      <c r="O996" s="9">
        <v>0.37459999999999999</v>
      </c>
      <c r="P996" s="9">
        <v>1.2192000000000001</v>
      </c>
      <c r="Q996" s="9">
        <v>19.688099999999999</v>
      </c>
      <c r="R996" s="9"/>
      <c r="S996" s="11"/>
    </row>
    <row r="997" spans="1:19" ht="15.75">
      <c r="A997" s="13">
        <v>72228</v>
      </c>
      <c r="B997" s="8">
        <f>CHOOSE( CONTROL!$C$32, 43.2625, 43.2579) * CHOOSE(CONTROL!$C$15, $D$11, 100%, $F$11)</f>
        <v>43.262500000000003</v>
      </c>
      <c r="C997" s="8">
        <f>CHOOSE( CONTROL!$C$32, 43.2728, 43.2683) * CHOOSE(CONTROL!$C$15, $D$11, 100%, $F$11)</f>
        <v>43.272799999999997</v>
      </c>
      <c r="D997" s="8">
        <f>CHOOSE( CONTROL!$C$32, 43.2841, 43.2795) * CHOOSE( CONTROL!$C$15, $D$11, 100%, $F$11)</f>
        <v>43.284100000000002</v>
      </c>
      <c r="E997" s="12">
        <f>CHOOSE( CONTROL!$C$32, 43.2784, 43.2739) * CHOOSE( CONTROL!$C$15, $D$11, 100%, $F$11)</f>
        <v>43.278399999999998</v>
      </c>
      <c r="F997" s="4">
        <f>CHOOSE( CONTROL!$C$32, 43.9507, 43.9462) * CHOOSE(CONTROL!$C$15, $D$11, 100%, $F$11)</f>
        <v>43.950699999999998</v>
      </c>
      <c r="G997" s="8">
        <f>CHOOSE( CONTROL!$C$32, 42.5357, 42.5312) * CHOOSE( CONTROL!$C$15, $D$11, 100%, $F$11)</f>
        <v>42.535699999999999</v>
      </c>
      <c r="H997" s="4">
        <f>CHOOSE( CONTROL!$C$32, 43.4684, 43.4639) * CHOOSE(CONTROL!$C$15, $D$11, 100%, $F$11)</f>
        <v>43.468400000000003</v>
      </c>
      <c r="I997" s="8">
        <f>CHOOSE( CONTROL!$C$32, 41.9033, 41.8989) * CHOOSE(CONTROL!$C$15, $D$11, 100%, $F$11)</f>
        <v>41.903300000000002</v>
      </c>
      <c r="J997" s="4">
        <f>CHOOSE( CONTROL!$C$32, 41.814, 41.8096) * CHOOSE(CONTROL!$C$15, $D$11, 100%, $F$11)</f>
        <v>41.814</v>
      </c>
      <c r="K997" s="4"/>
      <c r="L997" s="9">
        <v>28.568200000000001</v>
      </c>
      <c r="M997" s="9">
        <v>11.6745</v>
      </c>
      <c r="N997" s="9">
        <v>4.7850000000000001</v>
      </c>
      <c r="O997" s="9">
        <v>0.36249999999999999</v>
      </c>
      <c r="P997" s="9">
        <v>1.1798</v>
      </c>
      <c r="Q997" s="9">
        <v>19.053000000000001</v>
      </c>
      <c r="R997" s="9"/>
      <c r="S997" s="11"/>
    </row>
    <row r="998" spans="1:19" ht="15.75">
      <c r="A998" s="13">
        <v>72259</v>
      </c>
      <c r="B998" s="8">
        <f>45.1784 * CHOOSE(CONTROL!$C$15, $D$11, 100%, $F$11)</f>
        <v>45.178400000000003</v>
      </c>
      <c r="C998" s="8">
        <f>45.1888 * CHOOSE(CONTROL!$C$15, $D$11, 100%, $F$11)</f>
        <v>45.188800000000001</v>
      </c>
      <c r="D998" s="8">
        <f>45.2012 * CHOOSE( CONTROL!$C$15, $D$11, 100%, $F$11)</f>
        <v>45.2012</v>
      </c>
      <c r="E998" s="12">
        <f>45.196 * CHOOSE( CONTROL!$C$15, $D$11, 100%, $F$11)</f>
        <v>45.195999999999998</v>
      </c>
      <c r="F998" s="4">
        <f>45.8667 * CHOOSE(CONTROL!$C$15, $D$11, 100%, $F$11)</f>
        <v>45.866700000000002</v>
      </c>
      <c r="G998" s="8">
        <f>44.4201 * CHOOSE( CONTROL!$C$15, $D$11, 100%, $F$11)</f>
        <v>44.420099999999998</v>
      </c>
      <c r="H998" s="4">
        <f>45.3534 * CHOOSE(CONTROL!$C$15, $D$11, 100%, $F$11)</f>
        <v>45.353400000000001</v>
      </c>
      <c r="I998" s="8">
        <f>43.7584 * CHOOSE(CONTROL!$C$15, $D$11, 100%, $F$11)</f>
        <v>43.758400000000002</v>
      </c>
      <c r="J998" s="4">
        <f>43.667 * CHOOSE(CONTROL!$C$15, $D$11, 100%, $F$11)</f>
        <v>43.667000000000002</v>
      </c>
      <c r="K998" s="4"/>
      <c r="L998" s="9">
        <v>28.921800000000001</v>
      </c>
      <c r="M998" s="9">
        <v>12.063700000000001</v>
      </c>
      <c r="N998" s="9">
        <v>4.9444999999999997</v>
      </c>
      <c r="O998" s="9">
        <v>0.37459999999999999</v>
      </c>
      <c r="P998" s="9">
        <v>1.2192000000000001</v>
      </c>
      <c r="Q998" s="9">
        <v>19.688099999999999</v>
      </c>
      <c r="R998" s="9"/>
      <c r="S998" s="11"/>
    </row>
    <row r="999" spans="1:19" ht="15.75">
      <c r="A999" s="13">
        <v>72289</v>
      </c>
      <c r="B999" s="8">
        <f>48.7233 * CHOOSE(CONTROL!$C$15, $D$11, 100%, $F$11)</f>
        <v>48.723300000000002</v>
      </c>
      <c r="C999" s="8">
        <f>48.7337 * CHOOSE(CONTROL!$C$15, $D$11, 100%, $F$11)</f>
        <v>48.733699999999999</v>
      </c>
      <c r="D999" s="8">
        <f>48.7197 * CHOOSE( CONTROL!$C$15, $D$11, 100%, $F$11)</f>
        <v>48.719700000000003</v>
      </c>
      <c r="E999" s="12">
        <f>48.7237 * CHOOSE( CONTROL!$C$15, $D$11, 100%, $F$11)</f>
        <v>48.723700000000001</v>
      </c>
      <c r="F999" s="4">
        <f>49.3776 * CHOOSE(CONTROL!$C$15, $D$11, 100%, $F$11)</f>
        <v>49.377600000000001</v>
      </c>
      <c r="G999" s="8">
        <f>47.9249 * CHOOSE( CONTROL!$C$15, $D$11, 100%, $F$11)</f>
        <v>47.924900000000001</v>
      </c>
      <c r="H999" s="4">
        <f>48.8074 * CHOOSE(CONTROL!$C$15, $D$11, 100%, $F$11)</f>
        <v>48.807400000000001</v>
      </c>
      <c r="I999" s="8">
        <f>47.2214 * CHOOSE(CONTROL!$C$15, $D$11, 100%, $F$11)</f>
        <v>47.221400000000003</v>
      </c>
      <c r="J999" s="4">
        <f>47.0952 * CHOOSE(CONTROL!$C$15, $D$11, 100%, $F$11)</f>
        <v>47.095199999999998</v>
      </c>
      <c r="K999" s="4"/>
      <c r="L999" s="9">
        <v>26.515499999999999</v>
      </c>
      <c r="M999" s="9">
        <v>11.6745</v>
      </c>
      <c r="N999" s="9">
        <v>4.7850000000000001</v>
      </c>
      <c r="O999" s="9">
        <v>0.36249999999999999</v>
      </c>
      <c r="P999" s="9">
        <v>1.2522</v>
      </c>
      <c r="Q999" s="9">
        <v>19.053000000000001</v>
      </c>
      <c r="R999" s="9"/>
      <c r="S999" s="11"/>
    </row>
    <row r="1000" spans="1:19" ht="15.75">
      <c r="A1000" s="13">
        <v>72320</v>
      </c>
      <c r="B1000" s="8">
        <f>48.6348 * CHOOSE(CONTROL!$C$15, $D$11, 100%, $F$11)</f>
        <v>48.634799999999998</v>
      </c>
      <c r="C1000" s="8">
        <f>48.6451 * CHOOSE(CONTROL!$C$15, $D$11, 100%, $F$11)</f>
        <v>48.645099999999999</v>
      </c>
      <c r="D1000" s="8">
        <f>48.6336 * CHOOSE( CONTROL!$C$15, $D$11, 100%, $F$11)</f>
        <v>48.633600000000001</v>
      </c>
      <c r="E1000" s="12">
        <f>48.6367 * CHOOSE( CONTROL!$C$15, $D$11, 100%, $F$11)</f>
        <v>48.636699999999998</v>
      </c>
      <c r="F1000" s="4">
        <f>49.289 * CHOOSE(CONTROL!$C$15, $D$11, 100%, $F$11)</f>
        <v>49.289000000000001</v>
      </c>
      <c r="G1000" s="8">
        <f>47.8396 * CHOOSE( CONTROL!$C$15, $D$11, 100%, $F$11)</f>
        <v>47.839599999999997</v>
      </c>
      <c r="H1000" s="4">
        <f>48.7203 * CHOOSE(CONTROL!$C$15, $D$11, 100%, $F$11)</f>
        <v>48.720300000000002</v>
      </c>
      <c r="I1000" s="8">
        <f>47.1437 * CHOOSE(CONTROL!$C$15, $D$11, 100%, $F$11)</f>
        <v>47.143700000000003</v>
      </c>
      <c r="J1000" s="4">
        <f>47.0096 * CHOOSE(CONTROL!$C$15, $D$11, 100%, $F$11)</f>
        <v>47.009599999999999</v>
      </c>
      <c r="K1000" s="4"/>
      <c r="L1000" s="9">
        <v>27.3993</v>
      </c>
      <c r="M1000" s="9">
        <v>12.063700000000001</v>
      </c>
      <c r="N1000" s="9">
        <v>4.9444999999999997</v>
      </c>
      <c r="O1000" s="9">
        <v>0.37459999999999999</v>
      </c>
      <c r="P1000" s="9">
        <v>1.2939000000000001</v>
      </c>
      <c r="Q1000" s="9">
        <v>19.688099999999999</v>
      </c>
      <c r="R1000" s="9"/>
      <c r="S1000" s="11"/>
    </row>
    <row r="1001" spans="1:19" ht="15.75">
      <c r="A1001" s="13">
        <v>72351</v>
      </c>
      <c r="B1001" s="8">
        <f>50.4926 * CHOOSE(CONTROL!$C$15, $D$11, 100%, $F$11)</f>
        <v>50.492600000000003</v>
      </c>
      <c r="C1001" s="8">
        <f>50.5029 * CHOOSE(CONTROL!$C$15, $D$11, 100%, $F$11)</f>
        <v>50.502899999999997</v>
      </c>
      <c r="D1001" s="8">
        <f>50.5013 * CHOOSE( CONTROL!$C$15, $D$11, 100%, $F$11)</f>
        <v>50.501300000000001</v>
      </c>
      <c r="E1001" s="12">
        <f>50.5008 * CHOOSE( CONTROL!$C$15, $D$11, 100%, $F$11)</f>
        <v>50.500799999999998</v>
      </c>
      <c r="F1001" s="4">
        <f>51.1753 * CHOOSE(CONTROL!$C$15, $D$11, 100%, $F$11)</f>
        <v>51.1753</v>
      </c>
      <c r="G1001" s="8">
        <f>49.6776 * CHOOSE( CONTROL!$C$15, $D$11, 100%, $F$11)</f>
        <v>49.677599999999998</v>
      </c>
      <c r="H1001" s="4">
        <f>50.576 * CHOOSE(CONTROL!$C$15, $D$11, 100%, $F$11)</f>
        <v>50.576000000000001</v>
      </c>
      <c r="I1001" s="8">
        <f>48.9393 * CHOOSE(CONTROL!$C$15, $D$11, 100%, $F$11)</f>
        <v>48.939300000000003</v>
      </c>
      <c r="J1001" s="4">
        <f>48.8063 * CHOOSE(CONTROL!$C$15, $D$11, 100%, $F$11)</f>
        <v>48.8063</v>
      </c>
      <c r="K1001" s="4"/>
      <c r="L1001" s="9">
        <v>27.3993</v>
      </c>
      <c r="M1001" s="9">
        <v>12.063700000000001</v>
      </c>
      <c r="N1001" s="9">
        <v>4.9444999999999997</v>
      </c>
      <c r="O1001" s="9">
        <v>0.37459999999999999</v>
      </c>
      <c r="P1001" s="9">
        <v>1.2939000000000001</v>
      </c>
      <c r="Q1001" s="9">
        <v>19.688099999999999</v>
      </c>
      <c r="R1001" s="9"/>
      <c r="S1001" s="11"/>
    </row>
    <row r="1002" spans="1:19" ht="15.75">
      <c r="A1002" s="13">
        <v>72379</v>
      </c>
      <c r="B1002" s="8">
        <f>47.23 * CHOOSE(CONTROL!$C$15, $D$11, 100%, $F$11)</f>
        <v>47.23</v>
      </c>
      <c r="C1002" s="8">
        <f>47.2403 * CHOOSE(CONTROL!$C$15, $D$11, 100%, $F$11)</f>
        <v>47.240299999999998</v>
      </c>
      <c r="D1002" s="8">
        <f>47.2408 * CHOOSE( CONTROL!$C$15, $D$11, 100%, $F$11)</f>
        <v>47.2408</v>
      </c>
      <c r="E1002" s="12">
        <f>47.2395 * CHOOSE( CONTROL!$C$15, $D$11, 100%, $F$11)</f>
        <v>47.2395</v>
      </c>
      <c r="F1002" s="4">
        <f>47.9049 * CHOOSE(CONTROL!$C$15, $D$11, 100%, $F$11)</f>
        <v>47.904899999999998</v>
      </c>
      <c r="G1002" s="8">
        <f>46.4675 * CHOOSE( CONTROL!$C$15, $D$11, 100%, $F$11)</f>
        <v>46.467500000000001</v>
      </c>
      <c r="H1002" s="4">
        <f>47.3586 * CHOOSE(CONTROL!$C$15, $D$11, 100%, $F$11)</f>
        <v>47.358600000000003</v>
      </c>
      <c r="I1002" s="8">
        <f>45.7715 * CHOOSE(CONTROL!$C$15, $D$11, 100%, $F$11)</f>
        <v>45.771500000000003</v>
      </c>
      <c r="J1002" s="4">
        <f>45.651 * CHOOSE(CONTROL!$C$15, $D$11, 100%, $F$11)</f>
        <v>45.651000000000003</v>
      </c>
      <c r="K1002" s="4"/>
      <c r="L1002" s="9">
        <v>24.747800000000002</v>
      </c>
      <c r="M1002" s="9">
        <v>10.8962</v>
      </c>
      <c r="N1002" s="9">
        <v>4.4660000000000002</v>
      </c>
      <c r="O1002" s="9">
        <v>0.33829999999999999</v>
      </c>
      <c r="P1002" s="9">
        <v>1.1687000000000001</v>
      </c>
      <c r="Q1002" s="9">
        <v>17.782800000000002</v>
      </c>
      <c r="R1002" s="9"/>
      <c r="S1002" s="11"/>
    </row>
    <row r="1003" spans="1:19" ht="15.75">
      <c r="A1003" s="13">
        <v>72410</v>
      </c>
      <c r="B1003" s="8">
        <f>46.2251 * CHOOSE(CONTROL!$C$15, $D$11, 100%, $F$11)</f>
        <v>46.225099999999998</v>
      </c>
      <c r="C1003" s="8">
        <f>46.2355 * CHOOSE(CONTROL!$C$15, $D$11, 100%, $F$11)</f>
        <v>46.235500000000002</v>
      </c>
      <c r="D1003" s="8">
        <f>46.2155 * CHOOSE( CONTROL!$C$15, $D$11, 100%, $F$11)</f>
        <v>46.215499999999999</v>
      </c>
      <c r="E1003" s="12">
        <f>46.2217 * CHOOSE( CONTROL!$C$15, $D$11, 100%, $F$11)</f>
        <v>46.221699999999998</v>
      </c>
      <c r="F1003" s="4">
        <f>46.884 * CHOOSE(CONTROL!$C$15, $D$11, 100%, $F$11)</f>
        <v>46.884</v>
      </c>
      <c r="G1003" s="8">
        <f>45.4582 * CHOOSE( CONTROL!$C$15, $D$11, 100%, $F$11)</f>
        <v>45.458199999999998</v>
      </c>
      <c r="H1003" s="4">
        <f>46.3542 * CHOOSE(CONTROL!$C$15, $D$11, 100%, $F$11)</f>
        <v>46.354199999999999</v>
      </c>
      <c r="I1003" s="8">
        <f>44.7597 * CHOOSE(CONTROL!$C$15, $D$11, 100%, $F$11)</f>
        <v>44.759700000000002</v>
      </c>
      <c r="J1003" s="4">
        <f>44.6792 * CHOOSE(CONTROL!$C$15, $D$11, 100%, $F$11)</f>
        <v>44.679200000000002</v>
      </c>
      <c r="K1003" s="4"/>
      <c r="L1003" s="9">
        <v>27.3993</v>
      </c>
      <c r="M1003" s="9">
        <v>12.063700000000001</v>
      </c>
      <c r="N1003" s="9">
        <v>4.9444999999999997</v>
      </c>
      <c r="O1003" s="9">
        <v>0.37459999999999999</v>
      </c>
      <c r="P1003" s="9">
        <v>1.2939000000000001</v>
      </c>
      <c r="Q1003" s="9">
        <v>19.688099999999999</v>
      </c>
      <c r="R1003" s="9"/>
      <c r="S1003" s="11"/>
    </row>
    <row r="1004" spans="1:19" ht="15.75">
      <c r="A1004" s="13">
        <v>72440</v>
      </c>
      <c r="B1004" s="8">
        <f>46.9273 * CHOOSE(CONTROL!$C$15, $D$11, 100%, $F$11)</f>
        <v>46.927300000000002</v>
      </c>
      <c r="C1004" s="8">
        <f>46.9376 * CHOOSE(CONTROL!$C$15, $D$11, 100%, $F$11)</f>
        <v>46.937600000000003</v>
      </c>
      <c r="D1004" s="8">
        <f>46.9292 * CHOOSE( CONTROL!$C$15, $D$11, 100%, $F$11)</f>
        <v>46.929200000000002</v>
      </c>
      <c r="E1004" s="12">
        <f>46.9308 * CHOOSE( CONTROL!$C$15, $D$11, 100%, $F$11)</f>
        <v>46.930799999999998</v>
      </c>
      <c r="F1004" s="4">
        <f>47.5764 * CHOOSE(CONTROL!$C$15, $D$11, 100%, $F$11)</f>
        <v>47.5764</v>
      </c>
      <c r="G1004" s="8">
        <f>46.1338 * CHOOSE( CONTROL!$C$15, $D$11, 100%, $F$11)</f>
        <v>46.133800000000001</v>
      </c>
      <c r="H1004" s="4">
        <f>47.0353 * CHOOSE(CONTROL!$C$15, $D$11, 100%, $F$11)</f>
        <v>47.035299999999999</v>
      </c>
      <c r="I1004" s="8">
        <f>45.4359 * CHOOSE(CONTROL!$C$15, $D$11, 100%, $F$11)</f>
        <v>45.435899999999997</v>
      </c>
      <c r="J1004" s="4">
        <f>45.3583 * CHOOSE(CONTROL!$C$15, $D$11, 100%, $F$11)</f>
        <v>45.3583</v>
      </c>
      <c r="K1004" s="4"/>
      <c r="L1004" s="9">
        <v>27.988800000000001</v>
      </c>
      <c r="M1004" s="9">
        <v>11.6745</v>
      </c>
      <c r="N1004" s="9">
        <v>4.7850000000000001</v>
      </c>
      <c r="O1004" s="9">
        <v>0.36249999999999999</v>
      </c>
      <c r="P1004" s="9">
        <v>1.1798</v>
      </c>
      <c r="Q1004" s="9">
        <v>19.053000000000001</v>
      </c>
      <c r="R1004" s="9"/>
      <c r="S1004" s="11"/>
    </row>
    <row r="1005" spans="1:19" ht="15.75">
      <c r="A1005" s="13">
        <v>72471</v>
      </c>
      <c r="B1005" s="8">
        <f>CHOOSE( CONTROL!$C$32, 48.1815, 48.177) * CHOOSE(CONTROL!$C$15, $D$11, 100%, $F$11)</f>
        <v>48.1815</v>
      </c>
      <c r="C1005" s="8">
        <f>CHOOSE( CONTROL!$C$32, 48.1919, 48.1873) * CHOOSE(CONTROL!$C$15, $D$11, 100%, $F$11)</f>
        <v>48.191899999999997</v>
      </c>
      <c r="D1005" s="8">
        <f>CHOOSE( CONTROL!$C$32, 48.2016, 48.197) * CHOOSE( CONTROL!$C$15, $D$11, 100%, $F$11)</f>
        <v>48.201599999999999</v>
      </c>
      <c r="E1005" s="12">
        <f>CHOOSE( CONTROL!$C$32, 48.1965, 48.1919) * CHOOSE( CONTROL!$C$15, $D$11, 100%, $F$11)</f>
        <v>48.1965</v>
      </c>
      <c r="F1005" s="4">
        <f>CHOOSE( CONTROL!$C$32, 48.8698, 48.8653) * CHOOSE(CONTROL!$C$15, $D$11, 100%, $F$11)</f>
        <v>48.869799999999998</v>
      </c>
      <c r="G1005" s="8">
        <f>CHOOSE( CONTROL!$C$32, 47.3728, 47.3684) * CHOOSE( CONTROL!$C$15, $D$11, 100%, $F$11)</f>
        <v>47.372799999999998</v>
      </c>
      <c r="H1005" s="4">
        <f>CHOOSE( CONTROL!$C$32, 48.3079, 48.3034) * CHOOSE(CONTROL!$C$15, $D$11, 100%, $F$11)</f>
        <v>48.307899999999997</v>
      </c>
      <c r="I1005" s="8">
        <f>CHOOSE( CONTROL!$C$32, 46.6554, 46.651) * CHOOSE(CONTROL!$C$15, $D$11, 100%, $F$11)</f>
        <v>46.6554</v>
      </c>
      <c r="J1005" s="4">
        <f>CHOOSE( CONTROL!$C$32, 46.5713, 46.5669) * CHOOSE(CONTROL!$C$15, $D$11, 100%, $F$11)</f>
        <v>46.571300000000001</v>
      </c>
      <c r="K1005" s="4"/>
      <c r="L1005" s="9">
        <v>29.520499999999998</v>
      </c>
      <c r="M1005" s="9">
        <v>12.063700000000001</v>
      </c>
      <c r="N1005" s="9">
        <v>4.9444999999999997</v>
      </c>
      <c r="O1005" s="9">
        <v>0.37459999999999999</v>
      </c>
      <c r="P1005" s="9">
        <v>1.2192000000000001</v>
      </c>
      <c r="Q1005" s="9">
        <v>19.688099999999999</v>
      </c>
      <c r="R1005" s="9"/>
      <c r="S1005" s="11"/>
    </row>
    <row r="1006" spans="1:19" ht="15.75">
      <c r="A1006" s="13">
        <v>72501</v>
      </c>
      <c r="B1006" s="8">
        <f>CHOOSE( CONTROL!$C$32, 47.4074, 47.4029) * CHOOSE(CONTROL!$C$15, $D$11, 100%, $F$11)</f>
        <v>47.407400000000003</v>
      </c>
      <c r="C1006" s="8">
        <f>CHOOSE( CONTROL!$C$32, 47.4177, 47.4132) * CHOOSE(CONTROL!$C$15, $D$11, 100%, $F$11)</f>
        <v>47.417700000000004</v>
      </c>
      <c r="D1006" s="8">
        <f>CHOOSE( CONTROL!$C$32, 47.428, 47.4235) * CHOOSE( CONTROL!$C$15, $D$11, 100%, $F$11)</f>
        <v>47.427999999999997</v>
      </c>
      <c r="E1006" s="12">
        <f>CHOOSE( CONTROL!$C$32, 47.4227, 47.4182) * CHOOSE( CONTROL!$C$15, $D$11, 100%, $F$11)</f>
        <v>47.422699999999999</v>
      </c>
      <c r="F1006" s="4">
        <f>CHOOSE( CONTROL!$C$32, 48.0957, 48.0911) * CHOOSE(CONTROL!$C$15, $D$11, 100%, $F$11)</f>
        <v>48.095700000000001</v>
      </c>
      <c r="G1006" s="8">
        <f>CHOOSE( CONTROL!$C$32, 46.6121, 46.6077) * CHOOSE( CONTROL!$C$15, $D$11, 100%, $F$11)</f>
        <v>46.612099999999998</v>
      </c>
      <c r="H1006" s="4">
        <f>CHOOSE( CONTROL!$C$32, 47.5462, 47.5418) * CHOOSE(CONTROL!$C$15, $D$11, 100%, $F$11)</f>
        <v>47.546199999999999</v>
      </c>
      <c r="I1006" s="8">
        <f>CHOOSE( CONTROL!$C$32, 45.9093, 45.9049) * CHOOSE(CONTROL!$C$15, $D$11, 100%, $F$11)</f>
        <v>45.909300000000002</v>
      </c>
      <c r="J1006" s="4">
        <f>CHOOSE( CONTROL!$C$32, 45.8226, 45.8182) * CHOOSE(CONTROL!$C$15, $D$11, 100%, $F$11)</f>
        <v>45.822600000000001</v>
      </c>
      <c r="K1006" s="4"/>
      <c r="L1006" s="9">
        <v>28.568200000000001</v>
      </c>
      <c r="M1006" s="9">
        <v>11.6745</v>
      </c>
      <c r="N1006" s="9">
        <v>4.7850000000000001</v>
      </c>
      <c r="O1006" s="9">
        <v>0.36249999999999999</v>
      </c>
      <c r="P1006" s="9">
        <v>1.1798</v>
      </c>
      <c r="Q1006" s="9">
        <v>19.053000000000001</v>
      </c>
      <c r="R1006" s="9"/>
      <c r="S1006" s="11"/>
    </row>
    <row r="1007" spans="1:19" ht="15.75">
      <c r="A1007" s="13">
        <v>72532</v>
      </c>
      <c r="B1007" s="8">
        <f>CHOOSE( CONTROL!$C$32, 49.446, 49.4415) * CHOOSE(CONTROL!$C$15, $D$11, 100%, $F$11)</f>
        <v>49.445999999999998</v>
      </c>
      <c r="C1007" s="8">
        <f>CHOOSE( CONTROL!$C$32, 49.4564, 49.4518) * CHOOSE(CONTROL!$C$15, $D$11, 100%, $F$11)</f>
        <v>49.456400000000002</v>
      </c>
      <c r="D1007" s="8">
        <f>CHOOSE( CONTROL!$C$32, 49.4672, 49.4627) * CHOOSE( CONTROL!$C$15, $D$11, 100%, $F$11)</f>
        <v>49.467199999999998</v>
      </c>
      <c r="E1007" s="12">
        <f>CHOOSE( CONTROL!$C$32, 49.4617, 49.4572) * CHOOSE( CONTROL!$C$15, $D$11, 100%, $F$11)</f>
        <v>49.4617</v>
      </c>
      <c r="F1007" s="4">
        <f>CHOOSE( CONTROL!$C$32, 50.1343, 50.1298) * CHOOSE(CONTROL!$C$15, $D$11, 100%, $F$11)</f>
        <v>50.134300000000003</v>
      </c>
      <c r="G1007" s="8">
        <f>CHOOSE( CONTROL!$C$32, 48.6186, 48.6142) * CHOOSE( CONTROL!$C$15, $D$11, 100%, $F$11)</f>
        <v>48.618600000000001</v>
      </c>
      <c r="H1007" s="4">
        <f>CHOOSE( CONTROL!$C$32, 49.5519, 49.5474) * CHOOSE(CONTROL!$C$15, $D$11, 100%, $F$11)</f>
        <v>49.551900000000003</v>
      </c>
      <c r="I1007" s="8">
        <f>CHOOSE( CONTROL!$C$32, 47.8845, 47.8802) * CHOOSE(CONTROL!$C$15, $D$11, 100%, $F$11)</f>
        <v>47.884500000000003</v>
      </c>
      <c r="J1007" s="4">
        <f>CHOOSE( CONTROL!$C$32, 47.7941, 47.7898) * CHOOSE(CONTROL!$C$15, $D$11, 100%, $F$11)</f>
        <v>47.7941</v>
      </c>
      <c r="K1007" s="4"/>
      <c r="L1007" s="9">
        <v>29.520499999999998</v>
      </c>
      <c r="M1007" s="9">
        <v>12.063700000000001</v>
      </c>
      <c r="N1007" s="9">
        <v>4.9444999999999997</v>
      </c>
      <c r="O1007" s="9">
        <v>0.37459999999999999</v>
      </c>
      <c r="P1007" s="9">
        <v>1.2192000000000001</v>
      </c>
      <c r="Q1007" s="9">
        <v>19.688099999999999</v>
      </c>
      <c r="R1007" s="9"/>
      <c r="S1007" s="11"/>
    </row>
    <row r="1008" spans="1:19" ht="15.75">
      <c r="A1008" s="13">
        <v>72563</v>
      </c>
      <c r="B1008" s="8">
        <f>CHOOSE( CONTROL!$C$32, 45.6315, 45.627) * CHOOSE(CONTROL!$C$15, $D$11, 100%, $F$11)</f>
        <v>45.631500000000003</v>
      </c>
      <c r="C1008" s="8">
        <f>CHOOSE( CONTROL!$C$32, 45.6418, 45.6373) * CHOOSE(CONTROL!$C$15, $D$11, 100%, $F$11)</f>
        <v>45.641800000000003</v>
      </c>
      <c r="D1008" s="8">
        <f>CHOOSE( CONTROL!$C$32, 45.653, 45.6485) * CHOOSE( CONTROL!$C$15, $D$11, 100%, $F$11)</f>
        <v>45.652999999999999</v>
      </c>
      <c r="E1008" s="12">
        <f>CHOOSE( CONTROL!$C$32, 45.6474, 45.6429) * CHOOSE( CONTROL!$C$15, $D$11, 100%, $F$11)</f>
        <v>45.647399999999998</v>
      </c>
      <c r="F1008" s="4">
        <f>CHOOSE( CONTROL!$C$32, 46.3198, 46.3153) * CHOOSE(CONTROL!$C$15, $D$11, 100%, $F$11)</f>
        <v>46.319800000000001</v>
      </c>
      <c r="G1008" s="8">
        <f>CHOOSE( CONTROL!$C$32, 44.8663, 44.8618) * CHOOSE( CONTROL!$C$15, $D$11, 100%, $F$11)</f>
        <v>44.866300000000003</v>
      </c>
      <c r="H1008" s="4">
        <f>CHOOSE( CONTROL!$C$32, 45.7991, 45.7946) * CHOOSE(CONTROL!$C$15, $D$11, 100%, $F$11)</f>
        <v>45.799100000000003</v>
      </c>
      <c r="I1008" s="8">
        <f>CHOOSE( CONTROL!$C$32, 44.1951, 44.1907) * CHOOSE(CONTROL!$C$15, $D$11, 100%, $F$11)</f>
        <v>44.195099999999996</v>
      </c>
      <c r="J1008" s="4">
        <f>CHOOSE( CONTROL!$C$32, 44.1051, 44.1007) * CHOOSE(CONTROL!$C$15, $D$11, 100%, $F$11)</f>
        <v>44.1051</v>
      </c>
      <c r="K1008" s="4"/>
      <c r="L1008" s="9">
        <v>29.520499999999998</v>
      </c>
      <c r="M1008" s="9">
        <v>12.063700000000001</v>
      </c>
      <c r="N1008" s="9">
        <v>4.9444999999999997</v>
      </c>
      <c r="O1008" s="9">
        <v>0.37459999999999999</v>
      </c>
      <c r="P1008" s="9">
        <v>1.2192000000000001</v>
      </c>
      <c r="Q1008" s="9">
        <v>19.688099999999999</v>
      </c>
      <c r="R1008" s="9"/>
      <c r="S1008" s="11"/>
    </row>
    <row r="1009" spans="1:19" ht="15.75">
      <c r="A1009" s="13">
        <v>72593</v>
      </c>
      <c r="B1009" s="8">
        <f>CHOOSE( CONTROL!$C$32, 44.6763, 44.6718) * CHOOSE(CONTROL!$C$15, $D$11, 100%, $F$11)</f>
        <v>44.676299999999998</v>
      </c>
      <c r="C1009" s="8">
        <f>CHOOSE( CONTROL!$C$32, 44.6866, 44.6821) * CHOOSE(CONTROL!$C$15, $D$11, 100%, $F$11)</f>
        <v>44.686599999999999</v>
      </c>
      <c r="D1009" s="8">
        <f>CHOOSE( CONTROL!$C$32, 44.6979, 44.6934) * CHOOSE( CONTROL!$C$15, $D$11, 100%, $F$11)</f>
        <v>44.697899999999997</v>
      </c>
      <c r="E1009" s="12">
        <f>CHOOSE( CONTROL!$C$32, 44.6922, 44.6877) * CHOOSE( CONTROL!$C$15, $D$11, 100%, $F$11)</f>
        <v>44.6922</v>
      </c>
      <c r="F1009" s="4">
        <f>CHOOSE( CONTROL!$C$32, 45.3646, 45.3601) * CHOOSE(CONTROL!$C$15, $D$11, 100%, $F$11)</f>
        <v>45.364600000000003</v>
      </c>
      <c r="G1009" s="8">
        <f>CHOOSE( CONTROL!$C$32, 43.9266, 43.9222) * CHOOSE( CONTROL!$C$15, $D$11, 100%, $F$11)</f>
        <v>43.926600000000001</v>
      </c>
      <c r="H1009" s="4">
        <f>CHOOSE( CONTROL!$C$32, 44.8593, 44.8549) * CHOOSE(CONTROL!$C$15, $D$11, 100%, $F$11)</f>
        <v>44.859299999999998</v>
      </c>
      <c r="I1009" s="8">
        <f>CHOOSE( CONTROL!$C$32, 43.2713, 43.2669) * CHOOSE(CONTROL!$C$15, $D$11, 100%, $F$11)</f>
        <v>43.271299999999997</v>
      </c>
      <c r="J1009" s="4">
        <f>CHOOSE( CONTROL!$C$32, 43.1813, 43.177) * CHOOSE(CONTROL!$C$15, $D$11, 100%, $F$11)</f>
        <v>43.1813</v>
      </c>
      <c r="K1009" s="4"/>
      <c r="L1009" s="9">
        <v>28.568200000000001</v>
      </c>
      <c r="M1009" s="9">
        <v>11.6745</v>
      </c>
      <c r="N1009" s="9">
        <v>4.7850000000000001</v>
      </c>
      <c r="O1009" s="9">
        <v>0.36249999999999999</v>
      </c>
      <c r="P1009" s="9">
        <v>1.1798</v>
      </c>
      <c r="Q1009" s="9">
        <v>19.053000000000001</v>
      </c>
      <c r="R1009" s="9"/>
      <c r="S1009" s="11"/>
    </row>
    <row r="1010" spans="1:19" ht="15.75">
      <c r="A1010" s="13">
        <v>72624</v>
      </c>
      <c r="B1010" s="8">
        <f>46.6551 * CHOOSE(CONTROL!$C$15, $D$11, 100%, $F$11)</f>
        <v>46.655099999999997</v>
      </c>
      <c r="C1010" s="8">
        <f>46.6654 * CHOOSE(CONTROL!$C$15, $D$11, 100%, $F$11)</f>
        <v>46.665399999999998</v>
      </c>
      <c r="D1010" s="8">
        <f>46.6779 * CHOOSE( CONTROL!$C$15, $D$11, 100%, $F$11)</f>
        <v>46.677900000000001</v>
      </c>
      <c r="E1010" s="12">
        <f>46.6727 * CHOOSE( CONTROL!$C$15, $D$11, 100%, $F$11)</f>
        <v>46.672699999999999</v>
      </c>
      <c r="F1010" s="4">
        <f>47.3434 * CHOOSE(CONTROL!$C$15, $D$11, 100%, $F$11)</f>
        <v>47.343400000000003</v>
      </c>
      <c r="G1010" s="8">
        <f>45.8729 * CHOOSE( CONTROL!$C$15, $D$11, 100%, $F$11)</f>
        <v>45.872900000000001</v>
      </c>
      <c r="H1010" s="4">
        <f>46.8061 * CHOOSE(CONTROL!$C$15, $D$11, 100%, $F$11)</f>
        <v>46.806100000000001</v>
      </c>
      <c r="I1010" s="8">
        <f>45.1872 * CHOOSE(CONTROL!$C$15, $D$11, 100%, $F$11)</f>
        <v>45.187199999999997</v>
      </c>
      <c r="J1010" s="4">
        <f>45.095 * CHOOSE(CONTROL!$C$15, $D$11, 100%, $F$11)</f>
        <v>45.094999999999999</v>
      </c>
      <c r="K1010" s="4"/>
      <c r="L1010" s="9">
        <v>28.921800000000001</v>
      </c>
      <c r="M1010" s="9">
        <v>12.063700000000001</v>
      </c>
      <c r="N1010" s="9">
        <v>4.9444999999999997</v>
      </c>
      <c r="O1010" s="9">
        <v>0.37459999999999999</v>
      </c>
      <c r="P1010" s="9">
        <v>1.2192000000000001</v>
      </c>
      <c r="Q1010" s="9">
        <v>19.688099999999999</v>
      </c>
      <c r="R1010" s="9"/>
      <c r="S1010" s="11"/>
    </row>
    <row r="1011" spans="1:19" ht="15.75">
      <c r="A1011" s="13">
        <v>72654</v>
      </c>
      <c r="B1011" s="8">
        <f>50.3159 * CHOOSE(CONTROL!$C$15, $D$11, 100%, $F$11)</f>
        <v>50.315899999999999</v>
      </c>
      <c r="C1011" s="8">
        <f>50.3263 * CHOOSE(CONTROL!$C$15, $D$11, 100%, $F$11)</f>
        <v>50.326300000000003</v>
      </c>
      <c r="D1011" s="8">
        <f>50.3123 * CHOOSE( CONTROL!$C$15, $D$11, 100%, $F$11)</f>
        <v>50.3123</v>
      </c>
      <c r="E1011" s="12">
        <f>50.3163 * CHOOSE( CONTROL!$C$15, $D$11, 100%, $F$11)</f>
        <v>50.316299999999998</v>
      </c>
      <c r="F1011" s="4">
        <f>50.9702 * CHOOSE(CONTROL!$C$15, $D$11, 100%, $F$11)</f>
        <v>50.970199999999998</v>
      </c>
      <c r="G1011" s="8">
        <f>49.4917 * CHOOSE( CONTROL!$C$15, $D$11, 100%, $F$11)</f>
        <v>49.491700000000002</v>
      </c>
      <c r="H1011" s="4">
        <f>50.3742 * CHOOSE(CONTROL!$C$15, $D$11, 100%, $F$11)</f>
        <v>50.374200000000002</v>
      </c>
      <c r="I1011" s="8">
        <f>48.7624 * CHOOSE(CONTROL!$C$15, $D$11, 100%, $F$11)</f>
        <v>48.7624</v>
      </c>
      <c r="J1011" s="4">
        <f>48.6354 * CHOOSE(CONTROL!$C$15, $D$11, 100%, $F$11)</f>
        <v>48.635399999999997</v>
      </c>
      <c r="K1011" s="4"/>
      <c r="L1011" s="9">
        <v>26.515499999999999</v>
      </c>
      <c r="M1011" s="9">
        <v>11.6745</v>
      </c>
      <c r="N1011" s="9">
        <v>4.7850000000000001</v>
      </c>
      <c r="O1011" s="9">
        <v>0.36249999999999999</v>
      </c>
      <c r="P1011" s="9">
        <v>1.2522</v>
      </c>
      <c r="Q1011" s="9">
        <v>19.053000000000001</v>
      </c>
      <c r="R1011" s="9"/>
      <c r="S1011" s="11"/>
    </row>
    <row r="1012" spans="1:19" ht="15.75">
      <c r="A1012" s="13">
        <v>72685</v>
      </c>
      <c r="B1012" s="8">
        <f>50.2245 * CHOOSE(CONTROL!$C$15, $D$11, 100%, $F$11)</f>
        <v>50.224499999999999</v>
      </c>
      <c r="C1012" s="8">
        <f>50.2348 * CHOOSE(CONTROL!$C$15, $D$11, 100%, $F$11)</f>
        <v>50.2348</v>
      </c>
      <c r="D1012" s="8">
        <f>50.2233 * CHOOSE( CONTROL!$C$15, $D$11, 100%, $F$11)</f>
        <v>50.223300000000002</v>
      </c>
      <c r="E1012" s="12">
        <f>50.2264 * CHOOSE( CONTROL!$C$15, $D$11, 100%, $F$11)</f>
        <v>50.226399999999998</v>
      </c>
      <c r="F1012" s="4">
        <f>50.8787 * CHOOSE(CONTROL!$C$15, $D$11, 100%, $F$11)</f>
        <v>50.878700000000002</v>
      </c>
      <c r="G1012" s="8">
        <f>49.4035 * CHOOSE( CONTROL!$C$15, $D$11, 100%, $F$11)</f>
        <v>49.403500000000001</v>
      </c>
      <c r="H1012" s="4">
        <f>50.2843 * CHOOSE(CONTROL!$C$15, $D$11, 100%, $F$11)</f>
        <v>50.284300000000002</v>
      </c>
      <c r="I1012" s="8">
        <f>48.6818 * CHOOSE(CONTROL!$C$15, $D$11, 100%, $F$11)</f>
        <v>48.681800000000003</v>
      </c>
      <c r="J1012" s="4">
        <f>48.547 * CHOOSE(CONTROL!$C$15, $D$11, 100%, $F$11)</f>
        <v>48.546999999999997</v>
      </c>
      <c r="K1012" s="4"/>
      <c r="L1012" s="9">
        <v>27.3993</v>
      </c>
      <c r="M1012" s="9">
        <v>12.063700000000001</v>
      </c>
      <c r="N1012" s="9">
        <v>4.9444999999999997</v>
      </c>
      <c r="O1012" s="9">
        <v>0.37459999999999999</v>
      </c>
      <c r="P1012" s="9">
        <v>1.2939000000000001</v>
      </c>
      <c r="Q1012" s="9">
        <v>19.688099999999999</v>
      </c>
      <c r="R1012" s="9"/>
      <c r="S1012" s="11"/>
    </row>
    <row r="1013" spans="1:19" ht="15.75">
      <c r="A1013" s="13">
        <v>72716</v>
      </c>
      <c r="B1013" s="8">
        <f>52.143 * CHOOSE(CONTROL!$C$15, $D$11, 100%, $F$11)</f>
        <v>52.143000000000001</v>
      </c>
      <c r="C1013" s="8">
        <f>52.1533 * CHOOSE(CONTROL!$C$15, $D$11, 100%, $F$11)</f>
        <v>52.153300000000002</v>
      </c>
      <c r="D1013" s="8">
        <f>52.1518 * CHOOSE( CONTROL!$C$15, $D$11, 100%, $F$11)</f>
        <v>52.151800000000001</v>
      </c>
      <c r="E1013" s="12">
        <f>52.1513 * CHOOSE( CONTROL!$C$15, $D$11, 100%, $F$11)</f>
        <v>52.151299999999999</v>
      </c>
      <c r="F1013" s="4">
        <f>52.8257 * CHOOSE(CONTROL!$C$15, $D$11, 100%, $F$11)</f>
        <v>52.825699999999998</v>
      </c>
      <c r="G1013" s="8">
        <f>51.3013 * CHOOSE( CONTROL!$C$15, $D$11, 100%, $F$11)</f>
        <v>51.301299999999998</v>
      </c>
      <c r="H1013" s="4">
        <f>52.1998 * CHOOSE(CONTROL!$C$15, $D$11, 100%, $F$11)</f>
        <v>52.199800000000003</v>
      </c>
      <c r="I1013" s="8">
        <f>50.5362 * CHOOSE(CONTROL!$C$15, $D$11, 100%, $F$11)</f>
        <v>50.536200000000001</v>
      </c>
      <c r="J1013" s="4">
        <f>50.4024 * CHOOSE(CONTROL!$C$15, $D$11, 100%, $F$11)</f>
        <v>50.4024</v>
      </c>
      <c r="K1013" s="4"/>
      <c r="L1013" s="9">
        <v>27.3993</v>
      </c>
      <c r="M1013" s="9">
        <v>12.063700000000001</v>
      </c>
      <c r="N1013" s="9">
        <v>4.9444999999999997</v>
      </c>
      <c r="O1013" s="9">
        <v>0.37459999999999999</v>
      </c>
      <c r="P1013" s="9">
        <v>1.2939000000000001</v>
      </c>
      <c r="Q1013" s="9">
        <v>19.688099999999999</v>
      </c>
      <c r="R1013" s="9"/>
      <c r="S1013" s="11"/>
    </row>
    <row r="1014" spans="1:19" ht="15.75">
      <c r="A1014" s="13">
        <v>72744</v>
      </c>
      <c r="B1014" s="8">
        <f>48.7737 * CHOOSE(CONTROL!$C$15, $D$11, 100%, $F$11)</f>
        <v>48.773699999999998</v>
      </c>
      <c r="C1014" s="8">
        <f>48.7841 * CHOOSE(CONTROL!$C$15, $D$11, 100%, $F$11)</f>
        <v>48.784100000000002</v>
      </c>
      <c r="D1014" s="8">
        <f>48.7846 * CHOOSE( CONTROL!$C$15, $D$11, 100%, $F$11)</f>
        <v>48.784599999999998</v>
      </c>
      <c r="E1014" s="12">
        <f>48.7833 * CHOOSE( CONTROL!$C$15, $D$11, 100%, $F$11)</f>
        <v>48.783299999999997</v>
      </c>
      <c r="F1014" s="4">
        <f>49.4487 * CHOOSE(CONTROL!$C$15, $D$11, 100%, $F$11)</f>
        <v>49.448700000000002</v>
      </c>
      <c r="G1014" s="8">
        <f>47.9863 * CHOOSE( CONTROL!$C$15, $D$11, 100%, $F$11)</f>
        <v>47.9863</v>
      </c>
      <c r="H1014" s="4">
        <f>48.8773 * CHOOSE(CONTROL!$C$15, $D$11, 100%, $F$11)</f>
        <v>48.877299999999998</v>
      </c>
      <c r="I1014" s="8">
        <f>47.2652 * CHOOSE(CONTROL!$C$15, $D$11, 100%, $F$11)</f>
        <v>47.2652</v>
      </c>
      <c r="J1014" s="4">
        <f>47.144 * CHOOSE(CONTROL!$C$15, $D$11, 100%, $F$11)</f>
        <v>47.143999999999998</v>
      </c>
      <c r="K1014" s="4"/>
      <c r="L1014" s="9">
        <v>24.747800000000002</v>
      </c>
      <c r="M1014" s="9">
        <v>10.8962</v>
      </c>
      <c r="N1014" s="9">
        <v>4.4660000000000002</v>
      </c>
      <c r="O1014" s="9">
        <v>0.33829999999999999</v>
      </c>
      <c r="P1014" s="9">
        <v>1.1687000000000001</v>
      </c>
      <c r="Q1014" s="9">
        <v>17.782800000000002</v>
      </c>
      <c r="R1014" s="9"/>
      <c r="S1014" s="11"/>
    </row>
    <row r="1015" spans="1:19" ht="15.75">
      <c r="A1015" s="13">
        <v>72775</v>
      </c>
      <c r="B1015" s="8">
        <f>47.736 * CHOOSE(CONTROL!$C$15, $D$11, 100%, $F$11)</f>
        <v>47.735999999999997</v>
      </c>
      <c r="C1015" s="8">
        <f>47.7463 * CHOOSE(CONTROL!$C$15, $D$11, 100%, $F$11)</f>
        <v>47.746299999999998</v>
      </c>
      <c r="D1015" s="8">
        <f>47.7264 * CHOOSE( CONTROL!$C$15, $D$11, 100%, $F$11)</f>
        <v>47.726399999999998</v>
      </c>
      <c r="E1015" s="12">
        <f>47.7326 * CHOOSE( CONTROL!$C$15, $D$11, 100%, $F$11)</f>
        <v>47.732599999999998</v>
      </c>
      <c r="F1015" s="4">
        <f>48.3949 * CHOOSE(CONTROL!$C$15, $D$11, 100%, $F$11)</f>
        <v>48.3949</v>
      </c>
      <c r="G1015" s="8">
        <f>46.9447 * CHOOSE( CONTROL!$C$15, $D$11, 100%, $F$11)</f>
        <v>46.944699999999997</v>
      </c>
      <c r="H1015" s="4">
        <f>47.8406 * CHOOSE(CONTROL!$C$15, $D$11, 100%, $F$11)</f>
        <v>47.840600000000002</v>
      </c>
      <c r="I1015" s="8">
        <f>46.2216 * CHOOSE(CONTROL!$C$15, $D$11, 100%, $F$11)</f>
        <v>46.221600000000002</v>
      </c>
      <c r="J1015" s="4">
        <f>46.1404 * CHOOSE(CONTROL!$C$15, $D$11, 100%, $F$11)</f>
        <v>46.1404</v>
      </c>
      <c r="K1015" s="4"/>
      <c r="L1015" s="9">
        <v>27.3993</v>
      </c>
      <c r="M1015" s="9">
        <v>12.063700000000001</v>
      </c>
      <c r="N1015" s="9">
        <v>4.9444999999999997</v>
      </c>
      <c r="O1015" s="9">
        <v>0.37459999999999999</v>
      </c>
      <c r="P1015" s="9">
        <v>1.2939000000000001</v>
      </c>
      <c r="Q1015" s="9">
        <v>19.688099999999999</v>
      </c>
      <c r="R1015" s="9"/>
      <c r="S1015" s="11"/>
    </row>
    <row r="1016" spans="1:19" ht="15.75">
      <c r="A1016" s="13">
        <v>72805</v>
      </c>
      <c r="B1016" s="8">
        <f>48.4611 * CHOOSE(CONTROL!$C$15, $D$11, 100%, $F$11)</f>
        <v>48.461100000000002</v>
      </c>
      <c r="C1016" s="8">
        <f>48.4715 * CHOOSE(CONTROL!$C$15, $D$11, 100%, $F$11)</f>
        <v>48.471499999999999</v>
      </c>
      <c r="D1016" s="8">
        <f>48.463 * CHOOSE( CONTROL!$C$15, $D$11, 100%, $F$11)</f>
        <v>48.463000000000001</v>
      </c>
      <c r="E1016" s="12">
        <f>48.4646 * CHOOSE( CONTROL!$C$15, $D$11, 100%, $F$11)</f>
        <v>48.464599999999997</v>
      </c>
      <c r="F1016" s="4">
        <f>49.1102 * CHOOSE(CONTROL!$C$15, $D$11, 100%, $F$11)</f>
        <v>49.110199999999999</v>
      </c>
      <c r="G1016" s="8">
        <f>47.6429 * CHOOSE( CONTROL!$C$15, $D$11, 100%, $F$11)</f>
        <v>47.642899999999997</v>
      </c>
      <c r="H1016" s="4">
        <f>48.5444 * CHOOSE(CONTROL!$C$15, $D$11, 100%, $F$11)</f>
        <v>48.544400000000003</v>
      </c>
      <c r="I1016" s="8">
        <f>46.9201 * CHOOSE(CONTROL!$C$15, $D$11, 100%, $F$11)</f>
        <v>46.920099999999998</v>
      </c>
      <c r="J1016" s="4">
        <f>46.8417 * CHOOSE(CONTROL!$C$15, $D$11, 100%, $F$11)</f>
        <v>46.841700000000003</v>
      </c>
      <c r="K1016" s="4"/>
      <c r="L1016" s="9">
        <v>27.988800000000001</v>
      </c>
      <c r="M1016" s="9">
        <v>11.6745</v>
      </c>
      <c r="N1016" s="9">
        <v>4.7850000000000001</v>
      </c>
      <c r="O1016" s="9">
        <v>0.36249999999999999</v>
      </c>
      <c r="P1016" s="9">
        <v>1.1798</v>
      </c>
      <c r="Q1016" s="9">
        <v>19.053000000000001</v>
      </c>
      <c r="R1016" s="9"/>
      <c r="S1016" s="11"/>
    </row>
    <row r="1017" spans="1:19" ht="15.75">
      <c r="A1017" s="13">
        <v>72836</v>
      </c>
      <c r="B1017" s="8">
        <f>CHOOSE( CONTROL!$C$32, 49.7563, 49.7517) * CHOOSE(CONTROL!$C$15, $D$11, 100%, $F$11)</f>
        <v>49.756300000000003</v>
      </c>
      <c r="C1017" s="8">
        <f>CHOOSE( CONTROL!$C$32, 49.7666, 49.7621) * CHOOSE(CONTROL!$C$15, $D$11, 100%, $F$11)</f>
        <v>49.766599999999997</v>
      </c>
      <c r="D1017" s="8">
        <f>CHOOSE( CONTROL!$C$32, 49.7763, 49.7718) * CHOOSE( CONTROL!$C$15, $D$11, 100%, $F$11)</f>
        <v>49.776299999999999</v>
      </c>
      <c r="E1017" s="12">
        <f>CHOOSE( CONTROL!$C$32, 49.7712, 49.7667) * CHOOSE( CONTROL!$C$15, $D$11, 100%, $F$11)</f>
        <v>49.7712</v>
      </c>
      <c r="F1017" s="4">
        <f>CHOOSE( CONTROL!$C$32, 50.4445, 50.44) * CHOOSE(CONTROL!$C$15, $D$11, 100%, $F$11)</f>
        <v>50.444499999999998</v>
      </c>
      <c r="G1017" s="8">
        <f>CHOOSE( CONTROL!$C$32, 48.9221, 48.9176) * CHOOSE( CONTROL!$C$15, $D$11, 100%, $F$11)</f>
        <v>48.9221</v>
      </c>
      <c r="H1017" s="4">
        <f>CHOOSE( CONTROL!$C$32, 49.8571, 49.8527) * CHOOSE(CONTROL!$C$15, $D$11, 100%, $F$11)</f>
        <v>49.857100000000003</v>
      </c>
      <c r="I1017" s="8">
        <f>CHOOSE( CONTROL!$C$32, 48.179, 48.1747) * CHOOSE(CONTROL!$C$15, $D$11, 100%, $F$11)</f>
        <v>48.179000000000002</v>
      </c>
      <c r="J1017" s="4">
        <f>CHOOSE( CONTROL!$C$32, 48.0942, 48.0898) * CHOOSE(CONTROL!$C$15, $D$11, 100%, $F$11)</f>
        <v>48.094200000000001</v>
      </c>
      <c r="K1017" s="4"/>
      <c r="L1017" s="9">
        <v>29.520499999999998</v>
      </c>
      <c r="M1017" s="9">
        <v>12.063700000000001</v>
      </c>
      <c r="N1017" s="9">
        <v>4.9444999999999997</v>
      </c>
      <c r="O1017" s="9">
        <v>0.37459999999999999</v>
      </c>
      <c r="P1017" s="9">
        <v>1.2192000000000001</v>
      </c>
      <c r="Q1017" s="9">
        <v>19.688099999999999</v>
      </c>
      <c r="R1017" s="9"/>
      <c r="S1017" s="11"/>
    </row>
    <row r="1018" spans="1:19" ht="15.75">
      <c r="A1018" s="13">
        <v>72866</v>
      </c>
      <c r="B1018" s="8">
        <f>CHOOSE( CONTROL!$C$32, 48.9568, 48.9523) * CHOOSE(CONTROL!$C$15, $D$11, 100%, $F$11)</f>
        <v>48.956800000000001</v>
      </c>
      <c r="C1018" s="8">
        <f>CHOOSE( CONTROL!$C$32, 48.9671, 48.9626) * CHOOSE(CONTROL!$C$15, $D$11, 100%, $F$11)</f>
        <v>48.967100000000002</v>
      </c>
      <c r="D1018" s="8">
        <f>CHOOSE( CONTROL!$C$32, 48.9774, 48.9729) * CHOOSE( CONTROL!$C$15, $D$11, 100%, $F$11)</f>
        <v>48.977400000000003</v>
      </c>
      <c r="E1018" s="12">
        <f>CHOOSE( CONTROL!$C$32, 48.9721, 48.9676) * CHOOSE( CONTROL!$C$15, $D$11, 100%, $F$11)</f>
        <v>48.972099999999998</v>
      </c>
      <c r="F1018" s="4">
        <f>CHOOSE( CONTROL!$C$32, 49.6451, 49.6405) * CHOOSE(CONTROL!$C$15, $D$11, 100%, $F$11)</f>
        <v>49.645099999999999</v>
      </c>
      <c r="G1018" s="8">
        <f>CHOOSE( CONTROL!$C$32, 48.1365, 48.132) * CHOOSE( CONTROL!$C$15, $D$11, 100%, $F$11)</f>
        <v>48.136499999999998</v>
      </c>
      <c r="H1018" s="4">
        <f>CHOOSE( CONTROL!$C$32, 49.0706, 49.0661) * CHOOSE(CONTROL!$C$15, $D$11, 100%, $F$11)</f>
        <v>49.070599999999999</v>
      </c>
      <c r="I1018" s="8">
        <f>CHOOSE( CONTROL!$C$32, 47.4085, 47.4041) * CHOOSE(CONTROL!$C$15, $D$11, 100%, $F$11)</f>
        <v>47.408499999999997</v>
      </c>
      <c r="J1018" s="4">
        <f>CHOOSE( CONTROL!$C$32, 47.321, 47.3166) * CHOOSE(CONTROL!$C$15, $D$11, 100%, $F$11)</f>
        <v>47.320999999999998</v>
      </c>
      <c r="K1018" s="4"/>
      <c r="L1018" s="9">
        <v>28.568200000000001</v>
      </c>
      <c r="M1018" s="9">
        <v>11.6745</v>
      </c>
      <c r="N1018" s="9">
        <v>4.7850000000000001</v>
      </c>
      <c r="O1018" s="9">
        <v>0.36249999999999999</v>
      </c>
      <c r="P1018" s="9">
        <v>1.1798</v>
      </c>
      <c r="Q1018" s="9">
        <v>19.053000000000001</v>
      </c>
      <c r="R1018" s="9"/>
      <c r="S1018" s="11"/>
    </row>
    <row r="1019" spans="1:19" ht="15.75">
      <c r="A1019" s="13">
        <v>72897</v>
      </c>
      <c r="B1019" s="8">
        <f>CHOOSE( CONTROL!$C$32, 51.0621, 51.0576) * CHOOSE(CONTROL!$C$15, $D$11, 100%, $F$11)</f>
        <v>51.062100000000001</v>
      </c>
      <c r="C1019" s="8">
        <f>CHOOSE( CONTROL!$C$32, 51.0724, 51.0679) * CHOOSE(CONTROL!$C$15, $D$11, 100%, $F$11)</f>
        <v>51.072400000000002</v>
      </c>
      <c r="D1019" s="8">
        <f>CHOOSE( CONTROL!$C$32, 51.0833, 51.0788) * CHOOSE( CONTROL!$C$15, $D$11, 100%, $F$11)</f>
        <v>51.083300000000001</v>
      </c>
      <c r="E1019" s="12">
        <f>CHOOSE( CONTROL!$C$32, 51.0778, 51.0733) * CHOOSE( CONTROL!$C$15, $D$11, 100%, $F$11)</f>
        <v>51.077800000000003</v>
      </c>
      <c r="F1019" s="4">
        <f>CHOOSE( CONTROL!$C$32, 51.7504, 51.7459) * CHOOSE(CONTROL!$C$15, $D$11, 100%, $F$11)</f>
        <v>51.750399999999999</v>
      </c>
      <c r="G1019" s="8">
        <f>CHOOSE( CONTROL!$C$32, 50.2086, 50.2041) * CHOOSE( CONTROL!$C$15, $D$11, 100%, $F$11)</f>
        <v>50.208599999999997</v>
      </c>
      <c r="H1019" s="4">
        <f>CHOOSE( CONTROL!$C$32, 51.1418, 51.1374) * CHOOSE(CONTROL!$C$15, $D$11, 100%, $F$11)</f>
        <v>51.141800000000003</v>
      </c>
      <c r="I1019" s="8">
        <f>CHOOSE( CONTROL!$C$32, 49.4482, 49.4439) * CHOOSE(CONTROL!$C$15, $D$11, 100%, $F$11)</f>
        <v>49.4482</v>
      </c>
      <c r="J1019" s="4">
        <f>CHOOSE( CONTROL!$C$32, 49.357, 49.3527) * CHOOSE(CONTROL!$C$15, $D$11, 100%, $F$11)</f>
        <v>49.356999999999999</v>
      </c>
      <c r="K1019" s="4"/>
      <c r="L1019" s="9">
        <v>29.520499999999998</v>
      </c>
      <c r="M1019" s="9">
        <v>12.063700000000001</v>
      </c>
      <c r="N1019" s="9">
        <v>4.9444999999999997</v>
      </c>
      <c r="O1019" s="9">
        <v>0.37459999999999999</v>
      </c>
      <c r="P1019" s="9">
        <v>1.2192000000000001</v>
      </c>
      <c r="Q1019" s="9">
        <v>19.688099999999999</v>
      </c>
      <c r="R1019" s="9"/>
      <c r="S1019" s="11"/>
    </row>
    <row r="1020" spans="1:19" ht="15.75">
      <c r="A1020" s="13">
        <v>72928</v>
      </c>
      <c r="B1020" s="8">
        <f>CHOOSE( CONTROL!$C$32, 47.1228, 47.1183) * CHOOSE(CONTROL!$C$15, $D$11, 100%, $F$11)</f>
        <v>47.122799999999998</v>
      </c>
      <c r="C1020" s="8">
        <f>CHOOSE( CONTROL!$C$32, 47.1332, 47.1286) * CHOOSE(CONTROL!$C$15, $D$11, 100%, $F$11)</f>
        <v>47.133200000000002</v>
      </c>
      <c r="D1020" s="8">
        <f>CHOOSE( CONTROL!$C$32, 47.1443, 47.1398) * CHOOSE( CONTROL!$C$15, $D$11, 100%, $F$11)</f>
        <v>47.144300000000001</v>
      </c>
      <c r="E1020" s="12">
        <f>CHOOSE( CONTROL!$C$32, 47.1387, 47.1342) * CHOOSE( CONTROL!$C$15, $D$11, 100%, $F$11)</f>
        <v>47.1387</v>
      </c>
      <c r="F1020" s="4">
        <f>CHOOSE( CONTROL!$C$32, 47.8111, 47.8066) * CHOOSE(CONTROL!$C$15, $D$11, 100%, $F$11)</f>
        <v>47.811100000000003</v>
      </c>
      <c r="G1020" s="8">
        <f>CHOOSE( CONTROL!$C$32, 46.3335, 46.329) * CHOOSE( CONTROL!$C$15, $D$11, 100%, $F$11)</f>
        <v>46.333500000000001</v>
      </c>
      <c r="H1020" s="4">
        <f>CHOOSE( CONTROL!$C$32, 47.2663, 47.2618) * CHOOSE(CONTROL!$C$15, $D$11, 100%, $F$11)</f>
        <v>47.266300000000001</v>
      </c>
      <c r="I1020" s="8">
        <f>CHOOSE( CONTROL!$C$32, 45.6381, 45.6337) * CHOOSE(CONTROL!$C$15, $D$11, 100%, $F$11)</f>
        <v>45.638100000000001</v>
      </c>
      <c r="J1020" s="4">
        <f>CHOOSE( CONTROL!$C$32, 45.5474, 45.543) * CHOOSE(CONTROL!$C$15, $D$11, 100%, $F$11)</f>
        <v>45.547400000000003</v>
      </c>
      <c r="K1020" s="4"/>
      <c r="L1020" s="9">
        <v>29.520499999999998</v>
      </c>
      <c r="M1020" s="9">
        <v>12.063700000000001</v>
      </c>
      <c r="N1020" s="9">
        <v>4.9444999999999997</v>
      </c>
      <c r="O1020" s="9">
        <v>0.37459999999999999</v>
      </c>
      <c r="P1020" s="9">
        <v>1.2192000000000001</v>
      </c>
      <c r="Q1020" s="9">
        <v>19.688099999999999</v>
      </c>
      <c r="R1020" s="9"/>
      <c r="S1020" s="11"/>
    </row>
    <row r="1021" spans="1:19" ht="15.75">
      <c r="A1021" s="13">
        <v>72958</v>
      </c>
      <c r="B1021" s="8">
        <f>CHOOSE( CONTROL!$C$32, 46.1364, 46.1319) * CHOOSE(CONTROL!$C$15, $D$11, 100%, $F$11)</f>
        <v>46.136400000000002</v>
      </c>
      <c r="C1021" s="8">
        <f>CHOOSE( CONTROL!$C$32, 46.1467, 46.1422) * CHOOSE(CONTROL!$C$15, $D$11, 100%, $F$11)</f>
        <v>46.146700000000003</v>
      </c>
      <c r="D1021" s="8">
        <f>CHOOSE( CONTROL!$C$32, 46.158, 46.1535) * CHOOSE( CONTROL!$C$15, $D$11, 100%, $F$11)</f>
        <v>46.158000000000001</v>
      </c>
      <c r="E1021" s="12">
        <f>CHOOSE( CONTROL!$C$32, 46.1523, 46.1478) * CHOOSE( CONTROL!$C$15, $D$11, 100%, $F$11)</f>
        <v>46.152299999999997</v>
      </c>
      <c r="F1021" s="4">
        <f>CHOOSE( CONTROL!$C$32, 46.8247, 46.8202) * CHOOSE(CONTROL!$C$15, $D$11, 100%, $F$11)</f>
        <v>46.8247</v>
      </c>
      <c r="G1021" s="8">
        <f>CHOOSE( CONTROL!$C$32, 45.3631, 45.3587) * CHOOSE( CONTROL!$C$15, $D$11, 100%, $F$11)</f>
        <v>45.363100000000003</v>
      </c>
      <c r="H1021" s="4">
        <f>CHOOSE( CONTROL!$C$32, 46.2958, 46.2913) * CHOOSE(CONTROL!$C$15, $D$11, 100%, $F$11)</f>
        <v>46.2958</v>
      </c>
      <c r="I1021" s="8">
        <f>CHOOSE( CONTROL!$C$32, 44.684, 44.6797) * CHOOSE(CONTROL!$C$15, $D$11, 100%, $F$11)</f>
        <v>44.683999999999997</v>
      </c>
      <c r="J1021" s="4">
        <f>CHOOSE( CONTROL!$C$32, 44.5934, 44.589) * CHOOSE(CONTROL!$C$15, $D$11, 100%, $F$11)</f>
        <v>44.593400000000003</v>
      </c>
      <c r="K1021" s="4"/>
      <c r="L1021" s="9">
        <v>28.568200000000001</v>
      </c>
      <c r="M1021" s="9">
        <v>11.6745</v>
      </c>
      <c r="N1021" s="9">
        <v>4.7850000000000001</v>
      </c>
      <c r="O1021" s="9">
        <v>0.36249999999999999</v>
      </c>
      <c r="P1021" s="9">
        <v>1.1798</v>
      </c>
      <c r="Q1021" s="9">
        <v>19.053000000000001</v>
      </c>
      <c r="R1021" s="9"/>
      <c r="S1021" s="11"/>
    </row>
    <row r="1022" spans="1:19" ht="15.75">
      <c r="A1022" s="13">
        <v>72989</v>
      </c>
      <c r="B1022" s="8">
        <f>48.18 * CHOOSE(CONTROL!$C$15, $D$11, 100%, $F$11)</f>
        <v>48.18</v>
      </c>
      <c r="C1022" s="8">
        <f>48.1904 * CHOOSE(CONTROL!$C$15, $D$11, 100%, $F$11)</f>
        <v>48.190399999999997</v>
      </c>
      <c r="D1022" s="8">
        <f>48.2028 * CHOOSE( CONTROL!$C$15, $D$11, 100%, $F$11)</f>
        <v>48.202800000000003</v>
      </c>
      <c r="E1022" s="12">
        <f>48.1976 * CHOOSE( CONTROL!$C$15, $D$11, 100%, $F$11)</f>
        <v>48.197600000000001</v>
      </c>
      <c r="F1022" s="4">
        <f>48.8683 * CHOOSE(CONTROL!$C$15, $D$11, 100%, $F$11)</f>
        <v>48.868299999999998</v>
      </c>
      <c r="G1022" s="8">
        <f>47.3732 * CHOOSE( CONTROL!$C$15, $D$11, 100%, $F$11)</f>
        <v>47.373199999999997</v>
      </c>
      <c r="H1022" s="4">
        <f>48.3064 * CHOOSE(CONTROL!$C$15, $D$11, 100%, $F$11)</f>
        <v>48.306399999999996</v>
      </c>
      <c r="I1022" s="8">
        <f>46.6627 * CHOOSE(CONTROL!$C$15, $D$11, 100%, $F$11)</f>
        <v>46.662700000000001</v>
      </c>
      <c r="J1022" s="4">
        <f>46.5698 * CHOOSE(CONTROL!$C$15, $D$11, 100%, $F$11)</f>
        <v>46.569800000000001</v>
      </c>
      <c r="K1022" s="4"/>
      <c r="L1022" s="9">
        <v>28.921800000000001</v>
      </c>
      <c r="M1022" s="9">
        <v>12.063700000000001</v>
      </c>
      <c r="N1022" s="9">
        <v>4.9444999999999997</v>
      </c>
      <c r="O1022" s="9">
        <v>0.37459999999999999</v>
      </c>
      <c r="P1022" s="9">
        <v>1.2192000000000001</v>
      </c>
      <c r="Q1022" s="9">
        <v>19.688099999999999</v>
      </c>
      <c r="R1022" s="9"/>
      <c r="S1022" s="11"/>
    </row>
    <row r="1023" spans="1:19" ht="15.75">
      <c r="A1023" s="13">
        <v>73019</v>
      </c>
      <c r="B1023" s="8">
        <f>51.9606 * CHOOSE(CONTROL!$C$15, $D$11, 100%, $F$11)</f>
        <v>51.960599999999999</v>
      </c>
      <c r="C1023" s="8">
        <f>51.9709 * CHOOSE(CONTROL!$C$15, $D$11, 100%, $F$11)</f>
        <v>51.9709</v>
      </c>
      <c r="D1023" s="8">
        <f>51.957 * CHOOSE( CONTROL!$C$15, $D$11, 100%, $F$11)</f>
        <v>51.957000000000001</v>
      </c>
      <c r="E1023" s="12">
        <f>51.961 * CHOOSE( CONTROL!$C$15, $D$11, 100%, $F$11)</f>
        <v>51.960999999999999</v>
      </c>
      <c r="F1023" s="4">
        <f>52.6148 * CHOOSE(CONTROL!$C$15, $D$11, 100%, $F$11)</f>
        <v>52.614800000000002</v>
      </c>
      <c r="G1023" s="8">
        <f>51.1098 * CHOOSE( CONTROL!$C$15, $D$11, 100%, $F$11)</f>
        <v>51.1098</v>
      </c>
      <c r="H1023" s="4">
        <f>51.9923 * CHOOSE(CONTROL!$C$15, $D$11, 100%, $F$11)</f>
        <v>51.9923</v>
      </c>
      <c r="I1023" s="8">
        <f>50.3537 * CHOOSE(CONTROL!$C$15, $D$11, 100%, $F$11)</f>
        <v>50.353700000000003</v>
      </c>
      <c r="J1023" s="4">
        <f>50.226 * CHOOSE(CONTROL!$C$15, $D$11, 100%, $F$11)</f>
        <v>50.225999999999999</v>
      </c>
      <c r="K1023" s="4"/>
      <c r="L1023" s="9">
        <v>26.515499999999999</v>
      </c>
      <c r="M1023" s="9">
        <v>11.6745</v>
      </c>
      <c r="N1023" s="9">
        <v>4.7850000000000001</v>
      </c>
      <c r="O1023" s="9">
        <v>0.36249999999999999</v>
      </c>
      <c r="P1023" s="9">
        <v>1.2522</v>
      </c>
      <c r="Q1023" s="9">
        <v>19.053000000000001</v>
      </c>
      <c r="R1023" s="9"/>
      <c r="S1023" s="11"/>
    </row>
    <row r="1024" spans="1:19" ht="15.75">
      <c r="A1024" s="13">
        <v>73050</v>
      </c>
      <c r="B1024" s="8">
        <f>51.8661 * CHOOSE(CONTROL!$C$15, $D$11, 100%, $F$11)</f>
        <v>51.866100000000003</v>
      </c>
      <c r="C1024" s="8">
        <f>51.8765 * CHOOSE(CONTROL!$C$15, $D$11, 100%, $F$11)</f>
        <v>51.8765</v>
      </c>
      <c r="D1024" s="8">
        <f>51.865 * CHOOSE( CONTROL!$C$15, $D$11, 100%, $F$11)</f>
        <v>51.865000000000002</v>
      </c>
      <c r="E1024" s="12">
        <f>51.8681 * CHOOSE( CONTROL!$C$15, $D$11, 100%, $F$11)</f>
        <v>51.868099999999998</v>
      </c>
      <c r="F1024" s="4">
        <f>52.5204 * CHOOSE(CONTROL!$C$15, $D$11, 100%, $F$11)</f>
        <v>52.520400000000002</v>
      </c>
      <c r="G1024" s="8">
        <f>51.0187 * CHOOSE( CONTROL!$C$15, $D$11, 100%, $F$11)</f>
        <v>51.018700000000003</v>
      </c>
      <c r="H1024" s="4">
        <f>51.8994 * CHOOSE(CONTROL!$C$15, $D$11, 100%, $F$11)</f>
        <v>51.8994</v>
      </c>
      <c r="I1024" s="8">
        <f>50.2703 * CHOOSE(CONTROL!$C$15, $D$11, 100%, $F$11)</f>
        <v>50.270299999999999</v>
      </c>
      <c r="J1024" s="4">
        <f>50.1346 * CHOOSE(CONTROL!$C$15, $D$11, 100%, $F$11)</f>
        <v>50.134599999999999</v>
      </c>
      <c r="K1024" s="4"/>
      <c r="L1024" s="9">
        <v>27.3993</v>
      </c>
      <c r="M1024" s="9">
        <v>12.063700000000001</v>
      </c>
      <c r="N1024" s="9">
        <v>4.9444999999999997</v>
      </c>
      <c r="O1024" s="9">
        <v>0.37459999999999999</v>
      </c>
      <c r="P1024" s="9">
        <v>1.2939000000000001</v>
      </c>
      <c r="Q1024" s="9">
        <v>19.688099999999999</v>
      </c>
      <c r="R1024" s="9"/>
      <c r="S1024" s="11"/>
    </row>
    <row r="1025" spans="1:19" ht="15.75">
      <c r="A1025" s="13">
        <v>73081</v>
      </c>
      <c r="B1025" s="8">
        <f>53.8474 * CHOOSE(CONTROL!$C$15, $D$11, 100%, $F$11)</f>
        <v>53.8474</v>
      </c>
      <c r="C1025" s="8">
        <f>53.8578 * CHOOSE(CONTROL!$C$15, $D$11, 100%, $F$11)</f>
        <v>53.857799999999997</v>
      </c>
      <c r="D1025" s="8">
        <f>53.8562 * CHOOSE( CONTROL!$C$15, $D$11, 100%, $F$11)</f>
        <v>53.856200000000001</v>
      </c>
      <c r="E1025" s="12">
        <f>53.8557 * CHOOSE( CONTROL!$C$15, $D$11, 100%, $F$11)</f>
        <v>53.855699999999999</v>
      </c>
      <c r="F1025" s="4">
        <f>54.5301 * CHOOSE(CONTROL!$C$15, $D$11, 100%, $F$11)</f>
        <v>54.530099999999997</v>
      </c>
      <c r="G1025" s="8">
        <f>52.9782 * CHOOSE( CONTROL!$C$15, $D$11, 100%, $F$11)</f>
        <v>52.978200000000001</v>
      </c>
      <c r="H1025" s="4">
        <f>53.8766 * CHOOSE(CONTROL!$C$15, $D$11, 100%, $F$11)</f>
        <v>53.876600000000003</v>
      </c>
      <c r="I1025" s="8">
        <f>52.1854 * CHOOSE(CONTROL!$C$15, $D$11, 100%, $F$11)</f>
        <v>52.185400000000001</v>
      </c>
      <c r="J1025" s="4">
        <f>52.0507 * CHOOSE(CONTROL!$C$15, $D$11, 100%, $F$11)</f>
        <v>52.050699999999999</v>
      </c>
      <c r="K1025" s="4"/>
      <c r="L1025" s="9">
        <v>27.3993</v>
      </c>
      <c r="M1025" s="9">
        <v>12.063700000000001</v>
      </c>
      <c r="N1025" s="9">
        <v>4.9444999999999997</v>
      </c>
      <c r="O1025" s="9">
        <v>0.37459999999999999</v>
      </c>
      <c r="P1025" s="9">
        <v>1.2939000000000001</v>
      </c>
      <c r="Q1025" s="9">
        <v>19.688099999999999</v>
      </c>
      <c r="R1025" s="9"/>
      <c r="S1025" s="11"/>
    </row>
    <row r="1026" spans="1:19" ht="15.75">
      <c r="A1026" s="13">
        <v>73109</v>
      </c>
      <c r="B1026" s="8">
        <f>50.368 * CHOOSE(CONTROL!$C$15, $D$11, 100%, $F$11)</f>
        <v>50.368000000000002</v>
      </c>
      <c r="C1026" s="8">
        <f>50.3783 * CHOOSE(CONTROL!$C$15, $D$11, 100%, $F$11)</f>
        <v>50.378300000000003</v>
      </c>
      <c r="D1026" s="8">
        <f>50.3788 * CHOOSE( CONTROL!$C$15, $D$11, 100%, $F$11)</f>
        <v>50.378799999999998</v>
      </c>
      <c r="E1026" s="12">
        <f>50.3775 * CHOOSE( CONTROL!$C$15, $D$11, 100%, $F$11)</f>
        <v>50.377499999999998</v>
      </c>
      <c r="F1026" s="4">
        <f>51.0429 * CHOOSE(CONTROL!$C$15, $D$11, 100%, $F$11)</f>
        <v>51.042900000000003</v>
      </c>
      <c r="G1026" s="8">
        <f>49.5548 * CHOOSE( CONTROL!$C$15, $D$11, 100%, $F$11)</f>
        <v>49.5548</v>
      </c>
      <c r="H1026" s="4">
        <f>50.4458 * CHOOSE(CONTROL!$C$15, $D$11, 100%, $F$11)</f>
        <v>50.445799999999998</v>
      </c>
      <c r="I1026" s="8">
        <f>48.8078 * CHOOSE(CONTROL!$C$15, $D$11, 100%, $F$11)</f>
        <v>48.8078</v>
      </c>
      <c r="J1026" s="4">
        <f>48.6857 * CHOOSE(CONTROL!$C$15, $D$11, 100%, $F$11)</f>
        <v>48.685699999999997</v>
      </c>
      <c r="K1026" s="4"/>
      <c r="L1026" s="9">
        <v>24.747800000000002</v>
      </c>
      <c r="M1026" s="9">
        <v>10.8962</v>
      </c>
      <c r="N1026" s="9">
        <v>4.4660000000000002</v>
      </c>
      <c r="O1026" s="9">
        <v>0.33829999999999999</v>
      </c>
      <c r="P1026" s="9">
        <v>1.1687000000000001</v>
      </c>
      <c r="Q1026" s="9">
        <v>17.782800000000002</v>
      </c>
      <c r="R1026" s="9"/>
      <c r="S1026" s="11"/>
    </row>
    <row r="1027" spans="1:19" ht="15.75">
      <c r="A1027" s="13">
        <v>73140</v>
      </c>
      <c r="B1027" s="8">
        <f>49.2963 * CHOOSE(CONTROL!$C$15, $D$11, 100%, $F$11)</f>
        <v>49.296300000000002</v>
      </c>
      <c r="C1027" s="8">
        <f>49.3066 * CHOOSE(CONTROL!$C$15, $D$11, 100%, $F$11)</f>
        <v>49.306600000000003</v>
      </c>
      <c r="D1027" s="8">
        <f>49.2867 * CHOOSE( CONTROL!$C$15, $D$11, 100%, $F$11)</f>
        <v>49.286700000000003</v>
      </c>
      <c r="E1027" s="12">
        <f>49.2929 * CHOOSE( CONTROL!$C$15, $D$11, 100%, $F$11)</f>
        <v>49.292900000000003</v>
      </c>
      <c r="F1027" s="4">
        <f>49.9552 * CHOOSE(CONTROL!$C$15, $D$11, 100%, $F$11)</f>
        <v>49.955199999999998</v>
      </c>
      <c r="G1027" s="8">
        <f>48.4797 * CHOOSE( CONTROL!$C$15, $D$11, 100%, $F$11)</f>
        <v>48.479700000000001</v>
      </c>
      <c r="H1027" s="4">
        <f>49.3757 * CHOOSE(CONTROL!$C$15, $D$11, 100%, $F$11)</f>
        <v>49.375700000000002</v>
      </c>
      <c r="I1027" s="8">
        <f>47.7313 * CHOOSE(CONTROL!$C$15, $D$11, 100%, $F$11)</f>
        <v>47.731299999999997</v>
      </c>
      <c r="J1027" s="4">
        <f>47.6493 * CHOOSE(CONTROL!$C$15, $D$11, 100%, $F$11)</f>
        <v>47.649299999999997</v>
      </c>
      <c r="K1027" s="4"/>
      <c r="L1027" s="9">
        <v>27.3993</v>
      </c>
      <c r="M1027" s="9">
        <v>12.063700000000001</v>
      </c>
      <c r="N1027" s="9">
        <v>4.9444999999999997</v>
      </c>
      <c r="O1027" s="9">
        <v>0.37459999999999999</v>
      </c>
      <c r="P1027" s="9">
        <v>1.2939000000000001</v>
      </c>
      <c r="Q1027" s="9">
        <v>19.688099999999999</v>
      </c>
      <c r="R1027" s="9"/>
      <c r="S1027" s="11"/>
    </row>
    <row r="1028" spans="1:19" ht="15.75">
      <c r="A1028" s="13">
        <v>73170</v>
      </c>
      <c r="B1028" s="8">
        <f>50.0452 * CHOOSE(CONTROL!$C$15, $D$11, 100%, $F$11)</f>
        <v>50.045200000000001</v>
      </c>
      <c r="C1028" s="8">
        <f>50.0555 * CHOOSE(CONTROL!$C$15, $D$11, 100%, $F$11)</f>
        <v>50.055500000000002</v>
      </c>
      <c r="D1028" s="8">
        <f>50.047 * CHOOSE( CONTROL!$C$15, $D$11, 100%, $F$11)</f>
        <v>50.046999999999997</v>
      </c>
      <c r="E1028" s="12">
        <f>50.0486 * CHOOSE( CONTROL!$C$15, $D$11, 100%, $F$11)</f>
        <v>50.0486</v>
      </c>
      <c r="F1028" s="4">
        <f>50.6942 * CHOOSE(CONTROL!$C$15, $D$11, 100%, $F$11)</f>
        <v>50.694200000000002</v>
      </c>
      <c r="G1028" s="8">
        <f>49.2013 * CHOOSE( CONTROL!$C$15, $D$11, 100%, $F$11)</f>
        <v>49.201300000000003</v>
      </c>
      <c r="H1028" s="4">
        <f>50.1028 * CHOOSE(CONTROL!$C$15, $D$11, 100%, $F$11)</f>
        <v>50.102800000000002</v>
      </c>
      <c r="I1028" s="8">
        <f>48.4527 * CHOOSE(CONTROL!$C$15, $D$11, 100%, $F$11)</f>
        <v>48.4527</v>
      </c>
      <c r="J1028" s="4">
        <f>48.3736 * CHOOSE(CONTROL!$C$15, $D$11, 100%, $F$11)</f>
        <v>48.373600000000003</v>
      </c>
      <c r="K1028" s="4"/>
      <c r="L1028" s="9">
        <v>27.988800000000001</v>
      </c>
      <c r="M1028" s="9">
        <v>11.6745</v>
      </c>
      <c r="N1028" s="9">
        <v>4.7850000000000001</v>
      </c>
      <c r="O1028" s="9">
        <v>0.36249999999999999</v>
      </c>
      <c r="P1028" s="9">
        <v>1.1798</v>
      </c>
      <c r="Q1028" s="9">
        <v>19.053000000000001</v>
      </c>
      <c r="R1028" s="9"/>
      <c r="S1028" s="11"/>
    </row>
    <row r="1029" spans="1:19" ht="15.75">
      <c r="A1029" s="13">
        <v>73201</v>
      </c>
      <c r="B1029" s="8">
        <f>CHOOSE( CONTROL!$C$32, 51.3825, 51.3779) * CHOOSE(CONTROL!$C$15, $D$11, 100%, $F$11)</f>
        <v>51.3825</v>
      </c>
      <c r="C1029" s="8">
        <f>CHOOSE( CONTROL!$C$32, 51.3928, 51.3883) * CHOOSE(CONTROL!$C$15, $D$11, 100%, $F$11)</f>
        <v>51.392800000000001</v>
      </c>
      <c r="D1029" s="8">
        <f>CHOOSE( CONTROL!$C$32, 51.4025, 51.398) * CHOOSE( CONTROL!$C$15, $D$11, 100%, $F$11)</f>
        <v>51.402500000000003</v>
      </c>
      <c r="E1029" s="12">
        <f>CHOOSE( CONTROL!$C$32, 51.3974, 51.3929) * CHOOSE( CONTROL!$C$15, $D$11, 100%, $F$11)</f>
        <v>51.397399999999998</v>
      </c>
      <c r="F1029" s="4">
        <f>CHOOSE( CONTROL!$C$32, 52.0708, 52.0662) * CHOOSE(CONTROL!$C$15, $D$11, 100%, $F$11)</f>
        <v>52.070799999999998</v>
      </c>
      <c r="G1029" s="8">
        <f>CHOOSE( CONTROL!$C$32, 50.522, 50.5175) * CHOOSE( CONTROL!$C$15, $D$11, 100%, $F$11)</f>
        <v>50.521999999999998</v>
      </c>
      <c r="H1029" s="4">
        <f>CHOOSE( CONTROL!$C$32, 51.457, 51.4526) * CHOOSE(CONTROL!$C$15, $D$11, 100%, $F$11)</f>
        <v>51.457000000000001</v>
      </c>
      <c r="I1029" s="8">
        <f>CHOOSE( CONTROL!$C$32, 49.7525, 49.7482) * CHOOSE(CONTROL!$C$15, $D$11, 100%, $F$11)</f>
        <v>49.752499999999998</v>
      </c>
      <c r="J1029" s="4">
        <f>CHOOSE( CONTROL!$C$32, 49.6669, 49.6625) * CHOOSE(CONTROL!$C$15, $D$11, 100%, $F$11)</f>
        <v>49.666899999999998</v>
      </c>
      <c r="K1029" s="4"/>
      <c r="L1029" s="9">
        <v>29.520499999999998</v>
      </c>
      <c r="M1029" s="9">
        <v>12.063700000000001</v>
      </c>
      <c r="N1029" s="9">
        <v>4.9444999999999997</v>
      </c>
      <c r="O1029" s="9">
        <v>0.37459999999999999</v>
      </c>
      <c r="P1029" s="9">
        <v>1.2192000000000001</v>
      </c>
      <c r="Q1029" s="9">
        <v>19.688099999999999</v>
      </c>
      <c r="R1029" s="9"/>
      <c r="S1029" s="11"/>
    </row>
    <row r="1030" spans="1:19" ht="15.75">
      <c r="A1030" s="13">
        <v>73231</v>
      </c>
      <c r="B1030" s="8">
        <f>CHOOSE( CONTROL!$C$32, 50.5568, 50.5523) * CHOOSE(CONTROL!$C$15, $D$11, 100%, $F$11)</f>
        <v>50.556800000000003</v>
      </c>
      <c r="C1030" s="8">
        <f>CHOOSE( CONTROL!$C$32, 50.5672, 50.5627) * CHOOSE(CONTROL!$C$15, $D$11, 100%, $F$11)</f>
        <v>50.5672</v>
      </c>
      <c r="D1030" s="8">
        <f>CHOOSE( CONTROL!$C$32, 50.5775, 50.573) * CHOOSE( CONTROL!$C$15, $D$11, 100%, $F$11)</f>
        <v>50.577500000000001</v>
      </c>
      <c r="E1030" s="12">
        <f>CHOOSE( CONTROL!$C$32, 50.5722, 50.5677) * CHOOSE( CONTROL!$C$15, $D$11, 100%, $F$11)</f>
        <v>50.572200000000002</v>
      </c>
      <c r="F1030" s="4">
        <f>CHOOSE( CONTROL!$C$32, 51.2451, 51.2406) * CHOOSE(CONTROL!$C$15, $D$11, 100%, $F$11)</f>
        <v>51.245100000000001</v>
      </c>
      <c r="G1030" s="8">
        <f>CHOOSE( CONTROL!$C$32, 49.7107, 49.7062) * CHOOSE( CONTROL!$C$15, $D$11, 100%, $F$11)</f>
        <v>49.710700000000003</v>
      </c>
      <c r="H1030" s="4">
        <f>CHOOSE( CONTROL!$C$32, 50.6448, 50.6403) * CHOOSE(CONTROL!$C$15, $D$11, 100%, $F$11)</f>
        <v>50.644799999999996</v>
      </c>
      <c r="I1030" s="8">
        <f>CHOOSE( CONTROL!$C$32, 48.9567, 48.9523) * CHOOSE(CONTROL!$C$15, $D$11, 100%, $F$11)</f>
        <v>48.956699999999998</v>
      </c>
      <c r="J1030" s="4">
        <f>CHOOSE( CONTROL!$C$32, 48.8684, 48.864) * CHOOSE(CONTROL!$C$15, $D$11, 100%, $F$11)</f>
        <v>48.868400000000001</v>
      </c>
      <c r="K1030" s="4"/>
      <c r="L1030" s="9">
        <v>28.568200000000001</v>
      </c>
      <c r="M1030" s="9">
        <v>11.6745</v>
      </c>
      <c r="N1030" s="9">
        <v>4.7850000000000001</v>
      </c>
      <c r="O1030" s="9">
        <v>0.36249999999999999</v>
      </c>
      <c r="P1030" s="9">
        <v>1.1798</v>
      </c>
      <c r="Q1030" s="9">
        <v>19.053000000000001</v>
      </c>
      <c r="R1030" s="9"/>
      <c r="S1030" s="11"/>
    </row>
    <row r="1031" spans="1:19" ht="15.75">
      <c r="A1031" s="13">
        <v>73262</v>
      </c>
      <c r="B1031" s="8">
        <f>CHOOSE( CONTROL!$C$32, 52.731, 52.7265) * CHOOSE(CONTROL!$C$15, $D$11, 100%, $F$11)</f>
        <v>52.731000000000002</v>
      </c>
      <c r="C1031" s="8">
        <f>CHOOSE( CONTROL!$C$32, 52.7414, 52.7368) * CHOOSE(CONTROL!$C$15, $D$11, 100%, $F$11)</f>
        <v>52.741399999999999</v>
      </c>
      <c r="D1031" s="8">
        <f>CHOOSE( CONTROL!$C$32, 52.7522, 52.7477) * CHOOSE( CONTROL!$C$15, $D$11, 100%, $F$11)</f>
        <v>52.752200000000002</v>
      </c>
      <c r="E1031" s="12">
        <f>CHOOSE( CONTROL!$C$32, 52.7467, 52.7422) * CHOOSE( CONTROL!$C$15, $D$11, 100%, $F$11)</f>
        <v>52.746699999999997</v>
      </c>
      <c r="F1031" s="4">
        <f>CHOOSE( CONTROL!$C$32, 53.4193, 53.4148) * CHOOSE(CONTROL!$C$15, $D$11, 100%, $F$11)</f>
        <v>53.4193</v>
      </c>
      <c r="G1031" s="8">
        <f>CHOOSE( CONTROL!$C$32, 51.8505, 51.8461) * CHOOSE( CONTROL!$C$15, $D$11, 100%, $F$11)</f>
        <v>51.850499999999997</v>
      </c>
      <c r="H1031" s="4">
        <f>CHOOSE( CONTROL!$C$32, 52.7838, 52.7793) * CHOOSE(CONTROL!$C$15, $D$11, 100%, $F$11)</f>
        <v>52.783799999999999</v>
      </c>
      <c r="I1031" s="8">
        <f>CHOOSE( CONTROL!$C$32, 51.063, 51.0587) * CHOOSE(CONTROL!$C$15, $D$11, 100%, $F$11)</f>
        <v>51.063000000000002</v>
      </c>
      <c r="J1031" s="4">
        <f>CHOOSE( CONTROL!$C$32, 50.9711, 50.9667) * CHOOSE(CONTROL!$C$15, $D$11, 100%, $F$11)</f>
        <v>50.9711</v>
      </c>
      <c r="K1031" s="4"/>
      <c r="L1031" s="9">
        <v>29.520499999999998</v>
      </c>
      <c r="M1031" s="9">
        <v>12.063700000000001</v>
      </c>
      <c r="N1031" s="9">
        <v>4.9444999999999997</v>
      </c>
      <c r="O1031" s="9">
        <v>0.37459999999999999</v>
      </c>
      <c r="P1031" s="9">
        <v>1.2192000000000001</v>
      </c>
      <c r="Q1031" s="9">
        <v>19.688099999999999</v>
      </c>
      <c r="R1031" s="9"/>
      <c r="S1031" s="11"/>
    </row>
    <row r="1032" spans="1:19" ht="15.75">
      <c r="A1032" s="13">
        <v>73293</v>
      </c>
      <c r="B1032" s="8">
        <f>CHOOSE( CONTROL!$C$32, 48.6629, 48.6584) * CHOOSE(CONTROL!$C$15, $D$11, 100%, $F$11)</f>
        <v>48.6629</v>
      </c>
      <c r="C1032" s="8">
        <f>CHOOSE( CONTROL!$C$32, 48.6733, 48.6687) * CHOOSE(CONTROL!$C$15, $D$11, 100%, $F$11)</f>
        <v>48.673299999999998</v>
      </c>
      <c r="D1032" s="8">
        <f>CHOOSE( CONTROL!$C$32, 48.6844, 48.6799) * CHOOSE( CONTROL!$C$15, $D$11, 100%, $F$11)</f>
        <v>48.684399999999997</v>
      </c>
      <c r="E1032" s="12">
        <f>CHOOSE( CONTROL!$C$32, 48.6788, 48.6743) * CHOOSE( CONTROL!$C$15, $D$11, 100%, $F$11)</f>
        <v>48.678800000000003</v>
      </c>
      <c r="F1032" s="4">
        <f>CHOOSE( CONTROL!$C$32, 49.3512, 49.3467) * CHOOSE(CONTROL!$C$15, $D$11, 100%, $F$11)</f>
        <v>49.351199999999999</v>
      </c>
      <c r="G1032" s="8">
        <f>CHOOSE( CONTROL!$C$32, 47.8486, 47.8442) * CHOOSE( CONTROL!$C$15, $D$11, 100%, $F$11)</f>
        <v>47.848599999999998</v>
      </c>
      <c r="H1032" s="4">
        <f>CHOOSE( CONTROL!$C$32, 48.7815, 48.777) * CHOOSE(CONTROL!$C$15, $D$11, 100%, $F$11)</f>
        <v>48.781500000000001</v>
      </c>
      <c r="I1032" s="8">
        <f>CHOOSE( CONTROL!$C$32, 47.1282, 47.1239) * CHOOSE(CONTROL!$C$15, $D$11, 100%, $F$11)</f>
        <v>47.1282</v>
      </c>
      <c r="J1032" s="4">
        <f>CHOOSE( CONTROL!$C$32, 47.0368, 47.0324) * CHOOSE(CONTROL!$C$15, $D$11, 100%, $F$11)</f>
        <v>47.036799999999999</v>
      </c>
      <c r="K1032" s="4"/>
      <c r="L1032" s="9">
        <v>29.520499999999998</v>
      </c>
      <c r="M1032" s="9">
        <v>12.063700000000001</v>
      </c>
      <c r="N1032" s="9">
        <v>4.9444999999999997</v>
      </c>
      <c r="O1032" s="9">
        <v>0.37459999999999999</v>
      </c>
      <c r="P1032" s="9">
        <v>1.2192000000000001</v>
      </c>
      <c r="Q1032" s="9">
        <v>19.688099999999999</v>
      </c>
      <c r="R1032" s="9"/>
      <c r="S1032" s="11"/>
    </row>
    <row r="1033" spans="1:19" ht="15.75">
      <c r="A1033" s="13">
        <v>73323</v>
      </c>
      <c r="B1033" s="8">
        <f>CHOOSE( CONTROL!$C$32, 47.6442, 47.6397) * CHOOSE(CONTROL!$C$15, $D$11, 100%, $F$11)</f>
        <v>47.644199999999998</v>
      </c>
      <c r="C1033" s="8">
        <f>CHOOSE( CONTROL!$C$32, 47.6546, 47.65) * CHOOSE(CONTROL!$C$15, $D$11, 100%, $F$11)</f>
        <v>47.654600000000002</v>
      </c>
      <c r="D1033" s="8">
        <f>CHOOSE( CONTROL!$C$32, 47.6658, 47.6613) * CHOOSE( CONTROL!$C$15, $D$11, 100%, $F$11)</f>
        <v>47.665799999999997</v>
      </c>
      <c r="E1033" s="12">
        <f>CHOOSE( CONTROL!$C$32, 47.6602, 47.6556) * CHOOSE( CONTROL!$C$15, $D$11, 100%, $F$11)</f>
        <v>47.660200000000003</v>
      </c>
      <c r="F1033" s="4">
        <f>CHOOSE( CONTROL!$C$32, 48.3325, 48.328) * CHOOSE(CONTROL!$C$15, $D$11, 100%, $F$11)</f>
        <v>48.332500000000003</v>
      </c>
      <c r="G1033" s="8">
        <f>CHOOSE( CONTROL!$C$32, 46.8466, 46.8421) * CHOOSE( CONTROL!$C$15, $D$11, 100%, $F$11)</f>
        <v>46.846600000000002</v>
      </c>
      <c r="H1033" s="4">
        <f>CHOOSE( CONTROL!$C$32, 47.7792, 47.7748) * CHOOSE(CONTROL!$C$15, $D$11, 100%, $F$11)</f>
        <v>47.779200000000003</v>
      </c>
      <c r="I1033" s="8">
        <f>CHOOSE( CONTROL!$C$32, 46.143, 46.1386) * CHOOSE(CONTROL!$C$15, $D$11, 100%, $F$11)</f>
        <v>46.143000000000001</v>
      </c>
      <c r="J1033" s="4">
        <f>CHOOSE( CONTROL!$C$32, 46.0516, 46.0472) * CHOOSE(CONTROL!$C$15, $D$11, 100%, $F$11)</f>
        <v>46.051600000000001</v>
      </c>
      <c r="K1033" s="4"/>
      <c r="L1033" s="9">
        <v>28.568200000000001</v>
      </c>
      <c r="M1033" s="9">
        <v>11.6745</v>
      </c>
      <c r="N1033" s="9">
        <v>4.7850000000000001</v>
      </c>
      <c r="O1033" s="9">
        <v>0.36249999999999999</v>
      </c>
      <c r="P1033" s="9">
        <v>1.1798</v>
      </c>
      <c r="Q1033" s="9">
        <v>19.053000000000001</v>
      </c>
      <c r="R1033" s="9"/>
      <c r="S1033" s="11"/>
    </row>
    <row r="1034" spans="1:19" ht="15.75">
      <c r="A1034" s="13">
        <v>73354</v>
      </c>
      <c r="B1034" s="8">
        <f>49.7549 * CHOOSE(CONTROL!$C$15, $D$11, 100%, $F$11)</f>
        <v>49.754899999999999</v>
      </c>
      <c r="C1034" s="8">
        <f>49.7652 * CHOOSE(CONTROL!$C$15, $D$11, 100%, $F$11)</f>
        <v>49.7652</v>
      </c>
      <c r="D1034" s="8">
        <f>49.7776 * CHOOSE( CONTROL!$C$15, $D$11, 100%, $F$11)</f>
        <v>49.7776</v>
      </c>
      <c r="E1034" s="12">
        <f>49.7724 * CHOOSE( CONTROL!$C$15, $D$11, 100%, $F$11)</f>
        <v>49.772399999999998</v>
      </c>
      <c r="F1034" s="4">
        <f>50.4432 * CHOOSE(CONTROL!$C$15, $D$11, 100%, $F$11)</f>
        <v>50.443199999999997</v>
      </c>
      <c r="G1034" s="8">
        <f>48.9225 * CHOOSE( CONTROL!$C$15, $D$11, 100%, $F$11)</f>
        <v>48.922499999999999</v>
      </c>
      <c r="H1034" s="4">
        <f>49.8557 * CHOOSE(CONTROL!$C$15, $D$11, 100%, $F$11)</f>
        <v>49.855699999999999</v>
      </c>
      <c r="I1034" s="8">
        <f>48.1865 * CHOOSE(CONTROL!$C$15, $D$11, 100%, $F$11)</f>
        <v>48.186500000000002</v>
      </c>
      <c r="J1034" s="4">
        <f>48.0928 * CHOOSE(CONTROL!$C$15, $D$11, 100%, $F$11)</f>
        <v>48.092799999999997</v>
      </c>
      <c r="K1034" s="4"/>
      <c r="L1034" s="9">
        <v>28.921800000000001</v>
      </c>
      <c r="M1034" s="9">
        <v>12.063700000000001</v>
      </c>
      <c r="N1034" s="9">
        <v>4.9444999999999997</v>
      </c>
      <c r="O1034" s="9">
        <v>0.37459999999999999</v>
      </c>
      <c r="P1034" s="9">
        <v>1.2192000000000001</v>
      </c>
      <c r="Q1034" s="9">
        <v>19.688099999999999</v>
      </c>
      <c r="R1034" s="9"/>
      <c r="S1034" s="11"/>
    </row>
    <row r="1035" spans="1:19" ht="15.75">
      <c r="A1035" s="13">
        <v>73384</v>
      </c>
      <c r="B1035" s="8">
        <f>53.659 * CHOOSE(CONTROL!$C$15, $D$11, 100%, $F$11)</f>
        <v>53.658999999999999</v>
      </c>
      <c r="C1035" s="8">
        <f>53.6694 * CHOOSE(CONTROL!$C$15, $D$11, 100%, $F$11)</f>
        <v>53.669400000000003</v>
      </c>
      <c r="D1035" s="8">
        <f>53.6554 * CHOOSE( CONTROL!$C$15, $D$11, 100%, $F$11)</f>
        <v>53.6554</v>
      </c>
      <c r="E1035" s="12">
        <f>53.6594 * CHOOSE( CONTROL!$C$15, $D$11, 100%, $F$11)</f>
        <v>53.659399999999998</v>
      </c>
      <c r="F1035" s="4">
        <f>54.3133 * CHOOSE(CONTROL!$C$15, $D$11, 100%, $F$11)</f>
        <v>54.313299999999998</v>
      </c>
      <c r="G1035" s="8">
        <f>52.7807 * CHOOSE( CONTROL!$C$15, $D$11, 100%, $F$11)</f>
        <v>52.780700000000003</v>
      </c>
      <c r="H1035" s="4">
        <f>53.6633 * CHOOSE(CONTROL!$C$15, $D$11, 100%, $F$11)</f>
        <v>53.6633</v>
      </c>
      <c r="I1035" s="8">
        <f>51.9971 * CHOOSE(CONTROL!$C$15, $D$11, 100%, $F$11)</f>
        <v>51.997100000000003</v>
      </c>
      <c r="J1035" s="4">
        <f>51.8686 * CHOOSE(CONTROL!$C$15, $D$11, 100%, $F$11)</f>
        <v>51.868600000000001</v>
      </c>
      <c r="K1035" s="4"/>
      <c r="L1035" s="9">
        <v>26.515499999999999</v>
      </c>
      <c r="M1035" s="9">
        <v>11.6745</v>
      </c>
      <c r="N1035" s="9">
        <v>4.7850000000000001</v>
      </c>
      <c r="O1035" s="9">
        <v>0.36249999999999999</v>
      </c>
      <c r="P1035" s="9">
        <v>1.2522</v>
      </c>
      <c r="Q1035" s="9">
        <v>19.053000000000001</v>
      </c>
      <c r="R1035" s="9"/>
      <c r="S1035" s="11"/>
    </row>
    <row r="1036" spans="1:19" ht="15.75">
      <c r="A1036" s="13">
        <v>73415</v>
      </c>
      <c r="B1036" s="8">
        <f>53.5615 * CHOOSE(CONTROL!$C$15, $D$11, 100%, $F$11)</f>
        <v>53.561500000000002</v>
      </c>
      <c r="C1036" s="8">
        <f>53.5718 * CHOOSE(CONTROL!$C$15, $D$11, 100%, $F$11)</f>
        <v>53.571800000000003</v>
      </c>
      <c r="D1036" s="8">
        <f>53.5604 * CHOOSE( CONTROL!$C$15, $D$11, 100%, $F$11)</f>
        <v>53.560400000000001</v>
      </c>
      <c r="E1036" s="12">
        <f>53.5635 * CHOOSE( CONTROL!$C$15, $D$11, 100%, $F$11)</f>
        <v>53.563499999999998</v>
      </c>
      <c r="F1036" s="4">
        <f>54.2158 * CHOOSE(CONTROL!$C$15, $D$11, 100%, $F$11)</f>
        <v>54.215800000000002</v>
      </c>
      <c r="G1036" s="8">
        <f>52.6866 * CHOOSE( CONTROL!$C$15, $D$11, 100%, $F$11)</f>
        <v>52.686599999999999</v>
      </c>
      <c r="H1036" s="4">
        <f>53.5673 * CHOOSE(CONTROL!$C$15, $D$11, 100%, $F$11)</f>
        <v>53.567300000000003</v>
      </c>
      <c r="I1036" s="8">
        <f>51.9107 * CHOOSE(CONTROL!$C$15, $D$11, 100%, $F$11)</f>
        <v>51.910699999999999</v>
      </c>
      <c r="J1036" s="4">
        <f>51.7742 * CHOOSE(CONTROL!$C$15, $D$11, 100%, $F$11)</f>
        <v>51.7742</v>
      </c>
      <c r="K1036" s="4"/>
      <c r="L1036" s="9">
        <v>27.3993</v>
      </c>
      <c r="M1036" s="9">
        <v>12.063700000000001</v>
      </c>
      <c r="N1036" s="9">
        <v>4.9444999999999997</v>
      </c>
      <c r="O1036" s="9">
        <v>0.37459999999999999</v>
      </c>
      <c r="P1036" s="9">
        <v>1.2939000000000001</v>
      </c>
      <c r="Q1036" s="9">
        <v>19.688099999999999</v>
      </c>
      <c r="R1036" s="9"/>
      <c r="S1036" s="11"/>
    </row>
    <row r="1037" spans="1:19">
      <c r="A1037" s="10"/>
      <c r="F1037" s="1"/>
      <c r="H1037" s="1"/>
      <c r="Q1037" s="9"/>
    </row>
    <row r="1038" spans="1:19" ht="15" customHeight="1">
      <c r="A1038" s="3">
        <v>2016</v>
      </c>
      <c r="B1038" s="8">
        <f t="shared" ref="B1038:H1038" si="1">AVERAGE(B17:B28)</f>
        <v>2.1501666666666668</v>
      </c>
      <c r="C1038" s="8">
        <f t="shared" si="1"/>
        <v>2.1605166666666666</v>
      </c>
      <c r="D1038" s="8">
        <f t="shared" si="1"/>
        <v>2.1530416666666667</v>
      </c>
      <c r="E1038" s="8">
        <f t="shared" si="1"/>
        <v>2.154433333333333</v>
      </c>
      <c r="F1038" s="4">
        <f t="shared" si="1"/>
        <v>2.8254750000000004</v>
      </c>
      <c r="G1038" s="8">
        <f t="shared" si="1"/>
        <v>2.0961500000000002</v>
      </c>
      <c r="H1038" s="4">
        <f t="shared" si="1"/>
        <v>3.0082999999999998</v>
      </c>
      <c r="I1038" s="8"/>
      <c r="J1038" s="4">
        <f>AVERAGE(J17:J28)</f>
        <v>2.0543333333333336</v>
      </c>
      <c r="K1038" s="5"/>
      <c r="L1038" s="5">
        <f>SUM(L17:L28)</f>
        <v>376.69149999999996</v>
      </c>
      <c r="M1038" s="5">
        <f>SUM(M17:M28)</f>
        <v>142.42920000000001</v>
      </c>
      <c r="N1038" s="5">
        <f>SUM(N17:N28)</f>
        <v>58.377000000000002</v>
      </c>
      <c r="O1038" s="5">
        <f>SUM(O17:O28)</f>
        <v>5.3671999999999995</v>
      </c>
      <c r="P1038" s="5">
        <f>SUM(P17:P28)</f>
        <v>16.520199999999999</v>
      </c>
      <c r="Q1038" s="5"/>
      <c r="R1038" s="5">
        <f>SUM(R17:R28)</f>
        <v>4.8</v>
      </c>
      <c r="S1038" s="5"/>
    </row>
    <row r="1039" spans="1:19" ht="15" customHeight="1">
      <c r="A1039" s="3">
        <v>2017</v>
      </c>
      <c r="B1039" s="8">
        <f t="shared" ref="B1039:J1039" si="2">AVERAGE(B29:B40)</f>
        <v>2.7400916666666664</v>
      </c>
      <c r="C1039" s="8">
        <f t="shared" si="2"/>
        <v>2.7504000000000004</v>
      </c>
      <c r="D1039" s="8">
        <f t="shared" si="2"/>
        <v>2.7411500000000006</v>
      </c>
      <c r="E1039" s="8">
        <f t="shared" si="2"/>
        <v>2.7431416666666668</v>
      </c>
      <c r="F1039" s="4">
        <f t="shared" si="2"/>
        <v>3.4154083333333336</v>
      </c>
      <c r="G1039" s="8">
        <f t="shared" si="2"/>
        <v>2.6760500000000005</v>
      </c>
      <c r="H1039" s="4">
        <f t="shared" si="2"/>
        <v>3.5886666666666667</v>
      </c>
      <c r="I1039" s="8">
        <f t="shared" si="2"/>
        <v>2.7035916666666666</v>
      </c>
      <c r="J1039" s="4">
        <f t="shared" si="2"/>
        <v>2.6248333333333331</v>
      </c>
      <c r="K1039" s="4"/>
      <c r="L1039" s="5">
        <f t="shared" ref="L1039:Q1039" si="3">SUM(L29:L40)</f>
        <v>353.74759999999998</v>
      </c>
      <c r="M1039" s="5">
        <f t="shared" si="3"/>
        <v>142.0401</v>
      </c>
      <c r="N1039" s="5">
        <f t="shared" si="3"/>
        <v>58.217499999999994</v>
      </c>
      <c r="O1039" s="5">
        <f t="shared" si="3"/>
        <v>4.4104999999999999</v>
      </c>
      <c r="P1039" s="5">
        <f t="shared" si="3"/>
        <v>20.8202</v>
      </c>
      <c r="Q1039" s="5">
        <f t="shared" si="3"/>
        <v>198.18529999999998</v>
      </c>
      <c r="R1039" s="5">
        <f>SUM(R29:R31)</f>
        <v>1.2000000000000002</v>
      </c>
      <c r="S1039" s="4"/>
    </row>
    <row r="1040" spans="1:19" ht="15" customHeight="1">
      <c r="A1040" s="3">
        <v>2018</v>
      </c>
      <c r="B1040" s="8">
        <f t="shared" ref="B1040:J1040" si="4">AVERAGE(B41:B52)</f>
        <v>2.8233083333333329</v>
      </c>
      <c r="C1040" s="8">
        <f t="shared" si="4"/>
        <v>2.8336666666666663</v>
      </c>
      <c r="D1040" s="8">
        <f t="shared" si="4"/>
        <v>2.8345583333333333</v>
      </c>
      <c r="E1040" s="8">
        <f t="shared" si="4"/>
        <v>2.8329500000000003</v>
      </c>
      <c r="F1040" s="4">
        <f t="shared" si="4"/>
        <v>3.49865</v>
      </c>
      <c r="G1040" s="8">
        <f t="shared" si="4"/>
        <v>2.7579583333333333</v>
      </c>
      <c r="H1040" s="4">
        <f t="shared" si="4"/>
        <v>3.6705583333333336</v>
      </c>
      <c r="I1040" s="8">
        <f t="shared" si="4"/>
        <v>2.7841333333333336</v>
      </c>
      <c r="J1040" s="4">
        <f t="shared" si="4"/>
        <v>2.7053333333333338</v>
      </c>
      <c r="K1040" s="4"/>
      <c r="L1040" s="5">
        <f t="shared" ref="L1040:Q1040" si="5">SUM(L41:L52)</f>
        <v>353.74759999999998</v>
      </c>
      <c r="M1040" s="5">
        <f t="shared" si="5"/>
        <v>142.0401</v>
      </c>
      <c r="N1040" s="5">
        <f t="shared" si="5"/>
        <v>58.217499999999994</v>
      </c>
      <c r="O1040" s="5">
        <f t="shared" si="5"/>
        <v>4.4104999999999999</v>
      </c>
      <c r="P1040" s="5">
        <f t="shared" si="5"/>
        <v>14.718800000000003</v>
      </c>
      <c r="Q1040" s="5">
        <f t="shared" si="5"/>
        <v>293.19730000000004</v>
      </c>
      <c r="R1040" s="5"/>
      <c r="S1040" s="4"/>
    </row>
    <row r="1041" spans="1:19" ht="15" customHeight="1">
      <c r="A1041" s="3">
        <v>2019</v>
      </c>
      <c r="B1041" s="8">
        <f t="shared" ref="B1041:J1041" si="6">AVERAGE(B53:B64)</f>
        <v>3.6270416666666665</v>
      </c>
      <c r="C1041" s="8">
        <f t="shared" si="6"/>
        <v>3.6373583333333332</v>
      </c>
      <c r="D1041" s="8">
        <f t="shared" si="6"/>
        <v>3.6382750000000001</v>
      </c>
      <c r="E1041" s="8">
        <f t="shared" si="6"/>
        <v>3.6366749999999999</v>
      </c>
      <c r="F1041" s="4">
        <f t="shared" si="6"/>
        <v>4.3023500000000006</v>
      </c>
      <c r="G1041" s="8">
        <f t="shared" si="6"/>
        <v>3.5486666666666662</v>
      </c>
      <c r="H1041" s="4">
        <f t="shared" si="6"/>
        <v>4.4612833333333333</v>
      </c>
      <c r="I1041" s="8">
        <f t="shared" si="6"/>
        <v>3.561808333333333</v>
      </c>
      <c r="J1041" s="4">
        <f t="shared" si="6"/>
        <v>3.4826000000000001</v>
      </c>
      <c r="K1041" s="4"/>
      <c r="L1041" s="5">
        <f t="shared" ref="L1041:Q1041" si="7">SUM(L53:L64)</f>
        <v>353.74759999999998</v>
      </c>
      <c r="M1041" s="5">
        <f t="shared" si="7"/>
        <v>142.0401</v>
      </c>
      <c r="N1041" s="5">
        <f t="shared" si="7"/>
        <v>58.217499999999994</v>
      </c>
      <c r="O1041" s="5">
        <f t="shared" si="7"/>
        <v>4.4104999999999999</v>
      </c>
      <c r="P1041" s="5">
        <f t="shared" si="7"/>
        <v>14.718800000000003</v>
      </c>
      <c r="Q1041" s="5">
        <f t="shared" si="7"/>
        <v>290.24799999999999</v>
      </c>
      <c r="R1041" s="5"/>
      <c r="S1041" s="4"/>
    </row>
    <row r="1042" spans="1:19" ht="15" customHeight="1">
      <c r="A1042" s="3">
        <v>2020</v>
      </c>
      <c r="B1042" s="8">
        <f t="shared" ref="B1042:J1042" si="8">AVERAGE(B65:B76)</f>
        <v>3.6244833333333335</v>
      </c>
      <c r="C1042" s="8">
        <f t="shared" si="8"/>
        <v>3.6348083333333339</v>
      </c>
      <c r="D1042" s="8">
        <f t="shared" si="8"/>
        <v>3.6357416666666666</v>
      </c>
      <c r="E1042" s="8">
        <f t="shared" si="8"/>
        <v>3.6341416666666668</v>
      </c>
      <c r="F1042" s="4">
        <f t="shared" si="8"/>
        <v>4.2998166666666666</v>
      </c>
      <c r="G1042" s="8">
        <f t="shared" si="8"/>
        <v>3.546158333333334</v>
      </c>
      <c r="H1042" s="4">
        <f t="shared" si="8"/>
        <v>4.4587666666666665</v>
      </c>
      <c r="I1042" s="8">
        <f t="shared" si="8"/>
        <v>3.559333333333333</v>
      </c>
      <c r="J1042" s="4">
        <f t="shared" si="8"/>
        <v>3.4801333333333329</v>
      </c>
      <c r="K1042" s="4"/>
      <c r="L1042" s="5">
        <f t="shared" ref="L1042:Q1042" si="9">SUM(L65:L76)</f>
        <v>354.68099999999998</v>
      </c>
      <c r="M1042" s="5">
        <f t="shared" si="9"/>
        <v>142.42920000000001</v>
      </c>
      <c r="N1042" s="5">
        <f t="shared" si="9"/>
        <v>58.377000000000002</v>
      </c>
      <c r="O1042" s="5">
        <f t="shared" si="9"/>
        <v>4.4226000000000001</v>
      </c>
      <c r="P1042" s="5">
        <f t="shared" si="9"/>
        <v>14.760600000000004</v>
      </c>
      <c r="Q1042" s="5">
        <f t="shared" si="9"/>
        <v>349.04309999999998</v>
      </c>
      <c r="R1042" s="5"/>
      <c r="S1042" s="4"/>
    </row>
    <row r="1043" spans="1:19" ht="15" customHeight="1">
      <c r="A1043" s="3">
        <v>2021</v>
      </c>
      <c r="B1043" s="8">
        <f t="shared" ref="B1043:J1043" si="10">AVERAGE(B77:B88)</f>
        <v>4.2126749999999999</v>
      </c>
      <c r="C1043" s="8">
        <f t="shared" si="10"/>
        <v>4.2230166666666671</v>
      </c>
      <c r="D1043" s="8">
        <f t="shared" si="10"/>
        <v>4.2239000000000004</v>
      </c>
      <c r="E1043" s="8">
        <f t="shared" si="10"/>
        <v>4.2223000000000006</v>
      </c>
      <c r="F1043" s="4">
        <f t="shared" si="10"/>
        <v>4.8879916666666663</v>
      </c>
      <c r="G1043" s="8">
        <f t="shared" si="10"/>
        <v>4.1248416666666659</v>
      </c>
      <c r="H1043" s="4">
        <f t="shared" si="10"/>
        <v>5.0374583333333325</v>
      </c>
      <c r="I1043" s="8">
        <f t="shared" si="10"/>
        <v>4.12845</v>
      </c>
      <c r="J1043" s="4">
        <f t="shared" si="10"/>
        <v>4.0489750000000004</v>
      </c>
      <c r="K1043" s="4"/>
      <c r="L1043" s="5">
        <f t="shared" ref="L1043:Q1043" si="11">SUM(L77:L88)</f>
        <v>353.74759999999998</v>
      </c>
      <c r="M1043" s="5">
        <f t="shared" si="11"/>
        <v>142.0401</v>
      </c>
      <c r="N1043" s="5">
        <f t="shared" si="11"/>
        <v>58.217499999999994</v>
      </c>
      <c r="O1043" s="5">
        <f t="shared" si="11"/>
        <v>4.4104999999999999</v>
      </c>
      <c r="P1043" s="5">
        <f t="shared" si="11"/>
        <v>14.718800000000003</v>
      </c>
      <c r="Q1043" s="5">
        <f t="shared" si="11"/>
        <v>388.68129999999996</v>
      </c>
      <c r="R1043" s="5"/>
      <c r="S1043" s="4"/>
    </row>
    <row r="1044" spans="1:19" ht="15" customHeight="1">
      <c r="A1044" s="3">
        <v>2022</v>
      </c>
      <c r="B1044" s="8">
        <f t="shared" ref="B1044:J1044" si="12">AVERAGE(B89:B100)</f>
        <v>4.1777916666666668</v>
      </c>
      <c r="C1044" s="8">
        <f t="shared" si="12"/>
        <v>4.1881499999999994</v>
      </c>
      <c r="D1044" s="8">
        <f t="shared" si="12"/>
        <v>4.1890499999999999</v>
      </c>
      <c r="E1044" s="8">
        <f t="shared" si="12"/>
        <v>4.1874499999999992</v>
      </c>
      <c r="F1044" s="4">
        <f t="shared" si="12"/>
        <v>4.8531166666666659</v>
      </c>
      <c r="G1044" s="8">
        <f t="shared" si="12"/>
        <v>4.0905249999999995</v>
      </c>
      <c r="H1044" s="4">
        <f t="shared" si="12"/>
        <v>5.0031249999999998</v>
      </c>
      <c r="I1044" s="8">
        <f t="shared" si="12"/>
        <v>4.0947166666666668</v>
      </c>
      <c r="J1044" s="4">
        <f t="shared" si="12"/>
        <v>4.0152333333333337</v>
      </c>
      <c r="K1044" s="4"/>
      <c r="L1044" s="5">
        <f t="shared" ref="L1044:Q1044" si="13">SUM(L89:L100)</f>
        <v>346.2867</v>
      </c>
      <c r="M1044" s="5">
        <f t="shared" si="13"/>
        <v>142.0401</v>
      </c>
      <c r="N1044" s="5">
        <f t="shared" si="13"/>
        <v>58.217499999999994</v>
      </c>
      <c r="O1044" s="5">
        <f t="shared" si="13"/>
        <v>4.4104999999999999</v>
      </c>
      <c r="P1044" s="5">
        <f t="shared" si="13"/>
        <v>14.718800000000003</v>
      </c>
      <c r="Q1044" s="5">
        <f t="shared" si="13"/>
        <v>386.33820000000003</v>
      </c>
      <c r="R1044" s="5"/>
      <c r="S1044" s="4"/>
    </row>
    <row r="1045" spans="1:19" ht="15" customHeight="1">
      <c r="A1045" s="3">
        <v>2023</v>
      </c>
      <c r="B1045" s="8">
        <f t="shared" ref="B1045:J1045" si="14">AVERAGE(B101:B112)</f>
        <v>4.5026833333333327</v>
      </c>
      <c r="C1045" s="8">
        <f t="shared" si="14"/>
        <v>4.5130249999999998</v>
      </c>
      <c r="D1045" s="8">
        <f t="shared" si="14"/>
        <v>4.513933333333334</v>
      </c>
      <c r="E1045" s="8">
        <f t="shared" si="14"/>
        <v>4.5123333333333333</v>
      </c>
      <c r="F1045" s="4">
        <f t="shared" si="14"/>
        <v>5.177999999999999</v>
      </c>
      <c r="G1045" s="8">
        <f t="shared" si="14"/>
        <v>4.4101666666666661</v>
      </c>
      <c r="H1045" s="4">
        <f t="shared" si="14"/>
        <v>5.3227583333333337</v>
      </c>
      <c r="I1045" s="8">
        <f t="shared" si="14"/>
        <v>4.4090666666666669</v>
      </c>
      <c r="J1045" s="4">
        <f t="shared" si="14"/>
        <v>4.3294416666666669</v>
      </c>
      <c r="K1045" s="4"/>
      <c r="L1045" s="5">
        <f t="shared" ref="L1045:Q1045" si="15">SUM(L101:L112)</f>
        <v>336.06969999999995</v>
      </c>
      <c r="M1045" s="5">
        <f t="shared" si="15"/>
        <v>142.0401</v>
      </c>
      <c r="N1045" s="5">
        <f t="shared" si="15"/>
        <v>58.217499999999994</v>
      </c>
      <c r="O1045" s="5">
        <f t="shared" si="15"/>
        <v>4.4104999999999999</v>
      </c>
      <c r="P1045" s="5">
        <f t="shared" si="15"/>
        <v>14.718800000000003</v>
      </c>
      <c r="Q1045" s="5">
        <f t="shared" si="15"/>
        <v>384.12599999999998</v>
      </c>
      <c r="R1045" s="5"/>
      <c r="S1045" s="4"/>
    </row>
    <row r="1046" spans="1:19" ht="15" customHeight="1">
      <c r="A1046" s="3">
        <v>2024</v>
      </c>
      <c r="B1046" s="8">
        <f t="shared" ref="B1046:J1046" si="16">AVERAGE(B113:B124)</f>
        <v>4.7772249999999996</v>
      </c>
      <c r="C1046" s="8">
        <f t="shared" si="16"/>
        <v>4.7875500000000004</v>
      </c>
      <c r="D1046" s="8">
        <f t="shared" si="16"/>
        <v>4.7884749999999991</v>
      </c>
      <c r="E1046" s="8">
        <f t="shared" si="16"/>
        <v>4.7868666666666675</v>
      </c>
      <c r="F1046" s="4">
        <f t="shared" si="16"/>
        <v>5.452541666666666</v>
      </c>
      <c r="G1046" s="8">
        <f t="shared" si="16"/>
        <v>4.6802583333333336</v>
      </c>
      <c r="H1046" s="4">
        <f t="shared" si="16"/>
        <v>5.5928666666666667</v>
      </c>
      <c r="I1046" s="8">
        <f t="shared" si="16"/>
        <v>4.6746999999999996</v>
      </c>
      <c r="J1046" s="4">
        <f t="shared" si="16"/>
        <v>4.5949583333333335</v>
      </c>
      <c r="K1046" s="4"/>
      <c r="L1046" s="5">
        <f t="shared" ref="L1046:Q1046" si="17">SUM(L113:L124)</f>
        <v>336.95349999999996</v>
      </c>
      <c r="M1046" s="5">
        <f t="shared" si="17"/>
        <v>142.42920000000001</v>
      </c>
      <c r="N1046" s="5">
        <f t="shared" si="17"/>
        <v>58.377000000000002</v>
      </c>
      <c r="O1046" s="5">
        <f t="shared" si="17"/>
        <v>4.4226000000000001</v>
      </c>
      <c r="P1046" s="5">
        <f t="shared" si="17"/>
        <v>14.760600000000004</v>
      </c>
      <c r="Q1046" s="5">
        <f t="shared" si="17"/>
        <v>383.00459999999998</v>
      </c>
      <c r="R1046" s="5"/>
      <c r="S1046" s="4"/>
    </row>
    <row r="1047" spans="1:19" ht="15" customHeight="1">
      <c r="A1047" s="3">
        <v>2025</v>
      </c>
      <c r="B1047" s="8">
        <f t="shared" ref="B1047:J1047" si="18">AVERAGE(B125:B136)</f>
        <v>4.9980249999999993</v>
      </c>
      <c r="C1047" s="8">
        <f t="shared" si="18"/>
        <v>5.0083833333333336</v>
      </c>
      <c r="D1047" s="8">
        <f t="shared" si="18"/>
        <v>5.0092749999999997</v>
      </c>
      <c r="E1047" s="8">
        <f t="shared" si="18"/>
        <v>5.0076749999999999</v>
      </c>
      <c r="F1047" s="4">
        <f t="shared" si="18"/>
        <v>5.6733583333333337</v>
      </c>
      <c r="G1047" s="8">
        <f t="shared" si="18"/>
        <v>4.8975083333333327</v>
      </c>
      <c r="H1047" s="4">
        <f t="shared" si="18"/>
        <v>5.8100916666666675</v>
      </c>
      <c r="I1047" s="8">
        <f t="shared" si="18"/>
        <v>4.8883666666666654</v>
      </c>
      <c r="J1047" s="4">
        <f t="shared" si="18"/>
        <v>4.8084999999999996</v>
      </c>
      <c r="K1047" s="4"/>
      <c r="L1047" s="5">
        <f t="shared" ref="L1047:Q1047" si="19">SUM(L125:L136)</f>
        <v>336.06969999999995</v>
      </c>
      <c r="M1047" s="5">
        <f t="shared" si="19"/>
        <v>142.0401</v>
      </c>
      <c r="N1047" s="5">
        <f t="shared" si="19"/>
        <v>58.217499999999994</v>
      </c>
      <c r="O1047" s="5">
        <f t="shared" si="19"/>
        <v>4.4104999999999999</v>
      </c>
      <c r="P1047" s="5">
        <f t="shared" si="19"/>
        <v>14.718800000000003</v>
      </c>
      <c r="Q1047" s="5">
        <f t="shared" si="19"/>
        <v>379.76819999999998</v>
      </c>
      <c r="R1047" s="5"/>
      <c r="S1047" s="4"/>
    </row>
    <row r="1048" spans="1:19" ht="15" customHeight="1">
      <c r="A1048" s="3">
        <v>2026</v>
      </c>
      <c r="B1048" s="8">
        <f t="shared" ref="B1048:J1048" si="20">AVERAGE(B137:B148)</f>
        <v>5.1616083333333327</v>
      </c>
      <c r="C1048" s="8">
        <f t="shared" si="20"/>
        <v>5.1719583333333334</v>
      </c>
      <c r="D1048" s="8">
        <f t="shared" si="20"/>
        <v>5.1728416666666677</v>
      </c>
      <c r="E1048" s="8">
        <f t="shared" si="20"/>
        <v>5.1712416666666661</v>
      </c>
      <c r="F1048" s="4">
        <f t="shared" si="20"/>
        <v>5.8369249999999999</v>
      </c>
      <c r="G1048" s="8">
        <f t="shared" si="20"/>
        <v>5.058416666666667</v>
      </c>
      <c r="H1048" s="4">
        <f t="shared" si="20"/>
        <v>5.9710250000000009</v>
      </c>
      <c r="I1048" s="8">
        <f t="shared" si="20"/>
        <v>5.0466333333333324</v>
      </c>
      <c r="J1048" s="4">
        <f t="shared" si="20"/>
        <v>4.9666916666666667</v>
      </c>
      <c r="K1048" s="4"/>
      <c r="L1048" s="5">
        <f t="shared" ref="L1048:Q1048" si="21">SUM(L137:L148)</f>
        <v>336.06969999999995</v>
      </c>
      <c r="M1048" s="5">
        <f t="shared" si="21"/>
        <v>142.0401</v>
      </c>
      <c r="N1048" s="5">
        <f t="shared" si="21"/>
        <v>58.217499999999994</v>
      </c>
      <c r="O1048" s="5">
        <f t="shared" si="21"/>
        <v>4.4104999999999999</v>
      </c>
      <c r="P1048" s="5">
        <f t="shared" si="21"/>
        <v>14.718800000000003</v>
      </c>
      <c r="Q1048" s="5">
        <f t="shared" si="21"/>
        <v>377.59969999999987</v>
      </c>
      <c r="R1048" s="5"/>
      <c r="S1048" s="4"/>
    </row>
    <row r="1049" spans="1:19" ht="15" customHeight="1">
      <c r="A1049" s="3">
        <v>2027</v>
      </c>
      <c r="B1049" s="8">
        <f t="shared" ref="B1049:J1049" si="22">AVERAGE(B149:B160)</f>
        <v>5.3297499999999998</v>
      </c>
      <c r="C1049" s="8">
        <f t="shared" si="22"/>
        <v>5.3400999999999996</v>
      </c>
      <c r="D1049" s="8">
        <f t="shared" si="22"/>
        <v>5.3409916666666675</v>
      </c>
      <c r="E1049" s="8">
        <f t="shared" si="22"/>
        <v>5.3393916666666668</v>
      </c>
      <c r="F1049" s="4">
        <f t="shared" si="22"/>
        <v>6.0050833333333342</v>
      </c>
      <c r="G1049" s="8">
        <f t="shared" si="22"/>
        <v>5.2238250000000006</v>
      </c>
      <c r="H1049" s="4">
        <f t="shared" si="22"/>
        <v>6.13645</v>
      </c>
      <c r="I1049" s="8">
        <f t="shared" si="22"/>
        <v>5.2093083333333334</v>
      </c>
      <c r="J1049" s="4">
        <f t="shared" si="22"/>
        <v>5.1292833333333334</v>
      </c>
      <c r="K1049" s="4"/>
      <c r="L1049" s="5">
        <f t="shared" ref="L1049:Q1049" si="23">SUM(L149:L160)</f>
        <v>336.06969999999995</v>
      </c>
      <c r="M1049" s="5">
        <f t="shared" si="23"/>
        <v>142.0401</v>
      </c>
      <c r="N1049" s="5">
        <f t="shared" si="23"/>
        <v>58.217499999999994</v>
      </c>
      <c r="O1049" s="5">
        <f t="shared" si="23"/>
        <v>4.4104999999999999</v>
      </c>
      <c r="P1049" s="5">
        <f t="shared" si="23"/>
        <v>14.718800000000003</v>
      </c>
      <c r="Q1049" s="5">
        <f t="shared" si="23"/>
        <v>375.43180000000001</v>
      </c>
      <c r="R1049" s="5"/>
      <c r="S1049" s="4"/>
    </row>
    <row r="1050" spans="1:19" ht="15" customHeight="1">
      <c r="A1050" s="3">
        <v>2028</v>
      </c>
      <c r="B1050" s="8">
        <f t="shared" ref="B1050:J1050" si="24">AVERAGE(B161:B172)</f>
        <v>5.5025499999999994</v>
      </c>
      <c r="C1050" s="8">
        <f t="shared" si="24"/>
        <v>5.5128916666666674</v>
      </c>
      <c r="D1050" s="8">
        <f t="shared" si="24"/>
        <v>5.5137999999999998</v>
      </c>
      <c r="E1050" s="8">
        <f t="shared" si="24"/>
        <v>5.5121916666666673</v>
      </c>
      <c r="F1050" s="4">
        <f t="shared" si="24"/>
        <v>6.1778833333333329</v>
      </c>
      <c r="G1050" s="8">
        <f t="shared" si="24"/>
        <v>5.3938583333333332</v>
      </c>
      <c r="H1050" s="4">
        <f t="shared" si="24"/>
        <v>6.3064583333333317</v>
      </c>
      <c r="I1050" s="8">
        <f t="shared" si="24"/>
        <v>5.3765166666666673</v>
      </c>
      <c r="J1050" s="4">
        <f t="shared" si="24"/>
        <v>5.2964083333333338</v>
      </c>
      <c r="K1050" s="4"/>
      <c r="L1050" s="5">
        <f t="shared" ref="L1050:Q1050" si="25">SUM(L161:L172)</f>
        <v>336.95349999999996</v>
      </c>
      <c r="M1050" s="5">
        <f t="shared" si="25"/>
        <v>142.42920000000001</v>
      </c>
      <c r="N1050" s="5">
        <f t="shared" si="25"/>
        <v>58.377000000000002</v>
      </c>
      <c r="O1050" s="5">
        <f t="shared" si="25"/>
        <v>4.4226000000000001</v>
      </c>
      <c r="P1050" s="5">
        <f t="shared" si="25"/>
        <v>14.760600000000004</v>
      </c>
      <c r="Q1050" s="5">
        <f t="shared" si="25"/>
        <v>374.28599999999994</v>
      </c>
      <c r="R1050" s="5"/>
      <c r="S1050" s="4"/>
    </row>
    <row r="1051" spans="1:19" ht="15" customHeight="1">
      <c r="A1051" s="3">
        <v>2029</v>
      </c>
      <c r="B1051" s="8">
        <f t="shared" ref="B1051:J1051" si="26">AVERAGE(B173:B184)</f>
        <v>5.6120333333333337</v>
      </c>
      <c r="C1051" s="8">
        <f t="shared" si="26"/>
        <v>5.6223833333333326</v>
      </c>
      <c r="D1051" s="8">
        <f t="shared" si="26"/>
        <v>5.6232749999999996</v>
      </c>
      <c r="E1051" s="8">
        <f t="shared" si="26"/>
        <v>5.6216749999999998</v>
      </c>
      <c r="F1051" s="4">
        <f t="shared" si="26"/>
        <v>6.2873583333333327</v>
      </c>
      <c r="G1051" s="8">
        <f t="shared" si="26"/>
        <v>5.5015666666666663</v>
      </c>
      <c r="H1051" s="4">
        <f t="shared" si="26"/>
        <v>6.4141833333333338</v>
      </c>
      <c r="I1051" s="8">
        <f t="shared" si="26"/>
        <v>5.4824583333333328</v>
      </c>
      <c r="J1051" s="4">
        <f t="shared" si="26"/>
        <v>5.4023166666666667</v>
      </c>
      <c r="K1051" s="4"/>
      <c r="L1051" s="5">
        <f t="shared" ref="L1051:Q1051" si="27">SUM(L173:L184)</f>
        <v>336.06969999999995</v>
      </c>
      <c r="M1051" s="5">
        <f t="shared" si="27"/>
        <v>142.0401</v>
      </c>
      <c r="N1051" s="5">
        <f t="shared" si="27"/>
        <v>58.217499999999994</v>
      </c>
      <c r="O1051" s="5">
        <f t="shared" si="27"/>
        <v>4.4104999999999999</v>
      </c>
      <c r="P1051" s="5">
        <f t="shared" si="27"/>
        <v>14.718800000000003</v>
      </c>
      <c r="Q1051" s="5">
        <f t="shared" si="27"/>
        <v>371.09549999999996</v>
      </c>
      <c r="R1051" s="5"/>
      <c r="S1051" s="4"/>
    </row>
    <row r="1052" spans="1:19" ht="15" customHeight="1">
      <c r="A1052" s="3">
        <v>2030</v>
      </c>
      <c r="B1052" s="8">
        <f t="shared" ref="B1052:J1052" si="28">AVERAGE(B185:B196)</f>
        <v>5.7237249999999991</v>
      </c>
      <c r="C1052" s="8">
        <f t="shared" si="28"/>
        <v>5.7340666666666662</v>
      </c>
      <c r="D1052" s="8">
        <f t="shared" si="28"/>
        <v>5.7349500000000013</v>
      </c>
      <c r="E1052" s="8">
        <f t="shared" si="28"/>
        <v>5.7333499999999988</v>
      </c>
      <c r="F1052" s="4">
        <f t="shared" si="28"/>
        <v>6.3990499999999999</v>
      </c>
      <c r="G1052" s="8">
        <f t="shared" si="28"/>
        <v>5.6114500000000014</v>
      </c>
      <c r="H1052" s="4">
        <f t="shared" si="28"/>
        <v>6.5240583333333326</v>
      </c>
      <c r="I1052" s="8">
        <f t="shared" si="28"/>
        <v>5.5905333333333331</v>
      </c>
      <c r="J1052" s="4">
        <f t="shared" si="28"/>
        <v>5.5103</v>
      </c>
      <c r="K1052" s="4"/>
      <c r="L1052" s="5">
        <f t="shared" ref="L1052:Q1052" si="29">SUM(L185:L196)</f>
        <v>336.06969999999995</v>
      </c>
      <c r="M1052" s="5">
        <f t="shared" si="29"/>
        <v>142.0401</v>
      </c>
      <c r="N1052" s="5">
        <f t="shared" si="29"/>
        <v>58.217499999999994</v>
      </c>
      <c r="O1052" s="5">
        <f t="shared" si="29"/>
        <v>4.4104999999999999</v>
      </c>
      <c r="P1052" s="5">
        <f t="shared" si="29"/>
        <v>14.718800000000003</v>
      </c>
      <c r="Q1052" s="5">
        <f t="shared" si="29"/>
        <v>368.9276999999999</v>
      </c>
      <c r="R1052" s="5"/>
      <c r="S1052" s="4"/>
    </row>
    <row r="1053" spans="1:19" ht="15" customHeight="1">
      <c r="A1053" s="3">
        <v>2031</v>
      </c>
      <c r="B1053" s="8">
        <f t="shared" ref="B1053:J1053" si="30">AVERAGE(B197:B208)</f>
        <v>5.8376333333333328</v>
      </c>
      <c r="C1053" s="8">
        <f t="shared" si="30"/>
        <v>5.8479833333333344</v>
      </c>
      <c r="D1053" s="8">
        <f t="shared" si="30"/>
        <v>5.8488833333333332</v>
      </c>
      <c r="E1053" s="8">
        <f t="shared" si="30"/>
        <v>5.8472833333333334</v>
      </c>
      <c r="F1053" s="4">
        <f t="shared" si="30"/>
        <v>6.5129666666666663</v>
      </c>
      <c r="G1053" s="8">
        <f t="shared" si="30"/>
        <v>5.7235249999999995</v>
      </c>
      <c r="H1053" s="4">
        <f t="shared" si="30"/>
        <v>6.6361333333333334</v>
      </c>
      <c r="I1053" s="8">
        <f t="shared" si="30"/>
        <v>5.7007499999999993</v>
      </c>
      <c r="J1053" s="4">
        <f t="shared" si="30"/>
        <v>5.6204666666666654</v>
      </c>
      <c r="K1053" s="4"/>
      <c r="L1053" s="5">
        <f t="shared" ref="L1053:Q1053" si="31">SUM(L197:L208)</f>
        <v>336.06969999999995</v>
      </c>
      <c r="M1053" s="5">
        <f t="shared" si="31"/>
        <v>142.0401</v>
      </c>
      <c r="N1053" s="5">
        <f t="shared" si="31"/>
        <v>58.217499999999994</v>
      </c>
      <c r="O1053" s="5">
        <f t="shared" si="31"/>
        <v>4.4104999999999999</v>
      </c>
      <c r="P1053" s="5">
        <f t="shared" si="31"/>
        <v>14.718800000000003</v>
      </c>
      <c r="Q1053" s="5">
        <f t="shared" si="31"/>
        <v>365.31420000000003</v>
      </c>
      <c r="R1053" s="5"/>
      <c r="S1053" s="4"/>
    </row>
    <row r="1054" spans="1:19" ht="15" customHeight="1">
      <c r="A1054" s="3">
        <v>2032</v>
      </c>
      <c r="B1054" s="8">
        <f t="shared" ref="B1054:J1054" si="32">AVERAGE(B209:B220)</f>
        <v>5.9538416666666665</v>
      </c>
      <c r="C1054" s="8">
        <f t="shared" si="32"/>
        <v>5.9641833333333336</v>
      </c>
      <c r="D1054" s="8">
        <f t="shared" si="32"/>
        <v>5.9650833333333333</v>
      </c>
      <c r="E1054" s="8">
        <f t="shared" si="32"/>
        <v>5.9634749999999999</v>
      </c>
      <c r="F1054" s="4">
        <f t="shared" si="32"/>
        <v>6.6291583333333337</v>
      </c>
      <c r="G1054" s="8">
        <f t="shared" si="32"/>
        <v>5.8378249999999996</v>
      </c>
      <c r="H1054" s="4">
        <f t="shared" si="32"/>
        <v>6.7504416666666662</v>
      </c>
      <c r="I1054" s="8">
        <f t="shared" si="32"/>
        <v>5.8131833333333338</v>
      </c>
      <c r="J1054" s="4">
        <f t="shared" si="32"/>
        <v>5.7328333333333328</v>
      </c>
      <c r="K1054" s="4"/>
      <c r="L1054" s="5">
        <f t="shared" ref="L1054:Q1054" si="33">SUM(L209:L220)</f>
        <v>336.95349999999996</v>
      </c>
      <c r="M1054" s="5">
        <f t="shared" si="33"/>
        <v>142.42920000000001</v>
      </c>
      <c r="N1054" s="5">
        <f t="shared" si="33"/>
        <v>58.377000000000002</v>
      </c>
      <c r="O1054" s="5">
        <f t="shared" si="33"/>
        <v>4.4226000000000001</v>
      </c>
      <c r="P1054" s="5">
        <f t="shared" si="33"/>
        <v>14.760600000000004</v>
      </c>
      <c r="Q1054" s="5">
        <f t="shared" si="33"/>
        <v>364.46999999999997</v>
      </c>
      <c r="R1054" s="5"/>
      <c r="S1054" s="4"/>
    </row>
    <row r="1055" spans="1:19" ht="15" customHeight="1">
      <c r="A1055" s="3">
        <v>2033</v>
      </c>
      <c r="B1055" s="8">
        <f t="shared" ref="B1055:J1055" si="34">AVERAGE(B221:B232)</f>
        <v>6.0723583333333311</v>
      </c>
      <c r="C1055" s="8">
        <f t="shared" si="34"/>
        <v>6.0827083333333327</v>
      </c>
      <c r="D1055" s="8">
        <f t="shared" si="34"/>
        <v>6.0836083333333333</v>
      </c>
      <c r="E1055" s="8">
        <f t="shared" si="34"/>
        <v>6.0819999999999999</v>
      </c>
      <c r="F1055" s="4">
        <f t="shared" si="34"/>
        <v>6.7476999999999991</v>
      </c>
      <c r="G1055" s="8">
        <f t="shared" si="34"/>
        <v>5.9544416666666669</v>
      </c>
      <c r="H1055" s="4">
        <f t="shared" si="34"/>
        <v>6.8670416666666663</v>
      </c>
      <c r="I1055" s="8">
        <f t="shared" si="34"/>
        <v>5.927858333333333</v>
      </c>
      <c r="J1055" s="4">
        <f t="shared" si="34"/>
        <v>5.8474666666666657</v>
      </c>
      <c r="K1055" s="4"/>
      <c r="L1055" s="5">
        <f t="shared" ref="L1055:Q1055" si="35">SUM(L221:L232)</f>
        <v>336.06969999999995</v>
      </c>
      <c r="M1055" s="5">
        <f t="shared" si="35"/>
        <v>142.0401</v>
      </c>
      <c r="N1055" s="5">
        <f t="shared" si="35"/>
        <v>58.217499999999994</v>
      </c>
      <c r="O1055" s="5">
        <f t="shared" si="35"/>
        <v>4.4104999999999999</v>
      </c>
      <c r="P1055" s="5">
        <f t="shared" si="35"/>
        <v>14.718800000000003</v>
      </c>
      <c r="Q1055" s="5">
        <f t="shared" si="35"/>
        <v>362.33550000000002</v>
      </c>
      <c r="R1055" s="5"/>
      <c r="S1055" s="4"/>
    </row>
    <row r="1056" spans="1:19" ht="15" customHeight="1">
      <c r="A1056" s="3">
        <v>2034</v>
      </c>
      <c r="B1056" s="8">
        <f t="shared" ref="B1056:J1056" si="36">AVERAGE(B233:B244)</f>
        <v>6.1932499999999999</v>
      </c>
      <c r="C1056" s="8">
        <f t="shared" si="36"/>
        <v>6.2035999999999989</v>
      </c>
      <c r="D1056" s="8">
        <f t="shared" si="36"/>
        <v>6.2044916666666659</v>
      </c>
      <c r="E1056" s="8">
        <f t="shared" si="36"/>
        <v>6.2028833333333351</v>
      </c>
      <c r="F1056" s="4">
        <f t="shared" si="36"/>
        <v>6.8685833333333335</v>
      </c>
      <c r="G1056" s="8">
        <f t="shared" si="36"/>
        <v>6.073366666666665</v>
      </c>
      <c r="H1056" s="4">
        <f t="shared" si="36"/>
        <v>6.985991666666667</v>
      </c>
      <c r="I1056" s="8">
        <f t="shared" si="36"/>
        <v>6.0448333333333339</v>
      </c>
      <c r="J1056" s="4">
        <f t="shared" si="36"/>
        <v>5.964383333333334</v>
      </c>
      <c r="K1056" s="4"/>
      <c r="L1056" s="5">
        <f t="shared" ref="L1056:Q1056" si="37">SUM(L233:L244)</f>
        <v>336.06969999999995</v>
      </c>
      <c r="M1056" s="5">
        <f t="shared" si="37"/>
        <v>142.0401</v>
      </c>
      <c r="N1056" s="5">
        <f t="shared" si="37"/>
        <v>58.217499999999994</v>
      </c>
      <c r="O1056" s="5">
        <f t="shared" si="37"/>
        <v>4.4104999999999999</v>
      </c>
      <c r="P1056" s="5">
        <f t="shared" si="37"/>
        <v>14.718800000000003</v>
      </c>
      <c r="Q1056" s="5">
        <f t="shared" si="37"/>
        <v>361.59120000000007</v>
      </c>
      <c r="R1056" s="5"/>
      <c r="S1056" s="4"/>
    </row>
    <row r="1057" spans="1:19" ht="15" customHeight="1">
      <c r="A1057" s="3">
        <v>2035</v>
      </c>
      <c r="B1057" s="8">
        <f t="shared" ref="B1057:J1057" si="38">AVERAGE(B245:B256)</f>
        <v>6.3165499999999994</v>
      </c>
      <c r="C1057" s="8">
        <f t="shared" si="38"/>
        <v>6.3268916666666675</v>
      </c>
      <c r="D1057" s="8">
        <f t="shared" si="38"/>
        <v>6.3278166666666662</v>
      </c>
      <c r="E1057" s="8">
        <f t="shared" si="38"/>
        <v>6.3262083333333328</v>
      </c>
      <c r="F1057" s="4">
        <f t="shared" si="38"/>
        <v>6.9918666666666658</v>
      </c>
      <c r="G1057" s="8">
        <f t="shared" si="38"/>
        <v>6.1946916666666674</v>
      </c>
      <c r="H1057" s="4">
        <f t="shared" si="38"/>
        <v>7.1072999999999995</v>
      </c>
      <c r="I1057" s="8">
        <f t="shared" si="38"/>
        <v>6.1641333333333348</v>
      </c>
      <c r="J1057" s="4">
        <f t="shared" si="38"/>
        <v>6.0836249999999987</v>
      </c>
      <c r="K1057" s="4"/>
      <c r="L1057" s="5">
        <f t="shared" ref="L1057:Q1057" si="39">SUM(L245:L256)</f>
        <v>336.06969999999995</v>
      </c>
      <c r="M1057" s="5">
        <f t="shared" si="39"/>
        <v>142.0401</v>
      </c>
      <c r="N1057" s="5">
        <f t="shared" si="39"/>
        <v>58.217499999999994</v>
      </c>
      <c r="O1057" s="5">
        <f t="shared" si="39"/>
        <v>4.4104999999999999</v>
      </c>
      <c r="P1057" s="5">
        <f t="shared" si="39"/>
        <v>14.718800000000003</v>
      </c>
      <c r="Q1057" s="5">
        <f t="shared" si="39"/>
        <v>360.82469999999995</v>
      </c>
      <c r="R1057" s="5"/>
      <c r="S1057" s="4"/>
    </row>
    <row r="1058" spans="1:19" ht="15" customHeight="1">
      <c r="A1058" s="3">
        <v>2036</v>
      </c>
      <c r="B1058" s="8">
        <f t="shared" ref="B1058:J1058" si="40">AVERAGE(B257:B268)</f>
        <v>6.5222083333333343</v>
      </c>
      <c r="C1058" s="8">
        <f t="shared" si="40"/>
        <v>6.5325666666666677</v>
      </c>
      <c r="D1058" s="8">
        <f t="shared" si="40"/>
        <v>6.5334666666666656</v>
      </c>
      <c r="E1058" s="8">
        <f t="shared" si="40"/>
        <v>6.5318666666666667</v>
      </c>
      <c r="F1058" s="4">
        <f t="shared" si="40"/>
        <v>7.1975499999999997</v>
      </c>
      <c r="G1058" s="8">
        <f t="shared" si="40"/>
        <v>6.3970166666666666</v>
      </c>
      <c r="H1058" s="4">
        <f t="shared" si="40"/>
        <v>7.3096416666666677</v>
      </c>
      <c r="I1058" s="8">
        <f t="shared" si="40"/>
        <v>6.3631500000000001</v>
      </c>
      <c r="J1058" s="4">
        <f t="shared" si="40"/>
        <v>6.2825416666666669</v>
      </c>
      <c r="K1058" s="4"/>
      <c r="L1058" s="5">
        <f t="shared" ref="L1058:Q1058" si="41">SUM(L257:L268)</f>
        <v>336.95349999999996</v>
      </c>
      <c r="M1058" s="5">
        <f t="shared" si="41"/>
        <v>142.42920000000001</v>
      </c>
      <c r="N1058" s="5">
        <f t="shared" si="41"/>
        <v>58.377000000000002</v>
      </c>
      <c r="O1058" s="5">
        <f t="shared" si="41"/>
        <v>4.4226000000000001</v>
      </c>
      <c r="P1058" s="5">
        <f t="shared" si="41"/>
        <v>14.760600000000004</v>
      </c>
      <c r="Q1058" s="5">
        <f t="shared" si="41"/>
        <v>361.0446</v>
      </c>
      <c r="R1058" s="5"/>
      <c r="S1058" s="4"/>
    </row>
    <row r="1059" spans="1:19" ht="15" customHeight="1">
      <c r="A1059" s="3">
        <v>2037</v>
      </c>
      <c r="B1059" s="8">
        <f t="shared" ref="B1059:J1059" si="42">AVERAGE(B269:B280)</f>
        <v>6.7345999999999995</v>
      </c>
      <c r="C1059" s="8">
        <f t="shared" si="42"/>
        <v>6.7449583333333329</v>
      </c>
      <c r="D1059" s="8">
        <f t="shared" si="42"/>
        <v>6.7458500000000008</v>
      </c>
      <c r="E1059" s="8">
        <f t="shared" si="42"/>
        <v>6.7442416666666665</v>
      </c>
      <c r="F1059" s="4">
        <f t="shared" si="42"/>
        <v>7.4099333333333322</v>
      </c>
      <c r="G1059" s="8">
        <f t="shared" si="42"/>
        <v>6.6059833333333344</v>
      </c>
      <c r="H1059" s="4">
        <f t="shared" si="42"/>
        <v>7.518583333333333</v>
      </c>
      <c r="I1059" s="8">
        <f t="shared" si="42"/>
        <v>6.5686500000000008</v>
      </c>
      <c r="J1059" s="4">
        <f t="shared" si="42"/>
        <v>6.4879500000000005</v>
      </c>
      <c r="K1059" s="4"/>
      <c r="L1059" s="5">
        <f t="shared" ref="L1059:Q1059" si="43">SUM(L269:L280)</f>
        <v>336.06969999999995</v>
      </c>
      <c r="M1059" s="5">
        <f t="shared" si="43"/>
        <v>142.0401</v>
      </c>
      <c r="N1059" s="5">
        <f t="shared" si="43"/>
        <v>58.217499999999994</v>
      </c>
      <c r="O1059" s="5">
        <f t="shared" si="43"/>
        <v>4.4104999999999999</v>
      </c>
      <c r="P1059" s="5">
        <f t="shared" si="43"/>
        <v>14.718800000000003</v>
      </c>
      <c r="Q1059" s="5">
        <f t="shared" si="43"/>
        <v>359.29169999999999</v>
      </c>
      <c r="R1059" s="5"/>
      <c r="S1059" s="4"/>
    </row>
    <row r="1060" spans="1:19" ht="15" customHeight="1">
      <c r="A1060" s="3">
        <f t="shared" ref="A1060:A1091" si="44">A1059+1</f>
        <v>2038</v>
      </c>
      <c r="B1060" s="8">
        <f t="shared" ref="B1060:J1060" si="45">AVERAGE(B281:B292)</f>
        <v>6.953941666666668</v>
      </c>
      <c r="C1060" s="8">
        <f t="shared" si="45"/>
        <v>6.964291666666667</v>
      </c>
      <c r="D1060" s="8">
        <f t="shared" si="45"/>
        <v>6.9651999999999994</v>
      </c>
      <c r="E1060" s="8">
        <f t="shared" si="45"/>
        <v>6.9635999999999996</v>
      </c>
      <c r="F1060" s="4">
        <f t="shared" si="45"/>
        <v>7.6292749999999989</v>
      </c>
      <c r="G1060" s="8">
        <f t="shared" si="45"/>
        <v>6.8217833333333324</v>
      </c>
      <c r="H1060" s="4">
        <f t="shared" si="45"/>
        <v>7.7343833333333327</v>
      </c>
      <c r="I1060" s="8">
        <f t="shared" si="45"/>
        <v>6.7808833333333345</v>
      </c>
      <c r="J1060" s="4">
        <f t="shared" si="45"/>
        <v>6.7000583333333337</v>
      </c>
      <c r="K1060" s="4"/>
      <c r="L1060" s="5">
        <f t="shared" ref="L1060:Q1060" si="46">SUM(L281:L292)</f>
        <v>336.06969999999995</v>
      </c>
      <c r="M1060" s="5">
        <f t="shared" si="46"/>
        <v>142.0401</v>
      </c>
      <c r="N1060" s="5">
        <f t="shared" si="46"/>
        <v>58.217499999999994</v>
      </c>
      <c r="O1060" s="5">
        <f t="shared" si="46"/>
        <v>4.4104999999999999</v>
      </c>
      <c r="P1060" s="5">
        <f t="shared" si="46"/>
        <v>14.718800000000003</v>
      </c>
      <c r="Q1060" s="5">
        <f t="shared" si="46"/>
        <v>358.54670000000004</v>
      </c>
      <c r="R1060" s="5"/>
      <c r="S1060" s="4"/>
    </row>
    <row r="1061" spans="1:19" ht="15" customHeight="1">
      <c r="A1061" s="3">
        <f t="shared" si="44"/>
        <v>2039</v>
      </c>
      <c r="B1061" s="8">
        <f t="shared" ref="B1061:J1061" si="47">AVERAGE(B293:B304)</f>
        <v>7.180466666666665</v>
      </c>
      <c r="C1061" s="8">
        <f t="shared" si="47"/>
        <v>7.1907999999999994</v>
      </c>
      <c r="D1061" s="8">
        <f t="shared" si="47"/>
        <v>7.1917083333333336</v>
      </c>
      <c r="E1061" s="8">
        <f t="shared" si="47"/>
        <v>7.190100000000001</v>
      </c>
      <c r="F1061" s="4">
        <f t="shared" si="47"/>
        <v>7.8557833333333322</v>
      </c>
      <c r="G1061" s="8">
        <f t="shared" si="47"/>
        <v>7.0446</v>
      </c>
      <c r="H1061" s="4">
        <f t="shared" si="47"/>
        <v>7.9572166666666666</v>
      </c>
      <c r="I1061" s="8">
        <f t="shared" si="47"/>
        <v>7.0000416666666672</v>
      </c>
      <c r="J1061" s="4">
        <f t="shared" si="47"/>
        <v>6.9191166666666666</v>
      </c>
      <c r="K1061" s="7"/>
      <c r="L1061" s="5">
        <f t="shared" ref="L1061:Q1061" si="48">SUM(L293:L304)</f>
        <v>336.06969999999995</v>
      </c>
      <c r="M1061" s="5">
        <f t="shared" si="48"/>
        <v>142.0401</v>
      </c>
      <c r="N1061" s="5">
        <f t="shared" si="48"/>
        <v>58.217499999999994</v>
      </c>
      <c r="O1061" s="5">
        <f t="shared" si="48"/>
        <v>4.4104999999999999</v>
      </c>
      <c r="P1061" s="5">
        <f t="shared" si="48"/>
        <v>14.718800000000003</v>
      </c>
      <c r="Q1061" s="5">
        <f t="shared" si="48"/>
        <v>357.78019999999998</v>
      </c>
      <c r="R1061" s="5"/>
      <c r="S1061" s="6"/>
    </row>
    <row r="1062" spans="1:19" ht="15" customHeight="1">
      <c r="A1062" s="3">
        <f t="shared" si="44"/>
        <v>2040</v>
      </c>
      <c r="B1062" s="8">
        <f t="shared" ref="B1062:J1062" si="49">AVERAGE(B305:B316)</f>
        <v>7.4143666666666661</v>
      </c>
      <c r="C1062" s="8">
        <f t="shared" si="49"/>
        <v>7.4247000000000005</v>
      </c>
      <c r="D1062" s="8">
        <f t="shared" si="49"/>
        <v>7.4256166666666674</v>
      </c>
      <c r="E1062" s="8">
        <f t="shared" si="49"/>
        <v>7.424008333333334</v>
      </c>
      <c r="F1062" s="4">
        <f t="shared" si="49"/>
        <v>8.0897000000000006</v>
      </c>
      <c r="G1062" s="8">
        <f t="shared" si="49"/>
        <v>7.2747416666666664</v>
      </c>
      <c r="H1062" s="4">
        <f t="shared" si="49"/>
        <v>8.1873416666666667</v>
      </c>
      <c r="I1062" s="8">
        <f t="shared" si="49"/>
        <v>7.2263666666666664</v>
      </c>
      <c r="J1062" s="4">
        <f t="shared" si="49"/>
        <v>7.1453499999999979</v>
      </c>
      <c r="K1062" s="7"/>
      <c r="L1062" s="5">
        <f t="shared" ref="L1062:Q1062" si="50">SUM(L305:L316)</f>
        <v>336.95349999999996</v>
      </c>
      <c r="M1062" s="5">
        <f t="shared" si="50"/>
        <v>142.42920000000001</v>
      </c>
      <c r="N1062" s="5">
        <f t="shared" si="50"/>
        <v>58.377000000000002</v>
      </c>
      <c r="O1062" s="5">
        <f t="shared" si="50"/>
        <v>4.4226000000000001</v>
      </c>
      <c r="P1062" s="5">
        <f t="shared" si="50"/>
        <v>14.760600000000004</v>
      </c>
      <c r="Q1062" s="5">
        <f t="shared" si="50"/>
        <v>357.99180000000001</v>
      </c>
      <c r="R1062" s="5"/>
      <c r="S1062" s="6"/>
    </row>
    <row r="1063" spans="1:19" ht="15" customHeight="1">
      <c r="A1063" s="3">
        <f t="shared" si="44"/>
        <v>2041</v>
      </c>
      <c r="B1063" s="8">
        <f t="shared" ref="B1063:J1063" si="51">AVERAGE(B317:B328)</f>
        <v>7.655941666666668</v>
      </c>
      <c r="C1063" s="8">
        <f t="shared" si="51"/>
        <v>7.6662666666666679</v>
      </c>
      <c r="D1063" s="8">
        <f t="shared" si="51"/>
        <v>7.6671916666666675</v>
      </c>
      <c r="E1063" s="8">
        <f t="shared" si="51"/>
        <v>7.6655833333333341</v>
      </c>
      <c r="F1063" s="4">
        <f t="shared" si="51"/>
        <v>8.331274999999998</v>
      </c>
      <c r="G1063" s="8">
        <f t="shared" si="51"/>
        <v>7.5123916666666668</v>
      </c>
      <c r="H1063" s="4">
        <f t="shared" si="51"/>
        <v>8.4250083333333325</v>
      </c>
      <c r="I1063" s="8">
        <f t="shared" si="51"/>
        <v>7.460116666666667</v>
      </c>
      <c r="J1063" s="4">
        <f t="shared" si="51"/>
        <v>7.3789666666666669</v>
      </c>
      <c r="K1063" s="7"/>
      <c r="L1063" s="5">
        <f t="shared" ref="L1063:Q1063" si="52">SUM(L317:L328)</f>
        <v>336.06969999999995</v>
      </c>
      <c r="M1063" s="5">
        <f t="shared" si="52"/>
        <v>142.0401</v>
      </c>
      <c r="N1063" s="5">
        <f t="shared" si="52"/>
        <v>58.217499999999994</v>
      </c>
      <c r="O1063" s="5">
        <f t="shared" si="52"/>
        <v>4.4104999999999999</v>
      </c>
      <c r="P1063" s="5">
        <f t="shared" si="52"/>
        <v>14.718800000000003</v>
      </c>
      <c r="Q1063" s="5">
        <f t="shared" si="52"/>
        <v>356.26930000000004</v>
      </c>
      <c r="R1063" s="5"/>
      <c r="S1063" s="6"/>
    </row>
    <row r="1064" spans="1:19" ht="15" customHeight="1">
      <c r="A1064" s="3">
        <f t="shared" si="44"/>
        <v>2042</v>
      </c>
      <c r="B1064" s="8">
        <f t="shared" ref="B1064:J1064" si="53">AVERAGE(B329:B340)</f>
        <v>7.9053916666666666</v>
      </c>
      <c r="C1064" s="8">
        <f t="shared" si="53"/>
        <v>7.9157583333333337</v>
      </c>
      <c r="D1064" s="8">
        <f t="shared" si="53"/>
        <v>7.916641666666667</v>
      </c>
      <c r="E1064" s="8">
        <f t="shared" si="53"/>
        <v>7.9150416666666672</v>
      </c>
      <c r="F1064" s="4">
        <f t="shared" si="53"/>
        <v>8.5807249999999993</v>
      </c>
      <c r="G1064" s="8">
        <f t="shared" si="53"/>
        <v>7.7578416666666667</v>
      </c>
      <c r="H1064" s="4">
        <f t="shared" si="53"/>
        <v>8.670441666666667</v>
      </c>
      <c r="I1064" s="8">
        <f t="shared" si="53"/>
        <v>7.7015000000000002</v>
      </c>
      <c r="J1064" s="4">
        <f t="shared" si="53"/>
        <v>7.6202000000000014</v>
      </c>
      <c r="K1064" s="7"/>
      <c r="L1064" s="5">
        <f t="shared" ref="L1064:Q1064" si="54">SUM(L329:L340)</f>
        <v>336.06969999999995</v>
      </c>
      <c r="M1064" s="5">
        <f t="shared" si="54"/>
        <v>142.0401</v>
      </c>
      <c r="N1064" s="5">
        <f t="shared" si="54"/>
        <v>58.217499999999994</v>
      </c>
      <c r="O1064" s="5">
        <f t="shared" si="54"/>
        <v>4.4104999999999999</v>
      </c>
      <c r="P1064" s="5">
        <f t="shared" si="54"/>
        <v>14.718800000000003</v>
      </c>
      <c r="Q1064" s="5">
        <f t="shared" si="54"/>
        <v>242.47669999999997</v>
      </c>
      <c r="R1064" s="5"/>
      <c r="S1064" s="6"/>
    </row>
    <row r="1065" spans="1:19" ht="15" customHeight="1">
      <c r="A1065" s="3">
        <f t="shared" si="44"/>
        <v>2043</v>
      </c>
      <c r="B1065" s="8">
        <f t="shared" ref="B1065:J1065" si="55">AVERAGE(B341:B352)</f>
        <v>8.1630416666666665</v>
      </c>
      <c r="C1065" s="8">
        <f t="shared" si="55"/>
        <v>8.1733666666666682</v>
      </c>
      <c r="D1065" s="8">
        <f t="shared" si="55"/>
        <v>8.1742833333333333</v>
      </c>
      <c r="E1065" s="8">
        <f t="shared" si="55"/>
        <v>8.1726749999999999</v>
      </c>
      <c r="F1065" s="4">
        <f t="shared" si="55"/>
        <v>8.8383833333333328</v>
      </c>
      <c r="G1065" s="8">
        <f t="shared" si="55"/>
        <v>8.0112749999999995</v>
      </c>
      <c r="H1065" s="4">
        <f t="shared" si="55"/>
        <v>8.9239166666666687</v>
      </c>
      <c r="I1065" s="8">
        <f t="shared" si="55"/>
        <v>7.950775000000001</v>
      </c>
      <c r="J1065" s="4">
        <f t="shared" si="55"/>
        <v>7.8693583333333335</v>
      </c>
      <c r="K1065" s="7"/>
      <c r="L1065" s="5">
        <f t="shared" ref="L1065:Q1065" si="56">SUM(L341:L352)</f>
        <v>336.06969999999995</v>
      </c>
      <c r="M1065" s="5">
        <f t="shared" si="56"/>
        <v>142.0401</v>
      </c>
      <c r="N1065" s="5">
        <f t="shared" si="56"/>
        <v>58.217499999999994</v>
      </c>
      <c r="O1065" s="5">
        <f t="shared" si="56"/>
        <v>4.4104999999999999</v>
      </c>
      <c r="P1065" s="5">
        <f t="shared" si="56"/>
        <v>14.718800000000003</v>
      </c>
      <c r="Q1065" s="5">
        <f t="shared" si="56"/>
        <v>241.71019999999996</v>
      </c>
      <c r="R1065" s="5"/>
      <c r="S1065" s="6"/>
    </row>
    <row r="1066" spans="1:19" ht="15" customHeight="1">
      <c r="A1066" s="3">
        <f t="shared" si="44"/>
        <v>2044</v>
      </c>
      <c r="B1066" s="8">
        <f t="shared" ref="B1066:J1066" si="57">AVERAGE(B353:B364)</f>
        <v>8.4290833333333328</v>
      </c>
      <c r="C1066" s="8">
        <f t="shared" si="57"/>
        <v>8.4394333333333336</v>
      </c>
      <c r="D1066" s="8">
        <f t="shared" si="57"/>
        <v>8.4403249999999979</v>
      </c>
      <c r="E1066" s="8">
        <f t="shared" si="57"/>
        <v>8.4387166666666662</v>
      </c>
      <c r="F1066" s="4">
        <f t="shared" si="57"/>
        <v>9.1044</v>
      </c>
      <c r="G1066" s="8">
        <f t="shared" si="57"/>
        <v>8.273041666666666</v>
      </c>
      <c r="H1066" s="4">
        <f t="shared" si="57"/>
        <v>9.1856500000000008</v>
      </c>
      <c r="I1066" s="8">
        <f t="shared" si="57"/>
        <v>8.2081916666666697</v>
      </c>
      <c r="J1066" s="4">
        <f t="shared" si="57"/>
        <v>8.1266583333333333</v>
      </c>
      <c r="K1066" s="7"/>
      <c r="L1066" s="5">
        <f t="shared" ref="L1066:Q1066" si="58">SUM(L353:L364)</f>
        <v>336.95349999999996</v>
      </c>
      <c r="M1066" s="5">
        <f t="shared" si="58"/>
        <v>142.42920000000001</v>
      </c>
      <c r="N1066" s="5">
        <f t="shared" si="58"/>
        <v>58.377000000000002</v>
      </c>
      <c r="O1066" s="5">
        <f t="shared" si="58"/>
        <v>4.4226000000000001</v>
      </c>
      <c r="P1066" s="5">
        <f t="shared" si="58"/>
        <v>14.760600000000004</v>
      </c>
      <c r="Q1066" s="5">
        <f t="shared" si="58"/>
        <v>241.58220000000006</v>
      </c>
      <c r="R1066" s="5"/>
      <c r="S1066" s="6"/>
    </row>
    <row r="1067" spans="1:19" ht="15" customHeight="1">
      <c r="A1067" s="3">
        <f t="shared" si="44"/>
        <v>2045</v>
      </c>
      <c r="B1067" s="8">
        <f t="shared" ref="B1067:J1067" si="59">AVERAGE(B365:B376)</f>
        <v>8.7038416666666674</v>
      </c>
      <c r="C1067" s="8">
        <f t="shared" si="59"/>
        <v>8.7141750000000009</v>
      </c>
      <c r="D1067" s="8">
        <f t="shared" si="59"/>
        <v>8.7150666666666687</v>
      </c>
      <c r="E1067" s="8">
        <f t="shared" si="59"/>
        <v>8.7134666666666689</v>
      </c>
      <c r="F1067" s="4">
        <f t="shared" si="59"/>
        <v>9.379150000000001</v>
      </c>
      <c r="G1067" s="8">
        <f t="shared" si="59"/>
        <v>8.5433333333333348</v>
      </c>
      <c r="H1067" s="4">
        <f t="shared" si="59"/>
        <v>9.4559583333333332</v>
      </c>
      <c r="I1067" s="8">
        <f t="shared" si="59"/>
        <v>8.4740333333333329</v>
      </c>
      <c r="J1067" s="4">
        <f t="shared" si="59"/>
        <v>8.3923749999999995</v>
      </c>
      <c r="K1067" s="7"/>
      <c r="L1067" s="5">
        <f t="shared" ref="L1067:Q1067" si="60">SUM(L365:L376)</f>
        <v>336.06969999999995</v>
      </c>
      <c r="M1067" s="5">
        <f t="shared" si="60"/>
        <v>142.0401</v>
      </c>
      <c r="N1067" s="5">
        <f t="shared" si="60"/>
        <v>58.217499999999994</v>
      </c>
      <c r="O1067" s="5">
        <f t="shared" si="60"/>
        <v>4.4104999999999999</v>
      </c>
      <c r="P1067" s="5">
        <f t="shared" si="60"/>
        <v>14.718800000000003</v>
      </c>
      <c r="Q1067" s="5">
        <f t="shared" si="60"/>
        <v>240.15570000000002</v>
      </c>
      <c r="R1067" s="5"/>
      <c r="S1067" s="6"/>
    </row>
    <row r="1068" spans="1:19" ht="15" customHeight="1">
      <c r="A1068" s="3">
        <f t="shared" si="44"/>
        <v>2046</v>
      </c>
      <c r="B1068" s="8">
        <f t="shared" ref="B1068:J1068" si="61">AVERAGE(B377:B388)</f>
        <v>8.9875749999999996</v>
      </c>
      <c r="C1068" s="8">
        <f t="shared" si="61"/>
        <v>8.9979166666666668</v>
      </c>
      <c r="D1068" s="8">
        <f t="shared" si="61"/>
        <v>8.9988250000000019</v>
      </c>
      <c r="E1068" s="8">
        <f t="shared" si="61"/>
        <v>8.9972166666666666</v>
      </c>
      <c r="F1068" s="4">
        <f t="shared" si="61"/>
        <v>9.6629000000000005</v>
      </c>
      <c r="G1068" s="8">
        <f t="shared" si="61"/>
        <v>8.8225083333333316</v>
      </c>
      <c r="H1068" s="4">
        <f t="shared" si="61"/>
        <v>9.735108333333331</v>
      </c>
      <c r="I1068" s="8">
        <f t="shared" si="61"/>
        <v>8.748566666666667</v>
      </c>
      <c r="J1068" s="4">
        <f t="shared" si="61"/>
        <v>8.6667749999999995</v>
      </c>
      <c r="K1068" s="7"/>
      <c r="L1068" s="5">
        <f t="shared" ref="L1068:Q1068" si="62">SUM(L377:L388)</f>
        <v>336.06969999999995</v>
      </c>
      <c r="M1068" s="5">
        <f t="shared" si="62"/>
        <v>142.0401</v>
      </c>
      <c r="N1068" s="5">
        <f t="shared" si="62"/>
        <v>58.217499999999994</v>
      </c>
      <c r="O1068" s="5">
        <f t="shared" si="62"/>
        <v>4.4104999999999999</v>
      </c>
      <c r="P1068" s="5">
        <f t="shared" si="62"/>
        <v>14.718800000000003</v>
      </c>
      <c r="Q1068" s="5">
        <f t="shared" si="62"/>
        <v>239.38920000000005</v>
      </c>
      <c r="R1068" s="5"/>
      <c r="S1068" s="6"/>
    </row>
    <row r="1069" spans="1:19" ht="15" customHeight="1">
      <c r="A1069" s="3">
        <f t="shared" si="44"/>
        <v>2047</v>
      </c>
      <c r="B1069" s="8">
        <f t="shared" ref="B1069:J1069" si="63">AVERAGE(B389:B400)</f>
        <v>9.2805916666666661</v>
      </c>
      <c r="C1069" s="8">
        <f t="shared" si="63"/>
        <v>9.2909333333333333</v>
      </c>
      <c r="D1069" s="8">
        <f t="shared" si="63"/>
        <v>9.2918333333333329</v>
      </c>
      <c r="E1069" s="8">
        <f t="shared" si="63"/>
        <v>9.2902333333333349</v>
      </c>
      <c r="F1069" s="4">
        <f t="shared" si="63"/>
        <v>9.9559249999999988</v>
      </c>
      <c r="G1069" s="8">
        <f t="shared" si="63"/>
        <v>9.1107666666666667</v>
      </c>
      <c r="H1069" s="4">
        <f t="shared" si="63"/>
        <v>10.023391666666667</v>
      </c>
      <c r="I1069" s="8">
        <f t="shared" si="63"/>
        <v>9.0320999999999998</v>
      </c>
      <c r="J1069" s="4">
        <f t="shared" si="63"/>
        <v>8.9501500000000007</v>
      </c>
      <c r="K1069" s="7"/>
      <c r="L1069" s="5">
        <f t="shared" ref="L1069:Q1069" si="64">SUM(L389:L400)</f>
        <v>336.06969999999995</v>
      </c>
      <c r="M1069" s="5">
        <f t="shared" si="64"/>
        <v>142.0401</v>
      </c>
      <c r="N1069" s="5">
        <f t="shared" si="64"/>
        <v>58.217499999999994</v>
      </c>
      <c r="O1069" s="5">
        <f t="shared" si="64"/>
        <v>4.4104999999999999</v>
      </c>
      <c r="P1069" s="5">
        <f t="shared" si="64"/>
        <v>14.718800000000003</v>
      </c>
      <c r="Q1069" s="5">
        <f t="shared" si="64"/>
        <v>238.62270000000004</v>
      </c>
      <c r="R1069" s="5"/>
      <c r="S1069" s="6"/>
    </row>
    <row r="1070" spans="1:19" ht="15" customHeight="1">
      <c r="A1070" s="3">
        <f t="shared" si="44"/>
        <v>2048</v>
      </c>
      <c r="B1070" s="8">
        <f t="shared" ref="B1070:J1070" si="65">AVERAGE(B401:B412)</f>
        <v>9.5831916666666661</v>
      </c>
      <c r="C1070" s="8">
        <f t="shared" si="65"/>
        <v>9.593533333333335</v>
      </c>
      <c r="D1070" s="8">
        <f t="shared" si="65"/>
        <v>9.5944250000000011</v>
      </c>
      <c r="E1070" s="8">
        <f t="shared" si="65"/>
        <v>9.5928249999999995</v>
      </c>
      <c r="F1070" s="4">
        <f t="shared" si="65"/>
        <v>10.258491666666666</v>
      </c>
      <c r="G1070" s="8">
        <f t="shared" si="65"/>
        <v>9.4084666666666656</v>
      </c>
      <c r="H1070" s="4">
        <f t="shared" si="65"/>
        <v>10.321091666666666</v>
      </c>
      <c r="I1070" s="8">
        <f t="shared" si="65"/>
        <v>9.3248833333333341</v>
      </c>
      <c r="J1070" s="4">
        <f t="shared" si="65"/>
        <v>9.2428083333333326</v>
      </c>
      <c r="K1070" s="7"/>
      <c r="L1070" s="5">
        <f t="shared" ref="L1070:Q1070" si="66">SUM(L401:L412)</f>
        <v>336.95349999999996</v>
      </c>
      <c r="M1070" s="5">
        <f t="shared" si="66"/>
        <v>142.42920000000001</v>
      </c>
      <c r="N1070" s="5">
        <f t="shared" si="66"/>
        <v>58.377000000000002</v>
      </c>
      <c r="O1070" s="5">
        <f t="shared" si="66"/>
        <v>4.4226000000000001</v>
      </c>
      <c r="P1070" s="5">
        <f t="shared" si="66"/>
        <v>14.760600000000004</v>
      </c>
      <c r="Q1070" s="5">
        <f t="shared" si="66"/>
        <v>238.50780000000003</v>
      </c>
      <c r="R1070" s="5"/>
      <c r="S1070" s="6"/>
    </row>
    <row r="1071" spans="1:19" ht="15" customHeight="1">
      <c r="A1071" s="3">
        <f t="shared" si="44"/>
        <v>2049</v>
      </c>
      <c r="B1071" s="8">
        <f t="shared" ref="B1071:J1071" si="67">AVERAGE(B413:B424)</f>
        <v>9.8956916666666661</v>
      </c>
      <c r="C1071" s="8">
        <f t="shared" si="67"/>
        <v>9.9060249999999996</v>
      </c>
      <c r="D1071" s="8">
        <f t="shared" si="67"/>
        <v>9.9069166666666657</v>
      </c>
      <c r="E1071" s="8">
        <f t="shared" si="67"/>
        <v>9.905308333333334</v>
      </c>
      <c r="F1071" s="4">
        <f t="shared" si="67"/>
        <v>10.571008333333332</v>
      </c>
      <c r="G1071" s="8">
        <f t="shared" si="67"/>
        <v>9.7159083333333331</v>
      </c>
      <c r="H1071" s="4">
        <f t="shared" si="67"/>
        <v>10.628525000000002</v>
      </c>
      <c r="I1071" s="8">
        <f t="shared" si="67"/>
        <v>9.6272416666666665</v>
      </c>
      <c r="J1071" s="4">
        <f t="shared" si="67"/>
        <v>9.5450166666666654</v>
      </c>
      <c r="K1071" s="7"/>
      <c r="L1071" s="5">
        <f t="shared" ref="L1071:Q1071" si="68">SUM(L413:L424)</f>
        <v>336.06969999999995</v>
      </c>
      <c r="M1071" s="5">
        <f t="shared" si="68"/>
        <v>142.0401</v>
      </c>
      <c r="N1071" s="5">
        <f t="shared" si="68"/>
        <v>58.217499999999994</v>
      </c>
      <c r="O1071" s="5">
        <f t="shared" si="68"/>
        <v>4.4104999999999999</v>
      </c>
      <c r="P1071" s="5">
        <f t="shared" si="68"/>
        <v>14.718800000000003</v>
      </c>
      <c r="Q1071" s="5">
        <f t="shared" si="68"/>
        <v>237.08969999999999</v>
      </c>
      <c r="R1071" s="5"/>
      <c r="S1071" s="6"/>
    </row>
    <row r="1072" spans="1:19" ht="15" customHeight="1">
      <c r="A1072" s="3">
        <f t="shared" si="44"/>
        <v>2050</v>
      </c>
      <c r="B1072" s="8">
        <f t="shared" ref="B1072:J1072" si="69">AVERAGE(B425:B436)</f>
        <v>10.218391666666665</v>
      </c>
      <c r="C1072" s="8">
        <f t="shared" si="69"/>
        <v>10.228733333333333</v>
      </c>
      <c r="D1072" s="8">
        <f t="shared" si="69"/>
        <v>10.229641666666668</v>
      </c>
      <c r="E1072" s="8">
        <f t="shared" si="69"/>
        <v>10.228041666666664</v>
      </c>
      <c r="F1072" s="4">
        <f t="shared" si="69"/>
        <v>10.893716666666664</v>
      </c>
      <c r="G1072" s="8">
        <f t="shared" si="69"/>
        <v>10.033416666666668</v>
      </c>
      <c r="H1072" s="4">
        <f t="shared" si="69"/>
        <v>10.946025000000001</v>
      </c>
      <c r="I1072" s="8">
        <f t="shared" si="69"/>
        <v>9.9394999999999989</v>
      </c>
      <c r="J1072" s="4">
        <f t="shared" si="69"/>
        <v>9.8571083333333345</v>
      </c>
      <c r="K1072" s="7"/>
      <c r="L1072" s="5">
        <f t="shared" ref="L1072:Q1072" si="70">SUM(L425:L436)</f>
        <v>336.06969999999995</v>
      </c>
      <c r="M1072" s="5">
        <f t="shared" si="70"/>
        <v>142.0401</v>
      </c>
      <c r="N1072" s="5">
        <f t="shared" si="70"/>
        <v>58.217499999999994</v>
      </c>
      <c r="O1072" s="5">
        <f t="shared" si="70"/>
        <v>4.4104999999999999</v>
      </c>
      <c r="P1072" s="5">
        <f t="shared" si="70"/>
        <v>14.718800000000003</v>
      </c>
      <c r="Q1072" s="5">
        <f t="shared" si="70"/>
        <v>236.32320000000004</v>
      </c>
      <c r="R1072" s="5"/>
      <c r="S1072" s="6"/>
    </row>
    <row r="1073" spans="1:19" ht="15" customHeight="1">
      <c r="A1073" s="3">
        <f t="shared" si="44"/>
        <v>2051</v>
      </c>
      <c r="B1073" s="8">
        <f t="shared" ref="B1073:J1073" si="71">AVERAGE(B437:B448)</f>
        <v>10.551658333333334</v>
      </c>
      <c r="C1073" s="8">
        <f t="shared" si="71"/>
        <v>10.562008333333335</v>
      </c>
      <c r="D1073" s="8">
        <f t="shared" si="71"/>
        <v>10.562908333333333</v>
      </c>
      <c r="E1073" s="8">
        <f t="shared" si="71"/>
        <v>10.561299999999999</v>
      </c>
      <c r="F1073" s="4">
        <f t="shared" si="71"/>
        <v>11.226991666666665</v>
      </c>
      <c r="G1073" s="8">
        <f t="shared" si="71"/>
        <v>10.3613</v>
      </c>
      <c r="H1073" s="4">
        <f t="shared" si="71"/>
        <v>11.273899999999999</v>
      </c>
      <c r="I1073" s="8">
        <f t="shared" si="71"/>
        <v>10.261966666666668</v>
      </c>
      <c r="J1073" s="4">
        <f t="shared" si="71"/>
        <v>10.179400000000001</v>
      </c>
      <c r="K1073" s="7"/>
      <c r="L1073" s="5">
        <f t="shared" ref="L1073:Q1073" si="72">SUM(L437:L448)</f>
        <v>336.06969999999995</v>
      </c>
      <c r="M1073" s="5">
        <f t="shared" si="72"/>
        <v>142.0401</v>
      </c>
      <c r="N1073" s="5">
        <f t="shared" si="72"/>
        <v>58.217499999999994</v>
      </c>
      <c r="O1073" s="5">
        <f t="shared" si="72"/>
        <v>4.4104999999999999</v>
      </c>
      <c r="P1073" s="5">
        <f t="shared" si="72"/>
        <v>14.718800000000003</v>
      </c>
      <c r="Q1073" s="5">
        <f t="shared" si="72"/>
        <v>235.57820000000007</v>
      </c>
      <c r="R1073" s="5"/>
      <c r="S1073" s="6"/>
    </row>
    <row r="1074" spans="1:19" ht="15" customHeight="1">
      <c r="A1074" s="3">
        <f t="shared" si="44"/>
        <v>2052</v>
      </c>
      <c r="B1074" s="8">
        <f t="shared" ref="B1074:J1074" si="73">AVERAGE(B449:B460)</f>
        <v>10.895841666666668</v>
      </c>
      <c r="C1074" s="8">
        <f t="shared" si="73"/>
        <v>10.906174999999999</v>
      </c>
      <c r="D1074" s="8">
        <f t="shared" si="73"/>
        <v>10.907074999999999</v>
      </c>
      <c r="E1074" s="8">
        <f t="shared" si="73"/>
        <v>10.905466666666669</v>
      </c>
      <c r="F1074" s="4">
        <f t="shared" si="73"/>
        <v>11.571149999999998</v>
      </c>
      <c r="G1074" s="8">
        <f t="shared" si="73"/>
        <v>10.699875</v>
      </c>
      <c r="H1074" s="4">
        <f t="shared" si="73"/>
        <v>11.612499999999999</v>
      </c>
      <c r="I1074" s="8">
        <f t="shared" si="73"/>
        <v>10.594966666666666</v>
      </c>
      <c r="J1074" s="4">
        <f t="shared" si="73"/>
        <v>10.512258333333333</v>
      </c>
      <c r="K1074" s="7"/>
      <c r="L1074" s="5">
        <f t="shared" ref="L1074:Q1074" si="74">SUM(L449:L460)</f>
        <v>336.95349999999996</v>
      </c>
      <c r="M1074" s="5">
        <f t="shared" si="74"/>
        <v>142.42920000000001</v>
      </c>
      <c r="N1074" s="5">
        <f t="shared" si="74"/>
        <v>58.377000000000002</v>
      </c>
      <c r="O1074" s="5">
        <f t="shared" si="74"/>
        <v>4.4226000000000001</v>
      </c>
      <c r="P1074" s="5">
        <f t="shared" si="74"/>
        <v>14.760600000000004</v>
      </c>
      <c r="Q1074" s="5">
        <f t="shared" si="74"/>
        <v>235.45500000000004</v>
      </c>
      <c r="R1074" s="5"/>
      <c r="S1074" s="6"/>
    </row>
    <row r="1075" spans="1:19" ht="15" customHeight="1">
      <c r="A1075" s="3">
        <f t="shared" si="44"/>
        <v>2053</v>
      </c>
      <c r="B1075" s="8">
        <f t="shared" ref="B1075:J1075" si="75">AVERAGE(B461:B472)</f>
        <v>11.251266666666668</v>
      </c>
      <c r="C1075" s="8">
        <f t="shared" si="75"/>
        <v>11.261608333333333</v>
      </c>
      <c r="D1075" s="8">
        <f t="shared" si="75"/>
        <v>11.262491666666667</v>
      </c>
      <c r="E1075" s="8">
        <f t="shared" si="75"/>
        <v>11.260891666666666</v>
      </c>
      <c r="F1075" s="4">
        <f t="shared" si="75"/>
        <v>11.926599999999999</v>
      </c>
      <c r="G1075" s="8">
        <f t="shared" si="75"/>
        <v>11.049558333333332</v>
      </c>
      <c r="H1075" s="4">
        <f t="shared" si="75"/>
        <v>11.962175</v>
      </c>
      <c r="I1075" s="8">
        <f t="shared" si="75"/>
        <v>10.938874999999998</v>
      </c>
      <c r="J1075" s="4">
        <f t="shared" si="75"/>
        <v>10.855991666666666</v>
      </c>
      <c r="K1075" s="7"/>
      <c r="L1075" s="5">
        <f t="shared" ref="L1075:Q1075" si="76">SUM(L461:L472)</f>
        <v>336.06969999999995</v>
      </c>
      <c r="M1075" s="5">
        <f t="shared" si="76"/>
        <v>142.0401</v>
      </c>
      <c r="N1075" s="5">
        <f t="shared" si="76"/>
        <v>58.217499999999994</v>
      </c>
      <c r="O1075" s="5">
        <f t="shared" si="76"/>
        <v>4.4104999999999999</v>
      </c>
      <c r="P1075" s="5">
        <f t="shared" si="76"/>
        <v>14.718800000000003</v>
      </c>
      <c r="Q1075" s="5">
        <f t="shared" si="76"/>
        <v>234.04520000000002</v>
      </c>
      <c r="R1075" s="5"/>
      <c r="S1075" s="6"/>
    </row>
    <row r="1076" spans="1:19" ht="15" customHeight="1">
      <c r="A1076" s="3">
        <f t="shared" si="44"/>
        <v>2054</v>
      </c>
      <c r="B1076" s="8">
        <f t="shared" ref="B1076:J1076" si="77">AVERAGE(B473:B484)</f>
        <v>11.618316666666667</v>
      </c>
      <c r="C1076" s="8">
        <f t="shared" si="77"/>
        <v>11.628641666666669</v>
      </c>
      <c r="D1076" s="8">
        <f t="shared" si="77"/>
        <v>11.629541666666666</v>
      </c>
      <c r="E1076" s="8">
        <f t="shared" si="77"/>
        <v>11.627933333333333</v>
      </c>
      <c r="F1076" s="4">
        <f t="shared" si="77"/>
        <v>12.293633333333334</v>
      </c>
      <c r="G1076" s="8">
        <f t="shared" si="77"/>
        <v>11.410674999999999</v>
      </c>
      <c r="H1076" s="4">
        <f t="shared" si="77"/>
        <v>12.323300000000001</v>
      </c>
      <c r="I1076" s="8">
        <f t="shared" si="77"/>
        <v>11.294033333333333</v>
      </c>
      <c r="J1076" s="4">
        <f t="shared" si="77"/>
        <v>11.210966666666666</v>
      </c>
      <c r="K1076" s="7"/>
      <c r="L1076" s="5">
        <f t="shared" ref="L1076:Q1076" si="78">SUM(L473:L484)</f>
        <v>336.06969999999995</v>
      </c>
      <c r="M1076" s="5">
        <f t="shared" si="78"/>
        <v>142.0401</v>
      </c>
      <c r="N1076" s="5">
        <f t="shared" si="78"/>
        <v>58.217499999999994</v>
      </c>
      <c r="O1076" s="5">
        <f t="shared" si="78"/>
        <v>4.4104999999999999</v>
      </c>
      <c r="P1076" s="5">
        <f t="shared" si="78"/>
        <v>14.718800000000003</v>
      </c>
      <c r="Q1076" s="5">
        <f t="shared" si="78"/>
        <v>233.30079999999998</v>
      </c>
      <c r="R1076" s="5"/>
      <c r="S1076" s="6"/>
    </row>
    <row r="1077" spans="1:19" ht="15" customHeight="1">
      <c r="A1077" s="3">
        <f t="shared" si="44"/>
        <v>2055</v>
      </c>
      <c r="B1077" s="8">
        <f t="shared" ref="B1077:J1077" si="79">AVERAGE(B485:B496)</f>
        <v>11.997349999999999</v>
      </c>
      <c r="C1077" s="8">
        <f t="shared" si="79"/>
        <v>12.0077</v>
      </c>
      <c r="D1077" s="8">
        <f t="shared" si="79"/>
        <v>12.008600000000001</v>
      </c>
      <c r="E1077" s="8">
        <f t="shared" si="79"/>
        <v>12.007</v>
      </c>
      <c r="F1077" s="4">
        <f t="shared" si="79"/>
        <v>12.672683333333332</v>
      </c>
      <c r="G1077" s="8">
        <f t="shared" si="79"/>
        <v>11.783591666666666</v>
      </c>
      <c r="H1077" s="4">
        <f t="shared" si="79"/>
        <v>12.696200000000003</v>
      </c>
      <c r="I1077" s="8">
        <f t="shared" si="79"/>
        <v>11.6608</v>
      </c>
      <c r="J1077" s="4">
        <f t="shared" si="79"/>
        <v>11.577541666666669</v>
      </c>
      <c r="K1077" s="7"/>
      <c r="L1077" s="5">
        <f t="shared" ref="L1077:Q1077" si="80">SUM(L485:L496)</f>
        <v>336.06969999999995</v>
      </c>
      <c r="M1077" s="5">
        <f t="shared" si="80"/>
        <v>142.0401</v>
      </c>
      <c r="N1077" s="5">
        <f t="shared" si="80"/>
        <v>58.217499999999994</v>
      </c>
      <c r="O1077" s="5">
        <f t="shared" si="80"/>
        <v>4.4104999999999999</v>
      </c>
      <c r="P1077" s="5">
        <f t="shared" si="80"/>
        <v>14.718800000000003</v>
      </c>
      <c r="Q1077" s="5">
        <f t="shared" si="80"/>
        <v>232.55579999999998</v>
      </c>
      <c r="R1077" s="5"/>
      <c r="S1077" s="6"/>
    </row>
    <row r="1078" spans="1:19" ht="15" customHeight="1">
      <c r="A1078" s="3">
        <f t="shared" si="44"/>
        <v>2056</v>
      </c>
      <c r="B1078" s="8">
        <f t="shared" ref="B1078:J1078" si="81">AVERAGE(B497:B508)</f>
        <v>12.388808333333335</v>
      </c>
      <c r="C1078" s="8">
        <f t="shared" si="81"/>
        <v>12.399141666666667</v>
      </c>
      <c r="D1078" s="8">
        <f t="shared" si="81"/>
        <v>12.400041666666667</v>
      </c>
      <c r="E1078" s="8">
        <f t="shared" si="81"/>
        <v>12.398433333333335</v>
      </c>
      <c r="F1078" s="4">
        <f t="shared" si="81"/>
        <v>13.064124999999999</v>
      </c>
      <c r="G1078" s="8">
        <f t="shared" si="81"/>
        <v>12.168725</v>
      </c>
      <c r="H1078" s="4">
        <f t="shared" si="81"/>
        <v>13.081325</v>
      </c>
      <c r="I1078" s="8">
        <f t="shared" si="81"/>
        <v>12.039541666666667</v>
      </c>
      <c r="J1078" s="4">
        <f t="shared" si="81"/>
        <v>11.956100000000001</v>
      </c>
      <c r="K1078" s="7"/>
      <c r="L1078" s="5">
        <f t="shared" ref="L1078:Q1078" si="82">SUM(L497:L508)</f>
        <v>336.95349999999996</v>
      </c>
      <c r="M1078" s="5">
        <f t="shared" si="82"/>
        <v>142.42920000000001</v>
      </c>
      <c r="N1078" s="5">
        <f t="shared" si="82"/>
        <v>58.377000000000002</v>
      </c>
      <c r="O1078" s="5">
        <f t="shared" si="82"/>
        <v>4.4226000000000001</v>
      </c>
      <c r="P1078" s="5">
        <f t="shared" si="82"/>
        <v>14.760600000000004</v>
      </c>
      <c r="Q1078" s="5">
        <f t="shared" si="82"/>
        <v>232.44659999999996</v>
      </c>
      <c r="R1078" s="5"/>
      <c r="S1078" s="6"/>
    </row>
    <row r="1079" spans="1:19" ht="15" customHeight="1">
      <c r="A1079" s="3">
        <f t="shared" si="44"/>
        <v>2057</v>
      </c>
      <c r="B1079" s="8">
        <f t="shared" ref="B1079:J1079" si="83">AVERAGE(B509:B520)</f>
        <v>12.793058333333329</v>
      </c>
      <c r="C1079" s="8">
        <f t="shared" si="83"/>
        <v>12.803391666666665</v>
      </c>
      <c r="D1079" s="8">
        <f t="shared" si="83"/>
        <v>12.804291666666666</v>
      </c>
      <c r="E1079" s="8">
        <f t="shared" si="83"/>
        <v>12.802683333333333</v>
      </c>
      <c r="F1079" s="4">
        <f t="shared" si="83"/>
        <v>13.468366666666666</v>
      </c>
      <c r="G1079" s="8">
        <f t="shared" si="83"/>
        <v>12.566425000000001</v>
      </c>
      <c r="H1079" s="4">
        <f t="shared" si="83"/>
        <v>13.479041666666667</v>
      </c>
      <c r="I1079" s="8">
        <f t="shared" si="83"/>
        <v>12.430691666666668</v>
      </c>
      <c r="J1079" s="4">
        <f t="shared" si="83"/>
        <v>12.347066666666665</v>
      </c>
      <c r="K1079" s="7"/>
      <c r="L1079" s="5">
        <f t="shared" ref="L1079:Q1079" si="84">SUM(L509:L520)</f>
        <v>336.06969999999995</v>
      </c>
      <c r="M1079" s="5">
        <f t="shared" si="84"/>
        <v>142.0401</v>
      </c>
      <c r="N1079" s="5">
        <f t="shared" si="84"/>
        <v>58.217499999999994</v>
      </c>
      <c r="O1079" s="5">
        <f t="shared" si="84"/>
        <v>4.4104999999999999</v>
      </c>
      <c r="P1079" s="5">
        <f t="shared" si="84"/>
        <v>14.718800000000003</v>
      </c>
      <c r="Q1079" s="5">
        <f t="shared" si="84"/>
        <v>231.81149999999997</v>
      </c>
      <c r="R1079" s="5"/>
      <c r="S1079" s="6"/>
    </row>
    <row r="1080" spans="1:19" ht="15" customHeight="1">
      <c r="A1080" s="3">
        <f t="shared" si="44"/>
        <v>2058</v>
      </c>
      <c r="B1080" s="8">
        <f t="shared" ref="B1080:J1080" si="85">AVERAGE(B521:B532)</f>
        <v>13.210525000000002</v>
      </c>
      <c r="C1080" s="8">
        <f t="shared" si="85"/>
        <v>13.220874999999999</v>
      </c>
      <c r="D1080" s="8">
        <f t="shared" si="85"/>
        <v>13.221775000000001</v>
      </c>
      <c r="E1080" s="8">
        <f t="shared" si="85"/>
        <v>13.220166666666669</v>
      </c>
      <c r="F1080" s="4">
        <f t="shared" si="85"/>
        <v>13.885833333333332</v>
      </c>
      <c r="G1080" s="8">
        <f t="shared" si="85"/>
        <v>12.977141666666666</v>
      </c>
      <c r="H1080" s="4">
        <f t="shared" si="85"/>
        <v>13.889749999999998</v>
      </c>
      <c r="I1080" s="8">
        <f t="shared" si="85"/>
        <v>12.834633333333334</v>
      </c>
      <c r="J1080" s="4">
        <f t="shared" si="85"/>
        <v>12.7508</v>
      </c>
      <c r="K1080" s="7"/>
      <c r="L1080" s="5">
        <f t="shared" ref="L1080:Q1080" si="86">SUM(L521:L532)</f>
        <v>336.06969999999995</v>
      </c>
      <c r="M1080" s="5">
        <f t="shared" si="86"/>
        <v>142.0401</v>
      </c>
      <c r="N1080" s="5">
        <f t="shared" si="86"/>
        <v>58.217499999999994</v>
      </c>
      <c r="O1080" s="5">
        <f t="shared" si="86"/>
        <v>4.4104999999999999</v>
      </c>
      <c r="P1080" s="5">
        <f t="shared" si="86"/>
        <v>14.718800000000003</v>
      </c>
      <c r="Q1080" s="5">
        <f t="shared" si="86"/>
        <v>231.81149999999997</v>
      </c>
      <c r="R1080" s="5"/>
      <c r="S1080" s="6"/>
    </row>
    <row r="1081" spans="1:19" ht="15" customHeight="1">
      <c r="A1081" s="3">
        <f t="shared" si="44"/>
        <v>2059</v>
      </c>
      <c r="B1081" s="8">
        <f t="shared" ref="B1081:J1081" si="87">AVERAGE(B533:B544)</f>
        <v>13.641641666666665</v>
      </c>
      <c r="C1081" s="8">
        <f t="shared" si="87"/>
        <v>13.651975</v>
      </c>
      <c r="D1081" s="8">
        <f t="shared" si="87"/>
        <v>13.65288333333333</v>
      </c>
      <c r="E1081" s="8">
        <f t="shared" si="87"/>
        <v>13.651274999999998</v>
      </c>
      <c r="F1081" s="4">
        <f t="shared" si="87"/>
        <v>14.316966666666668</v>
      </c>
      <c r="G1081" s="8">
        <f t="shared" si="87"/>
        <v>13.401300000000001</v>
      </c>
      <c r="H1081" s="4">
        <f t="shared" si="87"/>
        <v>14.313900000000002</v>
      </c>
      <c r="I1081" s="8">
        <f t="shared" si="87"/>
        <v>13.251775000000002</v>
      </c>
      <c r="J1081" s="4">
        <f t="shared" si="87"/>
        <v>13.167716666666665</v>
      </c>
      <c r="K1081" s="4"/>
      <c r="L1081" s="5">
        <f>SUM(L533:L544)</f>
        <v>336.06969999999995</v>
      </c>
      <c r="M1081" s="5">
        <f>SUM(M533:M544)</f>
        <v>142.0401</v>
      </c>
      <c r="N1081" s="5">
        <f>SUM(N533:N544)</f>
        <v>58.217499999999994</v>
      </c>
      <c r="O1081" s="5">
        <f>SUM(O522:O533)</f>
        <v>4.4104999999999999</v>
      </c>
      <c r="P1081" s="5">
        <f>SUM(P533:P544)</f>
        <v>14.718800000000003</v>
      </c>
      <c r="Q1081" s="5">
        <f>SUM(Q533:Q544)</f>
        <v>231.81149999999997</v>
      </c>
      <c r="R1081" s="5"/>
      <c r="S1081" s="4"/>
    </row>
    <row r="1082" spans="1:19" ht="15" customHeight="1">
      <c r="A1082" s="3">
        <f t="shared" si="44"/>
        <v>2060</v>
      </c>
      <c r="B1082" s="8">
        <f t="shared" ref="B1082:J1082" si="88">AVERAGE(B545:B556)</f>
        <v>14.086866666666666</v>
      </c>
      <c r="C1082" s="8">
        <f t="shared" si="88"/>
        <v>14.097208333333334</v>
      </c>
      <c r="D1082" s="8">
        <f t="shared" si="88"/>
        <v>14.098108333333334</v>
      </c>
      <c r="E1082" s="8">
        <f t="shared" si="88"/>
        <v>14.096508333333333</v>
      </c>
      <c r="F1082" s="4">
        <f t="shared" si="88"/>
        <v>14.762191666666666</v>
      </c>
      <c r="G1082" s="8">
        <f t="shared" si="88"/>
        <v>13.839308333333333</v>
      </c>
      <c r="H1082" s="4">
        <f t="shared" si="88"/>
        <v>14.751925</v>
      </c>
      <c r="I1082" s="8">
        <f t="shared" si="88"/>
        <v>13.682558333333334</v>
      </c>
      <c r="J1082" s="4">
        <f t="shared" si="88"/>
        <v>13.598316666666667</v>
      </c>
      <c r="K1082" s="7"/>
      <c r="L1082" s="5">
        <f>SUM(L545:L556)</f>
        <v>336.95349999999996</v>
      </c>
      <c r="M1082" s="5">
        <f>SUM(M545:M556)</f>
        <v>142.42920000000001</v>
      </c>
      <c r="N1082" s="5">
        <f>SUM(N545:N556)</f>
        <v>58.377000000000002</v>
      </c>
      <c r="O1082" s="5">
        <f>SUM(O523:O534)</f>
        <v>4.4104999999999999</v>
      </c>
      <c r="P1082" s="5">
        <f>SUM(P545:P556)</f>
        <v>14.760600000000004</v>
      </c>
      <c r="Q1082" s="5">
        <f>SUM(Q545:Q556)</f>
        <v>232.44659999999996</v>
      </c>
      <c r="R1082" s="5"/>
      <c r="S1082" s="6"/>
    </row>
    <row r="1083" spans="1:19" ht="15" customHeight="1">
      <c r="A1083" s="3">
        <f t="shared" si="44"/>
        <v>2061</v>
      </c>
      <c r="B1083" s="8">
        <f t="shared" ref="B1083:J1083" si="89">AVERAGE(B557:B568)</f>
        <v>14.546666666666667</v>
      </c>
      <c r="C1083" s="8">
        <f t="shared" si="89"/>
        <v>14.556991666666667</v>
      </c>
      <c r="D1083" s="8">
        <f t="shared" si="89"/>
        <v>14.557891666666665</v>
      </c>
      <c r="E1083" s="8">
        <f t="shared" si="89"/>
        <v>14.556283333333331</v>
      </c>
      <c r="F1083" s="4">
        <f t="shared" si="89"/>
        <v>15.221966666666667</v>
      </c>
      <c r="G1083" s="8">
        <f t="shared" si="89"/>
        <v>14.291666666666666</v>
      </c>
      <c r="H1083" s="4">
        <f t="shared" si="89"/>
        <v>15.204275000000003</v>
      </c>
      <c r="I1083" s="8">
        <f t="shared" si="89"/>
        <v>14.127441666666668</v>
      </c>
      <c r="J1083" s="4">
        <f t="shared" si="89"/>
        <v>14.042966666666665</v>
      </c>
      <c r="K1083" s="7"/>
      <c r="L1083" s="5">
        <f>SUM(L557:L568)</f>
        <v>336.06969999999995</v>
      </c>
      <c r="M1083" s="5">
        <f>SUM(M557:M568)</f>
        <v>142.0401</v>
      </c>
      <c r="N1083" s="5">
        <f>SUM(N557:N568)</f>
        <v>58.217499999999994</v>
      </c>
      <c r="O1083" s="5">
        <f>SUM(O524:O535)</f>
        <v>4.4104999999999999</v>
      </c>
      <c r="P1083" s="5">
        <f>SUM(P557:P568)</f>
        <v>14.718800000000003</v>
      </c>
      <c r="Q1083" s="5">
        <f>SUM(Q557:Q568)</f>
        <v>231.81149999999997</v>
      </c>
      <c r="R1083" s="5"/>
      <c r="S1083" s="6"/>
    </row>
    <row r="1084" spans="1:19" ht="15" customHeight="1">
      <c r="A1084" s="3">
        <f t="shared" si="44"/>
        <v>2062</v>
      </c>
      <c r="B1084" s="4">
        <f t="shared" ref="B1084:J1093" ca="1" si="90">AVERAGE(OFFSET(B$569,($A1084-$A$1084)*12,0,12,1))</f>
        <v>15.021475000000002</v>
      </c>
      <c r="C1084" s="4">
        <f t="shared" ca="1" si="90"/>
        <v>15.031816666666666</v>
      </c>
      <c r="D1084" s="4">
        <f t="shared" ca="1" si="90"/>
        <v>15.032724999999999</v>
      </c>
      <c r="E1084" s="4">
        <f t="shared" ca="1" si="90"/>
        <v>15.031116666666664</v>
      </c>
      <c r="F1084" s="4">
        <f t="shared" ca="1" si="90"/>
        <v>15.696775000000002</v>
      </c>
      <c r="G1084" s="4">
        <f t="shared" ca="1" si="90"/>
        <v>14.758816666666668</v>
      </c>
      <c r="H1084" s="4">
        <f t="shared" ca="1" si="90"/>
        <v>15.671408333333334</v>
      </c>
      <c r="I1084" s="4">
        <f t="shared" ca="1" si="90"/>
        <v>14.586866666666666</v>
      </c>
      <c r="J1084" s="4">
        <f t="shared" ca="1" si="90"/>
        <v>14.502166666666666</v>
      </c>
      <c r="K1084" s="4"/>
      <c r="L1084" s="5">
        <f t="shared" ref="L1084:Q1093" ca="1" si="91">SUM(OFFSET(L$569,($A1084-$A$1084)*12,0,12,1))</f>
        <v>336.06969999999995</v>
      </c>
      <c r="M1084" s="5">
        <f t="shared" ca="1" si="91"/>
        <v>142.0401</v>
      </c>
      <c r="N1084" s="5">
        <f t="shared" ca="1" si="91"/>
        <v>58.217499999999994</v>
      </c>
      <c r="O1084" s="5">
        <f t="shared" ca="1" si="91"/>
        <v>4.4104999999999999</v>
      </c>
      <c r="P1084" s="5">
        <f t="shared" ca="1" si="91"/>
        <v>14.718800000000003</v>
      </c>
      <c r="Q1084" s="5">
        <f t="shared" ca="1" si="91"/>
        <v>231.81149999999997</v>
      </c>
      <c r="R1084" s="4"/>
      <c r="S1084" s="4"/>
    </row>
    <row r="1085" spans="1:19" ht="15" customHeight="1">
      <c r="A1085" s="3">
        <f t="shared" si="44"/>
        <v>2063</v>
      </c>
      <c r="B1085" s="4">
        <f t="shared" ca="1" si="90"/>
        <v>15.511825000000002</v>
      </c>
      <c r="C1085" s="4">
        <f t="shared" ca="1" si="90"/>
        <v>15.522158333333337</v>
      </c>
      <c r="D1085" s="4">
        <f t="shared" ca="1" si="90"/>
        <v>15.523058333333333</v>
      </c>
      <c r="E1085" s="4">
        <f t="shared" ca="1" si="90"/>
        <v>15.521450000000002</v>
      </c>
      <c r="F1085" s="4">
        <f t="shared" ca="1" si="90"/>
        <v>16.187141666666665</v>
      </c>
      <c r="G1085" s="4">
        <f t="shared" ca="1" si="90"/>
        <v>15.241208333333335</v>
      </c>
      <c r="H1085" s="4">
        <f t="shared" ca="1" si="90"/>
        <v>16.153825000000001</v>
      </c>
      <c r="I1085" s="4">
        <f t="shared" ca="1" si="90"/>
        <v>15.061333333333335</v>
      </c>
      <c r="J1085" s="4">
        <f t="shared" ca="1" si="90"/>
        <v>14.976366666666665</v>
      </c>
      <c r="K1085" s="4"/>
      <c r="L1085" s="5">
        <f t="shared" ca="1" si="91"/>
        <v>336.06969999999995</v>
      </c>
      <c r="M1085" s="5">
        <f t="shared" ca="1" si="91"/>
        <v>142.0401</v>
      </c>
      <c r="N1085" s="5">
        <f t="shared" ca="1" si="91"/>
        <v>58.217499999999994</v>
      </c>
      <c r="O1085" s="5">
        <f t="shared" ca="1" si="91"/>
        <v>4.4104999999999999</v>
      </c>
      <c r="P1085" s="5">
        <f t="shared" ca="1" si="91"/>
        <v>14.718800000000003</v>
      </c>
      <c r="Q1085" s="5">
        <f t="shared" ca="1" si="91"/>
        <v>231.81149999999997</v>
      </c>
      <c r="R1085" s="4"/>
      <c r="S1085" s="4"/>
    </row>
    <row r="1086" spans="1:19" ht="15" customHeight="1">
      <c r="A1086" s="3">
        <f t="shared" si="44"/>
        <v>2064</v>
      </c>
      <c r="B1086" s="4">
        <f t="shared" ca="1" si="90"/>
        <v>16.0182</v>
      </c>
      <c r="C1086" s="4">
        <f t="shared" ca="1" si="90"/>
        <v>16.028541666666669</v>
      </c>
      <c r="D1086" s="4">
        <f t="shared" ca="1" si="90"/>
        <v>16.029458333333331</v>
      </c>
      <c r="E1086" s="4">
        <f t="shared" ca="1" si="90"/>
        <v>16.027850000000001</v>
      </c>
      <c r="F1086" s="4">
        <f t="shared" ca="1" si="90"/>
        <v>16.693525000000001</v>
      </c>
      <c r="G1086" s="4">
        <f t="shared" ca="1" si="90"/>
        <v>15.739408333333335</v>
      </c>
      <c r="H1086" s="4">
        <f t="shared" ca="1" si="90"/>
        <v>16.652016666666661</v>
      </c>
      <c r="I1086" s="4">
        <f t="shared" ca="1" si="90"/>
        <v>15.551291666666666</v>
      </c>
      <c r="J1086" s="4">
        <f t="shared" ca="1" si="90"/>
        <v>15.466083333333332</v>
      </c>
      <c r="K1086" s="4"/>
      <c r="L1086" s="5">
        <f t="shared" ca="1" si="91"/>
        <v>336.95349999999996</v>
      </c>
      <c r="M1086" s="5">
        <f t="shared" ca="1" si="91"/>
        <v>142.42920000000001</v>
      </c>
      <c r="N1086" s="5">
        <f t="shared" ca="1" si="91"/>
        <v>58.377000000000002</v>
      </c>
      <c r="O1086" s="5">
        <f t="shared" ca="1" si="91"/>
        <v>4.4226000000000001</v>
      </c>
      <c r="P1086" s="5">
        <f t="shared" ca="1" si="91"/>
        <v>14.760600000000004</v>
      </c>
      <c r="Q1086" s="5">
        <f t="shared" ca="1" si="91"/>
        <v>232.44659999999996</v>
      </c>
      <c r="R1086" s="4"/>
      <c r="S1086" s="4"/>
    </row>
    <row r="1087" spans="1:19" ht="15" customHeight="1">
      <c r="A1087" s="3">
        <f t="shared" si="44"/>
        <v>2065</v>
      </c>
      <c r="B1087" s="4">
        <f t="shared" ca="1" si="90"/>
        <v>16.541133333333335</v>
      </c>
      <c r="C1087" s="4">
        <f t="shared" ca="1" si="90"/>
        <v>16.551499999999997</v>
      </c>
      <c r="D1087" s="4">
        <f t="shared" ca="1" si="90"/>
        <v>16.552374999999998</v>
      </c>
      <c r="E1087" s="4">
        <f t="shared" ca="1" si="90"/>
        <v>16.550775000000002</v>
      </c>
      <c r="F1087" s="4">
        <f t="shared" ca="1" si="90"/>
        <v>17.216458333333332</v>
      </c>
      <c r="G1087" s="4">
        <f t="shared" ca="1" si="90"/>
        <v>16.253891666666664</v>
      </c>
      <c r="H1087" s="4">
        <f t="shared" ca="1" si="90"/>
        <v>17.166500000000003</v>
      </c>
      <c r="I1087" s="4">
        <f t="shared" ca="1" si="90"/>
        <v>16.057283333333334</v>
      </c>
      <c r="J1087" s="4">
        <f t="shared" ca="1" si="90"/>
        <v>15.971833333333334</v>
      </c>
      <c r="K1087" s="4"/>
      <c r="L1087" s="5">
        <f t="shared" ca="1" si="91"/>
        <v>336.06969999999995</v>
      </c>
      <c r="M1087" s="5">
        <f t="shared" ca="1" si="91"/>
        <v>142.0401</v>
      </c>
      <c r="N1087" s="5">
        <f t="shared" ca="1" si="91"/>
        <v>58.217499999999994</v>
      </c>
      <c r="O1087" s="5">
        <f t="shared" ca="1" si="91"/>
        <v>4.4104999999999999</v>
      </c>
      <c r="P1087" s="5">
        <f t="shared" ca="1" si="91"/>
        <v>14.718800000000003</v>
      </c>
      <c r="Q1087" s="5">
        <f t="shared" ca="1" si="91"/>
        <v>231.81149999999997</v>
      </c>
      <c r="R1087" s="4"/>
      <c r="S1087" s="4"/>
    </row>
    <row r="1088" spans="1:19" ht="15" customHeight="1">
      <c r="A1088" s="3">
        <f t="shared" si="44"/>
        <v>2066</v>
      </c>
      <c r="B1088" s="4">
        <f t="shared" ca="1" si="90"/>
        <v>17.081183333333335</v>
      </c>
      <c r="C1088" s="4">
        <f t="shared" ca="1" si="90"/>
        <v>17.091516666666671</v>
      </c>
      <c r="D1088" s="4">
        <f t="shared" ca="1" si="90"/>
        <v>17.092433333333332</v>
      </c>
      <c r="E1088" s="4">
        <f t="shared" ca="1" si="90"/>
        <v>17.090824999999999</v>
      </c>
      <c r="F1088" s="4">
        <f t="shared" ca="1" si="90"/>
        <v>17.756508333333336</v>
      </c>
      <c r="G1088" s="4">
        <f t="shared" ca="1" si="90"/>
        <v>16.785200000000003</v>
      </c>
      <c r="H1088" s="4">
        <f t="shared" ca="1" si="90"/>
        <v>17.697816666666665</v>
      </c>
      <c r="I1088" s="4">
        <f t="shared" ca="1" si="90"/>
        <v>16.579825</v>
      </c>
      <c r="J1088" s="4">
        <f t="shared" ca="1" si="90"/>
        <v>16.494116666666667</v>
      </c>
      <c r="K1088" s="4"/>
      <c r="L1088" s="5">
        <f t="shared" ca="1" si="91"/>
        <v>336.06969999999995</v>
      </c>
      <c r="M1088" s="5">
        <f t="shared" ca="1" si="91"/>
        <v>142.0401</v>
      </c>
      <c r="N1088" s="5">
        <f t="shared" ca="1" si="91"/>
        <v>58.217499999999994</v>
      </c>
      <c r="O1088" s="5">
        <f t="shared" ca="1" si="91"/>
        <v>4.4104999999999999</v>
      </c>
      <c r="P1088" s="5">
        <f t="shared" ca="1" si="91"/>
        <v>14.718800000000003</v>
      </c>
      <c r="Q1088" s="5">
        <f t="shared" ca="1" si="91"/>
        <v>231.81149999999997</v>
      </c>
      <c r="R1088" s="4"/>
      <c r="S1088" s="4"/>
    </row>
    <row r="1089" spans="1:19" ht="15" customHeight="1">
      <c r="A1089" s="3">
        <f t="shared" si="44"/>
        <v>2067</v>
      </c>
      <c r="B1089" s="4">
        <f t="shared" ca="1" si="90"/>
        <v>17.638883333333329</v>
      </c>
      <c r="C1089" s="4">
        <f t="shared" ca="1" si="90"/>
        <v>17.649233333333335</v>
      </c>
      <c r="D1089" s="4">
        <f t="shared" ca="1" si="90"/>
        <v>17.650133333333333</v>
      </c>
      <c r="E1089" s="4">
        <f t="shared" ca="1" si="90"/>
        <v>17.648525000000003</v>
      </c>
      <c r="F1089" s="4">
        <f t="shared" ca="1" si="90"/>
        <v>18.314225000000004</v>
      </c>
      <c r="G1089" s="4">
        <f t="shared" ca="1" si="90"/>
        <v>17.333891666666666</v>
      </c>
      <c r="H1089" s="4">
        <f t="shared" ca="1" si="90"/>
        <v>18.246500000000001</v>
      </c>
      <c r="I1089" s="4">
        <f t="shared" ca="1" si="90"/>
        <v>17.119466666666664</v>
      </c>
      <c r="J1089" s="4">
        <f t="shared" ca="1" si="90"/>
        <v>17.033466666666669</v>
      </c>
      <c r="K1089" s="4"/>
      <c r="L1089" s="5">
        <f t="shared" ca="1" si="91"/>
        <v>336.06969999999995</v>
      </c>
      <c r="M1089" s="5">
        <f t="shared" ca="1" si="91"/>
        <v>142.0401</v>
      </c>
      <c r="N1089" s="5">
        <f t="shared" ca="1" si="91"/>
        <v>58.217499999999994</v>
      </c>
      <c r="O1089" s="5">
        <f t="shared" ca="1" si="91"/>
        <v>4.4104999999999999</v>
      </c>
      <c r="P1089" s="5">
        <f t="shared" ca="1" si="91"/>
        <v>14.718800000000003</v>
      </c>
      <c r="Q1089" s="5">
        <f t="shared" ca="1" si="91"/>
        <v>231.81149999999997</v>
      </c>
      <c r="R1089" s="4"/>
      <c r="S1089" s="4"/>
    </row>
    <row r="1090" spans="1:19" ht="15" customHeight="1">
      <c r="A1090" s="3">
        <f t="shared" si="44"/>
        <v>2068</v>
      </c>
      <c r="B1090" s="4">
        <f t="shared" ca="1" si="90"/>
        <v>18.214850000000002</v>
      </c>
      <c r="C1090" s="4">
        <f t="shared" ca="1" si="90"/>
        <v>18.225175000000004</v>
      </c>
      <c r="D1090" s="4">
        <f t="shared" ca="1" si="90"/>
        <v>18.226091666666665</v>
      </c>
      <c r="E1090" s="4">
        <f t="shared" ca="1" si="90"/>
        <v>18.224491666666665</v>
      </c>
      <c r="F1090" s="4">
        <f t="shared" ca="1" si="90"/>
        <v>18.890175000000003</v>
      </c>
      <c r="G1090" s="4">
        <f t="shared" ca="1" si="90"/>
        <v>17.900508333333338</v>
      </c>
      <c r="H1090" s="4">
        <f t="shared" ca="1" si="90"/>
        <v>18.813133333333337</v>
      </c>
      <c r="I1090" s="4">
        <f t="shared" ca="1" si="90"/>
        <v>17.676725000000001</v>
      </c>
      <c r="J1090" s="4">
        <f t="shared" ca="1" si="90"/>
        <v>17.590466666666671</v>
      </c>
      <c r="K1090" s="4"/>
      <c r="L1090" s="5">
        <f t="shared" ca="1" si="91"/>
        <v>336.95349999999996</v>
      </c>
      <c r="M1090" s="5">
        <f t="shared" ca="1" si="91"/>
        <v>142.42920000000001</v>
      </c>
      <c r="N1090" s="5">
        <f t="shared" ca="1" si="91"/>
        <v>58.377000000000002</v>
      </c>
      <c r="O1090" s="5">
        <f t="shared" ca="1" si="91"/>
        <v>4.4226000000000001</v>
      </c>
      <c r="P1090" s="5">
        <f t="shared" ca="1" si="91"/>
        <v>14.760600000000004</v>
      </c>
      <c r="Q1090" s="5">
        <f t="shared" ca="1" si="91"/>
        <v>232.44659999999996</v>
      </c>
      <c r="R1090" s="4"/>
      <c r="S1090" s="4"/>
    </row>
    <row r="1091" spans="1:19" ht="15" customHeight="1">
      <c r="A1091" s="3">
        <f t="shared" si="44"/>
        <v>2069</v>
      </c>
      <c r="B1091" s="4">
        <f t="shared" ca="1" si="90"/>
        <v>18.809616666666667</v>
      </c>
      <c r="C1091" s="4">
        <f t="shared" ca="1" si="90"/>
        <v>18.819966666666666</v>
      </c>
      <c r="D1091" s="4">
        <f t="shared" ca="1" si="90"/>
        <v>18.820874999999997</v>
      </c>
      <c r="E1091" s="4">
        <f t="shared" ca="1" si="90"/>
        <v>18.819266666666667</v>
      </c>
      <c r="F1091" s="4">
        <f t="shared" ca="1" si="90"/>
        <v>19.484950000000001</v>
      </c>
      <c r="G1091" s="4">
        <f t="shared" ca="1" si="90"/>
        <v>18.485674999999997</v>
      </c>
      <c r="H1091" s="4">
        <f t="shared" ca="1" si="90"/>
        <v>19.398283333333335</v>
      </c>
      <c r="I1091" s="4">
        <f t="shared" ca="1" si="90"/>
        <v>18.252224999999999</v>
      </c>
      <c r="J1091" s="4">
        <f t="shared" ca="1" si="90"/>
        <v>18.16568333333333</v>
      </c>
      <c r="K1091" s="4"/>
      <c r="L1091" s="5">
        <f t="shared" ca="1" si="91"/>
        <v>336.06969999999995</v>
      </c>
      <c r="M1091" s="5">
        <f t="shared" ca="1" si="91"/>
        <v>142.0401</v>
      </c>
      <c r="N1091" s="5">
        <f t="shared" ca="1" si="91"/>
        <v>58.217499999999994</v>
      </c>
      <c r="O1091" s="5">
        <f t="shared" ca="1" si="91"/>
        <v>4.4104999999999999</v>
      </c>
      <c r="P1091" s="5">
        <f t="shared" ca="1" si="91"/>
        <v>14.718800000000003</v>
      </c>
      <c r="Q1091" s="5">
        <f t="shared" ca="1" si="91"/>
        <v>231.81149999999997</v>
      </c>
      <c r="R1091" s="4"/>
      <c r="S1091" s="4"/>
    </row>
    <row r="1092" spans="1:19" ht="15" customHeight="1">
      <c r="A1092" s="3">
        <f t="shared" ref="A1092:A1122" si="92">A1091+1</f>
        <v>2070</v>
      </c>
      <c r="B1092" s="4">
        <f t="shared" ca="1" si="90"/>
        <v>19.423858333333335</v>
      </c>
      <c r="C1092" s="4">
        <f t="shared" ca="1" si="90"/>
        <v>19.434200000000001</v>
      </c>
      <c r="D1092" s="4">
        <f t="shared" ca="1" si="90"/>
        <v>19.435099999999995</v>
      </c>
      <c r="E1092" s="4">
        <f t="shared" ca="1" si="90"/>
        <v>19.433491666666669</v>
      </c>
      <c r="F1092" s="4">
        <f t="shared" ca="1" si="90"/>
        <v>20.099183333333336</v>
      </c>
      <c r="G1092" s="4">
        <f t="shared" ca="1" si="90"/>
        <v>19.089974999999999</v>
      </c>
      <c r="H1092" s="4">
        <f t="shared" ca="1" si="90"/>
        <v>20.002591666666667</v>
      </c>
      <c r="I1092" s="4">
        <f t="shared" ca="1" si="90"/>
        <v>18.846558333333334</v>
      </c>
      <c r="J1092" s="4">
        <f t="shared" ca="1" si="90"/>
        <v>18.759708333333336</v>
      </c>
      <c r="K1092" s="4"/>
      <c r="L1092" s="5">
        <f t="shared" ca="1" si="91"/>
        <v>336.06969999999995</v>
      </c>
      <c r="M1092" s="5">
        <f t="shared" ca="1" si="91"/>
        <v>142.0401</v>
      </c>
      <c r="N1092" s="5">
        <f t="shared" ca="1" si="91"/>
        <v>58.217499999999994</v>
      </c>
      <c r="O1092" s="5">
        <f t="shared" ca="1" si="91"/>
        <v>4.4104999999999999</v>
      </c>
      <c r="P1092" s="5">
        <f t="shared" ca="1" si="91"/>
        <v>14.718800000000003</v>
      </c>
      <c r="Q1092" s="5">
        <f t="shared" ca="1" si="91"/>
        <v>231.81149999999997</v>
      </c>
      <c r="R1092" s="4"/>
      <c r="S1092" s="4"/>
    </row>
    <row r="1093" spans="1:19" ht="15" customHeight="1">
      <c r="A1093" s="3">
        <f t="shared" si="92"/>
        <v>2071</v>
      </c>
      <c r="B1093" s="4">
        <f t="shared" ca="1" si="90"/>
        <v>20.058191666666669</v>
      </c>
      <c r="C1093" s="4">
        <f t="shared" ca="1" si="90"/>
        <v>20.068525000000001</v>
      </c>
      <c r="D1093" s="4">
        <f t="shared" ca="1" si="90"/>
        <v>20.069416666666665</v>
      </c>
      <c r="E1093" s="4">
        <f t="shared" ca="1" si="90"/>
        <v>20.067808333333332</v>
      </c>
      <c r="F1093" s="4">
        <f t="shared" ca="1" si="90"/>
        <v>20.733516666666667</v>
      </c>
      <c r="G1093" s="4">
        <f t="shared" ca="1" si="90"/>
        <v>19.714050000000004</v>
      </c>
      <c r="H1093" s="4">
        <f t="shared" ca="1" si="90"/>
        <v>20.626649999999998</v>
      </c>
      <c r="I1093" s="4">
        <f t="shared" ca="1" si="90"/>
        <v>19.460308333333334</v>
      </c>
      <c r="J1093" s="4">
        <f t="shared" ca="1" si="90"/>
        <v>19.373149999999995</v>
      </c>
      <c r="K1093" s="4"/>
      <c r="L1093" s="5">
        <f t="shared" ca="1" si="91"/>
        <v>336.06969999999995</v>
      </c>
      <c r="M1093" s="5">
        <f t="shared" ca="1" si="91"/>
        <v>142.0401</v>
      </c>
      <c r="N1093" s="5">
        <f t="shared" ca="1" si="91"/>
        <v>58.217499999999994</v>
      </c>
      <c r="O1093" s="5">
        <f t="shared" ca="1" si="91"/>
        <v>4.4104999999999999</v>
      </c>
      <c r="P1093" s="5">
        <f t="shared" ca="1" si="91"/>
        <v>14.718800000000003</v>
      </c>
      <c r="Q1093" s="5">
        <f t="shared" ca="1" si="91"/>
        <v>231.81149999999997</v>
      </c>
      <c r="R1093" s="4"/>
      <c r="S1093" s="4"/>
    </row>
    <row r="1094" spans="1:19" ht="15" customHeight="1">
      <c r="A1094" s="3">
        <f t="shared" si="92"/>
        <v>2072</v>
      </c>
      <c r="B1094" s="4">
        <f t="shared" ref="B1094:J1103" ca="1" si="93">AVERAGE(OFFSET(B$569,($A1094-$A$1084)*12,0,12,1))</f>
        <v>20.713249999999999</v>
      </c>
      <c r="C1094" s="4">
        <f t="shared" ca="1" si="93"/>
        <v>20.723600000000001</v>
      </c>
      <c r="D1094" s="4">
        <f t="shared" ca="1" si="93"/>
        <v>20.724508333333333</v>
      </c>
      <c r="E1094" s="4">
        <f t="shared" ca="1" si="93"/>
        <v>20.722899999999999</v>
      </c>
      <c r="F1094" s="4">
        <f t="shared" ca="1" si="93"/>
        <v>21.388566666666673</v>
      </c>
      <c r="G1094" s="4">
        <f t="shared" ca="1" si="93"/>
        <v>20.358525000000004</v>
      </c>
      <c r="H1094" s="4">
        <f t="shared" ca="1" si="93"/>
        <v>21.271125000000001</v>
      </c>
      <c r="I1094" s="4">
        <f t="shared" ca="1" si="93"/>
        <v>20.094149999999999</v>
      </c>
      <c r="J1094" s="4">
        <f t="shared" ca="1" si="93"/>
        <v>20.006708333333336</v>
      </c>
      <c r="K1094" s="4"/>
      <c r="L1094" s="5">
        <f t="shared" ref="L1094:Q1103" ca="1" si="94">SUM(OFFSET(L$569,($A1094-$A$1084)*12,0,12,1))</f>
        <v>336.95349999999996</v>
      </c>
      <c r="M1094" s="5">
        <f t="shared" ca="1" si="94"/>
        <v>142.42920000000001</v>
      </c>
      <c r="N1094" s="5">
        <f t="shared" ca="1" si="94"/>
        <v>58.377000000000002</v>
      </c>
      <c r="O1094" s="5">
        <f t="shared" ca="1" si="94"/>
        <v>4.4226000000000001</v>
      </c>
      <c r="P1094" s="5">
        <f t="shared" ca="1" si="94"/>
        <v>14.760600000000004</v>
      </c>
      <c r="Q1094" s="5">
        <f t="shared" ca="1" si="94"/>
        <v>232.44659999999996</v>
      </c>
      <c r="R1094" s="4"/>
      <c r="S1094" s="4"/>
    </row>
    <row r="1095" spans="1:19" ht="15" customHeight="1">
      <c r="A1095" s="3">
        <f t="shared" si="92"/>
        <v>2073</v>
      </c>
      <c r="B1095" s="4">
        <f t="shared" ca="1" si="93"/>
        <v>21.389733333333336</v>
      </c>
      <c r="C1095" s="4">
        <f t="shared" ca="1" si="93"/>
        <v>21.400075000000001</v>
      </c>
      <c r="D1095" s="4">
        <f t="shared" ca="1" si="93"/>
        <v>21.400991666666666</v>
      </c>
      <c r="E1095" s="4">
        <f t="shared" ca="1" si="93"/>
        <v>21.399383333333329</v>
      </c>
      <c r="F1095" s="4">
        <f t="shared" ca="1" si="93"/>
        <v>22.065058333333329</v>
      </c>
      <c r="G1095" s="4">
        <f t="shared" ca="1" si="93"/>
        <v>21.024049999999999</v>
      </c>
      <c r="H1095" s="4">
        <f t="shared" ca="1" si="93"/>
        <v>21.936674999999997</v>
      </c>
      <c r="I1095" s="4">
        <f t="shared" ca="1" si="93"/>
        <v>20.748708333333337</v>
      </c>
      <c r="J1095" s="4">
        <f t="shared" ca="1" si="93"/>
        <v>20.660916666666665</v>
      </c>
      <c r="K1095" s="4"/>
      <c r="L1095" s="5">
        <f t="shared" ca="1" si="94"/>
        <v>336.06969999999995</v>
      </c>
      <c r="M1095" s="5">
        <f t="shared" ca="1" si="94"/>
        <v>142.0401</v>
      </c>
      <c r="N1095" s="5">
        <f t="shared" ca="1" si="94"/>
        <v>58.217499999999994</v>
      </c>
      <c r="O1095" s="5">
        <f t="shared" ca="1" si="94"/>
        <v>4.4104999999999999</v>
      </c>
      <c r="P1095" s="5">
        <f t="shared" ca="1" si="94"/>
        <v>14.718800000000003</v>
      </c>
      <c r="Q1095" s="5">
        <f t="shared" ca="1" si="94"/>
        <v>231.81149999999997</v>
      </c>
      <c r="R1095" s="4"/>
      <c r="S1095" s="4"/>
    </row>
    <row r="1096" spans="1:19" ht="15" customHeight="1">
      <c r="A1096" s="3">
        <f t="shared" si="92"/>
        <v>2074</v>
      </c>
      <c r="B1096" s="4">
        <f t="shared" ca="1" si="93"/>
        <v>22.088350000000002</v>
      </c>
      <c r="C1096" s="4">
        <f t="shared" ca="1" si="93"/>
        <v>22.098699999999997</v>
      </c>
      <c r="D1096" s="4">
        <f t="shared" ca="1" si="93"/>
        <v>22.099599999999999</v>
      </c>
      <c r="E1096" s="4">
        <f t="shared" ca="1" si="93"/>
        <v>22.098000000000003</v>
      </c>
      <c r="F1096" s="4">
        <f t="shared" ca="1" si="93"/>
        <v>22.763675000000003</v>
      </c>
      <c r="G1096" s="4">
        <f t="shared" ca="1" si="93"/>
        <v>21.711375000000004</v>
      </c>
      <c r="H1096" s="4">
        <f t="shared" ca="1" si="93"/>
        <v>22.623983333333339</v>
      </c>
      <c r="I1096" s="4">
        <f t="shared" ca="1" si="93"/>
        <v>21.424683333333334</v>
      </c>
      <c r="J1096" s="4">
        <f t="shared" ca="1" si="93"/>
        <v>21.336541666666665</v>
      </c>
      <c r="K1096" s="4"/>
      <c r="L1096" s="5">
        <f t="shared" ca="1" si="94"/>
        <v>336.06969999999995</v>
      </c>
      <c r="M1096" s="5">
        <f t="shared" ca="1" si="94"/>
        <v>142.0401</v>
      </c>
      <c r="N1096" s="5">
        <f t="shared" ca="1" si="94"/>
        <v>58.217499999999994</v>
      </c>
      <c r="O1096" s="5">
        <f t="shared" ca="1" si="94"/>
        <v>4.4104999999999999</v>
      </c>
      <c r="P1096" s="5">
        <f t="shared" ca="1" si="94"/>
        <v>14.718800000000003</v>
      </c>
      <c r="Q1096" s="5">
        <f t="shared" ca="1" si="94"/>
        <v>231.81149999999997</v>
      </c>
      <c r="R1096" s="4"/>
      <c r="S1096" s="4"/>
    </row>
    <row r="1097" spans="1:19" ht="15" customHeight="1">
      <c r="A1097" s="3">
        <f t="shared" si="92"/>
        <v>2075</v>
      </c>
      <c r="B1097" s="4">
        <f t="shared" ca="1" si="93"/>
        <v>22.809808333333336</v>
      </c>
      <c r="C1097" s="4">
        <f t="shared" ca="1" si="93"/>
        <v>22.820166666666665</v>
      </c>
      <c r="D1097" s="4">
        <f t="shared" ca="1" si="93"/>
        <v>22.821066666666667</v>
      </c>
      <c r="E1097" s="4">
        <f t="shared" ca="1" si="93"/>
        <v>22.819458333333333</v>
      </c>
      <c r="F1097" s="4">
        <f t="shared" ca="1" si="93"/>
        <v>23.485133333333334</v>
      </c>
      <c r="G1097" s="4">
        <f t="shared" ca="1" si="93"/>
        <v>22.421149999999997</v>
      </c>
      <c r="H1097" s="4">
        <f t="shared" ca="1" si="93"/>
        <v>23.333774999999999</v>
      </c>
      <c r="I1097" s="4">
        <f t="shared" ca="1" si="93"/>
        <v>22.122758333333334</v>
      </c>
      <c r="J1097" s="4">
        <f t="shared" ca="1" si="93"/>
        <v>22.034258333333337</v>
      </c>
      <c r="K1097" s="4"/>
      <c r="L1097" s="5">
        <f t="shared" ca="1" si="94"/>
        <v>336.06969999999995</v>
      </c>
      <c r="M1097" s="5">
        <f t="shared" ca="1" si="94"/>
        <v>142.0401</v>
      </c>
      <c r="N1097" s="5">
        <f t="shared" ca="1" si="94"/>
        <v>58.217499999999994</v>
      </c>
      <c r="O1097" s="5">
        <f t="shared" ca="1" si="94"/>
        <v>4.4104999999999999</v>
      </c>
      <c r="P1097" s="5">
        <f t="shared" ca="1" si="94"/>
        <v>14.718800000000003</v>
      </c>
      <c r="Q1097" s="5">
        <f t="shared" ca="1" si="94"/>
        <v>231.81149999999997</v>
      </c>
      <c r="R1097" s="4"/>
      <c r="S1097" s="4"/>
    </row>
    <row r="1098" spans="1:19" ht="15" customHeight="1">
      <c r="A1098" s="3">
        <f t="shared" si="92"/>
        <v>2076</v>
      </c>
      <c r="B1098" s="4">
        <f t="shared" ca="1" si="93"/>
        <v>23.554883333333333</v>
      </c>
      <c r="C1098" s="4">
        <f t="shared" ca="1" si="93"/>
        <v>23.565208333333331</v>
      </c>
      <c r="D1098" s="4">
        <f t="shared" ca="1" si="93"/>
        <v>23.566099999999995</v>
      </c>
      <c r="E1098" s="4">
        <f t="shared" ca="1" si="93"/>
        <v>23.564491666666665</v>
      </c>
      <c r="F1098" s="4">
        <f t="shared" ca="1" si="93"/>
        <v>24.230183333333333</v>
      </c>
      <c r="G1098" s="4">
        <f t="shared" ca="1" si="93"/>
        <v>23.154158333333331</v>
      </c>
      <c r="H1098" s="4">
        <f t="shared" ca="1" si="93"/>
        <v>24.066774999999996</v>
      </c>
      <c r="I1098" s="4">
        <f t="shared" ca="1" si="93"/>
        <v>22.84365</v>
      </c>
      <c r="J1098" s="4">
        <f t="shared" ca="1" si="93"/>
        <v>22.754808333333333</v>
      </c>
      <c r="K1098" s="4"/>
      <c r="L1098" s="5">
        <f t="shared" ca="1" si="94"/>
        <v>336.95349999999996</v>
      </c>
      <c r="M1098" s="5">
        <f t="shared" ca="1" si="94"/>
        <v>142.42920000000001</v>
      </c>
      <c r="N1098" s="5">
        <f t="shared" ca="1" si="94"/>
        <v>58.377000000000002</v>
      </c>
      <c r="O1098" s="5">
        <f t="shared" ca="1" si="94"/>
        <v>4.4226000000000001</v>
      </c>
      <c r="P1098" s="5">
        <f t="shared" ca="1" si="94"/>
        <v>14.760600000000004</v>
      </c>
      <c r="Q1098" s="5">
        <f t="shared" ca="1" si="94"/>
        <v>232.44659999999996</v>
      </c>
      <c r="R1098" s="4"/>
      <c r="S1098" s="4"/>
    </row>
    <row r="1099" spans="1:19" ht="15" customHeight="1">
      <c r="A1099" s="3">
        <f t="shared" si="92"/>
        <v>2077</v>
      </c>
      <c r="B1099" s="4">
        <f t="shared" ca="1" si="93"/>
        <v>24.324291666666667</v>
      </c>
      <c r="C1099" s="4">
        <f t="shared" ca="1" si="93"/>
        <v>24.334633333333333</v>
      </c>
      <c r="D1099" s="4">
        <f t="shared" ca="1" si="93"/>
        <v>24.335541666666671</v>
      </c>
      <c r="E1099" s="4">
        <f t="shared" ca="1" si="93"/>
        <v>24.333933333333338</v>
      </c>
      <c r="F1099" s="4">
        <f t="shared" ca="1" si="93"/>
        <v>24.999616666666665</v>
      </c>
      <c r="G1099" s="4">
        <f t="shared" ca="1" si="93"/>
        <v>23.911141666666666</v>
      </c>
      <c r="H1099" s="4">
        <f t="shared" ca="1" si="93"/>
        <v>24.823749999999993</v>
      </c>
      <c r="I1099" s="4">
        <f t="shared" ca="1" si="93"/>
        <v>23.588133333333335</v>
      </c>
      <c r="J1099" s="4">
        <f t="shared" ca="1" si="93"/>
        <v>23.49893333333333</v>
      </c>
      <c r="K1099" s="4"/>
      <c r="L1099" s="5">
        <f t="shared" ca="1" si="94"/>
        <v>336.06969999999995</v>
      </c>
      <c r="M1099" s="5">
        <f t="shared" ca="1" si="94"/>
        <v>142.0401</v>
      </c>
      <c r="N1099" s="5">
        <f t="shared" ca="1" si="94"/>
        <v>58.217499999999994</v>
      </c>
      <c r="O1099" s="5">
        <f t="shared" ca="1" si="94"/>
        <v>4.4104999999999999</v>
      </c>
      <c r="P1099" s="5">
        <f t="shared" ca="1" si="94"/>
        <v>14.718800000000003</v>
      </c>
      <c r="Q1099" s="5">
        <f t="shared" ca="1" si="94"/>
        <v>231.81149999999997</v>
      </c>
      <c r="R1099" s="4"/>
      <c r="S1099" s="4"/>
    </row>
    <row r="1100" spans="1:19" ht="15" customHeight="1">
      <c r="A1100" s="3">
        <f t="shared" si="92"/>
        <v>2078</v>
      </c>
      <c r="B1100" s="4">
        <f t="shared" ca="1" si="93"/>
        <v>25.118866666666662</v>
      </c>
      <c r="C1100" s="4">
        <f t="shared" ca="1" si="93"/>
        <v>25.129225000000002</v>
      </c>
      <c r="D1100" s="4">
        <f t="shared" ca="1" si="93"/>
        <v>25.130108333333336</v>
      </c>
      <c r="E1100" s="4">
        <f t="shared" ca="1" si="93"/>
        <v>25.128508333333333</v>
      </c>
      <c r="F1100" s="4">
        <f t="shared" ca="1" si="93"/>
        <v>25.794191666666663</v>
      </c>
      <c r="G1100" s="4">
        <f t="shared" ca="1" si="93"/>
        <v>24.692875000000001</v>
      </c>
      <c r="H1100" s="4">
        <f t="shared" ca="1" si="93"/>
        <v>25.605474999999998</v>
      </c>
      <c r="I1100" s="4">
        <f t="shared" ca="1" si="93"/>
        <v>24.356949999999998</v>
      </c>
      <c r="J1100" s="4">
        <f t="shared" ca="1" si="93"/>
        <v>24.267358333333334</v>
      </c>
      <c r="K1100" s="4"/>
      <c r="L1100" s="5">
        <f t="shared" ca="1" si="94"/>
        <v>336.06969999999995</v>
      </c>
      <c r="M1100" s="5">
        <f t="shared" ca="1" si="94"/>
        <v>142.0401</v>
      </c>
      <c r="N1100" s="5">
        <f t="shared" ca="1" si="94"/>
        <v>58.217499999999994</v>
      </c>
      <c r="O1100" s="5">
        <f t="shared" ca="1" si="94"/>
        <v>4.4104999999999999</v>
      </c>
      <c r="P1100" s="5">
        <f t="shared" ca="1" si="94"/>
        <v>14.718800000000003</v>
      </c>
      <c r="Q1100" s="5">
        <f t="shared" ca="1" si="94"/>
        <v>231.81149999999997</v>
      </c>
      <c r="R1100" s="4"/>
      <c r="S1100" s="4"/>
    </row>
    <row r="1101" spans="1:19" ht="15" customHeight="1">
      <c r="A1101" s="3">
        <f t="shared" si="92"/>
        <v>2079</v>
      </c>
      <c r="B1101" s="4">
        <f t="shared" ca="1" si="93"/>
        <v>25.939449999999997</v>
      </c>
      <c r="C1101" s="4">
        <f t="shared" ca="1" si="93"/>
        <v>25.94978333333334</v>
      </c>
      <c r="D1101" s="4">
        <f t="shared" ca="1" si="93"/>
        <v>25.95068333333333</v>
      </c>
      <c r="E1101" s="4">
        <f t="shared" ca="1" si="93"/>
        <v>25.949074999999997</v>
      </c>
      <c r="F1101" s="4">
        <f t="shared" ca="1" si="93"/>
        <v>26.614758333333331</v>
      </c>
      <c r="G1101" s="4">
        <f t="shared" ca="1" si="93"/>
        <v>25.500183333333336</v>
      </c>
      <c r="H1101" s="4">
        <f t="shared" ca="1" si="93"/>
        <v>26.412791666666674</v>
      </c>
      <c r="I1101" s="4">
        <f t="shared" ca="1" si="93"/>
        <v>25.150933333333331</v>
      </c>
      <c r="J1101" s="4">
        <f t="shared" ca="1" si="93"/>
        <v>25.060924999999997</v>
      </c>
      <c r="K1101" s="4"/>
      <c r="L1101" s="5">
        <f t="shared" ca="1" si="94"/>
        <v>336.06969999999995</v>
      </c>
      <c r="M1101" s="5">
        <f t="shared" ca="1" si="94"/>
        <v>142.0401</v>
      </c>
      <c r="N1101" s="5">
        <f t="shared" ca="1" si="94"/>
        <v>58.217499999999994</v>
      </c>
      <c r="O1101" s="5">
        <f t="shared" ca="1" si="94"/>
        <v>4.4104999999999999</v>
      </c>
      <c r="P1101" s="5">
        <f t="shared" ca="1" si="94"/>
        <v>14.718800000000003</v>
      </c>
      <c r="Q1101" s="5">
        <f t="shared" ca="1" si="94"/>
        <v>231.81149999999997</v>
      </c>
      <c r="R1101" s="4"/>
      <c r="S1101" s="4"/>
    </row>
    <row r="1102" spans="1:19" ht="15" customHeight="1">
      <c r="A1102" s="3">
        <f t="shared" si="92"/>
        <v>2080</v>
      </c>
      <c r="B1102" s="4">
        <f t="shared" ca="1" si="93"/>
        <v>26.786850000000005</v>
      </c>
      <c r="C1102" s="4">
        <f t="shared" ca="1" si="93"/>
        <v>26.7972</v>
      </c>
      <c r="D1102" s="4">
        <f t="shared" ca="1" si="93"/>
        <v>26.798083333333338</v>
      </c>
      <c r="E1102" s="4">
        <f t="shared" ca="1" si="93"/>
        <v>26.796474999999997</v>
      </c>
      <c r="F1102" s="4">
        <f t="shared" ca="1" si="93"/>
        <v>27.462166666666665</v>
      </c>
      <c r="G1102" s="4">
        <f t="shared" ca="1" si="93"/>
        <v>26.333875000000003</v>
      </c>
      <c r="H1102" s="4">
        <f t="shared" ca="1" si="93"/>
        <v>27.246475000000004</v>
      </c>
      <c r="I1102" s="4">
        <f t="shared" ca="1" si="93"/>
        <v>25.970866666666666</v>
      </c>
      <c r="J1102" s="4">
        <f t="shared" ca="1" si="93"/>
        <v>25.880466666666667</v>
      </c>
      <c r="K1102" s="4"/>
      <c r="L1102" s="5">
        <f t="shared" ca="1" si="94"/>
        <v>336.95349999999996</v>
      </c>
      <c r="M1102" s="5">
        <f t="shared" ca="1" si="94"/>
        <v>142.42920000000001</v>
      </c>
      <c r="N1102" s="5">
        <f t="shared" ca="1" si="94"/>
        <v>58.377000000000002</v>
      </c>
      <c r="O1102" s="5">
        <f t="shared" ca="1" si="94"/>
        <v>4.4226000000000001</v>
      </c>
      <c r="P1102" s="5">
        <f t="shared" ca="1" si="94"/>
        <v>14.760600000000004</v>
      </c>
      <c r="Q1102" s="5">
        <f t="shared" ca="1" si="94"/>
        <v>232.44659999999996</v>
      </c>
      <c r="R1102" s="4"/>
      <c r="S1102" s="4"/>
    </row>
    <row r="1103" spans="1:19" ht="15" customHeight="1">
      <c r="A1103" s="3">
        <f t="shared" si="92"/>
        <v>2081</v>
      </c>
      <c r="B1103" s="4">
        <f t="shared" ca="1" si="93"/>
        <v>27.661974999999998</v>
      </c>
      <c r="C1103" s="4">
        <f t="shared" ca="1" si="93"/>
        <v>27.672291666666666</v>
      </c>
      <c r="D1103" s="4">
        <f t="shared" ca="1" si="93"/>
        <v>27.673216666666672</v>
      </c>
      <c r="E1103" s="4">
        <f t="shared" ca="1" si="93"/>
        <v>27.671608333333328</v>
      </c>
      <c r="F1103" s="4">
        <f t="shared" ca="1" si="93"/>
        <v>28.337300000000003</v>
      </c>
      <c r="G1103" s="4">
        <f t="shared" ca="1" si="93"/>
        <v>27.194833333333325</v>
      </c>
      <c r="H1103" s="4">
        <f t="shared" ca="1" si="93"/>
        <v>28.107441666666674</v>
      </c>
      <c r="I1103" s="4">
        <f t="shared" ca="1" si="93"/>
        <v>26.817608333333329</v>
      </c>
      <c r="J1103" s="4">
        <f t="shared" ca="1" si="93"/>
        <v>26.726791666666667</v>
      </c>
      <c r="K1103" s="4"/>
      <c r="L1103" s="5">
        <f t="shared" ca="1" si="94"/>
        <v>336.06969999999995</v>
      </c>
      <c r="M1103" s="5">
        <f t="shared" ca="1" si="94"/>
        <v>142.0401</v>
      </c>
      <c r="N1103" s="5">
        <f t="shared" ca="1" si="94"/>
        <v>58.217499999999994</v>
      </c>
      <c r="O1103" s="5">
        <f t="shared" ca="1" si="94"/>
        <v>4.4104999999999999</v>
      </c>
      <c r="P1103" s="5">
        <f t="shared" ca="1" si="94"/>
        <v>14.718800000000003</v>
      </c>
      <c r="Q1103" s="5">
        <f t="shared" ca="1" si="94"/>
        <v>231.81149999999997</v>
      </c>
      <c r="R1103" s="4"/>
      <c r="S1103" s="4"/>
    </row>
    <row r="1104" spans="1:19" ht="15" customHeight="1">
      <c r="A1104" s="3">
        <f t="shared" si="92"/>
        <v>2082</v>
      </c>
      <c r="B1104" s="4">
        <f t="shared" ref="B1104:J1113" ca="1" si="95">AVERAGE(OFFSET(B$569,($A1104-$A$1084)*12,0,12,1))</f>
        <v>28.565708333333333</v>
      </c>
      <c r="C1104" s="4">
        <f t="shared" ca="1" si="95"/>
        <v>28.576049999999999</v>
      </c>
      <c r="D1104" s="4">
        <f t="shared" ca="1" si="95"/>
        <v>28.576958333333334</v>
      </c>
      <c r="E1104" s="4">
        <f t="shared" ca="1" si="95"/>
        <v>28.57535833333333</v>
      </c>
      <c r="F1104" s="4">
        <f t="shared" ca="1" si="95"/>
        <v>29.241024999999997</v>
      </c>
      <c r="G1104" s="4">
        <f t="shared" ca="1" si="95"/>
        <v>28.083966666666672</v>
      </c>
      <c r="H1104" s="4">
        <f t="shared" ca="1" si="95"/>
        <v>28.996566666666666</v>
      </c>
      <c r="I1104" s="4">
        <f t="shared" ca="1" si="95"/>
        <v>27.692041666666665</v>
      </c>
      <c r="J1104" s="4">
        <f t="shared" ca="1" si="95"/>
        <v>27.600783333333329</v>
      </c>
      <c r="K1104" s="4"/>
      <c r="L1104" s="5">
        <f t="shared" ref="L1104:Q1113" ca="1" si="96">SUM(OFFSET(L$569,($A1104-$A$1084)*12,0,12,1))</f>
        <v>336.06969999999995</v>
      </c>
      <c r="M1104" s="5">
        <f t="shared" ca="1" si="96"/>
        <v>142.0401</v>
      </c>
      <c r="N1104" s="5">
        <f t="shared" ca="1" si="96"/>
        <v>58.217499999999994</v>
      </c>
      <c r="O1104" s="5">
        <f t="shared" ca="1" si="96"/>
        <v>4.4104999999999999</v>
      </c>
      <c r="P1104" s="5">
        <f t="shared" ca="1" si="96"/>
        <v>14.718800000000003</v>
      </c>
      <c r="Q1104" s="5">
        <f t="shared" ca="1" si="96"/>
        <v>231.81149999999997</v>
      </c>
      <c r="R1104" s="4"/>
      <c r="S1104" s="4"/>
    </row>
    <row r="1105" spans="1:19" ht="15" customHeight="1">
      <c r="A1105" s="3">
        <f t="shared" si="92"/>
        <v>2083</v>
      </c>
      <c r="B1105" s="4">
        <f t="shared" ca="1" si="95"/>
        <v>29.498991666666669</v>
      </c>
      <c r="C1105" s="4">
        <f t="shared" ca="1" si="95"/>
        <v>29.509341666666671</v>
      </c>
      <c r="D1105" s="4">
        <f t="shared" ca="1" si="95"/>
        <v>29.510241666666669</v>
      </c>
      <c r="E1105" s="4">
        <f t="shared" ca="1" si="95"/>
        <v>29.508641666666666</v>
      </c>
      <c r="F1105" s="4">
        <f t="shared" ca="1" si="95"/>
        <v>30.174316666666666</v>
      </c>
      <c r="G1105" s="4">
        <f t="shared" ca="1" si="95"/>
        <v>29.00215</v>
      </c>
      <c r="H1105" s="4">
        <f t="shared" ca="1" si="95"/>
        <v>29.914766666666665</v>
      </c>
      <c r="I1105" s="4">
        <f t="shared" ca="1" si="95"/>
        <v>28.595108333333329</v>
      </c>
      <c r="J1105" s="4">
        <f t="shared" ca="1" si="95"/>
        <v>28.503375000000005</v>
      </c>
      <c r="K1105" s="4"/>
      <c r="L1105" s="5">
        <f t="shared" ca="1" si="96"/>
        <v>336.06969999999995</v>
      </c>
      <c r="M1105" s="5">
        <f t="shared" ca="1" si="96"/>
        <v>142.0401</v>
      </c>
      <c r="N1105" s="5">
        <f t="shared" ca="1" si="96"/>
        <v>58.217499999999994</v>
      </c>
      <c r="O1105" s="5">
        <f t="shared" ca="1" si="96"/>
        <v>4.4104999999999999</v>
      </c>
      <c r="P1105" s="5">
        <f t="shared" ca="1" si="96"/>
        <v>14.718800000000003</v>
      </c>
      <c r="Q1105" s="5">
        <f t="shared" ca="1" si="96"/>
        <v>231.81149999999997</v>
      </c>
      <c r="R1105" s="4"/>
      <c r="S1105" s="4"/>
    </row>
    <row r="1106" spans="1:19" ht="15" customHeight="1">
      <c r="A1106" s="3">
        <f t="shared" si="92"/>
        <v>2084</v>
      </c>
      <c r="B1106" s="4">
        <f t="shared" ca="1" si="95"/>
        <v>30.462808333333339</v>
      </c>
      <c r="C1106" s="4">
        <f t="shared" ca="1" si="95"/>
        <v>30.473150000000004</v>
      </c>
      <c r="D1106" s="4">
        <f t="shared" ca="1" si="95"/>
        <v>30.474058333333335</v>
      </c>
      <c r="E1106" s="4">
        <f t="shared" ca="1" si="95"/>
        <v>30.472449999999998</v>
      </c>
      <c r="F1106" s="4">
        <f t="shared" ca="1" si="95"/>
        <v>31.138141666666666</v>
      </c>
      <c r="G1106" s="4">
        <f t="shared" ca="1" si="95"/>
        <v>29.950374999999994</v>
      </c>
      <c r="H1106" s="4">
        <f t="shared" ca="1" si="95"/>
        <v>30.862983333333336</v>
      </c>
      <c r="I1106" s="4">
        <f t="shared" ca="1" si="95"/>
        <v>29.527683333333329</v>
      </c>
      <c r="J1106" s="4">
        <f t="shared" ca="1" si="95"/>
        <v>29.435483333333334</v>
      </c>
      <c r="K1106" s="4"/>
      <c r="L1106" s="5">
        <f t="shared" ca="1" si="96"/>
        <v>336.95349999999996</v>
      </c>
      <c r="M1106" s="5">
        <f t="shared" ca="1" si="96"/>
        <v>142.42920000000001</v>
      </c>
      <c r="N1106" s="5">
        <f t="shared" ca="1" si="96"/>
        <v>58.377000000000002</v>
      </c>
      <c r="O1106" s="5">
        <f t="shared" ca="1" si="96"/>
        <v>4.4226000000000001</v>
      </c>
      <c r="P1106" s="5">
        <f t="shared" ca="1" si="96"/>
        <v>14.760600000000004</v>
      </c>
      <c r="Q1106" s="5">
        <f t="shared" ca="1" si="96"/>
        <v>232.44659999999996</v>
      </c>
      <c r="R1106" s="4"/>
      <c r="S1106" s="4"/>
    </row>
    <row r="1107" spans="1:19" ht="15" customHeight="1">
      <c r="A1107" s="3">
        <f t="shared" si="92"/>
        <v>2085</v>
      </c>
      <c r="B1107" s="4">
        <f t="shared" ca="1" si="95"/>
        <v>31.458158333333333</v>
      </c>
      <c r="C1107" s="4">
        <f t="shared" ca="1" si="95"/>
        <v>31.468475000000002</v>
      </c>
      <c r="D1107" s="4">
        <f t="shared" ca="1" si="95"/>
        <v>31.469400000000004</v>
      </c>
      <c r="E1107" s="4">
        <f t="shared" ca="1" si="95"/>
        <v>31.46779166666667</v>
      </c>
      <c r="F1107" s="4">
        <f t="shared" ca="1" si="95"/>
        <v>32.133466666666671</v>
      </c>
      <c r="G1107" s="4">
        <f t="shared" ca="1" si="95"/>
        <v>30.929616666666671</v>
      </c>
      <c r="H1107" s="4">
        <f t="shared" ca="1" si="95"/>
        <v>31.842224999999996</v>
      </c>
      <c r="I1107" s="4">
        <f t="shared" ca="1" si="95"/>
        <v>30.490741666666668</v>
      </c>
      <c r="J1107" s="4">
        <f t="shared" ca="1" si="95"/>
        <v>30.398083333333329</v>
      </c>
      <c r="K1107" s="4"/>
      <c r="L1107" s="5">
        <f t="shared" ca="1" si="96"/>
        <v>336.06969999999995</v>
      </c>
      <c r="M1107" s="5">
        <f t="shared" ca="1" si="96"/>
        <v>142.0401</v>
      </c>
      <c r="N1107" s="5">
        <f t="shared" ca="1" si="96"/>
        <v>58.217499999999994</v>
      </c>
      <c r="O1107" s="5">
        <f t="shared" ca="1" si="96"/>
        <v>4.4104999999999999</v>
      </c>
      <c r="P1107" s="5">
        <f t="shared" ca="1" si="96"/>
        <v>14.718800000000003</v>
      </c>
      <c r="Q1107" s="5">
        <f t="shared" ca="1" si="96"/>
        <v>231.81149999999997</v>
      </c>
      <c r="R1107" s="4"/>
      <c r="S1107" s="4"/>
    </row>
    <row r="1108" spans="1:19" ht="15" customHeight="1">
      <c r="A1108" s="3">
        <f t="shared" si="92"/>
        <v>2086</v>
      </c>
      <c r="B1108" s="4">
        <f t="shared" ca="1" si="95"/>
        <v>32.486033333333332</v>
      </c>
      <c r="C1108" s="4">
        <f t="shared" ca="1" si="95"/>
        <v>32.496383333333334</v>
      </c>
      <c r="D1108" s="4">
        <f t="shared" ca="1" si="95"/>
        <v>32.497283333333336</v>
      </c>
      <c r="E1108" s="4">
        <f t="shared" ca="1" si="95"/>
        <v>32.495683333333339</v>
      </c>
      <c r="F1108" s="4">
        <f t="shared" ca="1" si="95"/>
        <v>33.161358333333332</v>
      </c>
      <c r="G1108" s="4">
        <f t="shared" ca="1" si="95"/>
        <v>31.940891666666669</v>
      </c>
      <c r="H1108" s="4">
        <f t="shared" ca="1" si="95"/>
        <v>32.85349166666667</v>
      </c>
      <c r="I1108" s="4">
        <f t="shared" ca="1" si="95"/>
        <v>31.485316666666673</v>
      </c>
      <c r="J1108" s="4">
        <f t="shared" ca="1" si="95"/>
        <v>31.392141666666671</v>
      </c>
      <c r="K1108" s="4"/>
      <c r="L1108" s="5">
        <f t="shared" ca="1" si="96"/>
        <v>336.06969999999995</v>
      </c>
      <c r="M1108" s="5">
        <f t="shared" ca="1" si="96"/>
        <v>142.0401</v>
      </c>
      <c r="N1108" s="5">
        <f t="shared" ca="1" si="96"/>
        <v>58.217499999999994</v>
      </c>
      <c r="O1108" s="5">
        <f t="shared" ca="1" si="96"/>
        <v>4.4104999999999999</v>
      </c>
      <c r="P1108" s="5">
        <f t="shared" ca="1" si="96"/>
        <v>14.718800000000003</v>
      </c>
      <c r="Q1108" s="5">
        <f t="shared" ca="1" si="96"/>
        <v>231.81149999999997</v>
      </c>
      <c r="R1108" s="4"/>
      <c r="S1108" s="4"/>
    </row>
    <row r="1109" spans="1:19" ht="15" customHeight="1">
      <c r="A1109" s="3">
        <f t="shared" si="92"/>
        <v>2087</v>
      </c>
      <c r="B1109" s="4">
        <f t="shared" ca="1" si="95"/>
        <v>33.547550000000001</v>
      </c>
      <c r="C1109" s="4">
        <f t="shared" ca="1" si="95"/>
        <v>33.557883333333329</v>
      </c>
      <c r="D1109" s="4">
        <f t="shared" ca="1" si="95"/>
        <v>33.558791666666671</v>
      </c>
      <c r="E1109" s="4">
        <f t="shared" ca="1" si="95"/>
        <v>33.557183333333334</v>
      </c>
      <c r="F1109" s="4">
        <f t="shared" ca="1" si="95"/>
        <v>34.222883333333336</v>
      </c>
      <c r="G1109" s="4">
        <f t="shared" ca="1" si="95"/>
        <v>32.985225</v>
      </c>
      <c r="H1109" s="4">
        <f t="shared" ca="1" si="95"/>
        <v>33.897833333333331</v>
      </c>
      <c r="I1109" s="4">
        <f t="shared" ca="1" si="95"/>
        <v>32.512408333333333</v>
      </c>
      <c r="J1109" s="4">
        <f t="shared" ca="1" si="95"/>
        <v>32.418716666666668</v>
      </c>
      <c r="K1109" s="4"/>
      <c r="L1109" s="5">
        <f t="shared" ca="1" si="96"/>
        <v>336.06969999999995</v>
      </c>
      <c r="M1109" s="5">
        <f t="shared" ca="1" si="96"/>
        <v>142.0401</v>
      </c>
      <c r="N1109" s="5">
        <f t="shared" ca="1" si="96"/>
        <v>58.217499999999994</v>
      </c>
      <c r="O1109" s="5">
        <f t="shared" ca="1" si="96"/>
        <v>4.4104999999999999</v>
      </c>
      <c r="P1109" s="5">
        <f t="shared" ca="1" si="96"/>
        <v>14.718800000000003</v>
      </c>
      <c r="Q1109" s="5">
        <f t="shared" ca="1" si="96"/>
        <v>231.81149999999997</v>
      </c>
      <c r="R1109" s="4"/>
      <c r="S1109" s="4"/>
    </row>
    <row r="1110" spans="1:19" ht="15" customHeight="1">
      <c r="A1110" s="3">
        <f t="shared" si="92"/>
        <v>2088</v>
      </c>
      <c r="B1110" s="4">
        <f t="shared" ca="1" si="95"/>
        <v>34.643783333333339</v>
      </c>
      <c r="C1110" s="4">
        <f t="shared" ca="1" si="95"/>
        <v>34.654099999999993</v>
      </c>
      <c r="D1110" s="4">
        <f t="shared" ca="1" si="95"/>
        <v>34.655008333333335</v>
      </c>
      <c r="E1110" s="4">
        <f t="shared" ca="1" si="95"/>
        <v>34.653399999999991</v>
      </c>
      <c r="F1110" s="4">
        <f t="shared" ca="1" si="95"/>
        <v>35.319091666666665</v>
      </c>
      <c r="G1110" s="4">
        <f t="shared" ca="1" si="95"/>
        <v>34.063691666666664</v>
      </c>
      <c r="H1110" s="4">
        <f t="shared" ca="1" si="95"/>
        <v>34.976316666666669</v>
      </c>
      <c r="I1110" s="4">
        <f t="shared" ca="1" si="95"/>
        <v>33.573091666666663</v>
      </c>
      <c r="J1110" s="4">
        <f t="shared" ca="1" si="95"/>
        <v>33.478866666666661</v>
      </c>
      <c r="K1110" s="4"/>
      <c r="L1110" s="5">
        <f t="shared" ca="1" si="96"/>
        <v>336.95349999999996</v>
      </c>
      <c r="M1110" s="5">
        <f t="shared" ca="1" si="96"/>
        <v>142.42920000000001</v>
      </c>
      <c r="N1110" s="5">
        <f t="shared" ca="1" si="96"/>
        <v>58.377000000000002</v>
      </c>
      <c r="O1110" s="5">
        <f t="shared" ca="1" si="96"/>
        <v>4.4226000000000001</v>
      </c>
      <c r="P1110" s="5">
        <f t="shared" ca="1" si="96"/>
        <v>14.760600000000004</v>
      </c>
      <c r="Q1110" s="5">
        <f t="shared" ca="1" si="96"/>
        <v>232.44659999999996</v>
      </c>
      <c r="R1110" s="4"/>
      <c r="S1110" s="4"/>
    </row>
    <row r="1111" spans="1:19" ht="15" customHeight="1">
      <c r="A1111" s="3">
        <f t="shared" si="92"/>
        <v>2089</v>
      </c>
      <c r="B1111" s="4">
        <f t="shared" ca="1" si="95"/>
        <v>35.775825000000005</v>
      </c>
      <c r="C1111" s="4">
        <f t="shared" ca="1" si="95"/>
        <v>35.786183333333334</v>
      </c>
      <c r="D1111" s="4">
        <f t="shared" ca="1" si="95"/>
        <v>35.787083333333335</v>
      </c>
      <c r="E1111" s="4">
        <f t="shared" ca="1" si="95"/>
        <v>35.785483333333332</v>
      </c>
      <c r="F1111" s="4">
        <f t="shared" ca="1" si="95"/>
        <v>36.451149999999998</v>
      </c>
      <c r="G1111" s="4">
        <f t="shared" ca="1" si="95"/>
        <v>35.177466666666668</v>
      </c>
      <c r="H1111" s="4">
        <f t="shared" ca="1" si="95"/>
        <v>36.090066666666665</v>
      </c>
      <c r="I1111" s="4">
        <f t="shared" ca="1" si="95"/>
        <v>34.668458333333326</v>
      </c>
      <c r="J1111" s="4">
        <f t="shared" ca="1" si="95"/>
        <v>34.573691666666669</v>
      </c>
      <c r="K1111" s="4"/>
      <c r="L1111" s="5">
        <f t="shared" ca="1" si="96"/>
        <v>336.06969999999995</v>
      </c>
      <c r="M1111" s="5">
        <f t="shared" ca="1" si="96"/>
        <v>142.0401</v>
      </c>
      <c r="N1111" s="5">
        <f t="shared" ca="1" si="96"/>
        <v>58.217499999999994</v>
      </c>
      <c r="O1111" s="5">
        <f t="shared" ca="1" si="96"/>
        <v>4.4104999999999999</v>
      </c>
      <c r="P1111" s="5">
        <f t="shared" ca="1" si="96"/>
        <v>14.718800000000003</v>
      </c>
      <c r="Q1111" s="5">
        <f t="shared" ca="1" si="96"/>
        <v>231.81149999999997</v>
      </c>
      <c r="R1111" s="4"/>
      <c r="S1111" s="4"/>
    </row>
    <row r="1112" spans="1:19" ht="15" customHeight="1">
      <c r="A1112" s="3">
        <f t="shared" si="92"/>
        <v>2090</v>
      </c>
      <c r="B1112" s="4">
        <f t="shared" ca="1" si="95"/>
        <v>36.944941666666672</v>
      </c>
      <c r="C1112" s="4">
        <f t="shared" ca="1" si="95"/>
        <v>36.955249999999999</v>
      </c>
      <c r="D1112" s="4">
        <f t="shared" ca="1" si="95"/>
        <v>36.956183333333335</v>
      </c>
      <c r="E1112" s="4">
        <f t="shared" ca="1" si="95"/>
        <v>36.954574999999998</v>
      </c>
      <c r="F1112" s="4">
        <f t="shared" ca="1" si="95"/>
        <v>37.620249999999999</v>
      </c>
      <c r="G1112" s="4">
        <f t="shared" ca="1" si="95"/>
        <v>36.327641666666672</v>
      </c>
      <c r="H1112" s="4">
        <f t="shared" ca="1" si="95"/>
        <v>37.240249999999996</v>
      </c>
      <c r="I1112" s="4">
        <f t="shared" ca="1" si="95"/>
        <v>35.799650000000007</v>
      </c>
      <c r="J1112" s="4">
        <f t="shared" ca="1" si="95"/>
        <v>35.704325000000004</v>
      </c>
      <c r="K1112" s="4"/>
      <c r="L1112" s="5">
        <f t="shared" ca="1" si="96"/>
        <v>336.06969999999995</v>
      </c>
      <c r="M1112" s="5">
        <f t="shared" ca="1" si="96"/>
        <v>142.0401</v>
      </c>
      <c r="N1112" s="5">
        <f t="shared" ca="1" si="96"/>
        <v>58.217499999999994</v>
      </c>
      <c r="O1112" s="5">
        <f t="shared" ca="1" si="96"/>
        <v>4.4104999999999999</v>
      </c>
      <c r="P1112" s="5">
        <f t="shared" ca="1" si="96"/>
        <v>14.718800000000003</v>
      </c>
      <c r="Q1112" s="5">
        <f t="shared" ca="1" si="96"/>
        <v>231.81149999999997</v>
      </c>
      <c r="R1112" s="4"/>
      <c r="S1112" s="4"/>
    </row>
    <row r="1113" spans="1:19" ht="15" customHeight="1">
      <c r="A1113" s="3">
        <f t="shared" si="92"/>
        <v>2091</v>
      </c>
      <c r="B1113" s="4">
        <f t="shared" ca="1" si="95"/>
        <v>38.152258333333329</v>
      </c>
      <c r="C1113" s="4">
        <f t="shared" ca="1" si="95"/>
        <v>38.162591666666664</v>
      </c>
      <c r="D1113" s="4">
        <f t="shared" ca="1" si="95"/>
        <v>38.163499999999999</v>
      </c>
      <c r="E1113" s="4">
        <f t="shared" ca="1" si="95"/>
        <v>38.161899999999996</v>
      </c>
      <c r="F1113" s="4">
        <f t="shared" ca="1" si="95"/>
        <v>38.827575000000003</v>
      </c>
      <c r="G1113" s="4">
        <f t="shared" ca="1" si="95"/>
        <v>37.515441666666675</v>
      </c>
      <c r="H1113" s="4">
        <f t="shared" ca="1" si="95"/>
        <v>38.428050000000006</v>
      </c>
      <c r="I1113" s="4">
        <f t="shared" ca="1" si="95"/>
        <v>36.967833333333331</v>
      </c>
      <c r="J1113" s="4">
        <f t="shared" ca="1" si="95"/>
        <v>36.871933333333338</v>
      </c>
      <c r="K1113" s="4"/>
      <c r="L1113" s="5">
        <f t="shared" ca="1" si="96"/>
        <v>336.06969999999995</v>
      </c>
      <c r="M1113" s="5">
        <f t="shared" ca="1" si="96"/>
        <v>142.0401</v>
      </c>
      <c r="N1113" s="5">
        <f t="shared" ca="1" si="96"/>
        <v>58.217499999999994</v>
      </c>
      <c r="O1113" s="5">
        <f t="shared" ca="1" si="96"/>
        <v>4.4104999999999999</v>
      </c>
      <c r="P1113" s="5">
        <f t="shared" ca="1" si="96"/>
        <v>14.718800000000003</v>
      </c>
      <c r="Q1113" s="5">
        <f t="shared" ca="1" si="96"/>
        <v>231.81149999999997</v>
      </c>
      <c r="R1113" s="4"/>
      <c r="S1113" s="4"/>
    </row>
    <row r="1114" spans="1:19" ht="15" customHeight="1">
      <c r="A1114" s="3">
        <f t="shared" si="92"/>
        <v>2092</v>
      </c>
      <c r="B1114" s="4">
        <f t="shared" ref="B1114:J1122" ca="1" si="97">AVERAGE(OFFSET(B$569,($A1114-$A$1084)*12,0,12,1))</f>
        <v>39.399058333333336</v>
      </c>
      <c r="C1114" s="4">
        <f t="shared" ca="1" si="97"/>
        <v>39.409408333333339</v>
      </c>
      <c r="D1114" s="4">
        <f t="shared" ca="1" si="97"/>
        <v>39.410291666666666</v>
      </c>
      <c r="E1114" s="4">
        <f t="shared" ca="1" si="97"/>
        <v>39.40869166666667</v>
      </c>
      <c r="F1114" s="4">
        <f t="shared" ca="1" si="97"/>
        <v>40.074391666666664</v>
      </c>
      <c r="G1114" s="4">
        <f t="shared" ca="1" si="97"/>
        <v>38.742083333333333</v>
      </c>
      <c r="H1114" s="4">
        <f t="shared" ca="1" si="97"/>
        <v>39.654691666666665</v>
      </c>
      <c r="I1114" s="4">
        <f t="shared" ca="1" si="97"/>
        <v>38.174216666666659</v>
      </c>
      <c r="J1114" s="4">
        <f t="shared" ca="1" si="97"/>
        <v>38.077725000000008</v>
      </c>
      <c r="K1114" s="4"/>
      <c r="L1114" s="5">
        <f t="shared" ref="L1114:Q1122" ca="1" si="98">SUM(OFFSET(L$569,($A1114-$A$1084)*12,0,12,1))</f>
        <v>336.95349999999996</v>
      </c>
      <c r="M1114" s="5">
        <f t="shared" ca="1" si="98"/>
        <v>142.42920000000001</v>
      </c>
      <c r="N1114" s="5">
        <f t="shared" ca="1" si="98"/>
        <v>58.377000000000002</v>
      </c>
      <c r="O1114" s="5">
        <f t="shared" ca="1" si="98"/>
        <v>4.4226000000000001</v>
      </c>
      <c r="P1114" s="5">
        <f t="shared" ca="1" si="98"/>
        <v>14.760600000000004</v>
      </c>
      <c r="Q1114" s="5">
        <f t="shared" ca="1" si="98"/>
        <v>232.44659999999996</v>
      </c>
      <c r="R1114" s="4"/>
      <c r="S1114" s="4"/>
    </row>
    <row r="1115" spans="1:19" ht="15" customHeight="1">
      <c r="A1115" s="3">
        <f t="shared" si="92"/>
        <v>2093</v>
      </c>
      <c r="B1115" s="4">
        <f t="shared" ca="1" si="97"/>
        <v>40.686641666666667</v>
      </c>
      <c r="C1115" s="4">
        <f t="shared" ca="1" si="97"/>
        <v>40.696991666666669</v>
      </c>
      <c r="D1115" s="4">
        <f t="shared" ca="1" si="97"/>
        <v>40.697900000000004</v>
      </c>
      <c r="E1115" s="4">
        <f t="shared" ca="1" si="97"/>
        <v>40.69629166666666</v>
      </c>
      <c r="F1115" s="4">
        <f t="shared" ca="1" si="97"/>
        <v>41.361975000000001</v>
      </c>
      <c r="G1115" s="4">
        <f t="shared" ca="1" si="97"/>
        <v>40.008850000000002</v>
      </c>
      <c r="H1115" s="4">
        <f t="shared" ca="1" si="97"/>
        <v>40.921441666666674</v>
      </c>
      <c r="I1115" s="4">
        <f t="shared" ca="1" si="97"/>
        <v>39.420083333333338</v>
      </c>
      <c r="J1115" s="4">
        <f t="shared" ca="1" si="97"/>
        <v>39.322950000000006</v>
      </c>
      <c r="K1115" s="4"/>
      <c r="L1115" s="5">
        <f t="shared" ca="1" si="98"/>
        <v>336.06969999999995</v>
      </c>
      <c r="M1115" s="5">
        <f t="shared" ca="1" si="98"/>
        <v>142.0401</v>
      </c>
      <c r="N1115" s="5">
        <f t="shared" ca="1" si="98"/>
        <v>58.217499999999994</v>
      </c>
      <c r="O1115" s="5">
        <f t="shared" ca="1" si="98"/>
        <v>4.4104999999999999</v>
      </c>
      <c r="P1115" s="5">
        <f t="shared" ca="1" si="98"/>
        <v>14.718800000000003</v>
      </c>
      <c r="Q1115" s="5">
        <f t="shared" ca="1" si="98"/>
        <v>231.81149999999997</v>
      </c>
      <c r="R1115" s="4"/>
      <c r="S1115" s="4"/>
    </row>
    <row r="1116" spans="1:19" ht="15" customHeight="1">
      <c r="A1116" s="3">
        <f t="shared" si="92"/>
        <v>2094</v>
      </c>
      <c r="B1116" s="4">
        <f t="shared" ca="1" si="97"/>
        <v>42.016333333333343</v>
      </c>
      <c r="C1116" s="4">
        <f t="shared" ca="1" si="97"/>
        <v>42.026683333333338</v>
      </c>
      <c r="D1116" s="4">
        <f t="shared" ca="1" si="97"/>
        <v>42.02758333333334</v>
      </c>
      <c r="E1116" s="4">
        <f t="shared" ca="1" si="97"/>
        <v>42.025983333333336</v>
      </c>
      <c r="F1116" s="4">
        <f t="shared" ca="1" si="97"/>
        <v>42.691666666666663</v>
      </c>
      <c r="G1116" s="4">
        <f t="shared" ca="1" si="97"/>
        <v>41.317041666666668</v>
      </c>
      <c r="H1116" s="4">
        <f t="shared" ca="1" si="97"/>
        <v>42.229641666666666</v>
      </c>
      <c r="I1116" s="4">
        <f t="shared" ca="1" si="97"/>
        <v>40.706683333333338</v>
      </c>
      <c r="J1116" s="4">
        <f t="shared" ca="1" si="97"/>
        <v>40.608899999999998</v>
      </c>
      <c r="K1116" s="4"/>
      <c r="L1116" s="5">
        <f t="shared" ca="1" si="98"/>
        <v>336.06969999999995</v>
      </c>
      <c r="M1116" s="5">
        <f t="shared" ca="1" si="98"/>
        <v>142.0401</v>
      </c>
      <c r="N1116" s="5">
        <f t="shared" ca="1" si="98"/>
        <v>58.217499999999994</v>
      </c>
      <c r="O1116" s="5">
        <f t="shared" ca="1" si="98"/>
        <v>4.4104999999999999</v>
      </c>
      <c r="P1116" s="5">
        <f t="shared" ca="1" si="98"/>
        <v>14.718800000000003</v>
      </c>
      <c r="Q1116" s="5">
        <f t="shared" ca="1" si="98"/>
        <v>231.81149999999997</v>
      </c>
      <c r="R1116" s="4"/>
      <c r="S1116" s="4"/>
    </row>
    <row r="1117" spans="1:19" ht="15" customHeight="1">
      <c r="A1117" s="3">
        <f t="shared" si="92"/>
        <v>2095</v>
      </c>
      <c r="B1117" s="4">
        <f t="shared" ca="1" si="97"/>
        <v>43.389516666666658</v>
      </c>
      <c r="C1117" s="4">
        <f t="shared" ca="1" si="97"/>
        <v>43.399866666666661</v>
      </c>
      <c r="D1117" s="4">
        <f t="shared" ca="1" si="97"/>
        <v>43.400774999999989</v>
      </c>
      <c r="E1117" s="4">
        <f t="shared" ca="1" si="97"/>
        <v>43.399166666666666</v>
      </c>
      <c r="F1117" s="4">
        <f t="shared" ca="1" si="97"/>
        <v>44.064841666666666</v>
      </c>
      <c r="G1117" s="4">
        <f t="shared" ca="1" si="97"/>
        <v>42.667991666666666</v>
      </c>
      <c r="H1117" s="4">
        <f t="shared" ca="1" si="97"/>
        <v>43.580608333333338</v>
      </c>
      <c r="I1117" s="4">
        <f t="shared" ca="1" si="97"/>
        <v>42.03534166666666</v>
      </c>
      <c r="J1117" s="4">
        <f t="shared" ca="1" si="97"/>
        <v>41.936891666666661</v>
      </c>
      <c r="K1117" s="4"/>
      <c r="L1117" s="5">
        <f t="shared" ca="1" si="98"/>
        <v>336.06969999999995</v>
      </c>
      <c r="M1117" s="5">
        <f t="shared" ca="1" si="98"/>
        <v>142.0401</v>
      </c>
      <c r="N1117" s="5">
        <f t="shared" ca="1" si="98"/>
        <v>58.217499999999994</v>
      </c>
      <c r="O1117" s="5">
        <f t="shared" ca="1" si="98"/>
        <v>4.4104999999999999</v>
      </c>
      <c r="P1117" s="5">
        <f t="shared" ca="1" si="98"/>
        <v>14.718800000000003</v>
      </c>
      <c r="Q1117" s="5">
        <f t="shared" ca="1" si="98"/>
        <v>231.81149999999997</v>
      </c>
      <c r="R1117" s="4"/>
      <c r="S1117" s="4"/>
    </row>
    <row r="1118" spans="1:19" ht="15" customHeight="1">
      <c r="A1118" s="3">
        <f t="shared" si="92"/>
        <v>2096</v>
      </c>
      <c r="B1118" s="4">
        <f t="shared" ca="1" si="97"/>
        <v>44.807608333333327</v>
      </c>
      <c r="C1118" s="4">
        <f t="shared" ca="1" si="97"/>
        <v>44.817950000000003</v>
      </c>
      <c r="D1118" s="4">
        <f t="shared" ca="1" si="97"/>
        <v>44.818866666666672</v>
      </c>
      <c r="E1118" s="4">
        <f t="shared" ca="1" si="97"/>
        <v>44.817258333333342</v>
      </c>
      <c r="F1118" s="4">
        <f t="shared" ca="1" si="97"/>
        <v>45.482925000000002</v>
      </c>
      <c r="G1118" s="4">
        <f t="shared" ca="1" si="97"/>
        <v>44.063141666666667</v>
      </c>
      <c r="H1118" s="4">
        <f t="shared" ca="1" si="97"/>
        <v>44.975741666666664</v>
      </c>
      <c r="I1118" s="4">
        <f t="shared" ca="1" si="97"/>
        <v>43.407474999999998</v>
      </c>
      <c r="J1118" s="4">
        <f t="shared" ca="1" si="97"/>
        <v>43.308333333333337</v>
      </c>
      <c r="K1118" s="4"/>
      <c r="L1118" s="5">
        <f t="shared" ca="1" si="98"/>
        <v>336.95349999999996</v>
      </c>
      <c r="M1118" s="5">
        <f t="shared" ca="1" si="98"/>
        <v>142.42920000000001</v>
      </c>
      <c r="N1118" s="5">
        <f t="shared" ca="1" si="98"/>
        <v>58.377000000000002</v>
      </c>
      <c r="O1118" s="5">
        <f t="shared" ca="1" si="98"/>
        <v>4.4226000000000001</v>
      </c>
      <c r="P1118" s="5">
        <f t="shared" ca="1" si="98"/>
        <v>14.760600000000004</v>
      </c>
      <c r="Q1118" s="5">
        <f t="shared" ca="1" si="98"/>
        <v>232.44659999999996</v>
      </c>
      <c r="R1118" s="4"/>
      <c r="S1118" s="4"/>
    </row>
    <row r="1119" spans="1:19" ht="15" customHeight="1">
      <c r="A1119" s="3">
        <f t="shared" si="92"/>
        <v>2097</v>
      </c>
      <c r="B1119" s="4">
        <f t="shared" ca="1" si="97"/>
        <v>46.272066666666667</v>
      </c>
      <c r="C1119" s="4">
        <f t="shared" ca="1" si="97"/>
        <v>46.28241666666667</v>
      </c>
      <c r="D1119" s="4">
        <f t="shared" ca="1" si="97"/>
        <v>46.283308333333338</v>
      </c>
      <c r="E1119" s="4">
        <f t="shared" ca="1" si="97"/>
        <v>46.281700000000001</v>
      </c>
      <c r="F1119" s="4">
        <f t="shared" ca="1" si="97"/>
        <v>46.947391666666668</v>
      </c>
      <c r="G1119" s="4">
        <f t="shared" ca="1" si="97"/>
        <v>45.503941666666663</v>
      </c>
      <c r="H1119" s="4">
        <f t="shared" ca="1" si="97"/>
        <v>46.41654166666666</v>
      </c>
      <c r="I1119" s="4">
        <f t="shared" ca="1" si="97"/>
        <v>44.824450000000006</v>
      </c>
      <c r="J1119" s="4">
        <f t="shared" ca="1" si="97"/>
        <v>44.72461666666667</v>
      </c>
      <c r="K1119" s="4"/>
      <c r="L1119" s="5">
        <f t="shared" ca="1" si="98"/>
        <v>336.06969999999995</v>
      </c>
      <c r="M1119" s="5">
        <f t="shared" ca="1" si="98"/>
        <v>142.0401</v>
      </c>
      <c r="N1119" s="5">
        <f t="shared" ca="1" si="98"/>
        <v>58.217499999999994</v>
      </c>
      <c r="O1119" s="5">
        <f t="shared" ca="1" si="98"/>
        <v>4.4104999999999999</v>
      </c>
      <c r="P1119" s="5">
        <f t="shared" ca="1" si="98"/>
        <v>14.718800000000003</v>
      </c>
      <c r="Q1119" s="5">
        <f t="shared" ca="1" si="98"/>
        <v>231.81149999999997</v>
      </c>
      <c r="R1119" s="4"/>
      <c r="S1119" s="4"/>
    </row>
    <row r="1120" spans="1:19" ht="15" customHeight="1">
      <c r="A1120" s="3">
        <f t="shared" si="92"/>
        <v>2098</v>
      </c>
      <c r="B1120" s="4">
        <f t="shared" ca="1" si="97"/>
        <v>47.78443333333334</v>
      </c>
      <c r="C1120" s="4">
        <f t="shared" ca="1" si="97"/>
        <v>47.794766666666668</v>
      </c>
      <c r="D1120" s="4">
        <f t="shared" ca="1" si="97"/>
        <v>47.795666666666669</v>
      </c>
      <c r="E1120" s="4">
        <f t="shared" ca="1" si="97"/>
        <v>47.794058333333339</v>
      </c>
      <c r="F1120" s="4">
        <f t="shared" ca="1" si="97"/>
        <v>48.459758333333326</v>
      </c>
      <c r="G1120" s="4">
        <f t="shared" ca="1" si="97"/>
        <v>46.991800000000005</v>
      </c>
      <c r="H1120" s="4">
        <f t="shared" ca="1" si="97"/>
        <v>47.904425000000003</v>
      </c>
      <c r="I1120" s="4">
        <f t="shared" ca="1" si="97"/>
        <v>46.28778333333333</v>
      </c>
      <c r="J1120" s="4">
        <f t="shared" ca="1" si="97"/>
        <v>46.187216666666671</v>
      </c>
      <c r="K1120" s="4"/>
      <c r="L1120" s="5">
        <f t="shared" ca="1" si="98"/>
        <v>336.06969999999995</v>
      </c>
      <c r="M1120" s="5">
        <f t="shared" ca="1" si="98"/>
        <v>142.0401</v>
      </c>
      <c r="N1120" s="5">
        <f t="shared" ca="1" si="98"/>
        <v>58.217499999999994</v>
      </c>
      <c r="O1120" s="5">
        <f t="shared" ca="1" si="98"/>
        <v>4.4104999999999999</v>
      </c>
      <c r="P1120" s="5">
        <f t="shared" ca="1" si="98"/>
        <v>14.718800000000003</v>
      </c>
      <c r="Q1120" s="5">
        <f t="shared" ca="1" si="98"/>
        <v>231.81149999999997</v>
      </c>
      <c r="R1120" s="4"/>
      <c r="S1120" s="4"/>
    </row>
    <row r="1121" spans="1:19" ht="15" customHeight="1">
      <c r="A1121" s="3">
        <f t="shared" si="92"/>
        <v>2099</v>
      </c>
      <c r="B1121" s="4">
        <f t="shared" ca="1" si="97"/>
        <v>49.346241666666657</v>
      </c>
      <c r="C1121" s="4">
        <f t="shared" ca="1" si="97"/>
        <v>49.356583333333333</v>
      </c>
      <c r="D1121" s="4">
        <f t="shared" ca="1" si="97"/>
        <v>49.357491666666675</v>
      </c>
      <c r="E1121" s="4">
        <f t="shared" ca="1" si="97"/>
        <v>49.355883333333331</v>
      </c>
      <c r="F1121" s="4">
        <f t="shared" ca="1" si="97"/>
        <v>50.021566666666665</v>
      </c>
      <c r="G1121" s="4">
        <f t="shared" ca="1" si="97"/>
        <v>48.528391666666664</v>
      </c>
      <c r="H1121" s="4">
        <f t="shared" ca="1" si="97"/>
        <v>49.440983333333328</v>
      </c>
      <c r="I1121" s="4">
        <f t="shared" ca="1" si="97"/>
        <v>47.798966666666665</v>
      </c>
      <c r="J1121" s="4">
        <f t="shared" ca="1" si="97"/>
        <v>47.697658333333329</v>
      </c>
      <c r="K1121" s="4"/>
      <c r="L1121" s="5">
        <f t="shared" ca="1" si="98"/>
        <v>336.06969999999995</v>
      </c>
      <c r="M1121" s="5">
        <f t="shared" ca="1" si="98"/>
        <v>142.0401</v>
      </c>
      <c r="N1121" s="5">
        <f t="shared" ca="1" si="98"/>
        <v>58.217499999999994</v>
      </c>
      <c r="O1121" s="5">
        <f t="shared" ca="1" si="98"/>
        <v>4.4104999999999999</v>
      </c>
      <c r="P1121" s="5">
        <f t="shared" ca="1" si="98"/>
        <v>14.718800000000003</v>
      </c>
      <c r="Q1121" s="5">
        <f t="shared" ca="1" si="98"/>
        <v>231.81149999999997</v>
      </c>
      <c r="R1121" s="4"/>
      <c r="S1121" s="4"/>
    </row>
    <row r="1122" spans="1:19" ht="15" customHeight="1">
      <c r="A1122" s="3">
        <f t="shared" si="92"/>
        <v>2100</v>
      </c>
      <c r="B1122" s="4">
        <f t="shared" ca="1" si="97"/>
        <v>50.959141666666675</v>
      </c>
      <c r="C1122" s="4">
        <f t="shared" ca="1" si="97"/>
        <v>50.96949166666667</v>
      </c>
      <c r="D1122" s="4">
        <f t="shared" ca="1" si="97"/>
        <v>50.970374999999997</v>
      </c>
      <c r="E1122" s="4">
        <f t="shared" ca="1" si="97"/>
        <v>50.968774999999994</v>
      </c>
      <c r="F1122" s="4">
        <f t="shared" ca="1" si="97"/>
        <v>51.634466666666661</v>
      </c>
      <c r="G1122" s="4">
        <f t="shared" ca="1" si="97"/>
        <v>50.115183333333334</v>
      </c>
      <c r="H1122" s="4">
        <f t="shared" ca="1" si="97"/>
        <v>51.027791666666673</v>
      </c>
      <c r="I1122" s="4">
        <f t="shared" ca="1" si="97"/>
        <v>49.359575000000007</v>
      </c>
      <c r="J1122" s="4">
        <f t="shared" ca="1" si="97"/>
        <v>49.257474999999999</v>
      </c>
      <c r="K1122" s="4"/>
      <c r="L1122" s="5">
        <f t="shared" ca="1" si="98"/>
        <v>336.06969999999995</v>
      </c>
      <c r="M1122" s="5">
        <f t="shared" ca="1" si="98"/>
        <v>142.0401</v>
      </c>
      <c r="N1122" s="5">
        <f t="shared" ca="1" si="98"/>
        <v>58.217499999999994</v>
      </c>
      <c r="O1122" s="5">
        <f t="shared" ca="1" si="98"/>
        <v>4.4104999999999999</v>
      </c>
      <c r="P1122" s="5">
        <f t="shared" ca="1" si="98"/>
        <v>14.718800000000003</v>
      </c>
      <c r="Q1122" s="5">
        <f t="shared" ca="1" si="98"/>
        <v>231.81149999999997</v>
      </c>
      <c r="R1122" s="4"/>
      <c r="S1122" s="4"/>
    </row>
    <row r="1123" spans="1:19">
      <c r="A1123" s="3"/>
    </row>
    <row r="1124" spans="1:19">
      <c r="A1124" s="3"/>
    </row>
    <row r="1125" spans="1:19">
      <c r="A1125" s="3"/>
    </row>
    <row r="1126" spans="1:19">
      <c r="A1126" s="3"/>
    </row>
    <row r="1127" spans="1:19">
      <c r="A1127" s="3"/>
    </row>
    <row r="1128" spans="1:19">
      <c r="A1128" s="3"/>
    </row>
    <row r="1129" spans="1:19">
      <c r="A1129" s="3"/>
    </row>
    <row r="1130" spans="1:19">
      <c r="A1130" s="3"/>
    </row>
    <row r="1131" spans="1:19">
      <c r="A1131" s="3"/>
    </row>
    <row r="1132" spans="1:19">
      <c r="A1132" s="3"/>
    </row>
    <row r="1133" spans="1:19">
      <c r="A1133" s="3"/>
    </row>
    <row r="1134" spans="1:19">
      <c r="A1134" s="3"/>
    </row>
    <row r="1135" spans="1:19">
      <c r="A1135" s="3"/>
    </row>
    <row r="1136" spans="1:19">
      <c r="A1136" s="3"/>
    </row>
    <row r="1137" spans="1:1">
      <c r="A1137" s="3"/>
    </row>
  </sheetData>
  <mergeCells count="2">
    <mergeCell ref="L13:S13"/>
    <mergeCell ref="L14:S14"/>
  </mergeCells>
  <pageMargins left="0.25" right="0.25" top="0.5" bottom="0.5" header="0.25" footer="0.25"/>
  <pageSetup paperSize="119" scale="90" orientation="landscape" horizontalDpi="1200" verticalDpi="1200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11</xdr:row>
                    <xdr:rowOff>171450</xdr:rowOff>
                  </from>
                  <to>
                    <xdr:col>4</xdr:col>
                    <xdr:colOff>533400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11</xdr:row>
                    <xdr:rowOff>171450</xdr:rowOff>
                  </from>
                  <to>
                    <xdr:col>6</xdr:col>
                    <xdr:colOff>257175</xdr:colOff>
                    <xdr:row>13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42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2.75"/>
  <cols>
    <col min="1" max="1" width="7.5546875" style="30" bestFit="1" customWidth="1"/>
    <col min="2" max="2" width="7.88671875" style="30" customWidth="1"/>
    <col min="3" max="7" width="11.33203125" style="29" customWidth="1"/>
    <col min="8" max="8" width="12.77734375" style="29" bestFit="1" customWidth="1"/>
    <col min="9" max="9" width="13.21875" style="29" customWidth="1"/>
    <col min="10" max="10" width="12.77734375" style="29" customWidth="1"/>
    <col min="11" max="11" width="7.77734375" style="29" customWidth="1"/>
    <col min="12" max="16384" width="7.109375" style="29"/>
  </cols>
  <sheetData>
    <row r="1" spans="1:10" ht="15.75">
      <c r="A1" s="81" t="s">
        <v>64</v>
      </c>
    </row>
    <row r="2" spans="1:10" ht="15.75">
      <c r="A2" s="81" t="s">
        <v>65</v>
      </c>
    </row>
    <row r="3" spans="1:10" ht="15.75">
      <c r="A3" s="81" t="s">
        <v>66</v>
      </c>
    </row>
    <row r="4" spans="1:10" ht="15.75">
      <c r="A4" s="81" t="s">
        <v>67</v>
      </c>
    </row>
    <row r="5" spans="1:10" ht="15.75">
      <c r="A5" s="81" t="s">
        <v>69</v>
      </c>
    </row>
    <row r="6" spans="1:10" ht="15.75">
      <c r="A6" s="81" t="s">
        <v>70</v>
      </c>
    </row>
    <row r="8" spans="1:10" ht="20.25">
      <c r="A8" s="28" t="s">
        <v>35</v>
      </c>
    </row>
    <row r="9" spans="1:10" ht="15.75">
      <c r="A9" s="27" t="s">
        <v>25</v>
      </c>
    </row>
    <row r="11" spans="1:10">
      <c r="A11" s="29"/>
    </row>
    <row r="12" spans="1:10" ht="15.75">
      <c r="A12" s="29"/>
      <c r="B12" s="27"/>
      <c r="C12" s="50"/>
      <c r="I12" s="21"/>
    </row>
    <row r="13" spans="1:10" ht="15.75">
      <c r="A13" s="27"/>
      <c r="B13" s="27"/>
      <c r="C13" s="50"/>
      <c r="I13" s="21"/>
    </row>
    <row r="14" spans="1:10" ht="15.75">
      <c r="A14" s="27"/>
      <c r="C14" s="83" t="s">
        <v>34</v>
      </c>
      <c r="D14" s="83"/>
      <c r="E14" s="83"/>
      <c r="F14" s="49"/>
      <c r="G14" s="48"/>
      <c r="H14" s="47"/>
      <c r="I14" s="46"/>
    </row>
    <row r="15" spans="1:10" ht="97.9" customHeight="1">
      <c r="A15" s="15"/>
      <c r="B15" s="15"/>
      <c r="C15" s="18" t="s">
        <v>20</v>
      </c>
      <c r="D15" s="45" t="s">
        <v>19</v>
      </c>
      <c r="E15" s="18" t="s">
        <v>33</v>
      </c>
      <c r="F15" s="18" t="s">
        <v>32</v>
      </c>
      <c r="G15" s="18" t="s">
        <v>16</v>
      </c>
      <c r="H15" s="44" t="s">
        <v>31</v>
      </c>
      <c r="I15" s="18" t="s">
        <v>30</v>
      </c>
      <c r="J15" s="18" t="s">
        <v>29</v>
      </c>
    </row>
    <row r="16" spans="1:10" ht="15.75">
      <c r="A16" s="17" t="s">
        <v>2</v>
      </c>
      <c r="B16" s="17" t="s">
        <v>28</v>
      </c>
      <c r="C16" s="17" t="s">
        <v>27</v>
      </c>
      <c r="D16" s="17" t="s">
        <v>27</v>
      </c>
      <c r="E16" s="17" t="s">
        <v>27</v>
      </c>
      <c r="F16" s="17" t="s">
        <v>27</v>
      </c>
      <c r="G16" s="17" t="s">
        <v>27</v>
      </c>
      <c r="H16" s="43" t="s">
        <v>27</v>
      </c>
      <c r="I16" s="17" t="s">
        <v>27</v>
      </c>
      <c r="J16" s="17" t="s">
        <v>27</v>
      </c>
    </row>
    <row r="17" spans="1:20" ht="15.75">
      <c r="A17" s="13">
        <v>42370</v>
      </c>
      <c r="B17" s="41">
        <v>31</v>
      </c>
      <c r="C17" s="32">
        <v>122.58</v>
      </c>
      <c r="D17" s="32">
        <v>297.94099999999997</v>
      </c>
      <c r="E17" s="38">
        <v>729.47900000000004</v>
      </c>
      <c r="F17" s="32">
        <v>1150</v>
      </c>
      <c r="G17" s="32">
        <v>100</v>
      </c>
      <c r="H17" s="40"/>
      <c r="I17" s="32">
        <v>695</v>
      </c>
      <c r="J17" s="32">
        <v>50</v>
      </c>
      <c r="K17" s="33"/>
      <c r="L17" s="42"/>
      <c r="M17" s="33"/>
      <c r="N17" s="33"/>
      <c r="O17" s="33"/>
      <c r="P17" s="33"/>
      <c r="Q17" s="33"/>
      <c r="R17" s="33"/>
      <c r="S17" s="33"/>
      <c r="T17" s="33"/>
    </row>
    <row r="18" spans="1:20" ht="15.75">
      <c r="A18" s="13">
        <v>42401</v>
      </c>
      <c r="B18" s="41">
        <v>29</v>
      </c>
      <c r="C18" s="32">
        <v>122.58</v>
      </c>
      <c r="D18" s="32">
        <v>297.94099999999997</v>
      </c>
      <c r="E18" s="38">
        <v>729.47900000000004</v>
      </c>
      <c r="F18" s="32">
        <v>1150</v>
      </c>
      <c r="G18" s="32">
        <v>100</v>
      </c>
      <c r="H18" s="40"/>
      <c r="I18" s="32">
        <v>695</v>
      </c>
      <c r="J18" s="32">
        <v>50</v>
      </c>
      <c r="K18" s="33"/>
      <c r="L18" s="42"/>
      <c r="M18" s="33"/>
      <c r="N18" s="33"/>
      <c r="O18" s="33"/>
      <c r="P18" s="33"/>
      <c r="Q18" s="33"/>
      <c r="R18" s="33"/>
      <c r="S18" s="33"/>
      <c r="T18" s="33"/>
    </row>
    <row r="19" spans="1:20" ht="15.75">
      <c r="A19" s="13">
        <v>42430</v>
      </c>
      <c r="B19" s="41">
        <v>31</v>
      </c>
      <c r="C19" s="32">
        <v>122.58</v>
      </c>
      <c r="D19" s="32">
        <v>297.94099999999997</v>
      </c>
      <c r="E19" s="38">
        <v>729.47900000000004</v>
      </c>
      <c r="F19" s="32">
        <v>1150</v>
      </c>
      <c r="G19" s="32">
        <v>100</v>
      </c>
      <c r="H19" s="40"/>
      <c r="I19" s="32">
        <v>695</v>
      </c>
      <c r="J19" s="32">
        <v>50</v>
      </c>
      <c r="K19" s="33"/>
      <c r="L19" s="42"/>
      <c r="M19" s="33"/>
      <c r="N19" s="33"/>
      <c r="O19" s="33"/>
      <c r="P19" s="33"/>
      <c r="Q19" s="33"/>
      <c r="R19" s="33"/>
      <c r="S19" s="33"/>
      <c r="T19" s="33"/>
    </row>
    <row r="20" spans="1:20" ht="15.75">
      <c r="A20" s="13">
        <v>42461</v>
      </c>
      <c r="B20" s="41">
        <v>30</v>
      </c>
      <c r="C20" s="32">
        <v>141.29300000000001</v>
      </c>
      <c r="D20" s="32">
        <v>267.99299999999999</v>
      </c>
      <c r="E20" s="38">
        <v>829.71400000000006</v>
      </c>
      <c r="F20" s="32">
        <v>1239</v>
      </c>
      <c r="G20" s="32">
        <v>100</v>
      </c>
      <c r="H20" s="40"/>
      <c r="I20" s="32">
        <v>695</v>
      </c>
      <c r="J20" s="32">
        <v>50</v>
      </c>
      <c r="K20" s="33"/>
      <c r="L20" s="42"/>
      <c r="M20" s="33"/>
      <c r="N20" s="33"/>
      <c r="O20" s="33"/>
      <c r="P20" s="33"/>
      <c r="Q20" s="33"/>
      <c r="R20" s="33"/>
      <c r="S20" s="33"/>
      <c r="T20" s="33"/>
    </row>
    <row r="21" spans="1:20" ht="15.75">
      <c r="A21" s="13">
        <v>42491</v>
      </c>
      <c r="B21" s="41">
        <v>31</v>
      </c>
      <c r="C21" s="32">
        <v>194.20500000000001</v>
      </c>
      <c r="D21" s="32">
        <v>267.46600000000001</v>
      </c>
      <c r="E21" s="38">
        <v>932.32899999999995</v>
      </c>
      <c r="F21" s="32">
        <v>1394</v>
      </c>
      <c r="G21" s="32">
        <v>75</v>
      </c>
      <c r="H21" s="40"/>
      <c r="I21" s="32">
        <v>695</v>
      </c>
      <c r="J21" s="32">
        <v>50</v>
      </c>
      <c r="K21" s="33"/>
      <c r="L21" s="42"/>
      <c r="M21" s="33"/>
      <c r="N21" s="33"/>
      <c r="O21" s="33"/>
      <c r="P21" s="33"/>
      <c r="Q21" s="33"/>
      <c r="R21" s="33"/>
      <c r="S21" s="33"/>
      <c r="T21" s="33"/>
    </row>
    <row r="22" spans="1:20" ht="15.75">
      <c r="A22" s="13">
        <v>42522</v>
      </c>
      <c r="B22" s="41">
        <v>30</v>
      </c>
      <c r="C22" s="32">
        <v>194.20500000000001</v>
      </c>
      <c r="D22" s="32">
        <v>267.46600000000001</v>
      </c>
      <c r="E22" s="38">
        <v>932.32899999999995</v>
      </c>
      <c r="F22" s="32">
        <v>1394</v>
      </c>
      <c r="G22" s="32">
        <v>50</v>
      </c>
      <c r="H22" s="40"/>
      <c r="I22" s="32">
        <v>695</v>
      </c>
      <c r="J22" s="32">
        <v>50</v>
      </c>
      <c r="K22" s="33"/>
      <c r="L22" s="42"/>
      <c r="M22" s="33"/>
      <c r="N22" s="33"/>
      <c r="O22" s="33"/>
      <c r="P22" s="33"/>
      <c r="Q22" s="33"/>
      <c r="R22" s="33"/>
      <c r="S22" s="33"/>
      <c r="T22" s="33"/>
    </row>
    <row r="23" spans="1:20" ht="15.75">
      <c r="A23" s="13">
        <v>42552</v>
      </c>
      <c r="B23" s="41">
        <v>31</v>
      </c>
      <c r="C23" s="32">
        <v>194.20500000000001</v>
      </c>
      <c r="D23" s="32">
        <v>267.46600000000001</v>
      </c>
      <c r="E23" s="38">
        <v>932.32899999999995</v>
      </c>
      <c r="F23" s="32">
        <v>1394</v>
      </c>
      <c r="G23" s="32">
        <v>50</v>
      </c>
      <c r="H23" s="40"/>
      <c r="I23" s="32">
        <v>695</v>
      </c>
      <c r="J23" s="32">
        <v>0</v>
      </c>
      <c r="K23" s="33"/>
      <c r="L23" s="42"/>
      <c r="M23" s="33"/>
      <c r="N23" s="33"/>
      <c r="O23" s="33"/>
      <c r="P23" s="33"/>
      <c r="Q23" s="33"/>
      <c r="R23" s="33"/>
      <c r="S23" s="33"/>
      <c r="T23" s="33"/>
    </row>
    <row r="24" spans="1:20" ht="15.75">
      <c r="A24" s="13">
        <v>42583</v>
      </c>
      <c r="B24" s="41">
        <v>31</v>
      </c>
      <c r="C24" s="32">
        <v>194.20500000000001</v>
      </c>
      <c r="D24" s="32">
        <v>267.46600000000001</v>
      </c>
      <c r="E24" s="38">
        <v>932.32899999999995</v>
      </c>
      <c r="F24" s="32">
        <v>1394</v>
      </c>
      <c r="G24" s="32">
        <v>50</v>
      </c>
      <c r="H24" s="40"/>
      <c r="I24" s="32">
        <v>695</v>
      </c>
      <c r="J24" s="32">
        <v>0</v>
      </c>
      <c r="K24" s="33"/>
      <c r="L24" s="42"/>
      <c r="M24" s="33"/>
      <c r="N24" s="33"/>
      <c r="O24" s="33"/>
      <c r="P24" s="33"/>
      <c r="Q24" s="33"/>
      <c r="R24" s="33"/>
      <c r="S24" s="33"/>
      <c r="T24" s="33"/>
    </row>
    <row r="25" spans="1:20" ht="15.75">
      <c r="A25" s="13">
        <v>42614</v>
      </c>
      <c r="B25" s="41">
        <v>30</v>
      </c>
      <c r="C25" s="32">
        <v>194.20500000000001</v>
      </c>
      <c r="D25" s="32">
        <v>267.46600000000001</v>
      </c>
      <c r="E25" s="38">
        <v>932.32899999999995</v>
      </c>
      <c r="F25" s="32">
        <v>1394</v>
      </c>
      <c r="G25" s="32">
        <v>50</v>
      </c>
      <c r="H25" s="40"/>
      <c r="I25" s="32">
        <v>695</v>
      </c>
      <c r="J25" s="32">
        <v>0</v>
      </c>
      <c r="K25" s="33"/>
      <c r="L25" s="42"/>
      <c r="M25" s="33"/>
      <c r="N25" s="33"/>
      <c r="O25" s="33"/>
      <c r="P25" s="33"/>
      <c r="Q25" s="33"/>
      <c r="R25" s="33"/>
      <c r="S25" s="33"/>
      <c r="T25" s="33"/>
    </row>
    <row r="26" spans="1:20" ht="15.75">
      <c r="A26" s="13">
        <v>42644</v>
      </c>
      <c r="B26" s="41">
        <v>31</v>
      </c>
      <c r="C26" s="32">
        <v>131.881</v>
      </c>
      <c r="D26" s="32">
        <v>277.16699999999997</v>
      </c>
      <c r="E26" s="38">
        <v>949.952</v>
      </c>
      <c r="F26" s="32">
        <v>1359</v>
      </c>
      <c r="G26" s="32">
        <v>75</v>
      </c>
      <c r="H26" s="40"/>
      <c r="I26" s="32">
        <v>695</v>
      </c>
      <c r="J26" s="32">
        <v>0</v>
      </c>
      <c r="K26" s="33"/>
      <c r="L26" s="42"/>
      <c r="M26" s="33"/>
      <c r="N26" s="33"/>
      <c r="O26" s="33"/>
      <c r="P26" s="33"/>
      <c r="Q26" s="33"/>
      <c r="R26" s="33"/>
      <c r="S26" s="33"/>
      <c r="T26" s="33"/>
    </row>
    <row r="27" spans="1:20" ht="15.75">
      <c r="A27" s="13">
        <v>42675</v>
      </c>
      <c r="B27" s="41">
        <v>30</v>
      </c>
      <c r="C27" s="32">
        <v>122.58</v>
      </c>
      <c r="D27" s="32">
        <v>297.94099999999997</v>
      </c>
      <c r="E27" s="38">
        <v>729.47900000000004</v>
      </c>
      <c r="F27" s="32">
        <v>1150</v>
      </c>
      <c r="G27" s="32">
        <v>100</v>
      </c>
      <c r="H27" s="40"/>
      <c r="I27" s="32">
        <v>695</v>
      </c>
      <c r="J27" s="32">
        <v>50</v>
      </c>
      <c r="K27" s="33"/>
      <c r="L27" s="42"/>
      <c r="M27" s="33"/>
      <c r="N27" s="33"/>
      <c r="O27" s="33"/>
      <c r="P27" s="33"/>
      <c r="Q27" s="33"/>
      <c r="R27" s="33"/>
      <c r="S27" s="33"/>
      <c r="T27" s="33"/>
    </row>
    <row r="28" spans="1:20" ht="15.75">
      <c r="A28" s="13">
        <v>42705</v>
      </c>
      <c r="B28" s="41">
        <v>31</v>
      </c>
      <c r="C28" s="32">
        <v>122.58</v>
      </c>
      <c r="D28" s="32">
        <v>297.94099999999997</v>
      </c>
      <c r="E28" s="38">
        <v>729.47900000000004</v>
      </c>
      <c r="F28" s="32">
        <v>1150</v>
      </c>
      <c r="G28" s="32">
        <v>100</v>
      </c>
      <c r="H28" s="40"/>
      <c r="I28" s="32">
        <v>695</v>
      </c>
      <c r="J28" s="32">
        <v>50</v>
      </c>
      <c r="K28" s="33"/>
      <c r="L28" s="42"/>
      <c r="M28" s="33"/>
      <c r="N28" s="33"/>
      <c r="O28" s="33"/>
      <c r="P28" s="33"/>
      <c r="Q28" s="33"/>
      <c r="R28" s="33"/>
      <c r="S28" s="33"/>
      <c r="T28" s="33"/>
    </row>
    <row r="29" spans="1:20" ht="15.75">
      <c r="A29" s="13">
        <v>42736</v>
      </c>
      <c r="B29" s="41">
        <v>31</v>
      </c>
      <c r="C29" s="32">
        <v>122.58</v>
      </c>
      <c r="D29" s="32">
        <v>297.94099999999997</v>
      </c>
      <c r="E29" s="38">
        <v>729.47900000000004</v>
      </c>
      <c r="F29" s="32">
        <v>1150</v>
      </c>
      <c r="G29" s="32">
        <v>100</v>
      </c>
      <c r="H29" s="40"/>
      <c r="I29" s="32">
        <v>695</v>
      </c>
      <c r="J29" s="32">
        <v>50</v>
      </c>
      <c r="K29" s="33"/>
      <c r="L29" s="42"/>
      <c r="M29" s="33"/>
      <c r="N29" s="33"/>
      <c r="O29" s="33"/>
      <c r="P29" s="33"/>
      <c r="Q29" s="33"/>
      <c r="R29" s="33"/>
      <c r="S29" s="33"/>
      <c r="T29" s="33"/>
    </row>
    <row r="30" spans="1:20" ht="15.75">
      <c r="A30" s="13">
        <v>42767</v>
      </c>
      <c r="B30" s="41">
        <v>28</v>
      </c>
      <c r="C30" s="32">
        <v>122.58</v>
      </c>
      <c r="D30" s="32">
        <v>297.94099999999997</v>
      </c>
      <c r="E30" s="38">
        <v>729.47900000000004</v>
      </c>
      <c r="F30" s="32">
        <v>1150</v>
      </c>
      <c r="G30" s="32">
        <v>100</v>
      </c>
      <c r="H30" s="40"/>
      <c r="I30" s="32">
        <v>695</v>
      </c>
      <c r="J30" s="32">
        <v>50</v>
      </c>
      <c r="K30" s="33"/>
      <c r="L30" s="42"/>
      <c r="M30" s="33"/>
      <c r="N30" s="33"/>
      <c r="O30" s="33"/>
      <c r="P30" s="33"/>
      <c r="Q30" s="33"/>
      <c r="R30" s="33"/>
      <c r="S30" s="33"/>
      <c r="T30" s="33"/>
    </row>
    <row r="31" spans="1:20" ht="15.75">
      <c r="A31" s="13">
        <v>42795</v>
      </c>
      <c r="B31" s="41">
        <v>31</v>
      </c>
      <c r="C31" s="32">
        <v>122.58</v>
      </c>
      <c r="D31" s="32">
        <v>297.94099999999997</v>
      </c>
      <c r="E31" s="38">
        <v>729.47900000000004</v>
      </c>
      <c r="F31" s="32">
        <v>1150</v>
      </c>
      <c r="G31" s="32">
        <v>100</v>
      </c>
      <c r="H31" s="40"/>
      <c r="I31" s="32">
        <v>695</v>
      </c>
      <c r="J31" s="32">
        <v>50</v>
      </c>
      <c r="K31" s="33"/>
      <c r="L31" s="42"/>
      <c r="M31" s="33"/>
      <c r="N31" s="33"/>
      <c r="O31" s="33"/>
      <c r="P31" s="33"/>
      <c r="Q31" s="33"/>
      <c r="R31" s="33"/>
      <c r="S31" s="33"/>
      <c r="T31" s="33"/>
    </row>
    <row r="32" spans="1:20" ht="15.75">
      <c r="A32" s="13">
        <v>42826</v>
      </c>
      <c r="B32" s="41">
        <v>30</v>
      </c>
      <c r="C32" s="32">
        <v>141.29300000000001</v>
      </c>
      <c r="D32" s="32">
        <v>267.99299999999999</v>
      </c>
      <c r="E32" s="38">
        <v>829.71400000000006</v>
      </c>
      <c r="F32" s="32">
        <v>1239</v>
      </c>
      <c r="G32" s="32">
        <v>100</v>
      </c>
      <c r="H32" s="40"/>
      <c r="I32" s="32">
        <v>695</v>
      </c>
      <c r="J32" s="32">
        <v>50</v>
      </c>
      <c r="K32" s="33"/>
      <c r="L32" s="42"/>
      <c r="M32" s="33"/>
      <c r="N32" s="33"/>
      <c r="O32" s="33"/>
      <c r="P32" s="33"/>
      <c r="Q32" s="33"/>
      <c r="R32" s="33"/>
      <c r="S32" s="33"/>
      <c r="T32" s="33"/>
    </row>
    <row r="33" spans="1:20" ht="15.75">
      <c r="A33" s="13">
        <v>42856</v>
      </c>
      <c r="B33" s="41">
        <v>31</v>
      </c>
      <c r="C33" s="32">
        <v>194.20500000000001</v>
      </c>
      <c r="D33" s="32">
        <v>267.46600000000001</v>
      </c>
      <c r="E33" s="38">
        <v>812.32899999999995</v>
      </c>
      <c r="F33" s="32">
        <v>1274</v>
      </c>
      <c r="G33" s="32">
        <v>75</v>
      </c>
      <c r="H33" s="40">
        <v>400</v>
      </c>
      <c r="I33" s="32">
        <v>695</v>
      </c>
      <c r="J33" s="32">
        <v>50</v>
      </c>
      <c r="K33" s="33"/>
      <c r="L33" s="42"/>
      <c r="M33" s="33"/>
      <c r="N33" s="33"/>
      <c r="O33" s="33"/>
      <c r="P33" s="33"/>
      <c r="Q33" s="33"/>
      <c r="R33" s="33"/>
      <c r="S33" s="33"/>
      <c r="T33" s="33"/>
    </row>
    <row r="34" spans="1:20" ht="15.75">
      <c r="A34" s="13">
        <v>42887</v>
      </c>
      <c r="B34" s="41">
        <v>30</v>
      </c>
      <c r="C34" s="32">
        <v>194.20500000000001</v>
      </c>
      <c r="D34" s="32">
        <v>267.46600000000001</v>
      </c>
      <c r="E34" s="38">
        <v>812.32899999999995</v>
      </c>
      <c r="F34" s="32">
        <v>1274</v>
      </c>
      <c r="G34" s="32">
        <v>50</v>
      </c>
      <c r="H34" s="40">
        <v>400</v>
      </c>
      <c r="I34" s="32">
        <v>695</v>
      </c>
      <c r="J34" s="32">
        <v>50</v>
      </c>
      <c r="K34" s="33"/>
      <c r="L34" s="42"/>
      <c r="M34" s="33"/>
      <c r="N34" s="33"/>
      <c r="O34" s="33"/>
      <c r="P34" s="33"/>
      <c r="Q34" s="33"/>
      <c r="R34" s="33"/>
      <c r="S34" s="33"/>
      <c r="T34" s="33"/>
    </row>
    <row r="35" spans="1:20" ht="15.75">
      <c r="A35" s="13">
        <v>42917</v>
      </c>
      <c r="B35" s="41">
        <v>31</v>
      </c>
      <c r="C35" s="32">
        <v>194.20500000000001</v>
      </c>
      <c r="D35" s="32">
        <v>267.46600000000001</v>
      </c>
      <c r="E35" s="38">
        <v>812.32899999999995</v>
      </c>
      <c r="F35" s="32">
        <v>1274</v>
      </c>
      <c r="G35" s="32">
        <v>50</v>
      </c>
      <c r="H35" s="40">
        <v>400</v>
      </c>
      <c r="I35" s="32">
        <v>695</v>
      </c>
      <c r="J35" s="32">
        <v>0</v>
      </c>
      <c r="K35" s="33"/>
      <c r="L35" s="42"/>
      <c r="M35" s="33"/>
      <c r="N35" s="33"/>
      <c r="O35" s="33"/>
      <c r="P35" s="33"/>
      <c r="Q35" s="33"/>
      <c r="R35" s="33"/>
      <c r="S35" s="33"/>
      <c r="T35" s="33"/>
    </row>
    <row r="36" spans="1:20" ht="15.75">
      <c r="A36" s="13">
        <v>42948</v>
      </c>
      <c r="B36" s="41">
        <v>31</v>
      </c>
      <c r="C36" s="32">
        <v>194.20500000000001</v>
      </c>
      <c r="D36" s="32">
        <v>267.46600000000001</v>
      </c>
      <c r="E36" s="38">
        <v>812.32899999999995</v>
      </c>
      <c r="F36" s="32">
        <v>1274</v>
      </c>
      <c r="G36" s="32">
        <v>50</v>
      </c>
      <c r="H36" s="40">
        <v>400</v>
      </c>
      <c r="I36" s="32">
        <v>695</v>
      </c>
      <c r="J36" s="32">
        <v>0</v>
      </c>
      <c r="K36" s="33"/>
      <c r="L36" s="42"/>
      <c r="M36" s="33"/>
      <c r="N36" s="33"/>
      <c r="O36" s="33"/>
      <c r="P36" s="33"/>
      <c r="Q36" s="33"/>
      <c r="R36" s="33"/>
      <c r="S36" s="33"/>
      <c r="T36" s="33"/>
    </row>
    <row r="37" spans="1:20" ht="15.75">
      <c r="A37" s="13">
        <v>42979</v>
      </c>
      <c r="B37" s="41">
        <v>30</v>
      </c>
      <c r="C37" s="32">
        <v>194.20500000000001</v>
      </c>
      <c r="D37" s="32">
        <v>267.46600000000001</v>
      </c>
      <c r="E37" s="38">
        <v>812.32899999999995</v>
      </c>
      <c r="F37" s="32">
        <v>1274</v>
      </c>
      <c r="G37" s="32">
        <v>50</v>
      </c>
      <c r="H37" s="40">
        <v>400</v>
      </c>
      <c r="I37" s="32">
        <v>695</v>
      </c>
      <c r="J37" s="32">
        <v>0</v>
      </c>
      <c r="K37" s="33"/>
      <c r="L37" s="42"/>
      <c r="M37" s="33"/>
      <c r="N37" s="33"/>
      <c r="O37" s="33"/>
      <c r="P37" s="33"/>
      <c r="Q37" s="33"/>
      <c r="R37" s="33"/>
      <c r="S37" s="33"/>
      <c r="T37" s="33"/>
    </row>
    <row r="38" spans="1:20" ht="15.75">
      <c r="A38" s="13">
        <v>43009</v>
      </c>
      <c r="B38" s="41">
        <v>31</v>
      </c>
      <c r="C38" s="32">
        <v>131.881</v>
      </c>
      <c r="D38" s="32">
        <v>277.16699999999997</v>
      </c>
      <c r="E38" s="38">
        <v>829.952</v>
      </c>
      <c r="F38" s="32">
        <v>1239</v>
      </c>
      <c r="G38" s="32">
        <v>75</v>
      </c>
      <c r="H38" s="40">
        <v>400</v>
      </c>
      <c r="I38" s="32">
        <v>695</v>
      </c>
      <c r="J38" s="32">
        <v>0</v>
      </c>
      <c r="K38" s="33"/>
      <c r="L38" s="42"/>
      <c r="M38" s="33"/>
      <c r="N38" s="33"/>
      <c r="O38" s="33"/>
      <c r="P38" s="33"/>
      <c r="Q38" s="33"/>
      <c r="R38" s="33"/>
      <c r="S38" s="33"/>
      <c r="T38" s="33"/>
    </row>
    <row r="39" spans="1:20" ht="15.75">
      <c r="A39" s="13">
        <v>43040</v>
      </c>
      <c r="B39" s="41">
        <v>30</v>
      </c>
      <c r="C39" s="32">
        <v>122.58</v>
      </c>
      <c r="D39" s="32">
        <v>297.94099999999997</v>
      </c>
      <c r="E39" s="38">
        <v>729.47900000000004</v>
      </c>
      <c r="F39" s="32">
        <v>1150</v>
      </c>
      <c r="G39" s="32">
        <v>100</v>
      </c>
      <c r="H39" s="40">
        <v>400</v>
      </c>
      <c r="I39" s="32">
        <v>695</v>
      </c>
      <c r="J39" s="32">
        <v>50</v>
      </c>
      <c r="K39" s="33"/>
      <c r="L39" s="42"/>
      <c r="M39" s="33"/>
      <c r="N39" s="33"/>
      <c r="O39" s="33"/>
      <c r="P39" s="33"/>
      <c r="Q39" s="33"/>
      <c r="R39" s="33"/>
      <c r="S39" s="33"/>
      <c r="T39" s="33"/>
    </row>
    <row r="40" spans="1:20" ht="15.75">
      <c r="A40" s="13">
        <v>43070</v>
      </c>
      <c r="B40" s="41">
        <v>31</v>
      </c>
      <c r="C40" s="32">
        <v>122.58</v>
      </c>
      <c r="D40" s="32">
        <v>297.94099999999997</v>
      </c>
      <c r="E40" s="38">
        <v>729.47900000000004</v>
      </c>
      <c r="F40" s="32">
        <v>1150</v>
      </c>
      <c r="G40" s="32">
        <v>100</v>
      </c>
      <c r="H40" s="40">
        <v>400</v>
      </c>
      <c r="I40" s="32">
        <v>695</v>
      </c>
      <c r="J40" s="32">
        <v>50</v>
      </c>
      <c r="K40" s="33"/>
      <c r="L40" s="42"/>
      <c r="M40" s="33"/>
      <c r="N40" s="33"/>
      <c r="O40" s="33"/>
      <c r="P40" s="33"/>
      <c r="Q40" s="33"/>
      <c r="R40" s="33"/>
      <c r="S40" s="33"/>
      <c r="T40" s="33"/>
    </row>
    <row r="41" spans="1:20" ht="15.75">
      <c r="A41" s="13">
        <v>43101</v>
      </c>
      <c r="B41" s="41">
        <v>31</v>
      </c>
      <c r="C41" s="32">
        <v>122.58</v>
      </c>
      <c r="D41" s="32">
        <v>297.94099999999997</v>
      </c>
      <c r="E41" s="38">
        <v>729.47900000000004</v>
      </c>
      <c r="F41" s="32">
        <v>1150</v>
      </c>
      <c r="G41" s="32">
        <v>100</v>
      </c>
      <c r="H41" s="40">
        <v>400</v>
      </c>
      <c r="I41" s="32">
        <v>695</v>
      </c>
      <c r="J41" s="32">
        <v>50</v>
      </c>
      <c r="K41" s="33"/>
      <c r="L41" s="42"/>
      <c r="M41" s="33"/>
      <c r="N41" s="33"/>
      <c r="O41" s="33"/>
      <c r="P41" s="33"/>
      <c r="Q41" s="33"/>
      <c r="R41" s="33"/>
      <c r="S41" s="33"/>
      <c r="T41" s="33"/>
    </row>
    <row r="42" spans="1:20" ht="15.75">
      <c r="A42" s="13">
        <v>43132</v>
      </c>
      <c r="B42" s="41">
        <v>28</v>
      </c>
      <c r="C42" s="32">
        <v>122.58</v>
      </c>
      <c r="D42" s="32">
        <v>297.94099999999997</v>
      </c>
      <c r="E42" s="38">
        <v>729.47900000000004</v>
      </c>
      <c r="F42" s="32">
        <v>1150</v>
      </c>
      <c r="G42" s="32">
        <v>100</v>
      </c>
      <c r="H42" s="40">
        <v>400</v>
      </c>
      <c r="I42" s="32">
        <v>695</v>
      </c>
      <c r="J42" s="32">
        <v>50</v>
      </c>
      <c r="K42" s="33"/>
      <c r="L42" s="42"/>
      <c r="M42" s="33"/>
      <c r="N42" s="33"/>
      <c r="O42" s="33"/>
      <c r="P42" s="33"/>
      <c r="Q42" s="33"/>
      <c r="R42" s="33"/>
      <c r="S42" s="33"/>
      <c r="T42" s="33"/>
    </row>
    <row r="43" spans="1:20" ht="15.75">
      <c r="A43" s="13">
        <v>43160</v>
      </c>
      <c r="B43" s="41">
        <v>31</v>
      </c>
      <c r="C43" s="32">
        <v>122.58</v>
      </c>
      <c r="D43" s="32">
        <v>297.94099999999997</v>
      </c>
      <c r="E43" s="38">
        <v>729.47900000000004</v>
      </c>
      <c r="F43" s="32">
        <v>1150</v>
      </c>
      <c r="G43" s="32">
        <v>100</v>
      </c>
      <c r="H43" s="40">
        <v>400</v>
      </c>
      <c r="I43" s="32">
        <v>695</v>
      </c>
      <c r="J43" s="32">
        <v>50</v>
      </c>
      <c r="K43" s="33"/>
      <c r="L43" s="42"/>
      <c r="M43" s="33"/>
      <c r="N43" s="33"/>
      <c r="O43" s="33"/>
      <c r="P43" s="33"/>
      <c r="Q43" s="33"/>
      <c r="R43" s="33"/>
      <c r="S43" s="33"/>
      <c r="T43" s="33"/>
    </row>
    <row r="44" spans="1:20" ht="15.75">
      <c r="A44" s="13">
        <v>43191</v>
      </c>
      <c r="B44" s="41">
        <v>30</v>
      </c>
      <c r="C44" s="32">
        <v>141.29300000000001</v>
      </c>
      <c r="D44" s="32">
        <v>267.99299999999999</v>
      </c>
      <c r="E44" s="38">
        <v>829.71400000000006</v>
      </c>
      <c r="F44" s="32">
        <v>1239</v>
      </c>
      <c r="G44" s="32">
        <v>100</v>
      </c>
      <c r="H44" s="40">
        <v>400</v>
      </c>
      <c r="I44" s="32">
        <v>695</v>
      </c>
      <c r="J44" s="32">
        <v>50</v>
      </c>
      <c r="K44" s="33"/>
      <c r="L44" s="42"/>
      <c r="M44" s="33"/>
      <c r="N44" s="33"/>
      <c r="O44" s="33"/>
      <c r="P44" s="33"/>
      <c r="Q44" s="33"/>
      <c r="R44" s="33"/>
      <c r="S44" s="33"/>
      <c r="T44" s="33"/>
    </row>
    <row r="45" spans="1:20" ht="15.75">
      <c r="A45" s="13">
        <v>43221</v>
      </c>
      <c r="B45" s="41">
        <v>31</v>
      </c>
      <c r="C45" s="32">
        <v>194.20500000000001</v>
      </c>
      <c r="D45" s="32">
        <v>267.46600000000001</v>
      </c>
      <c r="E45" s="38">
        <v>812.32899999999995</v>
      </c>
      <c r="F45" s="32">
        <v>1274</v>
      </c>
      <c r="G45" s="32">
        <v>75</v>
      </c>
      <c r="H45" s="40">
        <v>400</v>
      </c>
      <c r="I45" s="32">
        <v>695</v>
      </c>
      <c r="J45" s="32">
        <v>50</v>
      </c>
      <c r="K45" s="33"/>
      <c r="L45" s="42"/>
      <c r="M45" s="33"/>
      <c r="N45" s="33"/>
      <c r="O45" s="33"/>
      <c r="P45" s="33"/>
      <c r="Q45" s="33"/>
      <c r="R45" s="33"/>
      <c r="S45" s="33"/>
      <c r="T45" s="33"/>
    </row>
    <row r="46" spans="1:20" ht="15.75">
      <c r="A46" s="13">
        <v>43252</v>
      </c>
      <c r="B46" s="41">
        <v>30</v>
      </c>
      <c r="C46" s="32">
        <v>194.20500000000001</v>
      </c>
      <c r="D46" s="32">
        <v>267.46600000000001</v>
      </c>
      <c r="E46" s="38">
        <v>812.32899999999995</v>
      </c>
      <c r="F46" s="32">
        <v>1274</v>
      </c>
      <c r="G46" s="32">
        <v>50</v>
      </c>
      <c r="H46" s="40">
        <v>400</v>
      </c>
      <c r="I46" s="32">
        <v>695</v>
      </c>
      <c r="J46" s="32">
        <v>50</v>
      </c>
      <c r="K46" s="33"/>
      <c r="L46" s="42"/>
      <c r="M46" s="33"/>
      <c r="N46" s="33"/>
      <c r="O46" s="33"/>
      <c r="P46" s="33"/>
      <c r="Q46" s="33"/>
      <c r="R46" s="33"/>
      <c r="S46" s="33"/>
      <c r="T46" s="33"/>
    </row>
    <row r="47" spans="1:20" ht="15.75">
      <c r="A47" s="13">
        <v>43282</v>
      </c>
      <c r="B47" s="41">
        <v>31</v>
      </c>
      <c r="C47" s="32">
        <v>194.20500000000001</v>
      </c>
      <c r="D47" s="32">
        <v>267.46600000000001</v>
      </c>
      <c r="E47" s="38">
        <v>812.32899999999995</v>
      </c>
      <c r="F47" s="32">
        <v>1274</v>
      </c>
      <c r="G47" s="32">
        <v>50</v>
      </c>
      <c r="H47" s="40">
        <v>400</v>
      </c>
      <c r="I47" s="32">
        <v>695</v>
      </c>
      <c r="J47" s="32">
        <v>0</v>
      </c>
      <c r="K47" s="33"/>
      <c r="L47" s="42"/>
      <c r="M47" s="33"/>
      <c r="N47" s="33"/>
      <c r="O47" s="33"/>
      <c r="P47" s="33"/>
      <c r="Q47" s="33"/>
      <c r="R47" s="33"/>
      <c r="S47" s="33"/>
      <c r="T47" s="33"/>
    </row>
    <row r="48" spans="1:20" ht="15.75">
      <c r="A48" s="13">
        <v>43313</v>
      </c>
      <c r="B48" s="41">
        <v>31</v>
      </c>
      <c r="C48" s="32">
        <v>194.20500000000001</v>
      </c>
      <c r="D48" s="32">
        <v>267.46600000000001</v>
      </c>
      <c r="E48" s="38">
        <v>812.32899999999995</v>
      </c>
      <c r="F48" s="32">
        <v>1274</v>
      </c>
      <c r="G48" s="32">
        <v>50</v>
      </c>
      <c r="H48" s="40">
        <v>400</v>
      </c>
      <c r="I48" s="32">
        <v>695</v>
      </c>
      <c r="J48" s="32">
        <v>0</v>
      </c>
      <c r="K48" s="33"/>
      <c r="L48" s="42"/>
      <c r="M48" s="33"/>
      <c r="N48" s="33"/>
      <c r="O48" s="33"/>
      <c r="P48" s="33"/>
      <c r="Q48" s="33"/>
      <c r="R48" s="33"/>
      <c r="S48" s="33"/>
      <c r="T48" s="33"/>
    </row>
    <row r="49" spans="1:20" ht="15.75">
      <c r="A49" s="13">
        <v>43344</v>
      </c>
      <c r="B49" s="41">
        <v>30</v>
      </c>
      <c r="C49" s="32">
        <v>194.20500000000001</v>
      </c>
      <c r="D49" s="32">
        <v>267.46600000000001</v>
      </c>
      <c r="E49" s="38">
        <v>812.32899999999995</v>
      </c>
      <c r="F49" s="32">
        <v>1274</v>
      </c>
      <c r="G49" s="32">
        <v>50</v>
      </c>
      <c r="H49" s="40">
        <v>400</v>
      </c>
      <c r="I49" s="32">
        <v>695</v>
      </c>
      <c r="J49" s="32">
        <v>0</v>
      </c>
      <c r="K49" s="33"/>
      <c r="L49" s="42"/>
      <c r="M49" s="33"/>
      <c r="N49" s="33"/>
      <c r="O49" s="33"/>
      <c r="P49" s="33"/>
      <c r="Q49" s="33"/>
      <c r="R49" s="33"/>
      <c r="S49" s="33"/>
      <c r="T49" s="33"/>
    </row>
    <row r="50" spans="1:20" ht="15.75">
      <c r="A50" s="13">
        <v>43374</v>
      </c>
      <c r="B50" s="41">
        <v>31</v>
      </c>
      <c r="C50" s="32">
        <v>131.881</v>
      </c>
      <c r="D50" s="32">
        <v>277.16699999999997</v>
      </c>
      <c r="E50" s="38">
        <v>829.952</v>
      </c>
      <c r="F50" s="32">
        <v>1239</v>
      </c>
      <c r="G50" s="32">
        <v>75</v>
      </c>
      <c r="H50" s="40">
        <v>400</v>
      </c>
      <c r="I50" s="32">
        <v>695</v>
      </c>
      <c r="J50" s="32">
        <v>0</v>
      </c>
      <c r="K50" s="33"/>
      <c r="L50" s="42"/>
      <c r="M50" s="33"/>
      <c r="N50" s="33"/>
      <c r="O50" s="33"/>
      <c r="P50" s="33"/>
      <c r="Q50" s="33"/>
      <c r="R50" s="33"/>
      <c r="S50" s="33"/>
      <c r="T50" s="33"/>
    </row>
    <row r="51" spans="1:20" ht="15.75">
      <c r="A51" s="13">
        <v>43405</v>
      </c>
      <c r="B51" s="41">
        <v>30</v>
      </c>
      <c r="C51" s="32">
        <v>122.58</v>
      </c>
      <c r="D51" s="32">
        <v>297.94099999999997</v>
      </c>
      <c r="E51" s="38">
        <v>729.47900000000004</v>
      </c>
      <c r="F51" s="32">
        <v>1150</v>
      </c>
      <c r="G51" s="32">
        <v>100</v>
      </c>
      <c r="H51" s="40">
        <v>400</v>
      </c>
      <c r="I51" s="32">
        <v>695</v>
      </c>
      <c r="J51" s="32">
        <v>50</v>
      </c>
      <c r="K51" s="33"/>
      <c r="L51" s="42"/>
      <c r="M51" s="33"/>
      <c r="N51" s="33"/>
      <c r="O51" s="33"/>
      <c r="P51" s="33"/>
      <c r="Q51" s="33"/>
      <c r="R51" s="33"/>
      <c r="S51" s="33"/>
      <c r="T51" s="33"/>
    </row>
    <row r="52" spans="1:20" ht="15.75">
      <c r="A52" s="13">
        <v>43435</v>
      </c>
      <c r="B52" s="41">
        <v>31</v>
      </c>
      <c r="C52" s="32">
        <v>122.58</v>
      </c>
      <c r="D52" s="32">
        <v>297.94099999999997</v>
      </c>
      <c r="E52" s="38">
        <v>729.47900000000004</v>
      </c>
      <c r="F52" s="32">
        <v>1150</v>
      </c>
      <c r="G52" s="32">
        <v>100</v>
      </c>
      <c r="H52" s="40">
        <v>400</v>
      </c>
      <c r="I52" s="32">
        <v>695</v>
      </c>
      <c r="J52" s="32">
        <v>50</v>
      </c>
      <c r="K52" s="33"/>
      <c r="L52" s="42"/>
      <c r="M52" s="33"/>
      <c r="N52" s="33"/>
      <c r="O52" s="33"/>
      <c r="P52" s="33"/>
      <c r="Q52" s="33"/>
      <c r="R52" s="33"/>
      <c r="S52" s="33"/>
      <c r="T52" s="33"/>
    </row>
    <row r="53" spans="1:20" ht="15.75">
      <c r="A53" s="13">
        <v>43466</v>
      </c>
      <c r="B53" s="41">
        <v>31</v>
      </c>
      <c r="C53" s="32">
        <v>122.58</v>
      </c>
      <c r="D53" s="32">
        <v>297.94099999999997</v>
      </c>
      <c r="E53" s="38">
        <v>729.47900000000004</v>
      </c>
      <c r="F53" s="32">
        <v>1150</v>
      </c>
      <c r="G53" s="32">
        <v>100</v>
      </c>
      <c r="H53" s="40">
        <v>400</v>
      </c>
      <c r="I53" s="32">
        <v>695</v>
      </c>
      <c r="J53" s="32">
        <v>50</v>
      </c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1:20" ht="15.75">
      <c r="A54" s="13">
        <v>43497</v>
      </c>
      <c r="B54" s="41">
        <v>28</v>
      </c>
      <c r="C54" s="32">
        <v>122.58</v>
      </c>
      <c r="D54" s="32">
        <v>297.94099999999997</v>
      </c>
      <c r="E54" s="38">
        <v>729.47900000000004</v>
      </c>
      <c r="F54" s="32">
        <v>1150</v>
      </c>
      <c r="G54" s="32">
        <v>100</v>
      </c>
      <c r="H54" s="40">
        <v>400</v>
      </c>
      <c r="I54" s="32">
        <v>695</v>
      </c>
      <c r="J54" s="32">
        <v>50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1:20" ht="15.75">
      <c r="A55" s="13">
        <v>43525</v>
      </c>
      <c r="B55" s="41">
        <v>31</v>
      </c>
      <c r="C55" s="32">
        <v>122.58</v>
      </c>
      <c r="D55" s="32">
        <v>297.94099999999997</v>
      </c>
      <c r="E55" s="38">
        <v>729.47900000000004</v>
      </c>
      <c r="F55" s="32">
        <v>1150</v>
      </c>
      <c r="G55" s="32">
        <v>100</v>
      </c>
      <c r="H55" s="40">
        <v>400</v>
      </c>
      <c r="I55" s="32">
        <v>695</v>
      </c>
      <c r="J55" s="32">
        <v>50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</row>
    <row r="56" spans="1:20" ht="15.75">
      <c r="A56" s="13">
        <v>43556</v>
      </c>
      <c r="B56" s="41">
        <v>30</v>
      </c>
      <c r="C56" s="32">
        <v>141.29300000000001</v>
      </c>
      <c r="D56" s="32">
        <v>267.99299999999999</v>
      </c>
      <c r="E56" s="38">
        <v>829.71400000000006</v>
      </c>
      <c r="F56" s="32">
        <v>1239</v>
      </c>
      <c r="G56" s="32">
        <v>100</v>
      </c>
      <c r="H56" s="40">
        <v>400</v>
      </c>
      <c r="I56" s="32">
        <v>695</v>
      </c>
      <c r="J56" s="32">
        <v>50</v>
      </c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1:20" ht="15.75">
      <c r="A57" s="13">
        <v>43586</v>
      </c>
      <c r="B57" s="41">
        <v>31</v>
      </c>
      <c r="C57" s="32">
        <v>194.20500000000001</v>
      </c>
      <c r="D57" s="32">
        <v>267.46600000000001</v>
      </c>
      <c r="E57" s="38">
        <v>812.32899999999995</v>
      </c>
      <c r="F57" s="32">
        <v>1274</v>
      </c>
      <c r="G57" s="32">
        <v>75</v>
      </c>
      <c r="H57" s="40">
        <v>400</v>
      </c>
      <c r="I57" s="32">
        <v>695</v>
      </c>
      <c r="J57" s="32">
        <v>50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20" ht="15.75">
      <c r="A58" s="13">
        <v>43617</v>
      </c>
      <c r="B58" s="41">
        <v>30</v>
      </c>
      <c r="C58" s="32">
        <v>194.20500000000001</v>
      </c>
      <c r="D58" s="32">
        <v>267.46600000000001</v>
      </c>
      <c r="E58" s="38">
        <v>812.32899999999995</v>
      </c>
      <c r="F58" s="32">
        <v>1274</v>
      </c>
      <c r="G58" s="32">
        <v>50</v>
      </c>
      <c r="H58" s="40">
        <v>400</v>
      </c>
      <c r="I58" s="32">
        <v>695</v>
      </c>
      <c r="J58" s="32">
        <v>50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</row>
    <row r="59" spans="1:20" ht="15.75">
      <c r="A59" s="13">
        <v>43647</v>
      </c>
      <c r="B59" s="41">
        <v>31</v>
      </c>
      <c r="C59" s="32">
        <v>194.20500000000001</v>
      </c>
      <c r="D59" s="32">
        <v>267.46600000000001</v>
      </c>
      <c r="E59" s="38">
        <v>812.32899999999995</v>
      </c>
      <c r="F59" s="32">
        <v>1274</v>
      </c>
      <c r="G59" s="32">
        <v>50</v>
      </c>
      <c r="H59" s="40">
        <v>400</v>
      </c>
      <c r="I59" s="32">
        <v>695</v>
      </c>
      <c r="J59" s="32">
        <v>0</v>
      </c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1:20" ht="15.75">
      <c r="A60" s="13">
        <v>43678</v>
      </c>
      <c r="B60" s="41">
        <v>31</v>
      </c>
      <c r="C60" s="32">
        <v>194.20500000000001</v>
      </c>
      <c r="D60" s="32">
        <v>267.46600000000001</v>
      </c>
      <c r="E60" s="38">
        <v>812.32899999999995</v>
      </c>
      <c r="F60" s="32">
        <v>1274</v>
      </c>
      <c r="G60" s="32">
        <v>50</v>
      </c>
      <c r="H60" s="40">
        <v>400</v>
      </c>
      <c r="I60" s="32">
        <v>695</v>
      </c>
      <c r="J60" s="32">
        <v>0</v>
      </c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1:20" ht="15.75">
      <c r="A61" s="13">
        <v>43709</v>
      </c>
      <c r="B61" s="41">
        <v>30</v>
      </c>
      <c r="C61" s="32">
        <v>194.20500000000001</v>
      </c>
      <c r="D61" s="32">
        <v>267.46600000000001</v>
      </c>
      <c r="E61" s="38">
        <v>812.32899999999995</v>
      </c>
      <c r="F61" s="32">
        <v>1274</v>
      </c>
      <c r="G61" s="32">
        <v>50</v>
      </c>
      <c r="H61" s="40">
        <v>400</v>
      </c>
      <c r="I61" s="32">
        <v>695</v>
      </c>
      <c r="J61" s="32">
        <v>0</v>
      </c>
      <c r="K61" s="33"/>
      <c r="L61" s="33"/>
      <c r="M61" s="33"/>
      <c r="N61" s="33"/>
      <c r="O61" s="33"/>
      <c r="P61" s="33"/>
      <c r="Q61" s="33"/>
      <c r="R61" s="33"/>
      <c r="S61" s="33"/>
      <c r="T61" s="33"/>
    </row>
    <row r="62" spans="1:20" ht="15.75">
      <c r="A62" s="13">
        <v>43739</v>
      </c>
      <c r="B62" s="41">
        <v>31</v>
      </c>
      <c r="C62" s="32">
        <v>131.881</v>
      </c>
      <c r="D62" s="32">
        <v>277.16699999999997</v>
      </c>
      <c r="E62" s="38">
        <v>829.952</v>
      </c>
      <c r="F62" s="32">
        <v>1239</v>
      </c>
      <c r="G62" s="32">
        <v>75</v>
      </c>
      <c r="H62" s="40">
        <v>400</v>
      </c>
      <c r="I62" s="32">
        <v>695</v>
      </c>
      <c r="J62" s="32">
        <v>0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</row>
    <row r="63" spans="1:20" ht="15.75">
      <c r="A63" s="13">
        <v>43770</v>
      </c>
      <c r="B63" s="41">
        <v>30</v>
      </c>
      <c r="C63" s="32">
        <v>122.58</v>
      </c>
      <c r="D63" s="32">
        <v>297.94099999999997</v>
      </c>
      <c r="E63" s="38">
        <v>729.47900000000004</v>
      </c>
      <c r="F63" s="32">
        <v>1150</v>
      </c>
      <c r="G63" s="32">
        <v>100</v>
      </c>
      <c r="H63" s="40">
        <v>400</v>
      </c>
      <c r="I63" s="32">
        <v>695</v>
      </c>
      <c r="J63" s="32">
        <v>50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</row>
    <row r="64" spans="1:20" ht="15.75">
      <c r="A64" s="13">
        <v>43800</v>
      </c>
      <c r="B64" s="41">
        <v>31</v>
      </c>
      <c r="C64" s="32">
        <v>122.58</v>
      </c>
      <c r="D64" s="32">
        <v>297.94099999999997</v>
      </c>
      <c r="E64" s="38">
        <v>729.47900000000004</v>
      </c>
      <c r="F64" s="32">
        <v>1150</v>
      </c>
      <c r="G64" s="32">
        <v>100</v>
      </c>
      <c r="H64" s="40">
        <v>400</v>
      </c>
      <c r="I64" s="32">
        <v>695</v>
      </c>
      <c r="J64" s="32">
        <v>50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</row>
    <row r="65" spans="1:20" ht="15.75">
      <c r="A65" s="13">
        <v>43831</v>
      </c>
      <c r="B65" s="41">
        <v>31</v>
      </c>
      <c r="C65" s="32">
        <v>122.58</v>
      </c>
      <c r="D65" s="32">
        <v>297.94099999999997</v>
      </c>
      <c r="E65" s="38">
        <v>729.47900000000004</v>
      </c>
      <c r="F65" s="32">
        <v>1150</v>
      </c>
      <c r="G65" s="32">
        <v>100</v>
      </c>
      <c r="H65" s="40">
        <v>400</v>
      </c>
      <c r="I65" s="32">
        <v>695</v>
      </c>
      <c r="J65" s="32">
        <v>50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1:20" ht="15.75">
      <c r="A66" s="13">
        <v>43862</v>
      </c>
      <c r="B66" s="41">
        <v>29</v>
      </c>
      <c r="C66" s="32">
        <v>122.58</v>
      </c>
      <c r="D66" s="32">
        <v>297.94099999999997</v>
      </c>
      <c r="E66" s="38">
        <v>729.47900000000004</v>
      </c>
      <c r="F66" s="32">
        <v>1150</v>
      </c>
      <c r="G66" s="32">
        <v>100</v>
      </c>
      <c r="H66" s="40">
        <v>400</v>
      </c>
      <c r="I66" s="32">
        <v>695</v>
      </c>
      <c r="J66" s="32">
        <v>50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1:20" ht="15.75">
      <c r="A67" s="13">
        <v>43891</v>
      </c>
      <c r="B67" s="41">
        <v>31</v>
      </c>
      <c r="C67" s="32">
        <v>122.58</v>
      </c>
      <c r="D67" s="32">
        <v>297.94099999999997</v>
      </c>
      <c r="E67" s="38">
        <v>729.47900000000004</v>
      </c>
      <c r="F67" s="32">
        <v>1150</v>
      </c>
      <c r="G67" s="32">
        <v>100</v>
      </c>
      <c r="H67" s="40">
        <v>400</v>
      </c>
      <c r="I67" s="32">
        <v>695</v>
      </c>
      <c r="J67" s="32">
        <v>50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1:20" ht="15.75">
      <c r="A68" s="13">
        <v>43922</v>
      </c>
      <c r="B68" s="41">
        <v>30</v>
      </c>
      <c r="C68" s="32">
        <v>141.29300000000001</v>
      </c>
      <c r="D68" s="32">
        <v>267.99299999999999</v>
      </c>
      <c r="E68" s="38">
        <v>829.71400000000006</v>
      </c>
      <c r="F68" s="32">
        <v>1239</v>
      </c>
      <c r="G68" s="32">
        <v>100</v>
      </c>
      <c r="H68" s="40">
        <v>400</v>
      </c>
      <c r="I68" s="32">
        <v>695</v>
      </c>
      <c r="J68" s="32">
        <v>50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1:20" ht="15.75">
      <c r="A69" s="13">
        <v>43952</v>
      </c>
      <c r="B69" s="41">
        <v>31</v>
      </c>
      <c r="C69" s="32">
        <v>194.20500000000001</v>
      </c>
      <c r="D69" s="32">
        <v>267.46600000000001</v>
      </c>
      <c r="E69" s="38">
        <v>812.32899999999995</v>
      </c>
      <c r="F69" s="32">
        <v>1274</v>
      </c>
      <c r="G69" s="32">
        <v>75</v>
      </c>
      <c r="H69" s="40">
        <v>600</v>
      </c>
      <c r="I69" s="32">
        <v>695</v>
      </c>
      <c r="J69" s="32">
        <v>50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1:20" ht="15.75">
      <c r="A70" s="13">
        <v>43983</v>
      </c>
      <c r="B70" s="41">
        <v>30</v>
      </c>
      <c r="C70" s="32">
        <v>194.20500000000001</v>
      </c>
      <c r="D70" s="32">
        <v>267.46600000000001</v>
      </c>
      <c r="E70" s="38">
        <v>812.32899999999995</v>
      </c>
      <c r="F70" s="32">
        <v>1274</v>
      </c>
      <c r="G70" s="32">
        <v>50</v>
      </c>
      <c r="H70" s="40">
        <v>600</v>
      </c>
      <c r="I70" s="32">
        <v>695</v>
      </c>
      <c r="J70" s="32">
        <v>50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</row>
    <row r="71" spans="1:20" ht="15.75">
      <c r="A71" s="13">
        <v>44013</v>
      </c>
      <c r="B71" s="41">
        <v>31</v>
      </c>
      <c r="C71" s="32">
        <v>194.20500000000001</v>
      </c>
      <c r="D71" s="32">
        <v>267.46600000000001</v>
      </c>
      <c r="E71" s="38">
        <v>812.32899999999995</v>
      </c>
      <c r="F71" s="32">
        <v>1274</v>
      </c>
      <c r="G71" s="32">
        <v>50</v>
      </c>
      <c r="H71" s="40">
        <v>600</v>
      </c>
      <c r="I71" s="32">
        <v>695</v>
      </c>
      <c r="J71" s="32">
        <v>0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</row>
    <row r="72" spans="1:20" ht="15.75">
      <c r="A72" s="13">
        <v>44044</v>
      </c>
      <c r="B72" s="41">
        <v>31</v>
      </c>
      <c r="C72" s="32">
        <v>194.20500000000001</v>
      </c>
      <c r="D72" s="32">
        <v>267.46600000000001</v>
      </c>
      <c r="E72" s="38">
        <v>812.32899999999995</v>
      </c>
      <c r="F72" s="32">
        <v>1274</v>
      </c>
      <c r="G72" s="32">
        <v>50</v>
      </c>
      <c r="H72" s="40">
        <v>600</v>
      </c>
      <c r="I72" s="32">
        <v>695</v>
      </c>
      <c r="J72" s="32">
        <v>0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</row>
    <row r="73" spans="1:20" ht="15.75">
      <c r="A73" s="13">
        <v>44075</v>
      </c>
      <c r="B73" s="41">
        <v>30</v>
      </c>
      <c r="C73" s="32">
        <v>194.20500000000001</v>
      </c>
      <c r="D73" s="32">
        <v>267.46600000000001</v>
      </c>
      <c r="E73" s="38">
        <v>812.32899999999995</v>
      </c>
      <c r="F73" s="32">
        <v>1274</v>
      </c>
      <c r="G73" s="32">
        <v>50</v>
      </c>
      <c r="H73" s="40">
        <v>600</v>
      </c>
      <c r="I73" s="32">
        <v>695</v>
      </c>
      <c r="J73" s="32">
        <v>0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</row>
    <row r="74" spans="1:20" ht="15.75">
      <c r="A74" s="13">
        <v>44105</v>
      </c>
      <c r="B74" s="41">
        <v>31</v>
      </c>
      <c r="C74" s="32">
        <v>131.881</v>
      </c>
      <c r="D74" s="32">
        <v>277.16699999999997</v>
      </c>
      <c r="E74" s="38">
        <v>829.952</v>
      </c>
      <c r="F74" s="32">
        <v>1239</v>
      </c>
      <c r="G74" s="32">
        <v>75</v>
      </c>
      <c r="H74" s="40">
        <v>600</v>
      </c>
      <c r="I74" s="32">
        <v>695</v>
      </c>
      <c r="J74" s="32">
        <v>0</v>
      </c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1:20" ht="15.75">
      <c r="A75" s="13">
        <v>44136</v>
      </c>
      <c r="B75" s="41">
        <v>30</v>
      </c>
      <c r="C75" s="32">
        <v>122.58</v>
      </c>
      <c r="D75" s="32">
        <v>297.94099999999997</v>
      </c>
      <c r="E75" s="38">
        <v>729.47900000000004</v>
      </c>
      <c r="F75" s="32">
        <v>1150</v>
      </c>
      <c r="G75" s="32">
        <v>100</v>
      </c>
      <c r="H75" s="40">
        <v>600</v>
      </c>
      <c r="I75" s="32">
        <v>695</v>
      </c>
      <c r="J75" s="32">
        <v>50</v>
      </c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1:20" ht="15.75">
      <c r="A76" s="13">
        <v>44166</v>
      </c>
      <c r="B76" s="41">
        <v>31</v>
      </c>
      <c r="C76" s="32">
        <v>122.58</v>
      </c>
      <c r="D76" s="32">
        <v>297.94099999999997</v>
      </c>
      <c r="E76" s="38">
        <v>729.47900000000004</v>
      </c>
      <c r="F76" s="32">
        <v>1150</v>
      </c>
      <c r="G76" s="32">
        <v>100</v>
      </c>
      <c r="H76" s="40">
        <v>600</v>
      </c>
      <c r="I76" s="32">
        <v>695</v>
      </c>
      <c r="J76" s="32">
        <v>50</v>
      </c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20" ht="15.75">
      <c r="A77" s="13">
        <v>44197</v>
      </c>
      <c r="B77" s="41">
        <v>31</v>
      </c>
      <c r="C77" s="32">
        <v>122.58</v>
      </c>
      <c r="D77" s="32">
        <v>297.94099999999997</v>
      </c>
      <c r="E77" s="38">
        <v>729.47900000000004</v>
      </c>
      <c r="F77" s="32">
        <v>1150</v>
      </c>
      <c r="G77" s="32">
        <v>100</v>
      </c>
      <c r="H77" s="40">
        <v>600</v>
      </c>
      <c r="I77" s="32">
        <v>695</v>
      </c>
      <c r="J77" s="32">
        <v>50</v>
      </c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20" ht="15.75">
      <c r="A78" s="13">
        <v>44228</v>
      </c>
      <c r="B78" s="41">
        <v>28</v>
      </c>
      <c r="C78" s="32">
        <v>122.58</v>
      </c>
      <c r="D78" s="32">
        <v>297.94099999999997</v>
      </c>
      <c r="E78" s="38">
        <v>729.47900000000004</v>
      </c>
      <c r="F78" s="32">
        <v>1150</v>
      </c>
      <c r="G78" s="32">
        <v>100</v>
      </c>
      <c r="H78" s="40">
        <v>600</v>
      </c>
      <c r="I78" s="32">
        <v>695</v>
      </c>
      <c r="J78" s="32">
        <v>50</v>
      </c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20" ht="15.75">
      <c r="A79" s="13">
        <v>44256</v>
      </c>
      <c r="B79" s="41">
        <v>31</v>
      </c>
      <c r="C79" s="32">
        <v>122.58</v>
      </c>
      <c r="D79" s="32">
        <v>297.94099999999997</v>
      </c>
      <c r="E79" s="38">
        <v>729.47900000000004</v>
      </c>
      <c r="F79" s="32">
        <v>1150</v>
      </c>
      <c r="G79" s="32">
        <v>100</v>
      </c>
      <c r="H79" s="40">
        <v>600</v>
      </c>
      <c r="I79" s="32">
        <v>695</v>
      </c>
      <c r="J79" s="32">
        <v>50</v>
      </c>
      <c r="K79" s="33"/>
      <c r="L79" s="33"/>
      <c r="M79" s="33"/>
      <c r="N79" s="33"/>
      <c r="O79" s="33"/>
      <c r="P79" s="33"/>
      <c r="Q79" s="33"/>
      <c r="R79" s="33"/>
      <c r="S79" s="33"/>
      <c r="T79" s="33"/>
    </row>
    <row r="80" spans="1:20" ht="15.75">
      <c r="A80" s="13">
        <v>44287</v>
      </c>
      <c r="B80" s="41">
        <v>30</v>
      </c>
      <c r="C80" s="32">
        <v>141.29300000000001</v>
      </c>
      <c r="D80" s="32">
        <v>267.99299999999999</v>
      </c>
      <c r="E80" s="38">
        <v>829.71400000000006</v>
      </c>
      <c r="F80" s="32">
        <v>1239</v>
      </c>
      <c r="G80" s="32">
        <v>100</v>
      </c>
      <c r="H80" s="40">
        <v>600</v>
      </c>
      <c r="I80" s="32">
        <v>695</v>
      </c>
      <c r="J80" s="32">
        <v>50</v>
      </c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1:20" ht="15.75">
      <c r="A81" s="13">
        <v>44317</v>
      </c>
      <c r="B81" s="41">
        <v>31</v>
      </c>
      <c r="C81" s="32">
        <v>194.20500000000001</v>
      </c>
      <c r="D81" s="32">
        <v>267.46600000000001</v>
      </c>
      <c r="E81" s="38">
        <v>812.32899999999995</v>
      </c>
      <c r="F81" s="32">
        <v>1274</v>
      </c>
      <c r="G81" s="32">
        <v>75</v>
      </c>
      <c r="H81" s="40">
        <v>600</v>
      </c>
      <c r="I81" s="32">
        <v>695</v>
      </c>
      <c r="J81" s="32">
        <v>50</v>
      </c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1:20" ht="15.75">
      <c r="A82" s="13">
        <v>44348</v>
      </c>
      <c r="B82" s="41">
        <v>30</v>
      </c>
      <c r="C82" s="32">
        <v>194.20500000000001</v>
      </c>
      <c r="D82" s="32">
        <v>267.46600000000001</v>
      </c>
      <c r="E82" s="38">
        <v>812.32899999999995</v>
      </c>
      <c r="F82" s="32">
        <v>1274</v>
      </c>
      <c r="G82" s="32">
        <v>50</v>
      </c>
      <c r="H82" s="40">
        <v>600</v>
      </c>
      <c r="I82" s="32">
        <v>695</v>
      </c>
      <c r="J82" s="32">
        <v>50</v>
      </c>
      <c r="K82" s="33"/>
      <c r="L82" s="33"/>
      <c r="M82" s="33"/>
      <c r="N82" s="33"/>
      <c r="O82" s="33"/>
      <c r="P82" s="33"/>
      <c r="Q82" s="33"/>
      <c r="R82" s="33"/>
      <c r="S82" s="33"/>
      <c r="T82" s="33"/>
    </row>
    <row r="83" spans="1:20" ht="15.75">
      <c r="A83" s="13">
        <v>44378</v>
      </c>
      <c r="B83" s="41">
        <v>31</v>
      </c>
      <c r="C83" s="32">
        <v>194.20500000000001</v>
      </c>
      <c r="D83" s="32">
        <v>267.46600000000001</v>
      </c>
      <c r="E83" s="38">
        <v>812.32899999999995</v>
      </c>
      <c r="F83" s="32">
        <v>1274</v>
      </c>
      <c r="G83" s="32">
        <v>50</v>
      </c>
      <c r="H83" s="40">
        <v>600</v>
      </c>
      <c r="I83" s="32">
        <v>695</v>
      </c>
      <c r="J83" s="32">
        <v>0</v>
      </c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1:20" ht="15.75">
      <c r="A84" s="13">
        <v>44409</v>
      </c>
      <c r="B84" s="41">
        <v>31</v>
      </c>
      <c r="C84" s="32">
        <v>194.20500000000001</v>
      </c>
      <c r="D84" s="32">
        <v>267.46600000000001</v>
      </c>
      <c r="E84" s="38">
        <v>812.32899999999995</v>
      </c>
      <c r="F84" s="32">
        <v>1274</v>
      </c>
      <c r="G84" s="32">
        <v>50</v>
      </c>
      <c r="H84" s="40">
        <v>600</v>
      </c>
      <c r="I84" s="32">
        <v>695</v>
      </c>
      <c r="J84" s="32">
        <v>0</v>
      </c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1:20" ht="15.75">
      <c r="A85" s="13">
        <v>44440</v>
      </c>
      <c r="B85" s="41">
        <v>30</v>
      </c>
      <c r="C85" s="32">
        <v>194.20500000000001</v>
      </c>
      <c r="D85" s="32">
        <v>267.46600000000001</v>
      </c>
      <c r="E85" s="38">
        <v>812.32899999999995</v>
      </c>
      <c r="F85" s="32">
        <v>1274</v>
      </c>
      <c r="G85" s="32">
        <v>50</v>
      </c>
      <c r="H85" s="40">
        <v>600</v>
      </c>
      <c r="I85" s="32">
        <v>695</v>
      </c>
      <c r="J85" s="32">
        <v>0</v>
      </c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1:20" ht="15.75">
      <c r="A86" s="13">
        <v>44470</v>
      </c>
      <c r="B86" s="41">
        <v>31</v>
      </c>
      <c r="C86" s="32">
        <v>131.881</v>
      </c>
      <c r="D86" s="32">
        <v>277.16699999999997</v>
      </c>
      <c r="E86" s="38">
        <v>829.952</v>
      </c>
      <c r="F86" s="32">
        <v>1239</v>
      </c>
      <c r="G86" s="32">
        <v>75</v>
      </c>
      <c r="H86" s="40">
        <v>600</v>
      </c>
      <c r="I86" s="32">
        <v>695</v>
      </c>
      <c r="J86" s="32">
        <v>0</v>
      </c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1:20" ht="15.75">
      <c r="A87" s="13">
        <v>44501</v>
      </c>
      <c r="B87" s="41">
        <v>30</v>
      </c>
      <c r="C87" s="32">
        <v>122.58</v>
      </c>
      <c r="D87" s="32">
        <v>297.94099999999997</v>
      </c>
      <c r="E87" s="38">
        <v>729.47900000000004</v>
      </c>
      <c r="F87" s="32">
        <v>1150</v>
      </c>
      <c r="G87" s="32">
        <v>100</v>
      </c>
      <c r="H87" s="40">
        <v>600</v>
      </c>
      <c r="I87" s="32">
        <v>695</v>
      </c>
      <c r="J87" s="32">
        <v>50</v>
      </c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1:20" ht="15.75">
      <c r="A88" s="13">
        <v>44531</v>
      </c>
      <c r="B88" s="41">
        <v>31</v>
      </c>
      <c r="C88" s="32">
        <v>122.58</v>
      </c>
      <c r="D88" s="32">
        <v>297.94099999999997</v>
      </c>
      <c r="E88" s="38">
        <v>729.47900000000004</v>
      </c>
      <c r="F88" s="32">
        <v>1150</v>
      </c>
      <c r="G88" s="32">
        <v>100</v>
      </c>
      <c r="H88" s="40">
        <v>600</v>
      </c>
      <c r="I88" s="32">
        <v>695</v>
      </c>
      <c r="J88" s="32">
        <v>50</v>
      </c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1:20" ht="15.75">
      <c r="A89" s="13">
        <v>44562</v>
      </c>
      <c r="B89" s="41">
        <v>31</v>
      </c>
      <c r="C89" s="32">
        <v>122.58</v>
      </c>
      <c r="D89" s="32">
        <v>297.94099999999997</v>
      </c>
      <c r="E89" s="38">
        <v>729.47900000000004</v>
      </c>
      <c r="F89" s="32">
        <v>1150</v>
      </c>
      <c r="G89" s="32">
        <v>100</v>
      </c>
      <c r="H89" s="40">
        <v>600</v>
      </c>
      <c r="I89" s="32">
        <v>695</v>
      </c>
      <c r="J89" s="32">
        <v>50</v>
      </c>
      <c r="K89" s="33"/>
      <c r="L89" s="33"/>
      <c r="M89" s="33"/>
      <c r="N89" s="33"/>
      <c r="O89" s="33"/>
      <c r="P89" s="33"/>
      <c r="Q89" s="33"/>
      <c r="R89" s="33"/>
      <c r="S89" s="33"/>
      <c r="T89" s="33"/>
    </row>
    <row r="90" spans="1:20" ht="15.75">
      <c r="A90" s="13">
        <v>44593</v>
      </c>
      <c r="B90" s="41">
        <v>28</v>
      </c>
      <c r="C90" s="32">
        <v>122.58</v>
      </c>
      <c r="D90" s="32">
        <v>297.94099999999997</v>
      </c>
      <c r="E90" s="38">
        <v>729.47900000000004</v>
      </c>
      <c r="F90" s="32">
        <v>1150</v>
      </c>
      <c r="G90" s="32">
        <v>100</v>
      </c>
      <c r="H90" s="40">
        <v>600</v>
      </c>
      <c r="I90" s="32">
        <v>695</v>
      </c>
      <c r="J90" s="32">
        <v>50</v>
      </c>
      <c r="K90" s="33"/>
      <c r="L90" s="33"/>
      <c r="M90" s="33"/>
      <c r="N90" s="33"/>
      <c r="O90" s="33"/>
      <c r="P90" s="33"/>
      <c r="Q90" s="33"/>
      <c r="R90" s="33"/>
      <c r="S90" s="33"/>
      <c r="T90" s="33"/>
    </row>
    <row r="91" spans="1:20" ht="15.75">
      <c r="A91" s="13">
        <v>44621</v>
      </c>
      <c r="B91" s="41">
        <v>31</v>
      </c>
      <c r="C91" s="32">
        <v>122.58</v>
      </c>
      <c r="D91" s="32">
        <v>297.94099999999997</v>
      </c>
      <c r="E91" s="38">
        <v>729.47900000000004</v>
      </c>
      <c r="F91" s="32">
        <v>1150</v>
      </c>
      <c r="G91" s="32">
        <v>100</v>
      </c>
      <c r="H91" s="40">
        <v>600</v>
      </c>
      <c r="I91" s="32">
        <v>695</v>
      </c>
      <c r="J91" s="32">
        <v>50</v>
      </c>
      <c r="K91" s="33"/>
      <c r="L91" s="33"/>
      <c r="M91" s="33"/>
      <c r="N91" s="33"/>
      <c r="O91" s="33"/>
      <c r="P91" s="33"/>
      <c r="Q91" s="33"/>
      <c r="R91" s="33"/>
      <c r="S91" s="33"/>
      <c r="T91" s="33"/>
    </row>
    <row r="92" spans="1:20" ht="15.75">
      <c r="A92" s="13">
        <v>44652</v>
      </c>
      <c r="B92" s="41">
        <v>30</v>
      </c>
      <c r="C92" s="32">
        <v>141.29300000000001</v>
      </c>
      <c r="D92" s="32">
        <v>267.99299999999999</v>
      </c>
      <c r="E92" s="38">
        <v>829.71400000000006</v>
      </c>
      <c r="F92" s="32">
        <v>1239</v>
      </c>
      <c r="G92" s="32">
        <v>100</v>
      </c>
      <c r="H92" s="40">
        <v>600</v>
      </c>
      <c r="I92" s="32">
        <v>695</v>
      </c>
      <c r="J92" s="32">
        <v>50</v>
      </c>
      <c r="K92" s="33"/>
      <c r="L92" s="33"/>
      <c r="M92" s="33"/>
      <c r="N92" s="33"/>
      <c r="O92" s="33"/>
      <c r="P92" s="33"/>
      <c r="Q92" s="33"/>
      <c r="R92" s="33"/>
      <c r="S92" s="33"/>
      <c r="T92" s="33"/>
    </row>
    <row r="93" spans="1:20" ht="15.75">
      <c r="A93" s="13">
        <v>44682</v>
      </c>
      <c r="B93" s="41">
        <v>31</v>
      </c>
      <c r="C93" s="32">
        <v>194.20500000000001</v>
      </c>
      <c r="D93" s="32">
        <v>267.46600000000001</v>
      </c>
      <c r="E93" s="38">
        <v>812.32899999999995</v>
      </c>
      <c r="F93" s="32">
        <v>1274</v>
      </c>
      <c r="G93" s="32">
        <v>75</v>
      </c>
      <c r="H93" s="40">
        <v>600</v>
      </c>
      <c r="I93" s="32">
        <v>695</v>
      </c>
      <c r="J93" s="32">
        <v>50</v>
      </c>
      <c r="K93" s="33"/>
      <c r="L93" s="33"/>
      <c r="M93" s="33"/>
      <c r="N93" s="33"/>
      <c r="O93" s="33"/>
      <c r="P93" s="33"/>
      <c r="Q93" s="33"/>
      <c r="R93" s="33"/>
      <c r="S93" s="33"/>
      <c r="T93" s="33"/>
    </row>
    <row r="94" spans="1:20" ht="15.75">
      <c r="A94" s="13">
        <v>44713</v>
      </c>
      <c r="B94" s="41">
        <v>30</v>
      </c>
      <c r="C94" s="32">
        <v>194.20500000000001</v>
      </c>
      <c r="D94" s="32">
        <v>267.46600000000001</v>
      </c>
      <c r="E94" s="38">
        <v>812.32899999999995</v>
      </c>
      <c r="F94" s="32">
        <v>1274</v>
      </c>
      <c r="G94" s="32">
        <v>50</v>
      </c>
      <c r="H94" s="40">
        <v>600</v>
      </c>
      <c r="I94" s="32">
        <v>695</v>
      </c>
      <c r="J94" s="32">
        <v>50</v>
      </c>
      <c r="K94" s="33"/>
      <c r="L94" s="33"/>
      <c r="M94" s="33"/>
      <c r="N94" s="33"/>
      <c r="O94" s="33"/>
      <c r="P94" s="33"/>
      <c r="Q94" s="33"/>
      <c r="R94" s="33"/>
      <c r="S94" s="33"/>
      <c r="T94" s="33"/>
    </row>
    <row r="95" spans="1:20" ht="15.75">
      <c r="A95" s="13">
        <v>44743</v>
      </c>
      <c r="B95" s="41">
        <v>31</v>
      </c>
      <c r="C95" s="32">
        <v>194.20500000000001</v>
      </c>
      <c r="D95" s="32">
        <v>267.46600000000001</v>
      </c>
      <c r="E95" s="38">
        <v>812.32899999999995</v>
      </c>
      <c r="F95" s="32">
        <v>1274</v>
      </c>
      <c r="G95" s="32">
        <v>50</v>
      </c>
      <c r="H95" s="40">
        <v>600</v>
      </c>
      <c r="I95" s="32">
        <v>695</v>
      </c>
      <c r="J95" s="32">
        <v>0</v>
      </c>
      <c r="K95" s="33"/>
      <c r="L95" s="33"/>
      <c r="M95" s="33"/>
      <c r="N95" s="33"/>
      <c r="O95" s="33"/>
      <c r="P95" s="33"/>
      <c r="Q95" s="33"/>
      <c r="R95" s="33"/>
      <c r="S95" s="33"/>
      <c r="T95" s="33"/>
    </row>
    <row r="96" spans="1:20" ht="15.75">
      <c r="A96" s="13">
        <v>44774</v>
      </c>
      <c r="B96" s="41">
        <v>31</v>
      </c>
      <c r="C96" s="32">
        <v>194.20500000000001</v>
      </c>
      <c r="D96" s="32">
        <v>267.46600000000001</v>
      </c>
      <c r="E96" s="38">
        <v>812.32899999999995</v>
      </c>
      <c r="F96" s="32">
        <v>1274</v>
      </c>
      <c r="G96" s="32">
        <v>50</v>
      </c>
      <c r="H96" s="40">
        <v>600</v>
      </c>
      <c r="I96" s="32">
        <v>695</v>
      </c>
      <c r="J96" s="32">
        <v>0</v>
      </c>
      <c r="K96" s="33"/>
      <c r="L96" s="33"/>
      <c r="M96" s="33"/>
      <c r="N96" s="33"/>
      <c r="O96" s="33"/>
      <c r="P96" s="33"/>
      <c r="Q96" s="33"/>
      <c r="R96" s="33"/>
      <c r="S96" s="33"/>
      <c r="T96" s="33"/>
    </row>
    <row r="97" spans="1:20" ht="15.75">
      <c r="A97" s="13">
        <v>44805</v>
      </c>
      <c r="B97" s="41">
        <v>30</v>
      </c>
      <c r="C97" s="32">
        <v>194.20500000000001</v>
      </c>
      <c r="D97" s="32">
        <v>267.46600000000001</v>
      </c>
      <c r="E97" s="38">
        <v>812.32899999999995</v>
      </c>
      <c r="F97" s="32">
        <v>1274</v>
      </c>
      <c r="G97" s="32">
        <v>50</v>
      </c>
      <c r="H97" s="40">
        <v>600</v>
      </c>
      <c r="I97" s="32">
        <v>695</v>
      </c>
      <c r="J97" s="32">
        <v>0</v>
      </c>
      <c r="K97" s="33"/>
      <c r="L97" s="33"/>
      <c r="M97" s="33"/>
      <c r="N97" s="33"/>
      <c r="O97" s="33"/>
      <c r="P97" s="33"/>
      <c r="Q97" s="33"/>
      <c r="R97" s="33"/>
      <c r="S97" s="33"/>
      <c r="T97" s="33"/>
    </row>
    <row r="98" spans="1:20" ht="15.75">
      <c r="A98" s="13">
        <v>44835</v>
      </c>
      <c r="B98" s="41">
        <v>31</v>
      </c>
      <c r="C98" s="32">
        <v>131.881</v>
      </c>
      <c r="D98" s="32">
        <v>277.16699999999997</v>
      </c>
      <c r="E98" s="38">
        <v>829.952</v>
      </c>
      <c r="F98" s="32">
        <v>1239</v>
      </c>
      <c r="G98" s="32">
        <v>75</v>
      </c>
      <c r="H98" s="40">
        <v>600</v>
      </c>
      <c r="I98" s="32">
        <v>695</v>
      </c>
      <c r="J98" s="32">
        <v>0</v>
      </c>
      <c r="K98" s="33"/>
      <c r="L98" s="33"/>
      <c r="M98" s="33"/>
      <c r="N98" s="33"/>
      <c r="O98" s="33"/>
      <c r="P98" s="33"/>
      <c r="Q98" s="33"/>
      <c r="R98" s="33"/>
      <c r="S98" s="33"/>
      <c r="T98" s="33"/>
    </row>
    <row r="99" spans="1:20" ht="15.75">
      <c r="A99" s="13">
        <v>44866</v>
      </c>
      <c r="B99" s="41">
        <v>30</v>
      </c>
      <c r="C99" s="32">
        <v>122.58</v>
      </c>
      <c r="D99" s="32">
        <v>297.94099999999997</v>
      </c>
      <c r="E99" s="38">
        <v>729.47900000000004</v>
      </c>
      <c r="F99" s="32">
        <v>1150</v>
      </c>
      <c r="G99" s="32">
        <v>100</v>
      </c>
      <c r="H99" s="40">
        <v>600</v>
      </c>
      <c r="I99" s="32">
        <v>695</v>
      </c>
      <c r="J99" s="32">
        <v>50</v>
      </c>
      <c r="K99" s="33"/>
      <c r="L99" s="33"/>
      <c r="M99" s="33"/>
      <c r="N99" s="33"/>
      <c r="O99" s="33"/>
      <c r="P99" s="33"/>
      <c r="Q99" s="33"/>
      <c r="R99" s="33"/>
      <c r="S99" s="33"/>
      <c r="T99" s="33"/>
    </row>
    <row r="100" spans="1:20" ht="15.75">
      <c r="A100" s="13">
        <v>44896</v>
      </c>
      <c r="B100" s="41">
        <v>31</v>
      </c>
      <c r="C100" s="32">
        <v>122.58</v>
      </c>
      <c r="D100" s="32">
        <v>297.94099999999997</v>
      </c>
      <c r="E100" s="38">
        <v>729.47900000000004</v>
      </c>
      <c r="F100" s="32">
        <v>1150</v>
      </c>
      <c r="G100" s="32">
        <v>100</v>
      </c>
      <c r="H100" s="40">
        <v>600</v>
      </c>
      <c r="I100" s="32">
        <v>695</v>
      </c>
      <c r="J100" s="32">
        <v>50</v>
      </c>
      <c r="K100" s="33"/>
      <c r="L100" s="33"/>
      <c r="M100" s="33"/>
      <c r="N100" s="33"/>
      <c r="O100" s="33"/>
      <c r="P100" s="33"/>
      <c r="Q100" s="33"/>
      <c r="R100" s="33"/>
      <c r="S100" s="33"/>
      <c r="T100" s="33"/>
    </row>
    <row r="101" spans="1:20" ht="15.75">
      <c r="A101" s="13">
        <v>44927</v>
      </c>
      <c r="B101" s="41">
        <v>31</v>
      </c>
      <c r="C101" s="32">
        <v>122.58</v>
      </c>
      <c r="D101" s="32">
        <v>297.94099999999997</v>
      </c>
      <c r="E101" s="38">
        <v>729.47900000000004</v>
      </c>
      <c r="F101" s="32">
        <v>1150</v>
      </c>
      <c r="G101" s="32">
        <v>100</v>
      </c>
      <c r="H101" s="40">
        <v>600</v>
      </c>
      <c r="I101" s="32">
        <v>695</v>
      </c>
      <c r="J101" s="32">
        <v>50</v>
      </c>
      <c r="K101" s="33"/>
      <c r="L101" s="33"/>
      <c r="M101" s="33"/>
      <c r="N101" s="33"/>
      <c r="O101" s="33"/>
      <c r="P101" s="33"/>
      <c r="Q101" s="33"/>
      <c r="R101" s="33"/>
      <c r="S101" s="33"/>
      <c r="T101" s="33"/>
    </row>
    <row r="102" spans="1:20" ht="15.75">
      <c r="A102" s="13">
        <v>44958</v>
      </c>
      <c r="B102" s="41">
        <v>28</v>
      </c>
      <c r="C102" s="32">
        <v>122.58</v>
      </c>
      <c r="D102" s="32">
        <v>297.94099999999997</v>
      </c>
      <c r="E102" s="38">
        <v>729.47900000000004</v>
      </c>
      <c r="F102" s="32">
        <v>1150</v>
      </c>
      <c r="G102" s="32">
        <v>100</v>
      </c>
      <c r="H102" s="40">
        <v>600</v>
      </c>
      <c r="I102" s="32">
        <v>695</v>
      </c>
      <c r="J102" s="32">
        <v>50</v>
      </c>
      <c r="K102" s="33"/>
      <c r="L102" s="33"/>
      <c r="M102" s="33"/>
      <c r="N102" s="33"/>
      <c r="O102" s="33"/>
      <c r="P102" s="33"/>
      <c r="Q102" s="33"/>
      <c r="R102" s="33"/>
      <c r="S102" s="33"/>
      <c r="T102" s="33"/>
    </row>
    <row r="103" spans="1:20" ht="15.75">
      <c r="A103" s="13">
        <v>44986</v>
      </c>
      <c r="B103" s="41">
        <v>31</v>
      </c>
      <c r="C103" s="32">
        <v>122.58</v>
      </c>
      <c r="D103" s="32">
        <v>297.94099999999997</v>
      </c>
      <c r="E103" s="38">
        <v>729.47900000000004</v>
      </c>
      <c r="F103" s="32">
        <v>1150</v>
      </c>
      <c r="G103" s="32">
        <v>100</v>
      </c>
      <c r="H103" s="40">
        <v>600</v>
      </c>
      <c r="I103" s="32">
        <v>695</v>
      </c>
      <c r="J103" s="32">
        <v>50</v>
      </c>
      <c r="K103" s="33"/>
      <c r="L103" s="33"/>
      <c r="M103" s="33"/>
      <c r="N103" s="33"/>
      <c r="O103" s="33"/>
      <c r="P103" s="33"/>
      <c r="Q103" s="33"/>
      <c r="R103" s="33"/>
      <c r="S103" s="33"/>
      <c r="T103" s="33"/>
    </row>
    <row r="104" spans="1:20" ht="15.75">
      <c r="A104" s="13">
        <v>45017</v>
      </c>
      <c r="B104" s="41">
        <v>30</v>
      </c>
      <c r="C104" s="32">
        <v>141.29300000000001</v>
      </c>
      <c r="D104" s="32">
        <v>267.99299999999999</v>
      </c>
      <c r="E104" s="38">
        <v>829.71400000000006</v>
      </c>
      <c r="F104" s="32">
        <v>1239</v>
      </c>
      <c r="G104" s="32">
        <v>100</v>
      </c>
      <c r="H104" s="40">
        <v>600</v>
      </c>
      <c r="I104" s="32">
        <v>695</v>
      </c>
      <c r="J104" s="32">
        <v>50</v>
      </c>
      <c r="K104" s="33"/>
      <c r="L104" s="33"/>
      <c r="M104" s="33"/>
      <c r="N104" s="33"/>
      <c r="O104" s="33"/>
      <c r="P104" s="33"/>
      <c r="Q104" s="33"/>
      <c r="R104" s="33"/>
      <c r="S104" s="33"/>
      <c r="T104" s="33"/>
    </row>
    <row r="105" spans="1:20" ht="15.75">
      <c r="A105" s="13">
        <v>45047</v>
      </c>
      <c r="B105" s="41">
        <v>31</v>
      </c>
      <c r="C105" s="32">
        <v>194.20500000000001</v>
      </c>
      <c r="D105" s="32">
        <v>267.46600000000001</v>
      </c>
      <c r="E105" s="38">
        <v>812.32899999999995</v>
      </c>
      <c r="F105" s="32">
        <v>1274</v>
      </c>
      <c r="G105" s="32">
        <v>75</v>
      </c>
      <c r="H105" s="40">
        <v>600</v>
      </c>
      <c r="I105" s="32">
        <v>695</v>
      </c>
      <c r="J105" s="32">
        <v>50</v>
      </c>
      <c r="K105" s="33"/>
      <c r="L105" s="33"/>
      <c r="M105" s="33"/>
      <c r="N105" s="33"/>
      <c r="O105" s="33"/>
      <c r="P105" s="33"/>
      <c r="Q105" s="33"/>
      <c r="R105" s="33"/>
      <c r="S105" s="33"/>
      <c r="T105" s="33"/>
    </row>
    <row r="106" spans="1:20" ht="15.75">
      <c r="A106" s="13">
        <v>45078</v>
      </c>
      <c r="B106" s="41">
        <v>30</v>
      </c>
      <c r="C106" s="32">
        <v>194.20500000000001</v>
      </c>
      <c r="D106" s="32">
        <v>267.46600000000001</v>
      </c>
      <c r="E106" s="38">
        <v>812.32899999999995</v>
      </c>
      <c r="F106" s="32">
        <v>1274</v>
      </c>
      <c r="G106" s="32">
        <v>50</v>
      </c>
      <c r="H106" s="40">
        <v>600</v>
      </c>
      <c r="I106" s="32">
        <v>695</v>
      </c>
      <c r="J106" s="32">
        <v>50</v>
      </c>
      <c r="K106" s="33"/>
      <c r="L106" s="33"/>
      <c r="M106" s="33"/>
      <c r="N106" s="33"/>
      <c r="O106" s="33"/>
      <c r="P106" s="33"/>
      <c r="Q106" s="33"/>
      <c r="R106" s="33"/>
      <c r="S106" s="33"/>
      <c r="T106" s="33"/>
    </row>
    <row r="107" spans="1:20" ht="15.75">
      <c r="A107" s="13">
        <v>45108</v>
      </c>
      <c r="B107" s="41">
        <v>31</v>
      </c>
      <c r="C107" s="32">
        <v>194.20500000000001</v>
      </c>
      <c r="D107" s="32">
        <v>267.46600000000001</v>
      </c>
      <c r="E107" s="38">
        <v>812.32899999999995</v>
      </c>
      <c r="F107" s="32">
        <v>1274</v>
      </c>
      <c r="G107" s="32">
        <v>50</v>
      </c>
      <c r="H107" s="40">
        <v>600</v>
      </c>
      <c r="I107" s="32">
        <v>695</v>
      </c>
      <c r="J107" s="32">
        <v>0</v>
      </c>
      <c r="K107" s="33"/>
      <c r="L107" s="33"/>
      <c r="M107" s="33"/>
      <c r="N107" s="33"/>
      <c r="O107" s="33"/>
      <c r="P107" s="33"/>
      <c r="Q107" s="33"/>
      <c r="R107" s="33"/>
      <c r="S107" s="33"/>
      <c r="T107" s="33"/>
    </row>
    <row r="108" spans="1:20" ht="15.75">
      <c r="A108" s="13">
        <v>45139</v>
      </c>
      <c r="B108" s="41">
        <v>31</v>
      </c>
      <c r="C108" s="32">
        <v>194.20500000000001</v>
      </c>
      <c r="D108" s="32">
        <v>267.46600000000001</v>
      </c>
      <c r="E108" s="38">
        <v>812.32899999999995</v>
      </c>
      <c r="F108" s="32">
        <v>1274</v>
      </c>
      <c r="G108" s="32">
        <v>50</v>
      </c>
      <c r="H108" s="40">
        <v>600</v>
      </c>
      <c r="I108" s="32">
        <v>695</v>
      </c>
      <c r="J108" s="32">
        <v>0</v>
      </c>
      <c r="K108" s="33"/>
      <c r="L108" s="33"/>
      <c r="M108" s="33"/>
      <c r="N108" s="33"/>
      <c r="O108" s="33"/>
      <c r="P108" s="33"/>
      <c r="Q108" s="33"/>
      <c r="R108" s="33"/>
      <c r="S108" s="33"/>
      <c r="T108" s="33"/>
    </row>
    <row r="109" spans="1:20" ht="15.75">
      <c r="A109" s="13">
        <v>45170</v>
      </c>
      <c r="B109" s="41">
        <v>30</v>
      </c>
      <c r="C109" s="32">
        <v>194.20500000000001</v>
      </c>
      <c r="D109" s="32">
        <v>267.46600000000001</v>
      </c>
      <c r="E109" s="38">
        <v>812.32899999999995</v>
      </c>
      <c r="F109" s="32">
        <v>1274</v>
      </c>
      <c r="G109" s="32">
        <v>50</v>
      </c>
      <c r="H109" s="40">
        <v>600</v>
      </c>
      <c r="I109" s="32">
        <v>695</v>
      </c>
      <c r="J109" s="32">
        <v>0</v>
      </c>
      <c r="K109" s="33"/>
      <c r="L109" s="33"/>
      <c r="M109" s="33"/>
      <c r="N109" s="33"/>
      <c r="O109" s="33"/>
      <c r="P109" s="33"/>
      <c r="Q109" s="33"/>
      <c r="R109" s="33"/>
      <c r="S109" s="33"/>
      <c r="T109" s="33"/>
    </row>
    <row r="110" spans="1:20" ht="15.75">
      <c r="A110" s="13">
        <v>45200</v>
      </c>
      <c r="B110" s="41">
        <v>31</v>
      </c>
      <c r="C110" s="32">
        <v>131.881</v>
      </c>
      <c r="D110" s="32">
        <v>277.16699999999997</v>
      </c>
      <c r="E110" s="38">
        <v>829.952</v>
      </c>
      <c r="F110" s="32">
        <v>1239</v>
      </c>
      <c r="G110" s="32">
        <v>75</v>
      </c>
      <c r="H110" s="40">
        <v>600</v>
      </c>
      <c r="I110" s="32">
        <v>695</v>
      </c>
      <c r="J110" s="32">
        <v>0</v>
      </c>
      <c r="K110" s="33"/>
      <c r="L110" s="33"/>
      <c r="M110" s="33"/>
      <c r="N110" s="33"/>
      <c r="O110" s="33"/>
      <c r="P110" s="33"/>
      <c r="Q110" s="33"/>
      <c r="R110" s="33"/>
      <c r="S110" s="33"/>
      <c r="T110" s="33"/>
    </row>
    <row r="111" spans="1:20" ht="15.75">
      <c r="A111" s="13">
        <v>45231</v>
      </c>
      <c r="B111" s="41">
        <v>30</v>
      </c>
      <c r="C111" s="32">
        <v>122.58</v>
      </c>
      <c r="D111" s="32">
        <v>297.94099999999997</v>
      </c>
      <c r="E111" s="38">
        <v>729.47900000000004</v>
      </c>
      <c r="F111" s="32">
        <v>1150</v>
      </c>
      <c r="G111" s="32">
        <v>100</v>
      </c>
      <c r="H111" s="40">
        <v>600</v>
      </c>
      <c r="I111" s="32">
        <v>695</v>
      </c>
      <c r="J111" s="32">
        <v>50</v>
      </c>
      <c r="K111" s="33"/>
      <c r="L111" s="33"/>
      <c r="M111" s="33"/>
      <c r="N111" s="33"/>
      <c r="O111" s="33"/>
      <c r="P111" s="33"/>
      <c r="Q111" s="33"/>
      <c r="R111" s="33"/>
      <c r="S111" s="33"/>
      <c r="T111" s="33"/>
    </row>
    <row r="112" spans="1:20" ht="15.75">
      <c r="A112" s="13">
        <v>45261</v>
      </c>
      <c r="B112" s="41">
        <v>31</v>
      </c>
      <c r="C112" s="32">
        <v>122.58</v>
      </c>
      <c r="D112" s="32">
        <v>297.94099999999997</v>
      </c>
      <c r="E112" s="38">
        <v>729.47900000000004</v>
      </c>
      <c r="F112" s="32">
        <v>1150</v>
      </c>
      <c r="G112" s="32">
        <v>100</v>
      </c>
      <c r="H112" s="40">
        <v>600</v>
      </c>
      <c r="I112" s="32">
        <v>695</v>
      </c>
      <c r="J112" s="32">
        <v>50</v>
      </c>
      <c r="K112" s="33"/>
      <c r="L112" s="33"/>
      <c r="M112" s="33"/>
      <c r="N112" s="33"/>
      <c r="O112" s="33"/>
      <c r="P112" s="33"/>
      <c r="Q112" s="33"/>
      <c r="R112" s="33"/>
      <c r="S112" s="33"/>
      <c r="T112" s="33"/>
    </row>
    <row r="113" spans="1:20" ht="15.75">
      <c r="A113" s="13">
        <v>45292</v>
      </c>
      <c r="B113" s="41">
        <v>31</v>
      </c>
      <c r="C113" s="32">
        <v>122.58</v>
      </c>
      <c r="D113" s="32">
        <v>297.94099999999997</v>
      </c>
      <c r="E113" s="38">
        <v>729.47900000000004</v>
      </c>
      <c r="F113" s="32">
        <v>1150</v>
      </c>
      <c r="G113" s="32">
        <v>100</v>
      </c>
      <c r="H113" s="40">
        <v>600</v>
      </c>
      <c r="I113" s="32">
        <v>695</v>
      </c>
      <c r="J113" s="32">
        <v>50</v>
      </c>
      <c r="K113" s="33"/>
      <c r="L113" s="33"/>
      <c r="M113" s="33"/>
      <c r="N113" s="33"/>
      <c r="O113" s="33"/>
      <c r="P113" s="33"/>
      <c r="Q113" s="33"/>
      <c r="R113" s="33"/>
      <c r="S113" s="33"/>
      <c r="T113" s="33"/>
    </row>
    <row r="114" spans="1:20" ht="15.75">
      <c r="A114" s="13">
        <v>45323</v>
      </c>
      <c r="B114" s="41">
        <v>29</v>
      </c>
      <c r="C114" s="32">
        <v>122.58</v>
      </c>
      <c r="D114" s="32">
        <v>297.94099999999997</v>
      </c>
      <c r="E114" s="38">
        <v>729.47900000000004</v>
      </c>
      <c r="F114" s="32">
        <v>1150</v>
      </c>
      <c r="G114" s="32">
        <v>100</v>
      </c>
      <c r="H114" s="40">
        <v>600</v>
      </c>
      <c r="I114" s="32">
        <v>695</v>
      </c>
      <c r="J114" s="32">
        <v>50</v>
      </c>
      <c r="K114" s="33"/>
      <c r="L114" s="33"/>
      <c r="M114" s="33"/>
      <c r="N114" s="33"/>
      <c r="O114" s="33"/>
      <c r="P114" s="33"/>
      <c r="Q114" s="33"/>
      <c r="R114" s="33"/>
      <c r="S114" s="33"/>
      <c r="T114" s="33"/>
    </row>
    <row r="115" spans="1:20" ht="15.75">
      <c r="A115" s="13">
        <v>45352</v>
      </c>
      <c r="B115" s="41">
        <v>31</v>
      </c>
      <c r="C115" s="32">
        <v>122.58</v>
      </c>
      <c r="D115" s="32">
        <v>297.94099999999997</v>
      </c>
      <c r="E115" s="38">
        <v>729.47900000000004</v>
      </c>
      <c r="F115" s="32">
        <v>1150</v>
      </c>
      <c r="G115" s="32">
        <v>100</v>
      </c>
      <c r="H115" s="40">
        <v>600</v>
      </c>
      <c r="I115" s="32">
        <v>695</v>
      </c>
      <c r="J115" s="32">
        <v>50</v>
      </c>
      <c r="K115" s="33"/>
      <c r="L115" s="33"/>
      <c r="M115" s="33"/>
      <c r="N115" s="33"/>
      <c r="O115" s="33"/>
      <c r="P115" s="33"/>
      <c r="Q115" s="33"/>
      <c r="R115" s="33"/>
      <c r="S115" s="33"/>
      <c r="T115" s="33"/>
    </row>
    <row r="116" spans="1:20" ht="15.75">
      <c r="A116" s="13">
        <v>45383</v>
      </c>
      <c r="B116" s="41">
        <v>30</v>
      </c>
      <c r="C116" s="32">
        <v>141.29300000000001</v>
      </c>
      <c r="D116" s="32">
        <v>267.99299999999999</v>
      </c>
      <c r="E116" s="38">
        <v>829.71400000000006</v>
      </c>
      <c r="F116" s="32">
        <v>1239</v>
      </c>
      <c r="G116" s="32">
        <v>100</v>
      </c>
      <c r="H116" s="40">
        <v>600</v>
      </c>
      <c r="I116" s="32">
        <v>695</v>
      </c>
      <c r="J116" s="32">
        <v>50</v>
      </c>
      <c r="K116" s="33"/>
      <c r="L116" s="33"/>
      <c r="M116" s="33"/>
      <c r="N116" s="33"/>
      <c r="O116" s="33"/>
      <c r="P116" s="33"/>
      <c r="Q116" s="33"/>
      <c r="R116" s="33"/>
      <c r="S116" s="33"/>
      <c r="T116" s="33"/>
    </row>
    <row r="117" spans="1:20" ht="15.75">
      <c r="A117" s="13">
        <v>45413</v>
      </c>
      <c r="B117" s="41">
        <v>31</v>
      </c>
      <c r="C117" s="32">
        <v>194.20500000000001</v>
      </c>
      <c r="D117" s="32">
        <v>267.46600000000001</v>
      </c>
      <c r="E117" s="38">
        <v>812.32899999999995</v>
      </c>
      <c r="F117" s="32">
        <v>1274</v>
      </c>
      <c r="G117" s="32">
        <v>75</v>
      </c>
      <c r="H117" s="40">
        <v>600</v>
      </c>
      <c r="I117" s="32">
        <v>695</v>
      </c>
      <c r="J117" s="32">
        <v>50</v>
      </c>
      <c r="K117" s="33"/>
      <c r="L117" s="33"/>
      <c r="M117" s="33"/>
      <c r="N117" s="33"/>
      <c r="O117" s="33"/>
      <c r="P117" s="33"/>
      <c r="Q117" s="33"/>
      <c r="R117" s="33"/>
      <c r="S117" s="33"/>
      <c r="T117" s="33"/>
    </row>
    <row r="118" spans="1:20" ht="15.75">
      <c r="A118" s="13">
        <v>45444</v>
      </c>
      <c r="B118" s="41">
        <v>30</v>
      </c>
      <c r="C118" s="32">
        <v>194.20500000000001</v>
      </c>
      <c r="D118" s="32">
        <v>267.46600000000001</v>
      </c>
      <c r="E118" s="38">
        <v>812.32899999999995</v>
      </c>
      <c r="F118" s="32">
        <v>1274</v>
      </c>
      <c r="G118" s="32">
        <v>50</v>
      </c>
      <c r="H118" s="40">
        <v>600</v>
      </c>
      <c r="I118" s="32">
        <v>695</v>
      </c>
      <c r="J118" s="32">
        <v>50</v>
      </c>
      <c r="K118" s="33"/>
      <c r="L118" s="33"/>
      <c r="M118" s="33"/>
      <c r="N118" s="33"/>
      <c r="O118" s="33"/>
      <c r="P118" s="33"/>
      <c r="Q118" s="33"/>
      <c r="R118" s="33"/>
      <c r="S118" s="33"/>
      <c r="T118" s="33"/>
    </row>
    <row r="119" spans="1:20" ht="15.75">
      <c r="A119" s="13">
        <v>45474</v>
      </c>
      <c r="B119" s="41">
        <v>31</v>
      </c>
      <c r="C119" s="32">
        <v>194.20500000000001</v>
      </c>
      <c r="D119" s="32">
        <v>267.46600000000001</v>
      </c>
      <c r="E119" s="38">
        <v>812.32899999999995</v>
      </c>
      <c r="F119" s="32">
        <v>1274</v>
      </c>
      <c r="G119" s="32">
        <v>50</v>
      </c>
      <c r="H119" s="40">
        <v>600</v>
      </c>
      <c r="I119" s="32">
        <v>695</v>
      </c>
      <c r="J119" s="32">
        <v>0</v>
      </c>
      <c r="K119" s="33"/>
      <c r="L119" s="33"/>
      <c r="M119" s="33"/>
      <c r="N119" s="33"/>
      <c r="O119" s="33"/>
      <c r="P119" s="33"/>
      <c r="Q119" s="33"/>
      <c r="R119" s="33"/>
      <c r="S119" s="33"/>
      <c r="T119" s="33"/>
    </row>
    <row r="120" spans="1:20" ht="15.75">
      <c r="A120" s="13">
        <v>45505</v>
      </c>
      <c r="B120" s="41">
        <v>31</v>
      </c>
      <c r="C120" s="32">
        <v>194.20500000000001</v>
      </c>
      <c r="D120" s="32">
        <v>267.46600000000001</v>
      </c>
      <c r="E120" s="38">
        <v>812.32899999999995</v>
      </c>
      <c r="F120" s="32">
        <v>1274</v>
      </c>
      <c r="G120" s="32">
        <v>50</v>
      </c>
      <c r="H120" s="40">
        <v>600</v>
      </c>
      <c r="I120" s="32">
        <v>695</v>
      </c>
      <c r="J120" s="32">
        <v>0</v>
      </c>
      <c r="K120" s="33"/>
      <c r="L120" s="33"/>
      <c r="M120" s="33"/>
      <c r="N120" s="33"/>
      <c r="O120" s="33"/>
      <c r="P120" s="33"/>
      <c r="Q120" s="33"/>
      <c r="R120" s="33"/>
      <c r="S120" s="33"/>
      <c r="T120" s="33"/>
    </row>
    <row r="121" spans="1:20" ht="15.75">
      <c r="A121" s="13">
        <v>45536</v>
      </c>
      <c r="B121" s="41">
        <v>30</v>
      </c>
      <c r="C121" s="32">
        <v>194.20500000000001</v>
      </c>
      <c r="D121" s="32">
        <v>267.46600000000001</v>
      </c>
      <c r="E121" s="38">
        <v>812.32899999999995</v>
      </c>
      <c r="F121" s="32">
        <v>1274</v>
      </c>
      <c r="G121" s="32">
        <v>50</v>
      </c>
      <c r="H121" s="40">
        <v>600</v>
      </c>
      <c r="I121" s="32">
        <v>695</v>
      </c>
      <c r="J121" s="32">
        <v>0</v>
      </c>
      <c r="K121" s="33"/>
      <c r="L121" s="33"/>
      <c r="M121" s="33"/>
      <c r="N121" s="33"/>
      <c r="O121" s="33"/>
      <c r="P121" s="33"/>
      <c r="Q121" s="33"/>
      <c r="R121" s="33"/>
      <c r="S121" s="33"/>
      <c r="T121" s="33"/>
    </row>
    <row r="122" spans="1:20" ht="15.75">
      <c r="A122" s="13">
        <v>45566</v>
      </c>
      <c r="B122" s="41">
        <v>31</v>
      </c>
      <c r="C122" s="32">
        <v>131.881</v>
      </c>
      <c r="D122" s="32">
        <v>277.16699999999997</v>
      </c>
      <c r="E122" s="38">
        <v>829.952</v>
      </c>
      <c r="F122" s="32">
        <v>1239</v>
      </c>
      <c r="G122" s="32">
        <v>75</v>
      </c>
      <c r="H122" s="40">
        <v>600</v>
      </c>
      <c r="I122" s="32">
        <v>695</v>
      </c>
      <c r="J122" s="32">
        <v>0</v>
      </c>
      <c r="K122" s="33"/>
      <c r="L122" s="33"/>
      <c r="M122" s="33"/>
      <c r="N122" s="33"/>
      <c r="O122" s="33"/>
      <c r="P122" s="33"/>
      <c r="Q122" s="33"/>
      <c r="R122" s="33"/>
      <c r="S122" s="33"/>
      <c r="T122" s="33"/>
    </row>
    <row r="123" spans="1:20" ht="15.75">
      <c r="A123" s="13">
        <v>45597</v>
      </c>
      <c r="B123" s="41">
        <v>30</v>
      </c>
      <c r="C123" s="32">
        <v>122.58</v>
      </c>
      <c r="D123" s="32">
        <v>297.94099999999997</v>
      </c>
      <c r="E123" s="38">
        <v>729.47900000000004</v>
      </c>
      <c r="F123" s="32">
        <v>1150</v>
      </c>
      <c r="G123" s="32">
        <v>100</v>
      </c>
      <c r="H123" s="40">
        <v>600</v>
      </c>
      <c r="I123" s="32">
        <v>695</v>
      </c>
      <c r="J123" s="32">
        <v>50</v>
      </c>
      <c r="K123" s="33"/>
      <c r="L123" s="33"/>
      <c r="M123" s="33"/>
      <c r="N123" s="33"/>
      <c r="O123" s="33"/>
      <c r="P123" s="33"/>
      <c r="Q123" s="33"/>
      <c r="R123" s="33"/>
      <c r="S123" s="33"/>
      <c r="T123" s="33"/>
    </row>
    <row r="124" spans="1:20" ht="15.75">
      <c r="A124" s="13">
        <v>45627</v>
      </c>
      <c r="B124" s="41">
        <v>31</v>
      </c>
      <c r="C124" s="32">
        <v>122.58</v>
      </c>
      <c r="D124" s="32">
        <v>297.94099999999997</v>
      </c>
      <c r="E124" s="38">
        <v>729.47900000000004</v>
      </c>
      <c r="F124" s="32">
        <v>1150</v>
      </c>
      <c r="G124" s="32">
        <v>100</v>
      </c>
      <c r="H124" s="40">
        <v>600</v>
      </c>
      <c r="I124" s="32">
        <v>695</v>
      </c>
      <c r="J124" s="32">
        <v>50</v>
      </c>
      <c r="K124" s="33"/>
      <c r="L124" s="33"/>
      <c r="M124" s="33"/>
      <c r="N124" s="33"/>
      <c r="O124" s="33"/>
      <c r="P124" s="33"/>
      <c r="Q124" s="33"/>
      <c r="R124" s="33"/>
      <c r="S124" s="33"/>
      <c r="T124" s="33"/>
    </row>
    <row r="125" spans="1:20" ht="15.75">
      <c r="A125" s="13">
        <v>45658</v>
      </c>
      <c r="B125" s="41">
        <v>31</v>
      </c>
      <c r="C125" s="32">
        <v>122.58</v>
      </c>
      <c r="D125" s="32">
        <v>297.94099999999997</v>
      </c>
      <c r="E125" s="38">
        <v>729.47900000000004</v>
      </c>
      <c r="F125" s="32">
        <v>1150</v>
      </c>
      <c r="G125" s="32">
        <v>100</v>
      </c>
      <c r="H125" s="40">
        <v>600</v>
      </c>
      <c r="I125" s="32">
        <v>695</v>
      </c>
      <c r="J125" s="32">
        <v>50</v>
      </c>
      <c r="K125" s="33"/>
      <c r="L125" s="33"/>
      <c r="M125" s="33"/>
      <c r="N125" s="33"/>
      <c r="O125" s="33"/>
      <c r="P125" s="33"/>
      <c r="Q125" s="33"/>
      <c r="R125" s="33"/>
      <c r="S125" s="33"/>
      <c r="T125" s="33"/>
    </row>
    <row r="126" spans="1:20" ht="15.75">
      <c r="A126" s="13">
        <v>45689</v>
      </c>
      <c r="B126" s="41">
        <v>28</v>
      </c>
      <c r="C126" s="32">
        <v>122.58</v>
      </c>
      <c r="D126" s="32">
        <v>297.94099999999997</v>
      </c>
      <c r="E126" s="38">
        <v>729.47900000000004</v>
      </c>
      <c r="F126" s="32">
        <v>1150</v>
      </c>
      <c r="G126" s="32">
        <v>100</v>
      </c>
      <c r="H126" s="40">
        <v>600</v>
      </c>
      <c r="I126" s="32">
        <v>695</v>
      </c>
      <c r="J126" s="32">
        <v>50</v>
      </c>
      <c r="K126" s="33"/>
      <c r="L126" s="33"/>
      <c r="M126" s="33"/>
      <c r="N126" s="33"/>
      <c r="O126" s="33"/>
      <c r="P126" s="33"/>
      <c r="Q126" s="33"/>
      <c r="R126" s="33"/>
      <c r="S126" s="33"/>
      <c r="T126" s="33"/>
    </row>
    <row r="127" spans="1:20" ht="15.75">
      <c r="A127" s="13">
        <v>45717</v>
      </c>
      <c r="B127" s="41">
        <v>31</v>
      </c>
      <c r="C127" s="32">
        <v>122.58</v>
      </c>
      <c r="D127" s="32">
        <v>297.94099999999997</v>
      </c>
      <c r="E127" s="38">
        <v>729.47900000000004</v>
      </c>
      <c r="F127" s="32">
        <v>1150</v>
      </c>
      <c r="G127" s="32">
        <v>100</v>
      </c>
      <c r="H127" s="40">
        <v>600</v>
      </c>
      <c r="I127" s="32">
        <v>695</v>
      </c>
      <c r="J127" s="32">
        <v>50</v>
      </c>
      <c r="K127" s="33"/>
      <c r="L127" s="33"/>
      <c r="M127" s="33"/>
      <c r="N127" s="33"/>
      <c r="O127" s="33"/>
      <c r="P127" s="33"/>
      <c r="Q127" s="33"/>
      <c r="R127" s="33"/>
      <c r="S127" s="33"/>
      <c r="T127" s="33"/>
    </row>
    <row r="128" spans="1:20" ht="15.75">
      <c r="A128" s="13">
        <v>45748</v>
      </c>
      <c r="B128" s="41">
        <v>30</v>
      </c>
      <c r="C128" s="32">
        <v>141.29300000000001</v>
      </c>
      <c r="D128" s="32">
        <v>267.99299999999999</v>
      </c>
      <c r="E128" s="38">
        <v>829.71400000000006</v>
      </c>
      <c r="F128" s="32">
        <v>1239</v>
      </c>
      <c r="G128" s="32">
        <v>100</v>
      </c>
      <c r="H128" s="40">
        <v>600</v>
      </c>
      <c r="I128" s="32">
        <v>695</v>
      </c>
      <c r="J128" s="32">
        <v>50</v>
      </c>
      <c r="K128" s="33"/>
      <c r="L128" s="33"/>
      <c r="M128" s="33"/>
      <c r="N128" s="33"/>
      <c r="O128" s="33"/>
      <c r="P128" s="33"/>
      <c r="Q128" s="33"/>
      <c r="R128" s="33"/>
      <c r="S128" s="33"/>
      <c r="T128" s="33"/>
    </row>
    <row r="129" spans="1:20" ht="15.75">
      <c r="A129" s="13">
        <v>45778</v>
      </c>
      <c r="B129" s="41">
        <v>31</v>
      </c>
      <c r="C129" s="32">
        <v>194.20500000000001</v>
      </c>
      <c r="D129" s="32">
        <v>267.46600000000001</v>
      </c>
      <c r="E129" s="38">
        <v>812.32899999999995</v>
      </c>
      <c r="F129" s="32">
        <v>1274</v>
      </c>
      <c r="G129" s="32">
        <v>75</v>
      </c>
      <c r="H129" s="40">
        <v>600</v>
      </c>
      <c r="I129" s="32">
        <v>695</v>
      </c>
      <c r="J129" s="32">
        <v>50</v>
      </c>
      <c r="K129" s="33"/>
      <c r="L129" s="33"/>
      <c r="M129" s="33"/>
      <c r="N129" s="33"/>
      <c r="O129" s="33"/>
      <c r="P129" s="33"/>
      <c r="Q129" s="33"/>
      <c r="R129" s="33"/>
      <c r="S129" s="33"/>
      <c r="T129" s="33"/>
    </row>
    <row r="130" spans="1:20" ht="15.75">
      <c r="A130" s="13">
        <v>45809</v>
      </c>
      <c r="B130" s="41">
        <v>30</v>
      </c>
      <c r="C130" s="32">
        <v>194.20500000000001</v>
      </c>
      <c r="D130" s="32">
        <v>267.46600000000001</v>
      </c>
      <c r="E130" s="38">
        <v>812.32899999999995</v>
      </c>
      <c r="F130" s="32">
        <v>1274</v>
      </c>
      <c r="G130" s="32">
        <v>50</v>
      </c>
      <c r="H130" s="40">
        <v>600</v>
      </c>
      <c r="I130" s="32">
        <v>695</v>
      </c>
      <c r="J130" s="32">
        <v>50</v>
      </c>
      <c r="K130" s="33"/>
      <c r="L130" s="33"/>
      <c r="M130" s="33"/>
      <c r="N130" s="33"/>
      <c r="O130" s="33"/>
      <c r="P130" s="33"/>
      <c r="Q130" s="33"/>
      <c r="R130" s="33"/>
      <c r="S130" s="33"/>
      <c r="T130" s="33"/>
    </row>
    <row r="131" spans="1:20" ht="15.75">
      <c r="A131" s="13">
        <v>45839</v>
      </c>
      <c r="B131" s="41">
        <v>31</v>
      </c>
      <c r="C131" s="32">
        <v>194.20500000000001</v>
      </c>
      <c r="D131" s="32">
        <v>267.46600000000001</v>
      </c>
      <c r="E131" s="38">
        <v>812.32899999999995</v>
      </c>
      <c r="F131" s="32">
        <v>1274</v>
      </c>
      <c r="G131" s="32">
        <v>50</v>
      </c>
      <c r="H131" s="40">
        <v>600</v>
      </c>
      <c r="I131" s="32">
        <v>695</v>
      </c>
      <c r="J131" s="32">
        <v>0</v>
      </c>
      <c r="K131" s="33"/>
      <c r="L131" s="33"/>
      <c r="M131" s="33"/>
      <c r="N131" s="33"/>
      <c r="O131" s="33"/>
      <c r="P131" s="33"/>
      <c r="Q131" s="33"/>
      <c r="R131" s="33"/>
      <c r="S131" s="33"/>
      <c r="T131" s="33"/>
    </row>
    <row r="132" spans="1:20" ht="15.75">
      <c r="A132" s="13">
        <v>45870</v>
      </c>
      <c r="B132" s="41">
        <v>31</v>
      </c>
      <c r="C132" s="32">
        <v>194.20500000000001</v>
      </c>
      <c r="D132" s="32">
        <v>267.46600000000001</v>
      </c>
      <c r="E132" s="38">
        <v>812.32899999999995</v>
      </c>
      <c r="F132" s="32">
        <v>1274</v>
      </c>
      <c r="G132" s="32">
        <v>50</v>
      </c>
      <c r="H132" s="40">
        <v>600</v>
      </c>
      <c r="I132" s="32">
        <v>695</v>
      </c>
      <c r="J132" s="32">
        <v>0</v>
      </c>
      <c r="K132" s="33"/>
      <c r="L132" s="33"/>
      <c r="M132" s="33"/>
      <c r="N132" s="33"/>
      <c r="O132" s="33"/>
      <c r="P132" s="33"/>
      <c r="Q132" s="33"/>
      <c r="R132" s="33"/>
      <c r="S132" s="33"/>
      <c r="T132" s="33"/>
    </row>
    <row r="133" spans="1:20" ht="15.75">
      <c r="A133" s="13">
        <v>45901</v>
      </c>
      <c r="B133" s="41">
        <v>30</v>
      </c>
      <c r="C133" s="32">
        <v>194.20500000000001</v>
      </c>
      <c r="D133" s="32">
        <v>267.46600000000001</v>
      </c>
      <c r="E133" s="38">
        <v>812.32899999999995</v>
      </c>
      <c r="F133" s="32">
        <v>1274</v>
      </c>
      <c r="G133" s="32">
        <v>50</v>
      </c>
      <c r="H133" s="40">
        <v>600</v>
      </c>
      <c r="I133" s="32">
        <v>695</v>
      </c>
      <c r="J133" s="32">
        <v>0</v>
      </c>
      <c r="K133" s="33"/>
      <c r="L133" s="33"/>
      <c r="M133" s="33"/>
      <c r="N133" s="33"/>
      <c r="O133" s="33"/>
      <c r="P133" s="33"/>
      <c r="Q133" s="33"/>
      <c r="R133" s="33"/>
      <c r="S133" s="33"/>
      <c r="T133" s="33"/>
    </row>
    <row r="134" spans="1:20" ht="15.75">
      <c r="A134" s="13">
        <v>45931</v>
      </c>
      <c r="B134" s="41">
        <v>31</v>
      </c>
      <c r="C134" s="32">
        <v>131.881</v>
      </c>
      <c r="D134" s="32">
        <v>277.16699999999997</v>
      </c>
      <c r="E134" s="38">
        <v>829.952</v>
      </c>
      <c r="F134" s="32">
        <v>1239</v>
      </c>
      <c r="G134" s="32">
        <v>75</v>
      </c>
      <c r="H134" s="40">
        <v>600</v>
      </c>
      <c r="I134" s="32">
        <v>695</v>
      </c>
      <c r="J134" s="32">
        <v>0</v>
      </c>
      <c r="K134" s="33"/>
      <c r="L134" s="33"/>
      <c r="M134" s="33"/>
      <c r="N134" s="33"/>
      <c r="O134" s="33"/>
      <c r="P134" s="33"/>
      <c r="Q134" s="33"/>
      <c r="R134" s="33"/>
      <c r="S134" s="33"/>
      <c r="T134" s="33"/>
    </row>
    <row r="135" spans="1:20" ht="15.75">
      <c r="A135" s="13">
        <v>45962</v>
      </c>
      <c r="B135" s="41">
        <v>30</v>
      </c>
      <c r="C135" s="32">
        <v>122.58</v>
      </c>
      <c r="D135" s="32">
        <v>297.94099999999997</v>
      </c>
      <c r="E135" s="38">
        <v>729.47900000000004</v>
      </c>
      <c r="F135" s="32">
        <v>1150</v>
      </c>
      <c r="G135" s="32">
        <v>100</v>
      </c>
      <c r="H135" s="40">
        <v>600</v>
      </c>
      <c r="I135" s="32">
        <v>695</v>
      </c>
      <c r="J135" s="32">
        <v>50</v>
      </c>
      <c r="K135" s="33"/>
      <c r="L135" s="33"/>
      <c r="M135" s="33"/>
      <c r="N135" s="33"/>
      <c r="O135" s="33"/>
      <c r="P135" s="33"/>
      <c r="Q135" s="33"/>
      <c r="R135" s="33"/>
      <c r="S135" s="33"/>
      <c r="T135" s="33"/>
    </row>
    <row r="136" spans="1:20" ht="15.75">
      <c r="A136" s="13">
        <v>45992</v>
      </c>
      <c r="B136" s="41">
        <v>31</v>
      </c>
      <c r="C136" s="32">
        <v>122.58</v>
      </c>
      <c r="D136" s="32">
        <v>297.94099999999997</v>
      </c>
      <c r="E136" s="38">
        <v>729.47900000000004</v>
      </c>
      <c r="F136" s="32">
        <v>1150</v>
      </c>
      <c r="G136" s="32">
        <v>100</v>
      </c>
      <c r="H136" s="40">
        <v>600</v>
      </c>
      <c r="I136" s="32">
        <v>695</v>
      </c>
      <c r="J136" s="32">
        <v>50</v>
      </c>
      <c r="K136" s="33"/>
      <c r="L136" s="33"/>
      <c r="M136" s="33"/>
      <c r="N136" s="33"/>
      <c r="O136" s="33"/>
      <c r="P136" s="33"/>
      <c r="Q136" s="33"/>
      <c r="R136" s="33"/>
      <c r="S136" s="33"/>
      <c r="T136" s="33"/>
    </row>
    <row r="137" spans="1:20" ht="15.75">
      <c r="A137" s="13">
        <v>46023</v>
      </c>
      <c r="B137" s="41">
        <v>31</v>
      </c>
      <c r="C137" s="32">
        <v>122.58</v>
      </c>
      <c r="D137" s="32">
        <v>297.94099999999997</v>
      </c>
      <c r="E137" s="38">
        <v>729.47900000000004</v>
      </c>
      <c r="F137" s="32">
        <v>1150</v>
      </c>
      <c r="G137" s="32">
        <v>100</v>
      </c>
      <c r="H137" s="40">
        <v>600</v>
      </c>
      <c r="I137" s="32">
        <v>695</v>
      </c>
      <c r="J137" s="32">
        <v>50</v>
      </c>
      <c r="K137" s="33"/>
      <c r="L137" s="33"/>
      <c r="M137" s="33"/>
      <c r="N137" s="33"/>
      <c r="O137" s="33"/>
      <c r="P137" s="33"/>
      <c r="Q137" s="33"/>
      <c r="R137" s="33"/>
      <c r="S137" s="33"/>
      <c r="T137" s="33"/>
    </row>
    <row r="138" spans="1:20" ht="15.75">
      <c r="A138" s="13">
        <v>46054</v>
      </c>
      <c r="B138" s="41">
        <v>28</v>
      </c>
      <c r="C138" s="32">
        <v>122.58</v>
      </c>
      <c r="D138" s="32">
        <v>297.94099999999997</v>
      </c>
      <c r="E138" s="38">
        <v>729.47900000000004</v>
      </c>
      <c r="F138" s="32">
        <v>1150</v>
      </c>
      <c r="G138" s="32">
        <v>100</v>
      </c>
      <c r="H138" s="40">
        <v>600</v>
      </c>
      <c r="I138" s="32">
        <v>695</v>
      </c>
      <c r="J138" s="32">
        <v>50</v>
      </c>
      <c r="K138" s="33"/>
      <c r="L138" s="33"/>
      <c r="M138" s="33"/>
      <c r="N138" s="33"/>
      <c r="O138" s="33"/>
      <c r="P138" s="33"/>
      <c r="Q138" s="33"/>
      <c r="R138" s="33"/>
      <c r="S138" s="33"/>
      <c r="T138" s="33"/>
    </row>
    <row r="139" spans="1:20" ht="15.75">
      <c r="A139" s="13">
        <v>46082</v>
      </c>
      <c r="B139" s="41">
        <v>31</v>
      </c>
      <c r="C139" s="32">
        <v>122.58</v>
      </c>
      <c r="D139" s="32">
        <v>297.94099999999997</v>
      </c>
      <c r="E139" s="38">
        <v>729.47900000000004</v>
      </c>
      <c r="F139" s="32">
        <v>1150</v>
      </c>
      <c r="G139" s="32">
        <v>100</v>
      </c>
      <c r="H139" s="40">
        <v>600</v>
      </c>
      <c r="I139" s="32">
        <v>695</v>
      </c>
      <c r="J139" s="32">
        <v>50</v>
      </c>
      <c r="K139" s="33"/>
      <c r="L139" s="33"/>
      <c r="M139" s="33"/>
      <c r="N139" s="33"/>
      <c r="O139" s="33"/>
      <c r="P139" s="33"/>
      <c r="Q139" s="33"/>
      <c r="R139" s="33"/>
      <c r="S139" s="33"/>
      <c r="T139" s="33"/>
    </row>
    <row r="140" spans="1:20" ht="15.75">
      <c r="A140" s="13">
        <v>46113</v>
      </c>
      <c r="B140" s="41">
        <v>30</v>
      </c>
      <c r="C140" s="32">
        <v>141.29300000000001</v>
      </c>
      <c r="D140" s="32">
        <v>267.99299999999999</v>
      </c>
      <c r="E140" s="38">
        <v>829.71400000000006</v>
      </c>
      <c r="F140" s="32">
        <v>1239</v>
      </c>
      <c r="G140" s="32">
        <v>100</v>
      </c>
      <c r="H140" s="40">
        <v>600</v>
      </c>
      <c r="I140" s="32">
        <v>695</v>
      </c>
      <c r="J140" s="32">
        <v>50</v>
      </c>
      <c r="K140" s="33"/>
      <c r="L140" s="33"/>
      <c r="M140" s="33"/>
      <c r="N140" s="33"/>
      <c r="O140" s="33"/>
      <c r="P140" s="33"/>
      <c r="Q140" s="33"/>
      <c r="R140" s="33"/>
      <c r="S140" s="33"/>
      <c r="T140" s="33"/>
    </row>
    <row r="141" spans="1:20" ht="15.75">
      <c r="A141" s="13">
        <v>46143</v>
      </c>
      <c r="B141" s="41">
        <v>31</v>
      </c>
      <c r="C141" s="32">
        <v>194.20500000000001</v>
      </c>
      <c r="D141" s="32">
        <v>267.46600000000001</v>
      </c>
      <c r="E141" s="38">
        <v>812.32899999999995</v>
      </c>
      <c r="F141" s="32">
        <v>1274</v>
      </c>
      <c r="G141" s="32">
        <v>75</v>
      </c>
      <c r="H141" s="40">
        <v>600</v>
      </c>
      <c r="I141" s="32">
        <v>695</v>
      </c>
      <c r="J141" s="32">
        <v>50</v>
      </c>
      <c r="K141" s="33"/>
      <c r="L141" s="33"/>
      <c r="M141" s="33"/>
      <c r="N141" s="33"/>
      <c r="O141" s="33"/>
      <c r="P141" s="33"/>
      <c r="Q141" s="33"/>
      <c r="R141" s="33"/>
      <c r="S141" s="33"/>
      <c r="T141" s="33"/>
    </row>
    <row r="142" spans="1:20" ht="15.75">
      <c r="A142" s="13">
        <v>46174</v>
      </c>
      <c r="B142" s="41">
        <v>30</v>
      </c>
      <c r="C142" s="32">
        <v>194.20500000000001</v>
      </c>
      <c r="D142" s="32">
        <v>267.46600000000001</v>
      </c>
      <c r="E142" s="38">
        <v>812.32899999999995</v>
      </c>
      <c r="F142" s="32">
        <v>1274</v>
      </c>
      <c r="G142" s="32">
        <v>50</v>
      </c>
      <c r="H142" s="40">
        <v>600</v>
      </c>
      <c r="I142" s="32">
        <v>695</v>
      </c>
      <c r="J142" s="32">
        <v>50</v>
      </c>
      <c r="K142" s="33"/>
      <c r="L142" s="33"/>
      <c r="M142" s="33"/>
      <c r="N142" s="33"/>
      <c r="O142" s="33"/>
      <c r="P142" s="33"/>
      <c r="Q142" s="33"/>
      <c r="R142" s="33"/>
      <c r="S142" s="33"/>
      <c r="T142" s="33"/>
    </row>
    <row r="143" spans="1:20" ht="15.75">
      <c r="A143" s="13">
        <v>46204</v>
      </c>
      <c r="B143" s="41">
        <v>31</v>
      </c>
      <c r="C143" s="32">
        <v>194.20500000000001</v>
      </c>
      <c r="D143" s="32">
        <v>267.46600000000001</v>
      </c>
      <c r="E143" s="38">
        <v>812.32899999999995</v>
      </c>
      <c r="F143" s="32">
        <v>1274</v>
      </c>
      <c r="G143" s="32">
        <v>50</v>
      </c>
      <c r="H143" s="40">
        <v>600</v>
      </c>
      <c r="I143" s="32">
        <v>695</v>
      </c>
      <c r="J143" s="32">
        <v>0</v>
      </c>
      <c r="K143" s="33"/>
      <c r="L143" s="33"/>
      <c r="M143" s="33"/>
      <c r="N143" s="33"/>
      <c r="O143" s="33"/>
      <c r="P143" s="33"/>
      <c r="Q143" s="33"/>
      <c r="R143" s="33"/>
      <c r="S143" s="33"/>
      <c r="T143" s="33"/>
    </row>
    <row r="144" spans="1:20" ht="15.75">
      <c r="A144" s="13">
        <v>46235</v>
      </c>
      <c r="B144" s="41">
        <v>31</v>
      </c>
      <c r="C144" s="32">
        <v>194.20500000000001</v>
      </c>
      <c r="D144" s="32">
        <v>267.46600000000001</v>
      </c>
      <c r="E144" s="38">
        <v>812.32899999999995</v>
      </c>
      <c r="F144" s="32">
        <v>1274</v>
      </c>
      <c r="G144" s="32">
        <v>50</v>
      </c>
      <c r="H144" s="40">
        <v>600</v>
      </c>
      <c r="I144" s="32">
        <v>695</v>
      </c>
      <c r="J144" s="32">
        <v>0</v>
      </c>
      <c r="K144" s="33"/>
      <c r="L144" s="33"/>
      <c r="M144" s="33"/>
      <c r="N144" s="33"/>
      <c r="O144" s="33"/>
      <c r="P144" s="33"/>
      <c r="Q144" s="33"/>
      <c r="R144" s="33"/>
      <c r="S144" s="33"/>
      <c r="T144" s="33"/>
    </row>
    <row r="145" spans="1:20" ht="15.75">
      <c r="A145" s="13">
        <v>46266</v>
      </c>
      <c r="B145" s="41">
        <v>30</v>
      </c>
      <c r="C145" s="32">
        <v>194.20500000000001</v>
      </c>
      <c r="D145" s="32">
        <v>267.46600000000001</v>
      </c>
      <c r="E145" s="38">
        <v>812.32899999999995</v>
      </c>
      <c r="F145" s="32">
        <v>1274</v>
      </c>
      <c r="G145" s="32">
        <v>50</v>
      </c>
      <c r="H145" s="40">
        <v>600</v>
      </c>
      <c r="I145" s="32">
        <v>695</v>
      </c>
      <c r="J145" s="32">
        <v>0</v>
      </c>
      <c r="K145" s="33"/>
      <c r="L145" s="33"/>
      <c r="M145" s="33"/>
      <c r="N145" s="33"/>
      <c r="O145" s="33"/>
      <c r="P145" s="33"/>
      <c r="Q145" s="33"/>
      <c r="R145" s="33"/>
      <c r="S145" s="33"/>
      <c r="T145" s="33"/>
    </row>
    <row r="146" spans="1:20" ht="15.75">
      <c r="A146" s="13">
        <v>46296</v>
      </c>
      <c r="B146" s="41">
        <v>31</v>
      </c>
      <c r="C146" s="32">
        <v>131.881</v>
      </c>
      <c r="D146" s="32">
        <v>277.16699999999997</v>
      </c>
      <c r="E146" s="38">
        <v>829.952</v>
      </c>
      <c r="F146" s="32">
        <v>1239</v>
      </c>
      <c r="G146" s="32">
        <v>75</v>
      </c>
      <c r="H146" s="40">
        <v>600</v>
      </c>
      <c r="I146" s="32">
        <v>695</v>
      </c>
      <c r="J146" s="32">
        <v>0</v>
      </c>
      <c r="K146" s="33"/>
      <c r="L146" s="33"/>
      <c r="M146" s="33"/>
      <c r="N146" s="33"/>
      <c r="O146" s="33"/>
      <c r="P146" s="33"/>
      <c r="Q146" s="33"/>
      <c r="R146" s="33"/>
      <c r="S146" s="33"/>
      <c r="T146" s="33"/>
    </row>
    <row r="147" spans="1:20" ht="15.75">
      <c r="A147" s="13">
        <v>46327</v>
      </c>
      <c r="B147" s="41">
        <v>30</v>
      </c>
      <c r="C147" s="32">
        <v>122.58</v>
      </c>
      <c r="D147" s="32">
        <v>297.94099999999997</v>
      </c>
      <c r="E147" s="38">
        <v>729.47900000000004</v>
      </c>
      <c r="F147" s="32">
        <v>1150</v>
      </c>
      <c r="G147" s="32">
        <v>100</v>
      </c>
      <c r="H147" s="40">
        <v>600</v>
      </c>
      <c r="I147" s="32">
        <v>695</v>
      </c>
      <c r="J147" s="32">
        <v>50</v>
      </c>
      <c r="K147" s="33"/>
      <c r="L147" s="33"/>
      <c r="M147" s="33"/>
      <c r="N147" s="33"/>
      <c r="O147" s="33"/>
      <c r="P147" s="33"/>
      <c r="Q147" s="33"/>
      <c r="R147" s="33"/>
      <c r="S147" s="33"/>
      <c r="T147" s="33"/>
    </row>
    <row r="148" spans="1:20" ht="15.75">
      <c r="A148" s="13">
        <v>46357</v>
      </c>
      <c r="B148" s="41">
        <v>31</v>
      </c>
      <c r="C148" s="32">
        <v>122.58</v>
      </c>
      <c r="D148" s="32">
        <v>297.94099999999997</v>
      </c>
      <c r="E148" s="38">
        <v>729.47900000000004</v>
      </c>
      <c r="F148" s="32">
        <v>1150</v>
      </c>
      <c r="G148" s="32">
        <v>100</v>
      </c>
      <c r="H148" s="40">
        <v>600</v>
      </c>
      <c r="I148" s="32">
        <v>695</v>
      </c>
      <c r="J148" s="32">
        <v>50</v>
      </c>
      <c r="K148" s="33"/>
      <c r="L148" s="33"/>
      <c r="M148" s="33"/>
      <c r="N148" s="33"/>
      <c r="O148" s="33"/>
      <c r="P148" s="33"/>
      <c r="Q148" s="33"/>
      <c r="R148" s="33"/>
      <c r="S148" s="33"/>
      <c r="T148" s="33"/>
    </row>
    <row r="149" spans="1:20" ht="15.75">
      <c r="A149" s="13">
        <v>46388</v>
      </c>
      <c r="B149" s="41">
        <v>31</v>
      </c>
      <c r="C149" s="32">
        <v>122.58</v>
      </c>
      <c r="D149" s="32">
        <v>297.94099999999997</v>
      </c>
      <c r="E149" s="38">
        <v>729.47900000000004</v>
      </c>
      <c r="F149" s="32">
        <v>1150</v>
      </c>
      <c r="G149" s="32">
        <v>100</v>
      </c>
      <c r="H149" s="40">
        <v>600</v>
      </c>
      <c r="I149" s="32">
        <v>695</v>
      </c>
      <c r="J149" s="32">
        <v>50</v>
      </c>
      <c r="K149" s="33"/>
      <c r="L149" s="33"/>
      <c r="M149" s="33"/>
      <c r="N149" s="33"/>
      <c r="O149" s="33"/>
      <c r="P149" s="33"/>
      <c r="Q149" s="33"/>
      <c r="R149" s="33"/>
      <c r="S149" s="33"/>
      <c r="T149" s="33"/>
    </row>
    <row r="150" spans="1:20" ht="15.75">
      <c r="A150" s="13">
        <v>46419</v>
      </c>
      <c r="B150" s="41">
        <v>28</v>
      </c>
      <c r="C150" s="32">
        <v>122.58</v>
      </c>
      <c r="D150" s="32">
        <v>297.94099999999997</v>
      </c>
      <c r="E150" s="38">
        <v>729.47900000000004</v>
      </c>
      <c r="F150" s="32">
        <v>1150</v>
      </c>
      <c r="G150" s="32">
        <v>100</v>
      </c>
      <c r="H150" s="40">
        <v>600</v>
      </c>
      <c r="I150" s="32">
        <v>695</v>
      </c>
      <c r="J150" s="32">
        <v>50</v>
      </c>
      <c r="K150" s="33"/>
      <c r="L150" s="33"/>
      <c r="M150" s="33"/>
      <c r="N150" s="33"/>
      <c r="O150" s="33"/>
      <c r="P150" s="33"/>
      <c r="Q150" s="33"/>
      <c r="R150" s="33"/>
      <c r="S150" s="33"/>
      <c r="T150" s="33"/>
    </row>
    <row r="151" spans="1:20" ht="15.75">
      <c r="A151" s="13">
        <v>46447</v>
      </c>
      <c r="B151" s="41">
        <v>31</v>
      </c>
      <c r="C151" s="32">
        <v>122.58</v>
      </c>
      <c r="D151" s="32">
        <v>297.94099999999997</v>
      </c>
      <c r="E151" s="38">
        <v>729.47900000000004</v>
      </c>
      <c r="F151" s="32">
        <v>1150</v>
      </c>
      <c r="G151" s="32">
        <v>100</v>
      </c>
      <c r="H151" s="40">
        <v>600</v>
      </c>
      <c r="I151" s="32">
        <v>695</v>
      </c>
      <c r="J151" s="32">
        <v>50</v>
      </c>
      <c r="K151" s="33"/>
      <c r="L151" s="33"/>
      <c r="M151" s="33"/>
      <c r="N151" s="33"/>
      <c r="O151" s="33"/>
      <c r="P151" s="33"/>
      <c r="Q151" s="33"/>
      <c r="R151" s="33"/>
      <c r="S151" s="33"/>
      <c r="T151" s="33"/>
    </row>
    <row r="152" spans="1:20" ht="15.75">
      <c r="A152" s="13">
        <v>46478</v>
      </c>
      <c r="B152" s="41">
        <v>30</v>
      </c>
      <c r="C152" s="32">
        <v>141.29300000000001</v>
      </c>
      <c r="D152" s="32">
        <v>267.99299999999999</v>
      </c>
      <c r="E152" s="38">
        <v>829.71400000000006</v>
      </c>
      <c r="F152" s="32">
        <v>1239</v>
      </c>
      <c r="G152" s="32">
        <v>100</v>
      </c>
      <c r="H152" s="40">
        <v>600</v>
      </c>
      <c r="I152" s="32">
        <v>695</v>
      </c>
      <c r="J152" s="32">
        <v>50</v>
      </c>
      <c r="K152" s="33"/>
      <c r="L152" s="33"/>
      <c r="M152" s="33"/>
      <c r="N152" s="33"/>
      <c r="O152" s="33"/>
      <c r="P152" s="33"/>
      <c r="Q152" s="33"/>
      <c r="R152" s="33"/>
      <c r="S152" s="33"/>
      <c r="T152" s="33"/>
    </row>
    <row r="153" spans="1:20" ht="15.75">
      <c r="A153" s="13">
        <v>46508</v>
      </c>
      <c r="B153" s="41">
        <v>31</v>
      </c>
      <c r="C153" s="32">
        <v>194.20500000000001</v>
      </c>
      <c r="D153" s="32">
        <v>267.46600000000001</v>
      </c>
      <c r="E153" s="38">
        <v>812.32899999999995</v>
      </c>
      <c r="F153" s="32">
        <v>1274</v>
      </c>
      <c r="G153" s="32">
        <v>75</v>
      </c>
      <c r="H153" s="40">
        <v>600</v>
      </c>
      <c r="I153" s="32">
        <v>695</v>
      </c>
      <c r="J153" s="32">
        <v>50</v>
      </c>
      <c r="K153" s="33"/>
      <c r="L153" s="33"/>
      <c r="M153" s="33"/>
      <c r="N153" s="33"/>
      <c r="O153" s="33"/>
      <c r="P153" s="33"/>
      <c r="Q153" s="33"/>
      <c r="R153" s="33"/>
      <c r="S153" s="33"/>
      <c r="T153" s="33"/>
    </row>
    <row r="154" spans="1:20" ht="15.75">
      <c r="A154" s="13">
        <v>46539</v>
      </c>
      <c r="B154" s="41">
        <v>30</v>
      </c>
      <c r="C154" s="32">
        <v>194.20500000000001</v>
      </c>
      <c r="D154" s="32">
        <v>267.46600000000001</v>
      </c>
      <c r="E154" s="38">
        <v>812.32899999999995</v>
      </c>
      <c r="F154" s="32">
        <v>1274</v>
      </c>
      <c r="G154" s="32">
        <v>50</v>
      </c>
      <c r="H154" s="40">
        <v>600</v>
      </c>
      <c r="I154" s="32">
        <v>695</v>
      </c>
      <c r="J154" s="32">
        <v>50</v>
      </c>
      <c r="K154" s="33"/>
      <c r="L154" s="33"/>
      <c r="M154" s="33"/>
      <c r="N154" s="33"/>
      <c r="O154" s="33"/>
      <c r="P154" s="33"/>
      <c r="Q154" s="33"/>
      <c r="R154" s="33"/>
      <c r="S154" s="33"/>
      <c r="T154" s="33"/>
    </row>
    <row r="155" spans="1:20" ht="15.75">
      <c r="A155" s="13">
        <v>46569</v>
      </c>
      <c r="B155" s="41">
        <v>31</v>
      </c>
      <c r="C155" s="32">
        <v>194.20500000000001</v>
      </c>
      <c r="D155" s="32">
        <v>267.46600000000001</v>
      </c>
      <c r="E155" s="38">
        <v>812.32899999999995</v>
      </c>
      <c r="F155" s="32">
        <v>1274</v>
      </c>
      <c r="G155" s="32">
        <v>50</v>
      </c>
      <c r="H155" s="40">
        <v>600</v>
      </c>
      <c r="I155" s="32">
        <v>695</v>
      </c>
      <c r="J155" s="32">
        <v>0</v>
      </c>
      <c r="K155" s="33"/>
      <c r="L155" s="33"/>
      <c r="M155" s="33"/>
      <c r="N155" s="33"/>
      <c r="O155" s="33"/>
      <c r="P155" s="33"/>
      <c r="Q155" s="33"/>
      <c r="R155" s="33"/>
      <c r="S155" s="33"/>
      <c r="T155" s="33"/>
    </row>
    <row r="156" spans="1:20" ht="15.75">
      <c r="A156" s="13">
        <v>46600</v>
      </c>
      <c r="B156" s="41">
        <v>31</v>
      </c>
      <c r="C156" s="32">
        <v>194.20500000000001</v>
      </c>
      <c r="D156" s="32">
        <v>267.46600000000001</v>
      </c>
      <c r="E156" s="38">
        <v>812.32899999999995</v>
      </c>
      <c r="F156" s="32">
        <v>1274</v>
      </c>
      <c r="G156" s="32">
        <v>50</v>
      </c>
      <c r="H156" s="40">
        <v>600</v>
      </c>
      <c r="I156" s="32">
        <v>695</v>
      </c>
      <c r="J156" s="32">
        <v>0</v>
      </c>
      <c r="K156" s="33"/>
      <c r="L156" s="33"/>
      <c r="M156" s="33"/>
      <c r="N156" s="33"/>
      <c r="O156" s="33"/>
      <c r="P156" s="33"/>
      <c r="Q156" s="33"/>
      <c r="R156" s="33"/>
      <c r="S156" s="33"/>
      <c r="T156" s="33"/>
    </row>
    <row r="157" spans="1:20" ht="15.75">
      <c r="A157" s="13">
        <v>46631</v>
      </c>
      <c r="B157" s="41">
        <v>30</v>
      </c>
      <c r="C157" s="32">
        <v>194.20500000000001</v>
      </c>
      <c r="D157" s="32">
        <v>267.46600000000001</v>
      </c>
      <c r="E157" s="38">
        <v>812.32899999999995</v>
      </c>
      <c r="F157" s="32">
        <v>1274</v>
      </c>
      <c r="G157" s="32">
        <v>50</v>
      </c>
      <c r="H157" s="40">
        <v>600</v>
      </c>
      <c r="I157" s="32">
        <v>695</v>
      </c>
      <c r="J157" s="32">
        <v>0</v>
      </c>
      <c r="K157" s="33"/>
      <c r="L157" s="33"/>
      <c r="M157" s="33"/>
      <c r="N157" s="33"/>
      <c r="O157" s="33"/>
      <c r="P157" s="33"/>
      <c r="Q157" s="33"/>
      <c r="R157" s="33"/>
      <c r="S157" s="33"/>
      <c r="T157" s="33"/>
    </row>
    <row r="158" spans="1:20" ht="15.75">
      <c r="A158" s="13">
        <v>46661</v>
      </c>
      <c r="B158" s="41">
        <v>31</v>
      </c>
      <c r="C158" s="32">
        <v>131.881</v>
      </c>
      <c r="D158" s="32">
        <v>277.16699999999997</v>
      </c>
      <c r="E158" s="38">
        <v>829.952</v>
      </c>
      <c r="F158" s="32">
        <v>1239</v>
      </c>
      <c r="G158" s="32">
        <v>75</v>
      </c>
      <c r="H158" s="40">
        <v>600</v>
      </c>
      <c r="I158" s="32">
        <v>695</v>
      </c>
      <c r="J158" s="32">
        <v>0</v>
      </c>
      <c r="K158" s="33"/>
      <c r="L158" s="33"/>
      <c r="M158" s="33"/>
      <c r="N158" s="33"/>
      <c r="O158" s="33"/>
      <c r="P158" s="33"/>
      <c r="Q158" s="33"/>
      <c r="R158" s="33"/>
      <c r="S158" s="33"/>
      <c r="T158" s="33"/>
    </row>
    <row r="159" spans="1:20" ht="15.75">
      <c r="A159" s="13">
        <v>46692</v>
      </c>
      <c r="B159" s="41">
        <v>30</v>
      </c>
      <c r="C159" s="32">
        <v>122.58</v>
      </c>
      <c r="D159" s="32">
        <v>297.94099999999997</v>
      </c>
      <c r="E159" s="38">
        <v>729.47900000000004</v>
      </c>
      <c r="F159" s="32">
        <v>1150</v>
      </c>
      <c r="G159" s="32">
        <v>100</v>
      </c>
      <c r="H159" s="40">
        <v>600</v>
      </c>
      <c r="I159" s="32">
        <v>695</v>
      </c>
      <c r="J159" s="32">
        <v>50</v>
      </c>
      <c r="K159" s="33"/>
      <c r="L159" s="33"/>
      <c r="M159" s="33"/>
      <c r="N159" s="33"/>
      <c r="O159" s="33"/>
      <c r="P159" s="33"/>
      <c r="Q159" s="33"/>
      <c r="R159" s="33"/>
      <c r="S159" s="33"/>
      <c r="T159" s="33"/>
    </row>
    <row r="160" spans="1:20" ht="15.75">
      <c r="A160" s="13">
        <v>46722</v>
      </c>
      <c r="B160" s="41">
        <v>31</v>
      </c>
      <c r="C160" s="32">
        <v>122.58</v>
      </c>
      <c r="D160" s="32">
        <v>297.94099999999997</v>
      </c>
      <c r="E160" s="38">
        <v>729.47900000000004</v>
      </c>
      <c r="F160" s="32">
        <v>1150</v>
      </c>
      <c r="G160" s="32">
        <v>100</v>
      </c>
      <c r="H160" s="40">
        <v>600</v>
      </c>
      <c r="I160" s="32">
        <v>695</v>
      </c>
      <c r="J160" s="32">
        <v>50</v>
      </c>
      <c r="K160" s="33"/>
      <c r="L160" s="33"/>
      <c r="M160" s="33"/>
      <c r="N160" s="33"/>
      <c r="O160" s="33"/>
      <c r="P160" s="33"/>
      <c r="Q160" s="33"/>
      <c r="R160" s="33"/>
      <c r="S160" s="33"/>
      <c r="T160" s="33"/>
    </row>
    <row r="161" spans="1:20" ht="15.75">
      <c r="A161" s="13">
        <v>46753</v>
      </c>
      <c r="B161" s="41">
        <v>31</v>
      </c>
      <c r="C161" s="32">
        <v>122.58</v>
      </c>
      <c r="D161" s="32">
        <v>297.94099999999997</v>
      </c>
      <c r="E161" s="38">
        <v>729.47900000000004</v>
      </c>
      <c r="F161" s="32">
        <v>1150</v>
      </c>
      <c r="G161" s="32">
        <v>100</v>
      </c>
      <c r="H161" s="40">
        <v>600</v>
      </c>
      <c r="I161" s="32">
        <v>695</v>
      </c>
      <c r="J161" s="32">
        <v>50</v>
      </c>
      <c r="K161" s="33"/>
      <c r="L161" s="33"/>
      <c r="M161" s="33"/>
      <c r="N161" s="33"/>
      <c r="O161" s="33"/>
      <c r="P161" s="33"/>
      <c r="Q161" s="33"/>
      <c r="R161" s="33"/>
      <c r="S161" s="33"/>
      <c r="T161" s="33"/>
    </row>
    <row r="162" spans="1:20" ht="15.75">
      <c r="A162" s="13">
        <v>46784</v>
      </c>
      <c r="B162" s="41">
        <v>29</v>
      </c>
      <c r="C162" s="32">
        <v>122.58</v>
      </c>
      <c r="D162" s="32">
        <v>297.94099999999997</v>
      </c>
      <c r="E162" s="38">
        <v>729.47900000000004</v>
      </c>
      <c r="F162" s="32">
        <v>1150</v>
      </c>
      <c r="G162" s="32">
        <v>100</v>
      </c>
      <c r="H162" s="40">
        <v>600</v>
      </c>
      <c r="I162" s="32">
        <v>695</v>
      </c>
      <c r="J162" s="32">
        <v>50</v>
      </c>
      <c r="K162" s="33"/>
      <c r="L162" s="33"/>
      <c r="M162" s="33"/>
      <c r="N162" s="33"/>
      <c r="O162" s="33"/>
      <c r="P162" s="33"/>
      <c r="Q162" s="33"/>
      <c r="R162" s="33"/>
      <c r="S162" s="33"/>
      <c r="T162" s="33"/>
    </row>
    <row r="163" spans="1:20" ht="15.75">
      <c r="A163" s="13">
        <v>46813</v>
      </c>
      <c r="B163" s="41">
        <v>31</v>
      </c>
      <c r="C163" s="32">
        <v>122.58</v>
      </c>
      <c r="D163" s="32">
        <v>297.94099999999997</v>
      </c>
      <c r="E163" s="38">
        <v>729.47900000000004</v>
      </c>
      <c r="F163" s="32">
        <v>1150</v>
      </c>
      <c r="G163" s="32">
        <v>100</v>
      </c>
      <c r="H163" s="40">
        <v>600</v>
      </c>
      <c r="I163" s="32">
        <v>695</v>
      </c>
      <c r="J163" s="32">
        <v>50</v>
      </c>
      <c r="K163" s="33"/>
      <c r="L163" s="33"/>
      <c r="M163" s="33"/>
      <c r="N163" s="33"/>
      <c r="O163" s="33"/>
      <c r="P163" s="33"/>
      <c r="Q163" s="33"/>
      <c r="R163" s="33"/>
      <c r="S163" s="33"/>
      <c r="T163" s="33"/>
    </row>
    <row r="164" spans="1:20" ht="15.75">
      <c r="A164" s="13">
        <v>46844</v>
      </c>
      <c r="B164" s="41">
        <v>30</v>
      </c>
      <c r="C164" s="32">
        <v>141.29300000000001</v>
      </c>
      <c r="D164" s="32">
        <v>267.99299999999999</v>
      </c>
      <c r="E164" s="38">
        <v>829.71400000000006</v>
      </c>
      <c r="F164" s="32">
        <v>1239</v>
      </c>
      <c r="G164" s="32">
        <v>100</v>
      </c>
      <c r="H164" s="40">
        <v>600</v>
      </c>
      <c r="I164" s="32">
        <v>695</v>
      </c>
      <c r="J164" s="32">
        <v>50</v>
      </c>
      <c r="K164" s="33"/>
      <c r="L164" s="33"/>
      <c r="M164" s="33"/>
      <c r="N164" s="33"/>
      <c r="O164" s="33"/>
      <c r="P164" s="33"/>
      <c r="Q164" s="33"/>
      <c r="R164" s="33"/>
      <c r="S164" s="33"/>
      <c r="T164" s="33"/>
    </row>
    <row r="165" spans="1:20" ht="15.75">
      <c r="A165" s="13">
        <v>46874</v>
      </c>
      <c r="B165" s="41">
        <v>31</v>
      </c>
      <c r="C165" s="32">
        <v>194.20500000000001</v>
      </c>
      <c r="D165" s="32">
        <v>267.46600000000001</v>
      </c>
      <c r="E165" s="38">
        <v>812.32899999999995</v>
      </c>
      <c r="F165" s="32">
        <v>1274</v>
      </c>
      <c r="G165" s="32">
        <v>75</v>
      </c>
      <c r="H165" s="40">
        <v>600</v>
      </c>
      <c r="I165" s="32">
        <v>695</v>
      </c>
      <c r="J165" s="32">
        <v>50</v>
      </c>
      <c r="K165" s="33"/>
      <c r="L165" s="33"/>
      <c r="M165" s="33"/>
      <c r="N165" s="33"/>
      <c r="O165" s="33"/>
      <c r="P165" s="33"/>
      <c r="Q165" s="33"/>
      <c r="R165" s="33"/>
      <c r="S165" s="33"/>
      <c r="T165" s="33"/>
    </row>
    <row r="166" spans="1:20" ht="15.75">
      <c r="A166" s="13">
        <v>46905</v>
      </c>
      <c r="B166" s="41">
        <v>30</v>
      </c>
      <c r="C166" s="32">
        <v>194.20500000000001</v>
      </c>
      <c r="D166" s="32">
        <v>267.46600000000001</v>
      </c>
      <c r="E166" s="38">
        <v>812.32899999999995</v>
      </c>
      <c r="F166" s="32">
        <v>1274</v>
      </c>
      <c r="G166" s="32">
        <v>50</v>
      </c>
      <c r="H166" s="40">
        <v>600</v>
      </c>
      <c r="I166" s="32">
        <v>695</v>
      </c>
      <c r="J166" s="32">
        <v>50</v>
      </c>
      <c r="K166" s="33"/>
      <c r="L166" s="33"/>
      <c r="M166" s="33"/>
      <c r="N166" s="33"/>
      <c r="O166" s="33"/>
      <c r="P166" s="33"/>
      <c r="Q166" s="33"/>
      <c r="R166" s="33"/>
      <c r="S166" s="33"/>
      <c r="T166" s="33"/>
    </row>
    <row r="167" spans="1:20" ht="15.75">
      <c r="A167" s="13">
        <v>46935</v>
      </c>
      <c r="B167" s="41">
        <v>31</v>
      </c>
      <c r="C167" s="32">
        <v>194.20500000000001</v>
      </c>
      <c r="D167" s="32">
        <v>267.46600000000001</v>
      </c>
      <c r="E167" s="38">
        <v>812.32899999999995</v>
      </c>
      <c r="F167" s="32">
        <v>1274</v>
      </c>
      <c r="G167" s="32">
        <v>50</v>
      </c>
      <c r="H167" s="40">
        <v>600</v>
      </c>
      <c r="I167" s="32">
        <v>695</v>
      </c>
      <c r="J167" s="32">
        <v>0</v>
      </c>
      <c r="K167" s="33"/>
      <c r="L167" s="33"/>
      <c r="M167" s="33"/>
      <c r="N167" s="33"/>
      <c r="O167" s="33"/>
      <c r="P167" s="33"/>
      <c r="Q167" s="33"/>
      <c r="R167" s="33"/>
      <c r="S167" s="33"/>
      <c r="T167" s="33"/>
    </row>
    <row r="168" spans="1:20" ht="15.75">
      <c r="A168" s="13">
        <v>46966</v>
      </c>
      <c r="B168" s="41">
        <v>31</v>
      </c>
      <c r="C168" s="32">
        <v>194.20500000000001</v>
      </c>
      <c r="D168" s="32">
        <v>267.46600000000001</v>
      </c>
      <c r="E168" s="38">
        <v>812.32899999999995</v>
      </c>
      <c r="F168" s="32">
        <v>1274</v>
      </c>
      <c r="G168" s="32">
        <v>50</v>
      </c>
      <c r="H168" s="40">
        <v>600</v>
      </c>
      <c r="I168" s="32">
        <v>695</v>
      </c>
      <c r="J168" s="32">
        <v>0</v>
      </c>
      <c r="K168" s="33"/>
      <c r="L168" s="33"/>
      <c r="M168" s="33"/>
      <c r="N168" s="33"/>
      <c r="O168" s="33"/>
      <c r="P168" s="33"/>
      <c r="Q168" s="33"/>
      <c r="R168" s="33"/>
      <c r="S168" s="33"/>
      <c r="T168" s="33"/>
    </row>
    <row r="169" spans="1:20" ht="15.75">
      <c r="A169" s="13">
        <v>46997</v>
      </c>
      <c r="B169" s="41">
        <v>30</v>
      </c>
      <c r="C169" s="32">
        <v>194.20500000000001</v>
      </c>
      <c r="D169" s="32">
        <v>267.46600000000001</v>
      </c>
      <c r="E169" s="38">
        <v>812.32899999999995</v>
      </c>
      <c r="F169" s="32">
        <v>1274</v>
      </c>
      <c r="G169" s="32">
        <v>50</v>
      </c>
      <c r="H169" s="40">
        <v>600</v>
      </c>
      <c r="I169" s="32">
        <v>695</v>
      </c>
      <c r="J169" s="32">
        <v>0</v>
      </c>
      <c r="K169" s="33"/>
      <c r="L169" s="33"/>
      <c r="M169" s="33"/>
      <c r="N169" s="33"/>
      <c r="O169" s="33"/>
      <c r="P169" s="33"/>
      <c r="Q169" s="33"/>
      <c r="R169" s="33"/>
      <c r="S169" s="33"/>
      <c r="T169" s="33"/>
    </row>
    <row r="170" spans="1:20" ht="15.75">
      <c r="A170" s="13">
        <v>47027</v>
      </c>
      <c r="B170" s="41">
        <v>31</v>
      </c>
      <c r="C170" s="32">
        <v>131.881</v>
      </c>
      <c r="D170" s="32">
        <v>277.16699999999997</v>
      </c>
      <c r="E170" s="38">
        <v>829.952</v>
      </c>
      <c r="F170" s="32">
        <v>1239</v>
      </c>
      <c r="G170" s="32">
        <v>75</v>
      </c>
      <c r="H170" s="40">
        <v>600</v>
      </c>
      <c r="I170" s="32">
        <v>695</v>
      </c>
      <c r="J170" s="32">
        <v>0</v>
      </c>
      <c r="K170" s="33"/>
      <c r="L170" s="33"/>
      <c r="M170" s="33"/>
      <c r="N170" s="33"/>
      <c r="O170" s="33"/>
      <c r="P170" s="33"/>
      <c r="Q170" s="33"/>
      <c r="R170" s="33"/>
      <c r="S170" s="33"/>
      <c r="T170" s="33"/>
    </row>
    <row r="171" spans="1:20" ht="15.75">
      <c r="A171" s="13">
        <v>47058</v>
      </c>
      <c r="B171" s="41">
        <v>30</v>
      </c>
      <c r="C171" s="32">
        <v>122.58</v>
      </c>
      <c r="D171" s="32">
        <v>297.94099999999997</v>
      </c>
      <c r="E171" s="38">
        <v>729.47900000000004</v>
      </c>
      <c r="F171" s="32">
        <v>1150</v>
      </c>
      <c r="G171" s="32">
        <v>100</v>
      </c>
      <c r="H171" s="40">
        <v>600</v>
      </c>
      <c r="I171" s="32">
        <v>695</v>
      </c>
      <c r="J171" s="32">
        <v>50</v>
      </c>
      <c r="K171" s="33"/>
      <c r="L171" s="33"/>
      <c r="M171" s="33"/>
      <c r="N171" s="33"/>
      <c r="O171" s="33"/>
      <c r="P171" s="33"/>
      <c r="Q171" s="33"/>
      <c r="R171" s="33"/>
      <c r="S171" s="33"/>
      <c r="T171" s="33"/>
    </row>
    <row r="172" spans="1:20" ht="15.75">
      <c r="A172" s="13">
        <v>47088</v>
      </c>
      <c r="B172" s="41">
        <v>31</v>
      </c>
      <c r="C172" s="32">
        <v>122.58</v>
      </c>
      <c r="D172" s="32">
        <v>297.94099999999997</v>
      </c>
      <c r="E172" s="38">
        <v>729.47900000000004</v>
      </c>
      <c r="F172" s="32">
        <v>1150</v>
      </c>
      <c r="G172" s="32">
        <v>100</v>
      </c>
      <c r="H172" s="40">
        <v>600</v>
      </c>
      <c r="I172" s="32">
        <v>695</v>
      </c>
      <c r="J172" s="32">
        <v>50</v>
      </c>
      <c r="K172" s="33"/>
      <c r="L172" s="33"/>
      <c r="M172" s="33"/>
      <c r="N172" s="33"/>
      <c r="O172" s="33"/>
      <c r="P172" s="33"/>
      <c r="Q172" s="33"/>
      <c r="R172" s="33"/>
      <c r="S172" s="33"/>
      <c r="T172" s="33"/>
    </row>
    <row r="173" spans="1:20" ht="15.75">
      <c r="A173" s="13">
        <v>47119</v>
      </c>
      <c r="B173" s="41">
        <v>31</v>
      </c>
      <c r="C173" s="32">
        <v>122.58</v>
      </c>
      <c r="D173" s="32">
        <v>297.94099999999997</v>
      </c>
      <c r="E173" s="38">
        <v>729.47900000000004</v>
      </c>
      <c r="F173" s="32">
        <v>1150</v>
      </c>
      <c r="G173" s="32">
        <v>100</v>
      </c>
      <c r="H173" s="40">
        <v>600</v>
      </c>
      <c r="I173" s="32">
        <v>695</v>
      </c>
      <c r="J173" s="32">
        <v>50</v>
      </c>
      <c r="K173" s="33"/>
      <c r="L173" s="33"/>
      <c r="M173" s="33"/>
      <c r="N173" s="33"/>
      <c r="O173" s="33"/>
      <c r="P173" s="33"/>
      <c r="Q173" s="33"/>
      <c r="R173" s="33"/>
      <c r="S173" s="33"/>
      <c r="T173" s="33"/>
    </row>
    <row r="174" spans="1:20" ht="15.75">
      <c r="A174" s="13">
        <v>47150</v>
      </c>
      <c r="B174" s="41">
        <v>28</v>
      </c>
      <c r="C174" s="32">
        <v>122.58</v>
      </c>
      <c r="D174" s="32">
        <v>297.94099999999997</v>
      </c>
      <c r="E174" s="38">
        <v>729.47900000000004</v>
      </c>
      <c r="F174" s="32">
        <v>1150</v>
      </c>
      <c r="G174" s="32">
        <v>100</v>
      </c>
      <c r="H174" s="40">
        <v>600</v>
      </c>
      <c r="I174" s="32">
        <v>695</v>
      </c>
      <c r="J174" s="32">
        <v>50</v>
      </c>
      <c r="K174" s="33"/>
      <c r="L174" s="33"/>
      <c r="M174" s="33"/>
      <c r="N174" s="33"/>
      <c r="O174" s="33"/>
      <c r="P174" s="33"/>
      <c r="Q174" s="33"/>
      <c r="R174" s="33"/>
      <c r="S174" s="33"/>
      <c r="T174" s="33"/>
    </row>
    <row r="175" spans="1:20" ht="15.75">
      <c r="A175" s="13">
        <v>47178</v>
      </c>
      <c r="B175" s="41">
        <v>31</v>
      </c>
      <c r="C175" s="32">
        <v>122.58</v>
      </c>
      <c r="D175" s="32">
        <v>297.94099999999997</v>
      </c>
      <c r="E175" s="38">
        <v>729.47900000000004</v>
      </c>
      <c r="F175" s="32">
        <v>1150</v>
      </c>
      <c r="G175" s="32">
        <v>100</v>
      </c>
      <c r="H175" s="40">
        <v>600</v>
      </c>
      <c r="I175" s="32">
        <v>695</v>
      </c>
      <c r="J175" s="32">
        <v>50</v>
      </c>
      <c r="K175" s="33"/>
      <c r="L175" s="33"/>
      <c r="M175" s="33"/>
      <c r="N175" s="33"/>
      <c r="O175" s="33"/>
      <c r="P175" s="33"/>
      <c r="Q175" s="33"/>
      <c r="R175" s="33"/>
      <c r="S175" s="33"/>
      <c r="T175" s="33"/>
    </row>
    <row r="176" spans="1:20" ht="15.75">
      <c r="A176" s="13">
        <v>47209</v>
      </c>
      <c r="B176" s="41">
        <v>30</v>
      </c>
      <c r="C176" s="32">
        <v>141.29300000000001</v>
      </c>
      <c r="D176" s="32">
        <v>267.99299999999999</v>
      </c>
      <c r="E176" s="38">
        <v>829.71400000000006</v>
      </c>
      <c r="F176" s="32">
        <v>1239</v>
      </c>
      <c r="G176" s="32">
        <v>100</v>
      </c>
      <c r="H176" s="40">
        <v>600</v>
      </c>
      <c r="I176" s="32">
        <v>695</v>
      </c>
      <c r="J176" s="32">
        <v>50</v>
      </c>
      <c r="K176" s="33"/>
      <c r="L176" s="33"/>
      <c r="M176" s="33"/>
      <c r="N176" s="33"/>
      <c r="O176" s="33"/>
      <c r="P176" s="33"/>
      <c r="Q176" s="33"/>
      <c r="R176" s="33"/>
      <c r="S176" s="33"/>
      <c r="T176" s="33"/>
    </row>
    <row r="177" spans="1:20" ht="15.75">
      <c r="A177" s="13">
        <v>47239</v>
      </c>
      <c r="B177" s="41">
        <v>31</v>
      </c>
      <c r="C177" s="32">
        <v>194.20500000000001</v>
      </c>
      <c r="D177" s="32">
        <v>267.46600000000001</v>
      </c>
      <c r="E177" s="38">
        <v>812.32899999999995</v>
      </c>
      <c r="F177" s="32">
        <v>1274</v>
      </c>
      <c r="G177" s="32">
        <v>75</v>
      </c>
      <c r="H177" s="40">
        <v>600</v>
      </c>
      <c r="I177" s="32">
        <v>695</v>
      </c>
      <c r="J177" s="32">
        <v>50</v>
      </c>
      <c r="K177" s="33"/>
      <c r="L177" s="33"/>
      <c r="M177" s="33"/>
      <c r="N177" s="33"/>
      <c r="O177" s="33"/>
      <c r="P177" s="33"/>
      <c r="Q177" s="33"/>
      <c r="R177" s="33"/>
      <c r="S177" s="33"/>
      <c r="T177" s="33"/>
    </row>
    <row r="178" spans="1:20" ht="15.75">
      <c r="A178" s="13">
        <v>47270</v>
      </c>
      <c r="B178" s="41">
        <v>30</v>
      </c>
      <c r="C178" s="32">
        <v>194.20500000000001</v>
      </c>
      <c r="D178" s="32">
        <v>267.46600000000001</v>
      </c>
      <c r="E178" s="38">
        <v>812.32899999999995</v>
      </c>
      <c r="F178" s="32">
        <v>1274</v>
      </c>
      <c r="G178" s="32">
        <v>50</v>
      </c>
      <c r="H178" s="40">
        <v>600</v>
      </c>
      <c r="I178" s="32">
        <v>695</v>
      </c>
      <c r="J178" s="32">
        <v>50</v>
      </c>
      <c r="K178" s="33"/>
      <c r="L178" s="33"/>
      <c r="M178" s="33"/>
      <c r="N178" s="33"/>
      <c r="O178" s="33"/>
      <c r="P178" s="33"/>
      <c r="Q178" s="33"/>
      <c r="R178" s="33"/>
      <c r="S178" s="33"/>
      <c r="T178" s="33"/>
    </row>
    <row r="179" spans="1:20" ht="15.75">
      <c r="A179" s="13">
        <v>47300</v>
      </c>
      <c r="B179" s="41">
        <v>31</v>
      </c>
      <c r="C179" s="32">
        <v>194.20500000000001</v>
      </c>
      <c r="D179" s="32">
        <v>267.46600000000001</v>
      </c>
      <c r="E179" s="38">
        <v>812.32899999999995</v>
      </c>
      <c r="F179" s="32">
        <v>1274</v>
      </c>
      <c r="G179" s="32">
        <v>50</v>
      </c>
      <c r="H179" s="40">
        <v>600</v>
      </c>
      <c r="I179" s="32">
        <v>695</v>
      </c>
      <c r="J179" s="32">
        <v>0</v>
      </c>
      <c r="K179" s="33"/>
      <c r="L179" s="33"/>
      <c r="M179" s="33"/>
      <c r="N179" s="33"/>
      <c r="O179" s="33"/>
      <c r="P179" s="33"/>
      <c r="Q179" s="33"/>
      <c r="R179" s="33"/>
      <c r="S179" s="33"/>
      <c r="T179" s="33"/>
    </row>
    <row r="180" spans="1:20" ht="15.75">
      <c r="A180" s="13">
        <v>47331</v>
      </c>
      <c r="B180" s="41">
        <v>31</v>
      </c>
      <c r="C180" s="32">
        <v>194.20500000000001</v>
      </c>
      <c r="D180" s="32">
        <v>267.46600000000001</v>
      </c>
      <c r="E180" s="38">
        <v>812.32899999999995</v>
      </c>
      <c r="F180" s="32">
        <v>1274</v>
      </c>
      <c r="G180" s="32">
        <v>50</v>
      </c>
      <c r="H180" s="40">
        <v>600</v>
      </c>
      <c r="I180" s="32">
        <v>695</v>
      </c>
      <c r="J180" s="32">
        <v>0</v>
      </c>
      <c r="K180" s="33"/>
      <c r="L180" s="33"/>
      <c r="M180" s="33"/>
      <c r="N180" s="33"/>
      <c r="O180" s="33"/>
      <c r="P180" s="33"/>
      <c r="Q180" s="33"/>
      <c r="R180" s="33"/>
      <c r="S180" s="33"/>
      <c r="T180" s="33"/>
    </row>
    <row r="181" spans="1:20" ht="15.75">
      <c r="A181" s="13">
        <v>47362</v>
      </c>
      <c r="B181" s="41">
        <v>30</v>
      </c>
      <c r="C181" s="32">
        <v>194.20500000000001</v>
      </c>
      <c r="D181" s="32">
        <v>267.46600000000001</v>
      </c>
      <c r="E181" s="38">
        <v>812.32899999999995</v>
      </c>
      <c r="F181" s="32">
        <v>1274</v>
      </c>
      <c r="G181" s="32">
        <v>50</v>
      </c>
      <c r="H181" s="40">
        <v>600</v>
      </c>
      <c r="I181" s="32">
        <v>695</v>
      </c>
      <c r="J181" s="32">
        <v>0</v>
      </c>
      <c r="K181" s="33"/>
      <c r="L181" s="33"/>
      <c r="M181" s="33"/>
      <c r="N181" s="33"/>
      <c r="O181" s="33"/>
      <c r="P181" s="33"/>
      <c r="Q181" s="33"/>
      <c r="R181" s="33"/>
      <c r="S181" s="33"/>
      <c r="T181" s="33"/>
    </row>
    <row r="182" spans="1:20" ht="15.75">
      <c r="A182" s="13">
        <v>47392</v>
      </c>
      <c r="B182" s="41">
        <v>31</v>
      </c>
      <c r="C182" s="32">
        <v>131.881</v>
      </c>
      <c r="D182" s="32">
        <v>277.16699999999997</v>
      </c>
      <c r="E182" s="38">
        <v>829.952</v>
      </c>
      <c r="F182" s="32">
        <v>1239</v>
      </c>
      <c r="G182" s="32">
        <v>75</v>
      </c>
      <c r="H182" s="40">
        <v>600</v>
      </c>
      <c r="I182" s="32">
        <v>695</v>
      </c>
      <c r="J182" s="32">
        <v>0</v>
      </c>
      <c r="K182" s="33"/>
      <c r="L182" s="33"/>
      <c r="M182" s="33"/>
      <c r="N182" s="33"/>
      <c r="O182" s="33"/>
      <c r="P182" s="33"/>
      <c r="Q182" s="33"/>
      <c r="R182" s="33"/>
      <c r="S182" s="33"/>
      <c r="T182" s="33"/>
    </row>
    <row r="183" spans="1:20" ht="15.75">
      <c r="A183" s="13">
        <v>47423</v>
      </c>
      <c r="B183" s="41">
        <v>30</v>
      </c>
      <c r="C183" s="32">
        <v>122.58</v>
      </c>
      <c r="D183" s="32">
        <v>297.94099999999997</v>
      </c>
      <c r="E183" s="38">
        <v>729.47900000000004</v>
      </c>
      <c r="F183" s="32">
        <v>1150</v>
      </c>
      <c r="G183" s="32">
        <v>100</v>
      </c>
      <c r="H183" s="40">
        <v>600</v>
      </c>
      <c r="I183" s="32">
        <v>695</v>
      </c>
      <c r="J183" s="32">
        <v>50</v>
      </c>
      <c r="K183" s="33"/>
      <c r="L183" s="33"/>
      <c r="M183" s="33"/>
      <c r="N183" s="33"/>
      <c r="O183" s="33"/>
      <c r="P183" s="33"/>
      <c r="Q183" s="33"/>
      <c r="R183" s="33"/>
      <c r="S183" s="33"/>
      <c r="T183" s="33"/>
    </row>
    <row r="184" spans="1:20" ht="15.75">
      <c r="A184" s="13">
        <v>47453</v>
      </c>
      <c r="B184" s="41">
        <v>31</v>
      </c>
      <c r="C184" s="32">
        <v>122.58</v>
      </c>
      <c r="D184" s="32">
        <v>297.94099999999997</v>
      </c>
      <c r="E184" s="38">
        <v>729.47900000000004</v>
      </c>
      <c r="F184" s="32">
        <v>1150</v>
      </c>
      <c r="G184" s="32">
        <v>100</v>
      </c>
      <c r="H184" s="40">
        <v>600</v>
      </c>
      <c r="I184" s="32">
        <v>695</v>
      </c>
      <c r="J184" s="32">
        <v>50</v>
      </c>
      <c r="K184" s="33"/>
      <c r="L184" s="33"/>
      <c r="M184" s="33"/>
      <c r="N184" s="33"/>
      <c r="O184" s="33"/>
      <c r="P184" s="33"/>
      <c r="Q184" s="33"/>
      <c r="R184" s="33"/>
      <c r="S184" s="33"/>
      <c r="T184" s="33"/>
    </row>
    <row r="185" spans="1:20" ht="15.75">
      <c r="A185" s="13">
        <v>47484</v>
      </c>
      <c r="B185" s="41">
        <v>31</v>
      </c>
      <c r="C185" s="32">
        <v>122.58</v>
      </c>
      <c r="D185" s="32">
        <v>297.94099999999997</v>
      </c>
      <c r="E185" s="38">
        <v>729.47900000000004</v>
      </c>
      <c r="F185" s="32">
        <v>1150</v>
      </c>
      <c r="G185" s="32">
        <v>100</v>
      </c>
      <c r="H185" s="40">
        <v>600</v>
      </c>
      <c r="I185" s="32">
        <v>695</v>
      </c>
      <c r="J185" s="32">
        <v>50</v>
      </c>
      <c r="K185" s="33"/>
      <c r="L185" s="33"/>
      <c r="M185" s="33"/>
      <c r="N185" s="33"/>
      <c r="O185" s="33"/>
      <c r="P185" s="33"/>
      <c r="Q185" s="33"/>
      <c r="R185" s="33"/>
      <c r="S185" s="33"/>
      <c r="T185" s="33"/>
    </row>
    <row r="186" spans="1:20" ht="15.75">
      <c r="A186" s="13">
        <v>47515</v>
      </c>
      <c r="B186" s="41">
        <v>28</v>
      </c>
      <c r="C186" s="32">
        <v>122.58</v>
      </c>
      <c r="D186" s="32">
        <v>297.94099999999997</v>
      </c>
      <c r="E186" s="38">
        <v>729.47900000000004</v>
      </c>
      <c r="F186" s="32">
        <v>1150</v>
      </c>
      <c r="G186" s="32">
        <v>100</v>
      </c>
      <c r="H186" s="40">
        <v>600</v>
      </c>
      <c r="I186" s="32">
        <v>695</v>
      </c>
      <c r="J186" s="32">
        <v>50</v>
      </c>
      <c r="K186" s="33"/>
      <c r="L186" s="33"/>
      <c r="M186" s="33"/>
      <c r="N186" s="33"/>
      <c r="O186" s="33"/>
      <c r="P186" s="33"/>
      <c r="Q186" s="33"/>
      <c r="R186" s="33"/>
      <c r="S186" s="33"/>
      <c r="T186" s="33"/>
    </row>
    <row r="187" spans="1:20" ht="15.75">
      <c r="A187" s="13">
        <v>47543</v>
      </c>
      <c r="B187" s="41">
        <v>31</v>
      </c>
      <c r="C187" s="32">
        <v>122.58</v>
      </c>
      <c r="D187" s="32">
        <v>297.94099999999997</v>
      </c>
      <c r="E187" s="38">
        <v>729.47900000000004</v>
      </c>
      <c r="F187" s="32">
        <v>1150</v>
      </c>
      <c r="G187" s="32">
        <v>100</v>
      </c>
      <c r="H187" s="40">
        <v>600</v>
      </c>
      <c r="I187" s="32">
        <v>695</v>
      </c>
      <c r="J187" s="32">
        <v>50</v>
      </c>
      <c r="K187" s="33"/>
      <c r="L187" s="33"/>
      <c r="M187" s="33"/>
      <c r="N187" s="33"/>
      <c r="O187" s="33"/>
      <c r="P187" s="33"/>
      <c r="Q187" s="33"/>
      <c r="R187" s="33"/>
      <c r="S187" s="33"/>
      <c r="T187" s="33"/>
    </row>
    <row r="188" spans="1:20" ht="15.75">
      <c r="A188" s="13">
        <v>47574</v>
      </c>
      <c r="B188" s="41">
        <v>30</v>
      </c>
      <c r="C188" s="32">
        <v>141.29300000000001</v>
      </c>
      <c r="D188" s="32">
        <v>267.99299999999999</v>
      </c>
      <c r="E188" s="38">
        <v>829.71400000000006</v>
      </c>
      <c r="F188" s="32">
        <v>1239</v>
      </c>
      <c r="G188" s="32">
        <v>100</v>
      </c>
      <c r="H188" s="40">
        <v>600</v>
      </c>
      <c r="I188" s="32">
        <v>695</v>
      </c>
      <c r="J188" s="32">
        <v>50</v>
      </c>
      <c r="K188" s="33"/>
      <c r="L188" s="33"/>
      <c r="M188" s="33"/>
      <c r="N188" s="33"/>
      <c r="O188" s="33"/>
      <c r="P188" s="33"/>
      <c r="Q188" s="33"/>
      <c r="R188" s="33"/>
      <c r="S188" s="33"/>
      <c r="T188" s="33"/>
    </row>
    <row r="189" spans="1:20" ht="15.75">
      <c r="A189" s="13">
        <v>47604</v>
      </c>
      <c r="B189" s="41">
        <v>31</v>
      </c>
      <c r="C189" s="32">
        <v>194.20500000000001</v>
      </c>
      <c r="D189" s="32">
        <v>267.46600000000001</v>
      </c>
      <c r="E189" s="38">
        <v>812.32899999999995</v>
      </c>
      <c r="F189" s="32">
        <v>1274</v>
      </c>
      <c r="G189" s="32">
        <v>75</v>
      </c>
      <c r="H189" s="40">
        <v>600</v>
      </c>
      <c r="I189" s="32">
        <v>695</v>
      </c>
      <c r="J189" s="32">
        <v>50</v>
      </c>
      <c r="K189" s="33"/>
      <c r="L189" s="33"/>
      <c r="M189" s="33"/>
      <c r="N189" s="33"/>
      <c r="O189" s="33"/>
      <c r="P189" s="33"/>
      <c r="Q189" s="33"/>
      <c r="R189" s="33"/>
      <c r="S189" s="33"/>
      <c r="T189" s="33"/>
    </row>
    <row r="190" spans="1:20" ht="15.75">
      <c r="A190" s="13">
        <v>47635</v>
      </c>
      <c r="B190" s="41">
        <v>30</v>
      </c>
      <c r="C190" s="32">
        <v>194.20500000000001</v>
      </c>
      <c r="D190" s="32">
        <v>267.46600000000001</v>
      </c>
      <c r="E190" s="38">
        <v>812.32899999999995</v>
      </c>
      <c r="F190" s="32">
        <v>1274</v>
      </c>
      <c r="G190" s="32">
        <v>50</v>
      </c>
      <c r="H190" s="40">
        <v>600</v>
      </c>
      <c r="I190" s="32">
        <v>695</v>
      </c>
      <c r="J190" s="32">
        <v>50</v>
      </c>
      <c r="K190" s="33"/>
      <c r="L190" s="33"/>
      <c r="M190" s="33"/>
      <c r="N190" s="33"/>
      <c r="O190" s="33"/>
      <c r="P190" s="33"/>
      <c r="Q190" s="33"/>
      <c r="R190" s="33"/>
      <c r="S190" s="33"/>
      <c r="T190" s="33"/>
    </row>
    <row r="191" spans="1:20" ht="15.75">
      <c r="A191" s="13">
        <v>47665</v>
      </c>
      <c r="B191" s="41">
        <v>31</v>
      </c>
      <c r="C191" s="32">
        <v>194.20500000000001</v>
      </c>
      <c r="D191" s="32">
        <v>267.46600000000001</v>
      </c>
      <c r="E191" s="38">
        <v>812.32899999999995</v>
      </c>
      <c r="F191" s="32">
        <v>1274</v>
      </c>
      <c r="G191" s="32">
        <v>50</v>
      </c>
      <c r="H191" s="40">
        <v>600</v>
      </c>
      <c r="I191" s="32">
        <v>695</v>
      </c>
      <c r="J191" s="32">
        <v>0</v>
      </c>
      <c r="K191" s="33"/>
      <c r="L191" s="33"/>
      <c r="M191" s="33"/>
      <c r="N191" s="33"/>
      <c r="O191" s="33"/>
      <c r="P191" s="33"/>
      <c r="Q191" s="33"/>
      <c r="R191" s="33"/>
      <c r="S191" s="33"/>
      <c r="T191" s="33"/>
    </row>
    <row r="192" spans="1:20" ht="15.75">
      <c r="A192" s="13">
        <v>47696</v>
      </c>
      <c r="B192" s="41">
        <v>31</v>
      </c>
      <c r="C192" s="32">
        <v>194.20500000000001</v>
      </c>
      <c r="D192" s="32">
        <v>267.46600000000001</v>
      </c>
      <c r="E192" s="38">
        <v>812.32899999999995</v>
      </c>
      <c r="F192" s="32">
        <v>1274</v>
      </c>
      <c r="G192" s="32">
        <v>50</v>
      </c>
      <c r="H192" s="40">
        <v>600</v>
      </c>
      <c r="I192" s="32">
        <v>695</v>
      </c>
      <c r="J192" s="32">
        <v>0</v>
      </c>
      <c r="K192" s="33"/>
      <c r="L192" s="33"/>
      <c r="M192" s="33"/>
      <c r="N192" s="33"/>
      <c r="O192" s="33"/>
      <c r="P192" s="33"/>
      <c r="Q192" s="33"/>
      <c r="R192" s="33"/>
      <c r="S192" s="33"/>
      <c r="T192" s="33"/>
    </row>
    <row r="193" spans="1:20" ht="15.75">
      <c r="A193" s="13">
        <v>47727</v>
      </c>
      <c r="B193" s="41">
        <v>30</v>
      </c>
      <c r="C193" s="32">
        <v>194.20500000000001</v>
      </c>
      <c r="D193" s="32">
        <v>267.46600000000001</v>
      </c>
      <c r="E193" s="38">
        <v>812.32899999999995</v>
      </c>
      <c r="F193" s="32">
        <v>1274</v>
      </c>
      <c r="G193" s="32">
        <v>50</v>
      </c>
      <c r="H193" s="40">
        <v>600</v>
      </c>
      <c r="I193" s="32">
        <v>695</v>
      </c>
      <c r="J193" s="32">
        <v>0</v>
      </c>
      <c r="K193" s="33"/>
      <c r="L193" s="33"/>
      <c r="M193" s="33"/>
      <c r="N193" s="33"/>
      <c r="O193" s="33"/>
      <c r="P193" s="33"/>
      <c r="Q193" s="33"/>
      <c r="R193" s="33"/>
      <c r="S193" s="33"/>
      <c r="T193" s="33"/>
    </row>
    <row r="194" spans="1:20" ht="15.75">
      <c r="A194" s="13">
        <v>47757</v>
      </c>
      <c r="B194" s="41">
        <v>31</v>
      </c>
      <c r="C194" s="32">
        <v>131.881</v>
      </c>
      <c r="D194" s="32">
        <v>277.16699999999997</v>
      </c>
      <c r="E194" s="38">
        <v>829.952</v>
      </c>
      <c r="F194" s="32">
        <v>1239</v>
      </c>
      <c r="G194" s="32">
        <v>75</v>
      </c>
      <c r="H194" s="40">
        <v>600</v>
      </c>
      <c r="I194" s="32">
        <v>695</v>
      </c>
      <c r="J194" s="32">
        <v>0</v>
      </c>
      <c r="K194" s="33"/>
      <c r="L194" s="33"/>
      <c r="M194" s="33"/>
      <c r="N194" s="33"/>
      <c r="O194" s="33"/>
      <c r="P194" s="33"/>
      <c r="Q194" s="33"/>
      <c r="R194" s="33"/>
      <c r="S194" s="33"/>
      <c r="T194" s="33"/>
    </row>
    <row r="195" spans="1:20" ht="15.75">
      <c r="A195" s="13">
        <v>47788</v>
      </c>
      <c r="B195" s="41">
        <v>30</v>
      </c>
      <c r="C195" s="32">
        <v>122.58</v>
      </c>
      <c r="D195" s="32">
        <v>297.94099999999997</v>
      </c>
      <c r="E195" s="38">
        <v>729.47900000000004</v>
      </c>
      <c r="F195" s="32">
        <v>1150</v>
      </c>
      <c r="G195" s="32">
        <v>100</v>
      </c>
      <c r="H195" s="40">
        <v>600</v>
      </c>
      <c r="I195" s="32">
        <v>695</v>
      </c>
      <c r="J195" s="32">
        <v>50</v>
      </c>
      <c r="K195" s="33"/>
      <c r="L195" s="33"/>
      <c r="M195" s="33"/>
      <c r="N195" s="33"/>
      <c r="O195" s="33"/>
      <c r="P195" s="33"/>
      <c r="Q195" s="33"/>
      <c r="R195" s="33"/>
      <c r="S195" s="33"/>
      <c r="T195" s="33"/>
    </row>
    <row r="196" spans="1:20" ht="15.75">
      <c r="A196" s="13">
        <v>47818</v>
      </c>
      <c r="B196" s="41">
        <v>31</v>
      </c>
      <c r="C196" s="32">
        <v>122.58</v>
      </c>
      <c r="D196" s="32">
        <v>297.94099999999997</v>
      </c>
      <c r="E196" s="38">
        <v>729.47900000000004</v>
      </c>
      <c r="F196" s="32">
        <v>1150</v>
      </c>
      <c r="G196" s="32">
        <v>100</v>
      </c>
      <c r="H196" s="40">
        <v>600</v>
      </c>
      <c r="I196" s="32">
        <v>695</v>
      </c>
      <c r="J196" s="32">
        <v>50</v>
      </c>
      <c r="K196" s="33"/>
      <c r="L196" s="33"/>
      <c r="M196" s="33"/>
      <c r="N196" s="33"/>
      <c r="O196" s="33"/>
      <c r="P196" s="33"/>
      <c r="Q196" s="33"/>
      <c r="R196" s="33"/>
      <c r="S196" s="33"/>
      <c r="T196" s="33"/>
    </row>
    <row r="197" spans="1:20" ht="15.75">
      <c r="A197" s="13">
        <v>47849</v>
      </c>
      <c r="B197" s="41">
        <v>31</v>
      </c>
      <c r="C197" s="32">
        <v>122.58</v>
      </c>
      <c r="D197" s="32">
        <v>297.94099999999997</v>
      </c>
      <c r="E197" s="38">
        <v>729.47900000000004</v>
      </c>
      <c r="F197" s="32">
        <v>1150</v>
      </c>
      <c r="G197" s="32">
        <v>100</v>
      </c>
      <c r="H197" s="40">
        <v>600</v>
      </c>
      <c r="I197" s="32">
        <v>695</v>
      </c>
      <c r="J197" s="32">
        <v>50</v>
      </c>
      <c r="K197" s="33"/>
      <c r="L197" s="33"/>
      <c r="M197" s="33"/>
      <c r="N197" s="33"/>
      <c r="O197" s="33"/>
      <c r="P197" s="33"/>
      <c r="Q197" s="33"/>
      <c r="R197" s="33"/>
      <c r="S197" s="33"/>
      <c r="T197" s="33"/>
    </row>
    <row r="198" spans="1:20" ht="15.75">
      <c r="A198" s="13">
        <v>47880</v>
      </c>
      <c r="B198" s="41">
        <v>28</v>
      </c>
      <c r="C198" s="32">
        <v>122.58</v>
      </c>
      <c r="D198" s="32">
        <v>297.94099999999997</v>
      </c>
      <c r="E198" s="38">
        <v>729.47900000000004</v>
      </c>
      <c r="F198" s="32">
        <v>1150</v>
      </c>
      <c r="G198" s="32">
        <v>100</v>
      </c>
      <c r="H198" s="40">
        <v>600</v>
      </c>
      <c r="I198" s="32">
        <v>695</v>
      </c>
      <c r="J198" s="32">
        <v>50</v>
      </c>
      <c r="K198" s="33"/>
      <c r="L198" s="33"/>
      <c r="M198" s="33"/>
      <c r="N198" s="33"/>
      <c r="O198" s="33"/>
      <c r="P198" s="33"/>
      <c r="Q198" s="33"/>
      <c r="R198" s="33"/>
      <c r="S198" s="33"/>
      <c r="T198" s="33"/>
    </row>
    <row r="199" spans="1:20" ht="15.75">
      <c r="A199" s="13">
        <v>47908</v>
      </c>
      <c r="B199" s="41">
        <v>31</v>
      </c>
      <c r="C199" s="32">
        <v>122.58</v>
      </c>
      <c r="D199" s="32">
        <v>297.94099999999997</v>
      </c>
      <c r="E199" s="38">
        <v>729.47900000000004</v>
      </c>
      <c r="F199" s="32">
        <v>1150</v>
      </c>
      <c r="G199" s="32">
        <v>100</v>
      </c>
      <c r="H199" s="40">
        <v>600</v>
      </c>
      <c r="I199" s="32">
        <v>695</v>
      </c>
      <c r="J199" s="32">
        <v>50</v>
      </c>
      <c r="K199" s="33"/>
      <c r="L199" s="33"/>
      <c r="M199" s="33"/>
      <c r="N199" s="33"/>
      <c r="O199" s="33"/>
      <c r="P199" s="33"/>
      <c r="Q199" s="33"/>
      <c r="R199" s="33"/>
      <c r="S199" s="33"/>
      <c r="T199" s="33"/>
    </row>
    <row r="200" spans="1:20" ht="15.75">
      <c r="A200" s="13">
        <v>47939</v>
      </c>
      <c r="B200" s="41">
        <v>30</v>
      </c>
      <c r="C200" s="32">
        <v>141.29300000000001</v>
      </c>
      <c r="D200" s="32">
        <v>267.99299999999999</v>
      </c>
      <c r="E200" s="38">
        <v>829.71400000000006</v>
      </c>
      <c r="F200" s="32">
        <v>1239</v>
      </c>
      <c r="G200" s="32">
        <v>100</v>
      </c>
      <c r="H200" s="40">
        <v>600</v>
      </c>
      <c r="I200" s="32">
        <v>695</v>
      </c>
      <c r="J200" s="32">
        <v>50</v>
      </c>
      <c r="K200" s="33"/>
      <c r="L200" s="33"/>
      <c r="M200" s="33"/>
      <c r="N200" s="33"/>
      <c r="O200" s="33"/>
      <c r="P200" s="33"/>
      <c r="Q200" s="33"/>
      <c r="R200" s="33"/>
      <c r="S200" s="33"/>
      <c r="T200" s="33"/>
    </row>
    <row r="201" spans="1:20" ht="15.75">
      <c r="A201" s="13">
        <v>47969</v>
      </c>
      <c r="B201" s="41">
        <v>31</v>
      </c>
      <c r="C201" s="32">
        <v>194.20500000000001</v>
      </c>
      <c r="D201" s="32">
        <v>267.46600000000001</v>
      </c>
      <c r="E201" s="38">
        <v>812.32899999999995</v>
      </c>
      <c r="F201" s="32">
        <v>1274</v>
      </c>
      <c r="G201" s="32">
        <v>75</v>
      </c>
      <c r="H201" s="40">
        <v>600</v>
      </c>
      <c r="I201" s="32">
        <v>695</v>
      </c>
      <c r="J201" s="32">
        <v>50</v>
      </c>
      <c r="K201" s="33"/>
      <c r="L201" s="33"/>
      <c r="M201" s="33"/>
      <c r="N201" s="33"/>
      <c r="O201" s="33"/>
      <c r="P201" s="33"/>
      <c r="Q201" s="33"/>
      <c r="R201" s="33"/>
      <c r="S201" s="33"/>
      <c r="T201" s="33"/>
    </row>
    <row r="202" spans="1:20" ht="15.75">
      <c r="A202" s="13">
        <v>48000</v>
      </c>
      <c r="B202" s="41">
        <v>30</v>
      </c>
      <c r="C202" s="32">
        <v>194.20500000000001</v>
      </c>
      <c r="D202" s="32">
        <v>267.46600000000001</v>
      </c>
      <c r="E202" s="38">
        <v>812.32899999999995</v>
      </c>
      <c r="F202" s="32">
        <v>1274</v>
      </c>
      <c r="G202" s="32">
        <v>50</v>
      </c>
      <c r="H202" s="40">
        <v>600</v>
      </c>
      <c r="I202" s="32">
        <v>695</v>
      </c>
      <c r="J202" s="32">
        <v>50</v>
      </c>
      <c r="K202" s="33"/>
      <c r="L202" s="33"/>
      <c r="M202" s="33"/>
      <c r="N202" s="33"/>
      <c r="O202" s="33"/>
      <c r="P202" s="33"/>
      <c r="Q202" s="33"/>
      <c r="R202" s="33"/>
      <c r="S202" s="33"/>
      <c r="T202" s="33"/>
    </row>
    <row r="203" spans="1:20" ht="15.75">
      <c r="A203" s="13">
        <v>48030</v>
      </c>
      <c r="B203" s="41">
        <v>31</v>
      </c>
      <c r="C203" s="32">
        <v>194.20500000000001</v>
      </c>
      <c r="D203" s="32">
        <v>267.46600000000001</v>
      </c>
      <c r="E203" s="38">
        <v>812.32899999999995</v>
      </c>
      <c r="F203" s="32">
        <v>1274</v>
      </c>
      <c r="G203" s="32">
        <v>50</v>
      </c>
      <c r="H203" s="40">
        <v>600</v>
      </c>
      <c r="I203" s="32">
        <v>695</v>
      </c>
      <c r="J203" s="32">
        <v>0</v>
      </c>
      <c r="K203" s="33"/>
      <c r="L203" s="33"/>
      <c r="M203" s="33"/>
      <c r="N203" s="33"/>
      <c r="O203" s="33"/>
      <c r="P203" s="33"/>
      <c r="Q203" s="33"/>
      <c r="R203" s="33"/>
      <c r="S203" s="33"/>
      <c r="T203" s="33"/>
    </row>
    <row r="204" spans="1:20" ht="15.75">
      <c r="A204" s="13">
        <v>48061</v>
      </c>
      <c r="B204" s="41">
        <v>31</v>
      </c>
      <c r="C204" s="32">
        <v>194.20500000000001</v>
      </c>
      <c r="D204" s="32">
        <v>267.46600000000001</v>
      </c>
      <c r="E204" s="38">
        <v>812.32899999999995</v>
      </c>
      <c r="F204" s="32">
        <v>1274</v>
      </c>
      <c r="G204" s="32">
        <v>50</v>
      </c>
      <c r="H204" s="40">
        <v>600</v>
      </c>
      <c r="I204" s="32">
        <v>695</v>
      </c>
      <c r="J204" s="32">
        <v>0</v>
      </c>
      <c r="K204" s="33"/>
      <c r="L204" s="33"/>
      <c r="M204" s="33"/>
      <c r="N204" s="33"/>
      <c r="O204" s="33"/>
      <c r="P204" s="33"/>
      <c r="Q204" s="33"/>
      <c r="R204" s="33"/>
      <c r="S204" s="33"/>
      <c r="T204" s="33"/>
    </row>
    <row r="205" spans="1:20" ht="15.75">
      <c r="A205" s="13">
        <v>48092</v>
      </c>
      <c r="B205" s="41">
        <v>30</v>
      </c>
      <c r="C205" s="32">
        <v>194.20500000000001</v>
      </c>
      <c r="D205" s="32">
        <v>267.46600000000001</v>
      </c>
      <c r="E205" s="38">
        <v>812.32899999999995</v>
      </c>
      <c r="F205" s="32">
        <v>1274</v>
      </c>
      <c r="G205" s="32">
        <v>50</v>
      </c>
      <c r="H205" s="40">
        <v>600</v>
      </c>
      <c r="I205" s="32">
        <v>695</v>
      </c>
      <c r="J205" s="32">
        <v>0</v>
      </c>
      <c r="K205" s="33"/>
      <c r="L205" s="33"/>
      <c r="M205" s="33"/>
      <c r="N205" s="33"/>
      <c r="O205" s="33"/>
      <c r="P205" s="33"/>
      <c r="Q205" s="33"/>
      <c r="R205" s="33"/>
      <c r="S205" s="33"/>
      <c r="T205" s="33"/>
    </row>
    <row r="206" spans="1:20" ht="15.75">
      <c r="A206" s="13">
        <v>48122</v>
      </c>
      <c r="B206" s="41">
        <v>31</v>
      </c>
      <c r="C206" s="32">
        <v>131.881</v>
      </c>
      <c r="D206" s="32">
        <v>277.16699999999997</v>
      </c>
      <c r="E206" s="38">
        <v>829.952</v>
      </c>
      <c r="F206" s="32">
        <v>1239</v>
      </c>
      <c r="G206" s="32">
        <v>75</v>
      </c>
      <c r="H206" s="40">
        <v>600</v>
      </c>
      <c r="I206" s="32">
        <v>695</v>
      </c>
      <c r="J206" s="32">
        <v>0</v>
      </c>
      <c r="K206" s="33"/>
      <c r="L206" s="33"/>
      <c r="M206" s="33"/>
      <c r="N206" s="33"/>
      <c r="O206" s="33"/>
      <c r="P206" s="33"/>
      <c r="Q206" s="33"/>
      <c r="R206" s="33"/>
      <c r="S206" s="33"/>
      <c r="T206" s="33"/>
    </row>
    <row r="207" spans="1:20" ht="15.75">
      <c r="A207" s="13">
        <v>48153</v>
      </c>
      <c r="B207" s="41">
        <v>30</v>
      </c>
      <c r="C207" s="32">
        <v>122.58</v>
      </c>
      <c r="D207" s="32">
        <v>297.94099999999997</v>
      </c>
      <c r="E207" s="38">
        <v>729.47900000000004</v>
      </c>
      <c r="F207" s="32">
        <v>1150</v>
      </c>
      <c r="G207" s="32">
        <v>100</v>
      </c>
      <c r="H207" s="40">
        <v>600</v>
      </c>
      <c r="I207" s="32">
        <v>695</v>
      </c>
      <c r="J207" s="32">
        <v>50</v>
      </c>
      <c r="K207" s="33"/>
      <c r="L207" s="33"/>
      <c r="M207" s="33"/>
      <c r="N207" s="33"/>
      <c r="O207" s="33"/>
      <c r="P207" s="33"/>
      <c r="Q207" s="33"/>
      <c r="R207" s="33"/>
      <c r="S207" s="33"/>
      <c r="T207" s="33"/>
    </row>
    <row r="208" spans="1:20" ht="15.75">
      <c r="A208" s="13">
        <v>48183</v>
      </c>
      <c r="B208" s="41">
        <v>31</v>
      </c>
      <c r="C208" s="32">
        <v>122.58</v>
      </c>
      <c r="D208" s="32">
        <v>297.94099999999997</v>
      </c>
      <c r="E208" s="38">
        <v>729.47900000000004</v>
      </c>
      <c r="F208" s="32">
        <v>1150</v>
      </c>
      <c r="G208" s="32">
        <v>100</v>
      </c>
      <c r="H208" s="40">
        <v>600</v>
      </c>
      <c r="I208" s="32">
        <v>695</v>
      </c>
      <c r="J208" s="32">
        <v>50</v>
      </c>
      <c r="K208" s="33"/>
      <c r="L208" s="33"/>
      <c r="M208" s="33"/>
      <c r="N208" s="33"/>
      <c r="O208" s="33"/>
      <c r="P208" s="33"/>
      <c r="Q208" s="33"/>
      <c r="R208" s="33"/>
      <c r="S208" s="33"/>
      <c r="T208" s="33"/>
    </row>
    <row r="209" spans="1:20" ht="15.75">
      <c r="A209" s="13">
        <v>48214</v>
      </c>
      <c r="B209" s="41">
        <v>31</v>
      </c>
      <c r="C209" s="32">
        <v>122.58</v>
      </c>
      <c r="D209" s="32">
        <v>297.94099999999997</v>
      </c>
      <c r="E209" s="38">
        <v>729.47900000000004</v>
      </c>
      <c r="F209" s="32">
        <v>1150</v>
      </c>
      <c r="G209" s="32">
        <v>100</v>
      </c>
      <c r="H209" s="40">
        <v>600</v>
      </c>
      <c r="I209" s="32">
        <v>695</v>
      </c>
      <c r="J209" s="32">
        <v>50</v>
      </c>
      <c r="K209" s="33"/>
      <c r="L209" s="33"/>
      <c r="M209" s="33"/>
      <c r="N209" s="33"/>
      <c r="O209" s="33"/>
      <c r="P209" s="33"/>
      <c r="Q209" s="33"/>
      <c r="R209" s="33"/>
      <c r="S209" s="33"/>
      <c r="T209" s="33"/>
    </row>
    <row r="210" spans="1:20" ht="15.75">
      <c r="A210" s="13">
        <v>48245</v>
      </c>
      <c r="B210" s="41">
        <v>29</v>
      </c>
      <c r="C210" s="32">
        <v>122.58</v>
      </c>
      <c r="D210" s="32">
        <v>297.94099999999997</v>
      </c>
      <c r="E210" s="38">
        <v>729.47900000000004</v>
      </c>
      <c r="F210" s="32">
        <v>1150</v>
      </c>
      <c r="G210" s="32">
        <v>100</v>
      </c>
      <c r="H210" s="40">
        <v>600</v>
      </c>
      <c r="I210" s="32">
        <v>695</v>
      </c>
      <c r="J210" s="32">
        <v>50</v>
      </c>
      <c r="K210" s="33"/>
      <c r="L210" s="33"/>
      <c r="M210" s="33"/>
      <c r="N210" s="33"/>
      <c r="O210" s="33"/>
      <c r="P210" s="33"/>
      <c r="Q210" s="33"/>
      <c r="R210" s="33"/>
      <c r="S210" s="33"/>
      <c r="T210" s="33"/>
    </row>
    <row r="211" spans="1:20" ht="15.75">
      <c r="A211" s="13">
        <v>48274</v>
      </c>
      <c r="B211" s="41">
        <v>31</v>
      </c>
      <c r="C211" s="32">
        <v>122.58</v>
      </c>
      <c r="D211" s="32">
        <v>297.94099999999997</v>
      </c>
      <c r="E211" s="38">
        <v>729.47900000000004</v>
      </c>
      <c r="F211" s="32">
        <v>1150</v>
      </c>
      <c r="G211" s="32">
        <v>100</v>
      </c>
      <c r="H211" s="40">
        <v>600</v>
      </c>
      <c r="I211" s="32">
        <v>695</v>
      </c>
      <c r="J211" s="32">
        <v>50</v>
      </c>
      <c r="K211" s="33"/>
      <c r="L211" s="33"/>
      <c r="M211" s="33"/>
      <c r="N211" s="33"/>
      <c r="O211" s="33"/>
      <c r="P211" s="33"/>
      <c r="Q211" s="33"/>
      <c r="R211" s="33"/>
      <c r="S211" s="33"/>
      <c r="T211" s="33"/>
    </row>
    <row r="212" spans="1:20" ht="15.75">
      <c r="A212" s="13">
        <v>48305</v>
      </c>
      <c r="B212" s="41">
        <v>30</v>
      </c>
      <c r="C212" s="32">
        <v>141.29300000000001</v>
      </c>
      <c r="D212" s="32">
        <v>267.99299999999999</v>
      </c>
      <c r="E212" s="38">
        <v>829.71400000000006</v>
      </c>
      <c r="F212" s="32">
        <v>1239</v>
      </c>
      <c r="G212" s="32">
        <v>100</v>
      </c>
      <c r="H212" s="40">
        <v>600</v>
      </c>
      <c r="I212" s="32">
        <v>695</v>
      </c>
      <c r="J212" s="32">
        <v>50</v>
      </c>
      <c r="K212" s="33"/>
      <c r="L212" s="33"/>
      <c r="M212" s="33"/>
      <c r="N212" s="33"/>
      <c r="O212" s="33"/>
      <c r="P212" s="33"/>
      <c r="Q212" s="33"/>
      <c r="R212" s="33"/>
      <c r="S212" s="33"/>
      <c r="T212" s="33"/>
    </row>
    <row r="213" spans="1:20" ht="15.75">
      <c r="A213" s="13">
        <v>48335</v>
      </c>
      <c r="B213" s="41">
        <v>31</v>
      </c>
      <c r="C213" s="32">
        <v>194.20500000000001</v>
      </c>
      <c r="D213" s="32">
        <v>267.46600000000001</v>
      </c>
      <c r="E213" s="38">
        <v>812.32899999999995</v>
      </c>
      <c r="F213" s="32">
        <v>1274</v>
      </c>
      <c r="G213" s="32">
        <v>75</v>
      </c>
      <c r="H213" s="40">
        <v>600</v>
      </c>
      <c r="I213" s="32">
        <v>695</v>
      </c>
      <c r="J213" s="32">
        <v>50</v>
      </c>
      <c r="K213" s="33"/>
      <c r="L213" s="33"/>
      <c r="M213" s="33"/>
      <c r="N213" s="33"/>
      <c r="O213" s="33"/>
      <c r="P213" s="33"/>
      <c r="Q213" s="33"/>
      <c r="R213" s="33"/>
      <c r="S213" s="33"/>
      <c r="T213" s="33"/>
    </row>
    <row r="214" spans="1:20" ht="15.75">
      <c r="A214" s="13">
        <v>48366</v>
      </c>
      <c r="B214" s="41">
        <v>30</v>
      </c>
      <c r="C214" s="32">
        <v>194.20500000000001</v>
      </c>
      <c r="D214" s="32">
        <v>267.46600000000001</v>
      </c>
      <c r="E214" s="38">
        <v>812.32899999999995</v>
      </c>
      <c r="F214" s="32">
        <v>1274</v>
      </c>
      <c r="G214" s="32">
        <v>50</v>
      </c>
      <c r="H214" s="40">
        <v>600</v>
      </c>
      <c r="I214" s="32">
        <v>695</v>
      </c>
      <c r="J214" s="32">
        <v>50</v>
      </c>
      <c r="K214" s="33"/>
      <c r="L214" s="33"/>
      <c r="M214" s="33"/>
      <c r="N214" s="33"/>
      <c r="O214" s="33"/>
      <c r="P214" s="33"/>
      <c r="Q214" s="33"/>
      <c r="R214" s="33"/>
      <c r="S214" s="33"/>
      <c r="T214" s="33"/>
    </row>
    <row r="215" spans="1:20" ht="15.75">
      <c r="A215" s="13">
        <v>48396</v>
      </c>
      <c r="B215" s="41">
        <v>31</v>
      </c>
      <c r="C215" s="32">
        <v>194.20500000000001</v>
      </c>
      <c r="D215" s="32">
        <v>267.46600000000001</v>
      </c>
      <c r="E215" s="38">
        <v>812.32899999999995</v>
      </c>
      <c r="F215" s="32">
        <v>1274</v>
      </c>
      <c r="G215" s="32">
        <v>50</v>
      </c>
      <c r="H215" s="40">
        <v>600</v>
      </c>
      <c r="I215" s="32">
        <v>695</v>
      </c>
      <c r="J215" s="32">
        <v>0</v>
      </c>
      <c r="K215" s="33"/>
      <c r="L215" s="33"/>
      <c r="M215" s="33"/>
      <c r="N215" s="33"/>
      <c r="O215" s="33"/>
      <c r="P215" s="33"/>
      <c r="Q215" s="33"/>
      <c r="R215" s="33"/>
      <c r="S215" s="33"/>
      <c r="T215" s="33"/>
    </row>
    <row r="216" spans="1:20" ht="15.75">
      <c r="A216" s="13">
        <v>48427</v>
      </c>
      <c r="B216" s="41">
        <v>31</v>
      </c>
      <c r="C216" s="32">
        <v>194.20500000000001</v>
      </c>
      <c r="D216" s="32">
        <v>267.46600000000001</v>
      </c>
      <c r="E216" s="38">
        <v>812.32899999999995</v>
      </c>
      <c r="F216" s="32">
        <v>1274</v>
      </c>
      <c r="G216" s="32">
        <v>50</v>
      </c>
      <c r="H216" s="40">
        <v>600</v>
      </c>
      <c r="I216" s="32">
        <v>695</v>
      </c>
      <c r="J216" s="32">
        <v>0</v>
      </c>
      <c r="K216" s="33"/>
      <c r="L216" s="33"/>
      <c r="M216" s="33"/>
      <c r="N216" s="33"/>
      <c r="O216" s="33"/>
      <c r="P216" s="33"/>
      <c r="Q216" s="33"/>
      <c r="R216" s="33"/>
      <c r="S216" s="33"/>
      <c r="T216" s="33"/>
    </row>
    <row r="217" spans="1:20" ht="15.75">
      <c r="A217" s="13">
        <v>48458</v>
      </c>
      <c r="B217" s="41">
        <v>30</v>
      </c>
      <c r="C217" s="32">
        <v>194.20500000000001</v>
      </c>
      <c r="D217" s="32">
        <v>267.46600000000001</v>
      </c>
      <c r="E217" s="38">
        <v>812.32899999999995</v>
      </c>
      <c r="F217" s="32">
        <v>1274</v>
      </c>
      <c r="G217" s="32">
        <v>50</v>
      </c>
      <c r="H217" s="40">
        <v>600</v>
      </c>
      <c r="I217" s="32">
        <v>695</v>
      </c>
      <c r="J217" s="32">
        <v>0</v>
      </c>
      <c r="K217" s="33"/>
      <c r="L217" s="33"/>
      <c r="M217" s="33"/>
      <c r="N217" s="33"/>
      <c r="O217" s="33"/>
      <c r="P217" s="33"/>
      <c r="Q217" s="33"/>
      <c r="R217" s="33"/>
      <c r="S217" s="33"/>
      <c r="T217" s="33"/>
    </row>
    <row r="218" spans="1:20" ht="15.75">
      <c r="A218" s="13">
        <v>48488</v>
      </c>
      <c r="B218" s="41">
        <v>31</v>
      </c>
      <c r="C218" s="32">
        <v>131.881</v>
      </c>
      <c r="D218" s="32">
        <v>277.16699999999997</v>
      </c>
      <c r="E218" s="38">
        <v>829.952</v>
      </c>
      <c r="F218" s="32">
        <v>1239</v>
      </c>
      <c r="G218" s="32">
        <v>75</v>
      </c>
      <c r="H218" s="40">
        <v>600</v>
      </c>
      <c r="I218" s="32">
        <v>695</v>
      </c>
      <c r="J218" s="32">
        <v>0</v>
      </c>
      <c r="K218" s="33"/>
      <c r="L218" s="33"/>
      <c r="M218" s="33"/>
      <c r="N218" s="33"/>
      <c r="O218" s="33"/>
      <c r="P218" s="33"/>
      <c r="Q218" s="33"/>
      <c r="R218" s="33"/>
      <c r="S218" s="33"/>
      <c r="T218" s="33"/>
    </row>
    <row r="219" spans="1:20" ht="15.75">
      <c r="A219" s="13">
        <v>48519</v>
      </c>
      <c r="B219" s="41">
        <v>30</v>
      </c>
      <c r="C219" s="32">
        <v>122.58</v>
      </c>
      <c r="D219" s="32">
        <v>297.94099999999997</v>
      </c>
      <c r="E219" s="38">
        <v>729.47900000000004</v>
      </c>
      <c r="F219" s="32">
        <v>1150</v>
      </c>
      <c r="G219" s="32">
        <v>100</v>
      </c>
      <c r="H219" s="40">
        <v>600</v>
      </c>
      <c r="I219" s="32">
        <v>695</v>
      </c>
      <c r="J219" s="32">
        <v>50</v>
      </c>
      <c r="K219" s="33"/>
      <c r="L219" s="33"/>
      <c r="M219" s="33"/>
      <c r="N219" s="33"/>
      <c r="O219" s="33"/>
      <c r="P219" s="33"/>
      <c r="Q219" s="33"/>
      <c r="R219" s="33"/>
      <c r="S219" s="33"/>
      <c r="T219" s="33"/>
    </row>
    <row r="220" spans="1:20" ht="15.75">
      <c r="A220" s="13">
        <v>48549</v>
      </c>
      <c r="B220" s="41">
        <v>31</v>
      </c>
      <c r="C220" s="32">
        <v>122.58</v>
      </c>
      <c r="D220" s="32">
        <v>297.94099999999997</v>
      </c>
      <c r="E220" s="38">
        <v>729.47900000000004</v>
      </c>
      <c r="F220" s="32">
        <v>1150</v>
      </c>
      <c r="G220" s="32">
        <v>100</v>
      </c>
      <c r="H220" s="40">
        <v>600</v>
      </c>
      <c r="I220" s="32">
        <v>695</v>
      </c>
      <c r="J220" s="32">
        <v>50</v>
      </c>
      <c r="K220" s="33"/>
      <c r="L220" s="33"/>
      <c r="M220" s="33"/>
      <c r="N220" s="33"/>
      <c r="O220" s="33"/>
      <c r="P220" s="33"/>
      <c r="Q220" s="33"/>
      <c r="R220" s="33"/>
      <c r="S220" s="33"/>
      <c r="T220" s="33"/>
    </row>
    <row r="221" spans="1:20" ht="15.75">
      <c r="A221" s="13">
        <v>48580</v>
      </c>
      <c r="B221" s="41">
        <v>31</v>
      </c>
      <c r="C221" s="32">
        <v>122.58</v>
      </c>
      <c r="D221" s="32">
        <v>297.94099999999997</v>
      </c>
      <c r="E221" s="38">
        <v>729.47900000000004</v>
      </c>
      <c r="F221" s="32">
        <v>1150</v>
      </c>
      <c r="G221" s="32">
        <v>100</v>
      </c>
      <c r="H221" s="40">
        <v>600</v>
      </c>
      <c r="I221" s="32">
        <v>695</v>
      </c>
      <c r="J221" s="32">
        <v>50</v>
      </c>
      <c r="K221" s="33"/>
      <c r="L221" s="33"/>
      <c r="M221" s="33"/>
      <c r="N221" s="33"/>
      <c r="O221" s="33"/>
      <c r="P221" s="33"/>
      <c r="Q221" s="33"/>
      <c r="R221" s="33"/>
      <c r="S221" s="33"/>
      <c r="T221" s="33"/>
    </row>
    <row r="222" spans="1:20" ht="15.75">
      <c r="A222" s="13">
        <v>48611</v>
      </c>
      <c r="B222" s="41">
        <v>28</v>
      </c>
      <c r="C222" s="32">
        <v>122.58</v>
      </c>
      <c r="D222" s="32">
        <v>297.94099999999997</v>
      </c>
      <c r="E222" s="38">
        <v>729.47900000000004</v>
      </c>
      <c r="F222" s="32">
        <v>1150</v>
      </c>
      <c r="G222" s="32">
        <v>100</v>
      </c>
      <c r="H222" s="40">
        <v>600</v>
      </c>
      <c r="I222" s="32">
        <v>695</v>
      </c>
      <c r="J222" s="32">
        <v>50</v>
      </c>
      <c r="K222" s="33"/>
      <c r="L222" s="33"/>
      <c r="M222" s="33"/>
      <c r="N222" s="33"/>
      <c r="O222" s="33"/>
      <c r="P222" s="33"/>
      <c r="Q222" s="33"/>
      <c r="R222" s="33"/>
      <c r="S222" s="33"/>
      <c r="T222" s="33"/>
    </row>
    <row r="223" spans="1:20" ht="15.75">
      <c r="A223" s="13">
        <v>48639</v>
      </c>
      <c r="B223" s="41">
        <v>31</v>
      </c>
      <c r="C223" s="32">
        <v>122.58</v>
      </c>
      <c r="D223" s="32">
        <v>297.94099999999997</v>
      </c>
      <c r="E223" s="38">
        <v>729.47900000000004</v>
      </c>
      <c r="F223" s="32">
        <v>1150</v>
      </c>
      <c r="G223" s="32">
        <v>100</v>
      </c>
      <c r="H223" s="40">
        <v>600</v>
      </c>
      <c r="I223" s="32">
        <v>695</v>
      </c>
      <c r="J223" s="32">
        <v>50</v>
      </c>
      <c r="K223" s="33"/>
      <c r="L223" s="33"/>
      <c r="M223" s="33"/>
      <c r="N223" s="33"/>
      <c r="O223" s="33"/>
      <c r="P223" s="33"/>
      <c r="Q223" s="33"/>
      <c r="R223" s="33"/>
      <c r="S223" s="33"/>
      <c r="T223" s="33"/>
    </row>
    <row r="224" spans="1:20" ht="15.75">
      <c r="A224" s="13">
        <v>48670</v>
      </c>
      <c r="B224" s="41">
        <v>30</v>
      </c>
      <c r="C224" s="32">
        <v>141.29300000000001</v>
      </c>
      <c r="D224" s="32">
        <v>267.99299999999999</v>
      </c>
      <c r="E224" s="38">
        <v>829.71400000000006</v>
      </c>
      <c r="F224" s="32">
        <v>1239</v>
      </c>
      <c r="G224" s="32">
        <v>100</v>
      </c>
      <c r="H224" s="40">
        <v>600</v>
      </c>
      <c r="I224" s="32">
        <v>695</v>
      </c>
      <c r="J224" s="32">
        <v>50</v>
      </c>
      <c r="K224" s="33"/>
      <c r="L224" s="33"/>
      <c r="M224" s="33"/>
      <c r="N224" s="33"/>
      <c r="O224" s="33"/>
      <c r="P224" s="33"/>
      <c r="Q224" s="33"/>
      <c r="R224" s="33"/>
      <c r="S224" s="33"/>
      <c r="T224" s="33"/>
    </row>
    <row r="225" spans="1:20" ht="15.75">
      <c r="A225" s="13">
        <v>48700</v>
      </c>
      <c r="B225" s="41">
        <v>31</v>
      </c>
      <c r="C225" s="32">
        <v>194.20500000000001</v>
      </c>
      <c r="D225" s="32">
        <v>267.46600000000001</v>
      </c>
      <c r="E225" s="38">
        <v>812.32899999999995</v>
      </c>
      <c r="F225" s="32">
        <v>1274</v>
      </c>
      <c r="G225" s="32">
        <v>75</v>
      </c>
      <c r="H225" s="40">
        <v>600</v>
      </c>
      <c r="I225" s="32">
        <v>695</v>
      </c>
      <c r="J225" s="32">
        <v>50</v>
      </c>
      <c r="K225" s="33"/>
      <c r="L225" s="33"/>
      <c r="M225" s="33"/>
      <c r="N225" s="33"/>
      <c r="O225" s="33"/>
      <c r="P225" s="33"/>
      <c r="Q225" s="33"/>
      <c r="R225" s="33"/>
      <c r="S225" s="33"/>
      <c r="T225" s="33"/>
    </row>
    <row r="226" spans="1:20" ht="15.75">
      <c r="A226" s="13">
        <v>48731</v>
      </c>
      <c r="B226" s="41">
        <v>30</v>
      </c>
      <c r="C226" s="32">
        <v>194.20500000000001</v>
      </c>
      <c r="D226" s="32">
        <v>267.46600000000001</v>
      </c>
      <c r="E226" s="38">
        <v>812.32899999999995</v>
      </c>
      <c r="F226" s="32">
        <v>1274</v>
      </c>
      <c r="G226" s="32">
        <v>50</v>
      </c>
      <c r="H226" s="40">
        <v>600</v>
      </c>
      <c r="I226" s="32">
        <v>695</v>
      </c>
      <c r="J226" s="32">
        <v>50</v>
      </c>
      <c r="K226" s="33"/>
      <c r="L226" s="33"/>
      <c r="M226" s="33"/>
      <c r="N226" s="33"/>
      <c r="O226" s="33"/>
      <c r="P226" s="33"/>
      <c r="Q226" s="33"/>
      <c r="R226" s="33"/>
      <c r="S226" s="33"/>
      <c r="T226" s="33"/>
    </row>
    <row r="227" spans="1:20" ht="15.75">
      <c r="A227" s="13">
        <v>48761</v>
      </c>
      <c r="B227" s="41">
        <v>31</v>
      </c>
      <c r="C227" s="32">
        <v>194.20500000000001</v>
      </c>
      <c r="D227" s="32">
        <v>267.46600000000001</v>
      </c>
      <c r="E227" s="38">
        <v>812.32899999999995</v>
      </c>
      <c r="F227" s="32">
        <v>1274</v>
      </c>
      <c r="G227" s="32">
        <v>50</v>
      </c>
      <c r="H227" s="40">
        <v>600</v>
      </c>
      <c r="I227" s="32">
        <v>695</v>
      </c>
      <c r="J227" s="32">
        <v>0</v>
      </c>
      <c r="K227" s="33"/>
      <c r="L227" s="33"/>
      <c r="M227" s="33"/>
      <c r="N227" s="33"/>
      <c r="O227" s="33"/>
      <c r="P227" s="33"/>
      <c r="Q227" s="33"/>
      <c r="R227" s="33"/>
      <c r="S227" s="33"/>
      <c r="T227" s="33"/>
    </row>
    <row r="228" spans="1:20" ht="15.75">
      <c r="A228" s="13">
        <v>48792</v>
      </c>
      <c r="B228" s="41">
        <v>31</v>
      </c>
      <c r="C228" s="32">
        <v>194.20500000000001</v>
      </c>
      <c r="D228" s="32">
        <v>267.46600000000001</v>
      </c>
      <c r="E228" s="38">
        <v>812.32899999999995</v>
      </c>
      <c r="F228" s="32">
        <v>1274</v>
      </c>
      <c r="G228" s="32">
        <v>50</v>
      </c>
      <c r="H228" s="40">
        <v>600</v>
      </c>
      <c r="I228" s="32">
        <v>695</v>
      </c>
      <c r="J228" s="32">
        <v>0</v>
      </c>
      <c r="K228" s="33"/>
      <c r="L228" s="33"/>
      <c r="M228" s="33"/>
      <c r="N228" s="33"/>
      <c r="O228" s="33"/>
      <c r="P228" s="33"/>
      <c r="Q228" s="33"/>
      <c r="R228" s="33"/>
      <c r="S228" s="33"/>
      <c r="T228" s="33"/>
    </row>
    <row r="229" spans="1:20" ht="15.75">
      <c r="A229" s="13">
        <v>48823</v>
      </c>
      <c r="B229" s="41">
        <v>30</v>
      </c>
      <c r="C229" s="32">
        <v>194.20500000000001</v>
      </c>
      <c r="D229" s="32">
        <v>267.46600000000001</v>
      </c>
      <c r="E229" s="38">
        <v>812.32899999999995</v>
      </c>
      <c r="F229" s="32">
        <v>1274</v>
      </c>
      <c r="G229" s="32">
        <v>50</v>
      </c>
      <c r="H229" s="40">
        <v>600</v>
      </c>
      <c r="I229" s="32">
        <v>695</v>
      </c>
      <c r="J229" s="32">
        <v>0</v>
      </c>
      <c r="K229" s="33"/>
      <c r="L229" s="33"/>
      <c r="M229" s="33"/>
      <c r="N229" s="33"/>
      <c r="O229" s="33"/>
      <c r="P229" s="33"/>
      <c r="Q229" s="33"/>
      <c r="R229" s="33"/>
      <c r="S229" s="33"/>
      <c r="T229" s="33"/>
    </row>
    <row r="230" spans="1:20" ht="15.75">
      <c r="A230" s="13">
        <v>48853</v>
      </c>
      <c r="B230" s="41">
        <v>31</v>
      </c>
      <c r="C230" s="32">
        <v>131.881</v>
      </c>
      <c r="D230" s="32">
        <v>277.16699999999997</v>
      </c>
      <c r="E230" s="38">
        <v>829.952</v>
      </c>
      <c r="F230" s="32">
        <v>1239</v>
      </c>
      <c r="G230" s="32">
        <v>75</v>
      </c>
      <c r="H230" s="40">
        <v>600</v>
      </c>
      <c r="I230" s="32">
        <v>695</v>
      </c>
      <c r="J230" s="32">
        <v>0</v>
      </c>
      <c r="K230" s="33"/>
      <c r="L230" s="33"/>
      <c r="M230" s="33"/>
      <c r="N230" s="33"/>
      <c r="O230" s="33"/>
      <c r="P230" s="33"/>
      <c r="Q230" s="33"/>
      <c r="R230" s="33"/>
      <c r="S230" s="33"/>
      <c r="T230" s="33"/>
    </row>
    <row r="231" spans="1:20" ht="15.75">
      <c r="A231" s="13">
        <v>48884</v>
      </c>
      <c r="B231" s="41">
        <v>30</v>
      </c>
      <c r="C231" s="32">
        <v>122.58</v>
      </c>
      <c r="D231" s="32">
        <v>297.94099999999997</v>
      </c>
      <c r="E231" s="38">
        <v>729.47900000000004</v>
      </c>
      <c r="F231" s="32">
        <v>1150</v>
      </c>
      <c r="G231" s="32">
        <v>100</v>
      </c>
      <c r="H231" s="40">
        <v>600</v>
      </c>
      <c r="I231" s="32">
        <v>695</v>
      </c>
      <c r="J231" s="32">
        <v>50</v>
      </c>
      <c r="K231" s="33"/>
      <c r="L231" s="33"/>
      <c r="M231" s="33"/>
      <c r="N231" s="33"/>
      <c r="O231" s="33"/>
      <c r="P231" s="33"/>
      <c r="Q231" s="33"/>
      <c r="R231" s="33"/>
      <c r="S231" s="33"/>
      <c r="T231" s="33"/>
    </row>
    <row r="232" spans="1:20" ht="15.75">
      <c r="A232" s="13">
        <v>48914</v>
      </c>
      <c r="B232" s="41">
        <v>31</v>
      </c>
      <c r="C232" s="32">
        <v>122.58</v>
      </c>
      <c r="D232" s="32">
        <v>297.94099999999997</v>
      </c>
      <c r="E232" s="38">
        <v>729.47900000000004</v>
      </c>
      <c r="F232" s="32">
        <v>1150</v>
      </c>
      <c r="G232" s="32">
        <v>100</v>
      </c>
      <c r="H232" s="40">
        <v>600</v>
      </c>
      <c r="I232" s="32">
        <v>695</v>
      </c>
      <c r="J232" s="32">
        <v>50</v>
      </c>
      <c r="K232" s="33"/>
      <c r="L232" s="33"/>
      <c r="M232" s="33"/>
      <c r="N232" s="33"/>
      <c r="O232" s="33"/>
      <c r="P232" s="33"/>
      <c r="Q232" s="33"/>
      <c r="R232" s="33"/>
      <c r="S232" s="33"/>
      <c r="T232" s="33"/>
    </row>
    <row r="233" spans="1:20" ht="15.75">
      <c r="A233" s="13">
        <v>48945</v>
      </c>
      <c r="B233" s="41">
        <v>31</v>
      </c>
      <c r="C233" s="32">
        <v>122.58</v>
      </c>
      <c r="D233" s="32">
        <v>297.94099999999997</v>
      </c>
      <c r="E233" s="38">
        <v>729.47900000000004</v>
      </c>
      <c r="F233" s="32">
        <v>1150</v>
      </c>
      <c r="G233" s="32">
        <v>100</v>
      </c>
      <c r="H233" s="40">
        <v>600</v>
      </c>
      <c r="I233" s="32">
        <v>695</v>
      </c>
      <c r="J233" s="32">
        <v>50</v>
      </c>
      <c r="K233" s="33"/>
      <c r="L233" s="33"/>
      <c r="M233" s="33"/>
      <c r="N233" s="33"/>
      <c r="O233" s="33"/>
      <c r="P233" s="33"/>
      <c r="Q233" s="33"/>
      <c r="R233" s="33"/>
      <c r="S233" s="33"/>
      <c r="T233" s="33"/>
    </row>
    <row r="234" spans="1:20" ht="15.75">
      <c r="A234" s="13">
        <v>48976</v>
      </c>
      <c r="B234" s="41">
        <v>28</v>
      </c>
      <c r="C234" s="32">
        <v>122.58</v>
      </c>
      <c r="D234" s="32">
        <v>297.94099999999997</v>
      </c>
      <c r="E234" s="38">
        <v>729.47900000000004</v>
      </c>
      <c r="F234" s="32">
        <v>1150</v>
      </c>
      <c r="G234" s="32">
        <v>100</v>
      </c>
      <c r="H234" s="40">
        <v>600</v>
      </c>
      <c r="I234" s="32">
        <v>695</v>
      </c>
      <c r="J234" s="32">
        <v>50</v>
      </c>
      <c r="K234" s="33"/>
      <c r="L234" s="33"/>
      <c r="M234" s="33"/>
      <c r="N234" s="33"/>
      <c r="O234" s="33"/>
      <c r="P234" s="33"/>
      <c r="Q234" s="33"/>
      <c r="R234" s="33"/>
      <c r="S234" s="33"/>
      <c r="T234" s="33"/>
    </row>
    <row r="235" spans="1:20" ht="15.75">
      <c r="A235" s="13">
        <v>49004</v>
      </c>
      <c r="B235" s="41">
        <v>31</v>
      </c>
      <c r="C235" s="32">
        <v>122.58</v>
      </c>
      <c r="D235" s="32">
        <v>297.94099999999997</v>
      </c>
      <c r="E235" s="38">
        <v>729.47900000000004</v>
      </c>
      <c r="F235" s="32">
        <v>1150</v>
      </c>
      <c r="G235" s="32">
        <v>100</v>
      </c>
      <c r="H235" s="40">
        <v>600</v>
      </c>
      <c r="I235" s="32">
        <v>695</v>
      </c>
      <c r="J235" s="32">
        <v>50</v>
      </c>
      <c r="K235" s="33"/>
      <c r="L235" s="33"/>
      <c r="M235" s="33"/>
      <c r="N235" s="33"/>
      <c r="O235" s="33"/>
      <c r="P235" s="33"/>
      <c r="Q235" s="33"/>
      <c r="R235" s="33"/>
      <c r="S235" s="33"/>
      <c r="T235" s="33"/>
    </row>
    <row r="236" spans="1:20" ht="15.75">
      <c r="A236" s="13">
        <v>49035</v>
      </c>
      <c r="B236" s="41">
        <v>30</v>
      </c>
      <c r="C236" s="32">
        <v>141.29300000000001</v>
      </c>
      <c r="D236" s="32">
        <v>267.99299999999999</v>
      </c>
      <c r="E236" s="38">
        <v>829.71400000000006</v>
      </c>
      <c r="F236" s="32">
        <v>1239</v>
      </c>
      <c r="G236" s="32">
        <v>100</v>
      </c>
      <c r="H236" s="40">
        <v>600</v>
      </c>
      <c r="I236" s="32">
        <v>695</v>
      </c>
      <c r="J236" s="32">
        <v>50</v>
      </c>
      <c r="K236" s="33"/>
      <c r="L236" s="33"/>
      <c r="M236" s="33"/>
      <c r="N236" s="33"/>
      <c r="O236" s="33"/>
      <c r="P236" s="33"/>
      <c r="Q236" s="33"/>
      <c r="R236" s="33"/>
      <c r="S236" s="33"/>
      <c r="T236" s="33"/>
    </row>
    <row r="237" spans="1:20" ht="15.75">
      <c r="A237" s="13">
        <v>49065</v>
      </c>
      <c r="B237" s="41">
        <v>31</v>
      </c>
      <c r="C237" s="32">
        <v>194.20500000000001</v>
      </c>
      <c r="D237" s="32">
        <v>267.46600000000001</v>
      </c>
      <c r="E237" s="38">
        <v>812.32899999999995</v>
      </c>
      <c r="F237" s="32">
        <v>1274</v>
      </c>
      <c r="G237" s="32">
        <v>75</v>
      </c>
      <c r="H237" s="40">
        <v>600</v>
      </c>
      <c r="I237" s="32">
        <v>695</v>
      </c>
      <c r="J237" s="32">
        <v>50</v>
      </c>
      <c r="K237" s="33"/>
      <c r="L237" s="33"/>
      <c r="M237" s="33"/>
      <c r="N237" s="33"/>
      <c r="O237" s="33"/>
      <c r="P237" s="33"/>
      <c r="Q237" s="33"/>
      <c r="R237" s="33"/>
      <c r="S237" s="33"/>
      <c r="T237" s="33"/>
    </row>
    <row r="238" spans="1:20" ht="15.75">
      <c r="A238" s="13">
        <v>49096</v>
      </c>
      <c r="B238" s="41">
        <v>30</v>
      </c>
      <c r="C238" s="32">
        <v>194.20500000000001</v>
      </c>
      <c r="D238" s="32">
        <v>267.46600000000001</v>
      </c>
      <c r="E238" s="38">
        <v>812.32899999999995</v>
      </c>
      <c r="F238" s="32">
        <v>1274</v>
      </c>
      <c r="G238" s="32">
        <v>50</v>
      </c>
      <c r="H238" s="40">
        <v>600</v>
      </c>
      <c r="I238" s="32">
        <v>695</v>
      </c>
      <c r="J238" s="32">
        <v>50</v>
      </c>
      <c r="K238" s="33"/>
      <c r="L238" s="33"/>
      <c r="M238" s="33"/>
      <c r="N238" s="33"/>
      <c r="O238" s="33"/>
      <c r="P238" s="33"/>
      <c r="Q238" s="33"/>
      <c r="R238" s="33"/>
      <c r="S238" s="33"/>
      <c r="T238" s="33"/>
    </row>
    <row r="239" spans="1:20" ht="15.75">
      <c r="A239" s="13">
        <v>49126</v>
      </c>
      <c r="B239" s="41">
        <v>31</v>
      </c>
      <c r="C239" s="32">
        <v>194.20500000000001</v>
      </c>
      <c r="D239" s="32">
        <v>267.46600000000001</v>
      </c>
      <c r="E239" s="38">
        <v>812.32899999999995</v>
      </c>
      <c r="F239" s="32">
        <v>1274</v>
      </c>
      <c r="G239" s="32">
        <v>50</v>
      </c>
      <c r="H239" s="40">
        <v>600</v>
      </c>
      <c r="I239" s="32">
        <v>695</v>
      </c>
      <c r="J239" s="32">
        <v>0</v>
      </c>
      <c r="K239" s="33"/>
      <c r="L239" s="33"/>
      <c r="M239" s="33"/>
      <c r="N239" s="33"/>
      <c r="O239" s="33"/>
      <c r="P239" s="33"/>
      <c r="Q239" s="33"/>
      <c r="R239" s="33"/>
      <c r="S239" s="33"/>
      <c r="T239" s="33"/>
    </row>
    <row r="240" spans="1:20" ht="15.75">
      <c r="A240" s="13">
        <v>49157</v>
      </c>
      <c r="B240" s="41">
        <v>31</v>
      </c>
      <c r="C240" s="32">
        <v>194.20500000000001</v>
      </c>
      <c r="D240" s="32">
        <v>267.46600000000001</v>
      </c>
      <c r="E240" s="38">
        <v>812.32899999999995</v>
      </c>
      <c r="F240" s="32">
        <v>1274</v>
      </c>
      <c r="G240" s="32">
        <v>50</v>
      </c>
      <c r="H240" s="40">
        <v>600</v>
      </c>
      <c r="I240" s="32">
        <v>695</v>
      </c>
      <c r="J240" s="32">
        <v>0</v>
      </c>
      <c r="K240" s="33"/>
      <c r="L240" s="33"/>
      <c r="M240" s="33"/>
      <c r="N240" s="33"/>
      <c r="O240" s="33"/>
      <c r="P240" s="33"/>
      <c r="Q240" s="33"/>
      <c r="R240" s="33"/>
      <c r="S240" s="33"/>
      <c r="T240" s="33"/>
    </row>
    <row r="241" spans="1:20" ht="15.75">
      <c r="A241" s="13">
        <v>49188</v>
      </c>
      <c r="B241" s="41">
        <v>30</v>
      </c>
      <c r="C241" s="32">
        <v>194.20500000000001</v>
      </c>
      <c r="D241" s="32">
        <v>267.46600000000001</v>
      </c>
      <c r="E241" s="38">
        <v>812.32899999999995</v>
      </c>
      <c r="F241" s="32">
        <v>1274</v>
      </c>
      <c r="G241" s="32">
        <v>50</v>
      </c>
      <c r="H241" s="40">
        <v>600</v>
      </c>
      <c r="I241" s="32">
        <v>695</v>
      </c>
      <c r="J241" s="32">
        <v>0</v>
      </c>
      <c r="K241" s="33"/>
      <c r="L241" s="33"/>
      <c r="M241" s="33"/>
      <c r="N241" s="33"/>
      <c r="O241" s="33"/>
      <c r="P241" s="33"/>
      <c r="Q241" s="33"/>
      <c r="R241" s="33"/>
      <c r="S241" s="33"/>
      <c r="T241" s="33"/>
    </row>
    <row r="242" spans="1:20" ht="15.75">
      <c r="A242" s="13">
        <v>49218</v>
      </c>
      <c r="B242" s="41">
        <v>31</v>
      </c>
      <c r="C242" s="32">
        <v>131.881</v>
      </c>
      <c r="D242" s="32">
        <v>277.16699999999997</v>
      </c>
      <c r="E242" s="38">
        <v>829.952</v>
      </c>
      <c r="F242" s="32">
        <v>1239</v>
      </c>
      <c r="G242" s="32">
        <v>75</v>
      </c>
      <c r="H242" s="40">
        <v>600</v>
      </c>
      <c r="I242" s="32">
        <v>695</v>
      </c>
      <c r="J242" s="32">
        <v>0</v>
      </c>
      <c r="K242" s="33"/>
      <c r="L242" s="33"/>
      <c r="M242" s="33"/>
      <c r="N242" s="33"/>
      <c r="O242" s="33"/>
      <c r="P242" s="33"/>
      <c r="Q242" s="33"/>
      <c r="R242" s="33"/>
      <c r="S242" s="33"/>
      <c r="T242" s="33"/>
    </row>
    <row r="243" spans="1:20" ht="15.75">
      <c r="A243" s="13">
        <v>49249</v>
      </c>
      <c r="B243" s="41">
        <v>30</v>
      </c>
      <c r="C243" s="32">
        <v>122.58</v>
      </c>
      <c r="D243" s="32">
        <v>297.94099999999997</v>
      </c>
      <c r="E243" s="38">
        <v>729.47900000000004</v>
      </c>
      <c r="F243" s="32">
        <v>1150</v>
      </c>
      <c r="G243" s="32">
        <v>100</v>
      </c>
      <c r="H243" s="40">
        <v>600</v>
      </c>
      <c r="I243" s="32">
        <v>695</v>
      </c>
      <c r="J243" s="32">
        <v>50</v>
      </c>
      <c r="K243" s="33"/>
      <c r="L243" s="33"/>
      <c r="M243" s="33"/>
      <c r="N243" s="33"/>
      <c r="O243" s="33"/>
      <c r="P243" s="33"/>
      <c r="Q243" s="33"/>
      <c r="R243" s="33"/>
      <c r="S243" s="33"/>
      <c r="T243" s="33"/>
    </row>
    <row r="244" spans="1:20" ht="15.75">
      <c r="A244" s="13">
        <v>49279</v>
      </c>
      <c r="B244" s="41">
        <v>31</v>
      </c>
      <c r="C244" s="32">
        <v>122.58</v>
      </c>
      <c r="D244" s="32">
        <v>297.94099999999997</v>
      </c>
      <c r="E244" s="38">
        <v>729.47900000000004</v>
      </c>
      <c r="F244" s="32">
        <v>1150</v>
      </c>
      <c r="G244" s="32">
        <v>100</v>
      </c>
      <c r="H244" s="40">
        <v>600</v>
      </c>
      <c r="I244" s="32">
        <v>695</v>
      </c>
      <c r="J244" s="32">
        <v>50</v>
      </c>
      <c r="K244" s="33"/>
      <c r="L244" s="33"/>
      <c r="M244" s="33"/>
      <c r="N244" s="33"/>
      <c r="O244" s="33"/>
      <c r="P244" s="33"/>
      <c r="Q244" s="33"/>
      <c r="R244" s="33"/>
      <c r="S244" s="33"/>
      <c r="T244" s="33"/>
    </row>
    <row r="245" spans="1:20" ht="15.75">
      <c r="A245" s="13">
        <v>49310</v>
      </c>
      <c r="B245" s="41">
        <v>31</v>
      </c>
      <c r="C245" s="32">
        <v>122.58</v>
      </c>
      <c r="D245" s="32">
        <v>297.94099999999997</v>
      </c>
      <c r="E245" s="38">
        <v>729.47900000000004</v>
      </c>
      <c r="F245" s="32">
        <v>1150</v>
      </c>
      <c r="G245" s="32">
        <v>100</v>
      </c>
      <c r="H245" s="40">
        <v>600</v>
      </c>
      <c r="I245" s="32">
        <v>695</v>
      </c>
      <c r="J245" s="32">
        <v>50</v>
      </c>
      <c r="K245" s="33"/>
      <c r="L245" s="33"/>
      <c r="M245" s="33"/>
      <c r="N245" s="33"/>
      <c r="O245" s="33"/>
      <c r="P245" s="33"/>
      <c r="Q245" s="33"/>
      <c r="R245" s="33"/>
      <c r="S245" s="33"/>
      <c r="T245" s="33"/>
    </row>
    <row r="246" spans="1:20" ht="15.75">
      <c r="A246" s="13">
        <v>49341</v>
      </c>
      <c r="B246" s="41">
        <v>28</v>
      </c>
      <c r="C246" s="32">
        <v>122.58</v>
      </c>
      <c r="D246" s="32">
        <v>297.94099999999997</v>
      </c>
      <c r="E246" s="38">
        <v>729.47900000000004</v>
      </c>
      <c r="F246" s="32">
        <v>1150</v>
      </c>
      <c r="G246" s="32">
        <v>100</v>
      </c>
      <c r="H246" s="40">
        <v>600</v>
      </c>
      <c r="I246" s="32">
        <v>695</v>
      </c>
      <c r="J246" s="32">
        <v>50</v>
      </c>
      <c r="K246" s="33"/>
      <c r="L246" s="33"/>
      <c r="M246" s="33"/>
      <c r="N246" s="33"/>
      <c r="O246" s="33"/>
      <c r="P246" s="33"/>
      <c r="Q246" s="33"/>
      <c r="R246" s="33"/>
      <c r="S246" s="33"/>
      <c r="T246" s="33"/>
    </row>
    <row r="247" spans="1:20" ht="15.75">
      <c r="A247" s="13">
        <v>49369</v>
      </c>
      <c r="B247" s="41">
        <v>31</v>
      </c>
      <c r="C247" s="32">
        <v>122.58</v>
      </c>
      <c r="D247" s="32">
        <v>297.94099999999997</v>
      </c>
      <c r="E247" s="38">
        <v>729.47900000000004</v>
      </c>
      <c r="F247" s="32">
        <v>1150</v>
      </c>
      <c r="G247" s="32">
        <v>100</v>
      </c>
      <c r="H247" s="40">
        <v>600</v>
      </c>
      <c r="I247" s="32">
        <v>695</v>
      </c>
      <c r="J247" s="32">
        <v>50</v>
      </c>
      <c r="K247" s="33"/>
      <c r="L247" s="33"/>
      <c r="M247" s="33"/>
      <c r="N247" s="33"/>
      <c r="O247" s="33"/>
      <c r="P247" s="33"/>
      <c r="Q247" s="33"/>
      <c r="R247" s="33"/>
      <c r="S247" s="33"/>
      <c r="T247" s="33"/>
    </row>
    <row r="248" spans="1:20" ht="15.75">
      <c r="A248" s="13">
        <v>49400</v>
      </c>
      <c r="B248" s="41">
        <v>30</v>
      </c>
      <c r="C248" s="32">
        <v>141.29300000000001</v>
      </c>
      <c r="D248" s="32">
        <v>267.99299999999999</v>
      </c>
      <c r="E248" s="38">
        <v>829.71400000000006</v>
      </c>
      <c r="F248" s="32">
        <v>1239</v>
      </c>
      <c r="G248" s="32">
        <v>100</v>
      </c>
      <c r="H248" s="40">
        <v>600</v>
      </c>
      <c r="I248" s="32">
        <v>695</v>
      </c>
      <c r="J248" s="32">
        <v>50</v>
      </c>
      <c r="K248" s="33"/>
      <c r="L248" s="33"/>
      <c r="M248" s="33"/>
      <c r="N248" s="33"/>
      <c r="O248" s="33"/>
      <c r="P248" s="33"/>
      <c r="Q248" s="33"/>
      <c r="R248" s="33"/>
      <c r="S248" s="33"/>
      <c r="T248" s="33"/>
    </row>
    <row r="249" spans="1:20" ht="15.75">
      <c r="A249" s="13">
        <v>49430</v>
      </c>
      <c r="B249" s="41">
        <v>31</v>
      </c>
      <c r="C249" s="32">
        <v>194.20500000000001</v>
      </c>
      <c r="D249" s="32">
        <v>267.46600000000001</v>
      </c>
      <c r="E249" s="38">
        <v>812.32899999999995</v>
      </c>
      <c r="F249" s="32">
        <v>1274</v>
      </c>
      <c r="G249" s="32">
        <v>75</v>
      </c>
      <c r="H249" s="40">
        <v>600</v>
      </c>
      <c r="I249" s="32">
        <v>695</v>
      </c>
      <c r="J249" s="32">
        <v>50</v>
      </c>
      <c r="K249" s="33"/>
      <c r="L249" s="33"/>
      <c r="M249" s="33"/>
      <c r="N249" s="33"/>
      <c r="O249" s="33"/>
      <c r="P249" s="33"/>
      <c r="Q249" s="33"/>
      <c r="R249" s="33"/>
      <c r="S249" s="33"/>
      <c r="T249" s="33"/>
    </row>
    <row r="250" spans="1:20" ht="15.75">
      <c r="A250" s="14">
        <v>49461</v>
      </c>
      <c r="B250" s="41">
        <v>30</v>
      </c>
      <c r="C250" s="32">
        <v>194.20500000000001</v>
      </c>
      <c r="D250" s="32">
        <v>267.46600000000001</v>
      </c>
      <c r="E250" s="38">
        <v>812.32899999999995</v>
      </c>
      <c r="F250" s="32">
        <v>1274</v>
      </c>
      <c r="G250" s="32">
        <v>50</v>
      </c>
      <c r="H250" s="40">
        <v>600</v>
      </c>
      <c r="I250" s="32">
        <v>695</v>
      </c>
      <c r="J250" s="32">
        <v>50</v>
      </c>
      <c r="K250" s="33"/>
      <c r="L250" s="33"/>
      <c r="M250" s="33"/>
      <c r="N250" s="33"/>
      <c r="O250" s="33"/>
      <c r="P250" s="33"/>
      <c r="Q250" s="33"/>
      <c r="R250" s="33"/>
      <c r="S250" s="33"/>
      <c r="T250" s="33"/>
    </row>
    <row r="251" spans="1:20" ht="15.75">
      <c r="A251" s="14">
        <v>49491</v>
      </c>
      <c r="B251" s="41">
        <v>31</v>
      </c>
      <c r="C251" s="32">
        <v>194.20500000000001</v>
      </c>
      <c r="D251" s="32">
        <v>267.46600000000001</v>
      </c>
      <c r="E251" s="38">
        <v>812.32899999999995</v>
      </c>
      <c r="F251" s="32">
        <v>1274</v>
      </c>
      <c r="G251" s="32">
        <v>50</v>
      </c>
      <c r="H251" s="40">
        <v>600</v>
      </c>
      <c r="I251" s="32">
        <v>695</v>
      </c>
      <c r="J251" s="32">
        <v>0</v>
      </c>
      <c r="K251" s="33"/>
      <c r="L251" s="33"/>
      <c r="M251" s="33"/>
      <c r="N251" s="33"/>
      <c r="O251" s="33"/>
      <c r="P251" s="33"/>
      <c r="Q251" s="33"/>
      <c r="R251" s="33"/>
      <c r="S251" s="33"/>
      <c r="T251" s="33"/>
    </row>
    <row r="252" spans="1:20" ht="15.75">
      <c r="A252" s="14">
        <v>49522</v>
      </c>
      <c r="B252" s="41">
        <v>31</v>
      </c>
      <c r="C252" s="32">
        <v>194.20500000000001</v>
      </c>
      <c r="D252" s="32">
        <v>267.46600000000001</v>
      </c>
      <c r="E252" s="38">
        <v>812.32899999999995</v>
      </c>
      <c r="F252" s="32">
        <v>1274</v>
      </c>
      <c r="G252" s="32">
        <v>50</v>
      </c>
      <c r="H252" s="40">
        <v>600</v>
      </c>
      <c r="I252" s="32">
        <v>695</v>
      </c>
      <c r="J252" s="32">
        <v>0</v>
      </c>
      <c r="K252" s="33"/>
      <c r="L252" s="33"/>
      <c r="M252" s="33"/>
      <c r="N252" s="33"/>
      <c r="O252" s="33"/>
      <c r="P252" s="33"/>
      <c r="Q252" s="33"/>
      <c r="R252" s="33"/>
      <c r="S252" s="33"/>
      <c r="T252" s="33"/>
    </row>
    <row r="253" spans="1:20" ht="15.75">
      <c r="A253" s="14">
        <v>49553</v>
      </c>
      <c r="B253" s="41">
        <v>30</v>
      </c>
      <c r="C253" s="32">
        <v>194.20500000000001</v>
      </c>
      <c r="D253" s="32">
        <v>267.46600000000001</v>
      </c>
      <c r="E253" s="38">
        <v>812.32899999999995</v>
      </c>
      <c r="F253" s="32">
        <v>1274</v>
      </c>
      <c r="G253" s="32">
        <v>50</v>
      </c>
      <c r="H253" s="40">
        <v>600</v>
      </c>
      <c r="I253" s="32">
        <v>695</v>
      </c>
      <c r="J253" s="32">
        <v>0</v>
      </c>
      <c r="K253" s="33"/>
      <c r="L253" s="33"/>
      <c r="M253" s="33"/>
      <c r="N253" s="33"/>
      <c r="O253" s="33"/>
      <c r="P253" s="33"/>
      <c r="Q253" s="33"/>
      <c r="R253" s="33"/>
      <c r="S253" s="33"/>
      <c r="T253" s="33"/>
    </row>
    <row r="254" spans="1:20" ht="15.75">
      <c r="A254" s="14">
        <v>49583</v>
      </c>
      <c r="B254" s="41">
        <v>31</v>
      </c>
      <c r="C254" s="32">
        <v>131.881</v>
      </c>
      <c r="D254" s="32">
        <v>277.16699999999997</v>
      </c>
      <c r="E254" s="38">
        <v>829.952</v>
      </c>
      <c r="F254" s="32">
        <v>1239</v>
      </c>
      <c r="G254" s="32">
        <v>75</v>
      </c>
      <c r="H254" s="40">
        <v>600</v>
      </c>
      <c r="I254" s="32">
        <v>695</v>
      </c>
      <c r="J254" s="32">
        <v>0</v>
      </c>
      <c r="K254" s="33"/>
      <c r="L254" s="33"/>
      <c r="M254" s="33"/>
      <c r="N254" s="33"/>
      <c r="O254" s="33"/>
      <c r="P254" s="33"/>
      <c r="Q254" s="33"/>
      <c r="R254" s="33"/>
      <c r="S254" s="33"/>
      <c r="T254" s="33"/>
    </row>
    <row r="255" spans="1:20" ht="15.75">
      <c r="A255" s="14">
        <v>49614</v>
      </c>
      <c r="B255" s="41">
        <v>30</v>
      </c>
      <c r="C255" s="32">
        <v>122.58</v>
      </c>
      <c r="D255" s="32">
        <v>297.94099999999997</v>
      </c>
      <c r="E255" s="38">
        <v>729.47900000000004</v>
      </c>
      <c r="F255" s="32">
        <v>1150</v>
      </c>
      <c r="G255" s="32">
        <v>100</v>
      </c>
      <c r="H255" s="40">
        <v>600</v>
      </c>
      <c r="I255" s="32">
        <v>695</v>
      </c>
      <c r="J255" s="32">
        <v>50</v>
      </c>
      <c r="K255" s="33"/>
      <c r="L255" s="33"/>
      <c r="M255" s="33"/>
      <c r="N255" s="33"/>
      <c r="O255" s="33"/>
      <c r="P255" s="33"/>
      <c r="Q255" s="33"/>
      <c r="R255" s="33"/>
      <c r="S255" s="33"/>
      <c r="T255" s="33"/>
    </row>
    <row r="256" spans="1:20" ht="15.75">
      <c r="A256" s="14">
        <v>49644</v>
      </c>
      <c r="B256" s="41">
        <v>31</v>
      </c>
      <c r="C256" s="32">
        <v>122.58</v>
      </c>
      <c r="D256" s="32">
        <v>297.94099999999997</v>
      </c>
      <c r="E256" s="38">
        <v>729.47900000000004</v>
      </c>
      <c r="F256" s="32">
        <v>1150</v>
      </c>
      <c r="G256" s="32">
        <v>100</v>
      </c>
      <c r="H256" s="40">
        <v>600</v>
      </c>
      <c r="I256" s="32">
        <v>695</v>
      </c>
      <c r="J256" s="32">
        <v>50</v>
      </c>
      <c r="K256" s="33"/>
      <c r="L256" s="33"/>
      <c r="M256" s="33"/>
      <c r="N256" s="33"/>
      <c r="O256" s="33"/>
      <c r="P256" s="33"/>
      <c r="Q256" s="33"/>
      <c r="R256" s="33"/>
      <c r="S256" s="33"/>
      <c r="T256" s="33"/>
    </row>
    <row r="257" spans="1:20" ht="15.75">
      <c r="A257" s="14">
        <v>49675</v>
      </c>
      <c r="B257" s="41">
        <v>31</v>
      </c>
      <c r="C257" s="32">
        <v>122.58</v>
      </c>
      <c r="D257" s="32">
        <v>297.94099999999997</v>
      </c>
      <c r="E257" s="38">
        <v>729.47900000000004</v>
      </c>
      <c r="F257" s="32">
        <v>1150</v>
      </c>
      <c r="G257" s="32">
        <v>100</v>
      </c>
      <c r="H257" s="40">
        <v>600</v>
      </c>
      <c r="I257" s="32">
        <v>695</v>
      </c>
      <c r="J257" s="32">
        <v>50</v>
      </c>
      <c r="K257" s="33"/>
      <c r="L257" s="33"/>
      <c r="M257" s="33"/>
      <c r="N257" s="33"/>
      <c r="O257" s="33"/>
      <c r="P257" s="33"/>
      <c r="Q257" s="33"/>
      <c r="R257" s="33"/>
      <c r="S257" s="33"/>
      <c r="T257" s="33"/>
    </row>
    <row r="258" spans="1:20" ht="15.75">
      <c r="A258" s="14">
        <v>49706</v>
      </c>
      <c r="B258" s="41">
        <v>29</v>
      </c>
      <c r="C258" s="32">
        <v>122.58</v>
      </c>
      <c r="D258" s="32">
        <v>297.94099999999997</v>
      </c>
      <c r="E258" s="38">
        <v>729.47900000000004</v>
      </c>
      <c r="F258" s="32">
        <v>1150</v>
      </c>
      <c r="G258" s="32">
        <v>100</v>
      </c>
      <c r="H258" s="40">
        <v>600</v>
      </c>
      <c r="I258" s="32">
        <v>695</v>
      </c>
      <c r="J258" s="32">
        <v>50</v>
      </c>
      <c r="K258" s="33"/>
      <c r="L258" s="33"/>
      <c r="M258" s="33"/>
      <c r="N258" s="33"/>
      <c r="O258" s="33"/>
      <c r="P258" s="33"/>
      <c r="Q258" s="33"/>
      <c r="R258" s="33"/>
      <c r="S258" s="33"/>
      <c r="T258" s="33"/>
    </row>
    <row r="259" spans="1:20" ht="15.75">
      <c r="A259" s="14">
        <v>49735</v>
      </c>
      <c r="B259" s="41">
        <v>31</v>
      </c>
      <c r="C259" s="32">
        <v>122.58</v>
      </c>
      <c r="D259" s="32">
        <v>297.94099999999997</v>
      </c>
      <c r="E259" s="38">
        <v>729.47900000000004</v>
      </c>
      <c r="F259" s="32">
        <v>1150</v>
      </c>
      <c r="G259" s="32">
        <v>100</v>
      </c>
      <c r="H259" s="40">
        <v>600</v>
      </c>
      <c r="I259" s="32">
        <v>695</v>
      </c>
      <c r="J259" s="32">
        <v>50</v>
      </c>
      <c r="K259" s="33"/>
      <c r="L259" s="33"/>
      <c r="M259" s="33"/>
      <c r="N259" s="33"/>
      <c r="O259" s="33"/>
      <c r="P259" s="33"/>
      <c r="Q259" s="33"/>
      <c r="R259" s="33"/>
      <c r="S259" s="33"/>
      <c r="T259" s="33"/>
    </row>
    <row r="260" spans="1:20" ht="15.75">
      <c r="A260" s="14">
        <v>49766</v>
      </c>
      <c r="B260" s="41">
        <v>30</v>
      </c>
      <c r="C260" s="32">
        <v>141.29300000000001</v>
      </c>
      <c r="D260" s="32">
        <v>267.99299999999999</v>
      </c>
      <c r="E260" s="38">
        <v>829.71400000000006</v>
      </c>
      <c r="F260" s="32">
        <v>1239</v>
      </c>
      <c r="G260" s="32">
        <v>100</v>
      </c>
      <c r="H260" s="40">
        <v>600</v>
      </c>
      <c r="I260" s="32">
        <v>695</v>
      </c>
      <c r="J260" s="32">
        <v>50</v>
      </c>
      <c r="K260" s="33"/>
      <c r="L260" s="33"/>
      <c r="M260" s="33"/>
      <c r="N260" s="33"/>
      <c r="O260" s="33"/>
      <c r="P260" s="33"/>
      <c r="Q260" s="33"/>
      <c r="R260" s="33"/>
      <c r="S260" s="33"/>
      <c r="T260" s="33"/>
    </row>
    <row r="261" spans="1:20" ht="15.75">
      <c r="A261" s="14">
        <v>49796</v>
      </c>
      <c r="B261" s="41">
        <v>31</v>
      </c>
      <c r="C261" s="32">
        <v>194.20500000000001</v>
      </c>
      <c r="D261" s="32">
        <v>267.46600000000001</v>
      </c>
      <c r="E261" s="38">
        <v>812.32899999999995</v>
      </c>
      <c r="F261" s="32">
        <v>1274</v>
      </c>
      <c r="G261" s="32">
        <v>75</v>
      </c>
      <c r="H261" s="40">
        <v>600</v>
      </c>
      <c r="I261" s="32">
        <v>695</v>
      </c>
      <c r="J261" s="32">
        <v>50</v>
      </c>
      <c r="K261" s="33"/>
      <c r="L261" s="33"/>
      <c r="M261" s="33"/>
      <c r="N261" s="33"/>
      <c r="O261" s="33"/>
      <c r="P261" s="33"/>
      <c r="Q261" s="33"/>
      <c r="R261" s="33"/>
      <c r="S261" s="33"/>
      <c r="T261" s="33"/>
    </row>
    <row r="262" spans="1:20" ht="15.75">
      <c r="A262" s="14">
        <v>49827</v>
      </c>
      <c r="B262" s="41">
        <v>30</v>
      </c>
      <c r="C262" s="32">
        <v>194.20500000000001</v>
      </c>
      <c r="D262" s="32">
        <v>267.46600000000001</v>
      </c>
      <c r="E262" s="38">
        <v>812.32899999999995</v>
      </c>
      <c r="F262" s="32">
        <v>1274</v>
      </c>
      <c r="G262" s="32">
        <v>50</v>
      </c>
      <c r="H262" s="40">
        <v>600</v>
      </c>
      <c r="I262" s="32">
        <v>695</v>
      </c>
      <c r="J262" s="32">
        <v>50</v>
      </c>
      <c r="K262" s="33"/>
      <c r="L262" s="33"/>
      <c r="M262" s="33"/>
      <c r="N262" s="33"/>
      <c r="O262" s="33"/>
      <c r="P262" s="33"/>
      <c r="Q262" s="33"/>
      <c r="R262" s="33"/>
      <c r="S262" s="33"/>
      <c r="T262" s="33"/>
    </row>
    <row r="263" spans="1:20" ht="15.75">
      <c r="A263" s="14">
        <v>49857</v>
      </c>
      <c r="B263" s="41">
        <v>31</v>
      </c>
      <c r="C263" s="32">
        <v>194.20500000000001</v>
      </c>
      <c r="D263" s="32">
        <v>267.46600000000001</v>
      </c>
      <c r="E263" s="38">
        <v>812.32899999999995</v>
      </c>
      <c r="F263" s="32">
        <v>1274</v>
      </c>
      <c r="G263" s="32">
        <v>50</v>
      </c>
      <c r="H263" s="40">
        <v>600</v>
      </c>
      <c r="I263" s="32">
        <v>695</v>
      </c>
      <c r="J263" s="32">
        <v>0</v>
      </c>
      <c r="K263" s="33"/>
      <c r="L263" s="33"/>
      <c r="M263" s="33"/>
      <c r="N263" s="33"/>
      <c r="O263" s="33"/>
      <c r="P263" s="33"/>
      <c r="Q263" s="33"/>
      <c r="R263" s="33"/>
      <c r="S263" s="33"/>
      <c r="T263" s="33"/>
    </row>
    <row r="264" spans="1:20" ht="15.75">
      <c r="A264" s="14">
        <v>49888</v>
      </c>
      <c r="B264" s="41">
        <v>31</v>
      </c>
      <c r="C264" s="32">
        <v>194.20500000000001</v>
      </c>
      <c r="D264" s="32">
        <v>267.46600000000001</v>
      </c>
      <c r="E264" s="38">
        <v>812.32899999999995</v>
      </c>
      <c r="F264" s="32">
        <v>1274</v>
      </c>
      <c r="G264" s="32">
        <v>50</v>
      </c>
      <c r="H264" s="40">
        <v>600</v>
      </c>
      <c r="I264" s="32">
        <v>695</v>
      </c>
      <c r="J264" s="32">
        <v>0</v>
      </c>
      <c r="K264" s="33"/>
      <c r="L264" s="33"/>
      <c r="M264" s="33"/>
      <c r="N264" s="33"/>
      <c r="O264" s="33"/>
      <c r="P264" s="33"/>
      <c r="Q264" s="33"/>
      <c r="R264" s="33"/>
      <c r="S264" s="33"/>
      <c r="T264" s="33"/>
    </row>
    <row r="265" spans="1:20" ht="15.75">
      <c r="A265" s="14">
        <v>49919</v>
      </c>
      <c r="B265" s="41">
        <v>30</v>
      </c>
      <c r="C265" s="32">
        <v>194.20500000000001</v>
      </c>
      <c r="D265" s="32">
        <v>267.46600000000001</v>
      </c>
      <c r="E265" s="38">
        <v>812.32899999999995</v>
      </c>
      <c r="F265" s="32">
        <v>1274</v>
      </c>
      <c r="G265" s="32">
        <v>50</v>
      </c>
      <c r="H265" s="40">
        <v>600</v>
      </c>
      <c r="I265" s="32">
        <v>695</v>
      </c>
      <c r="J265" s="32">
        <v>0</v>
      </c>
      <c r="K265" s="33"/>
      <c r="L265" s="33"/>
      <c r="M265" s="33"/>
      <c r="N265" s="33"/>
      <c r="O265" s="33"/>
      <c r="P265" s="33"/>
      <c r="Q265" s="33"/>
      <c r="R265" s="33"/>
      <c r="S265" s="33"/>
      <c r="T265" s="33"/>
    </row>
    <row r="266" spans="1:20" ht="15.75">
      <c r="A266" s="14">
        <v>49949</v>
      </c>
      <c r="B266" s="41">
        <v>31</v>
      </c>
      <c r="C266" s="32">
        <v>131.881</v>
      </c>
      <c r="D266" s="32">
        <v>277.16699999999997</v>
      </c>
      <c r="E266" s="38">
        <v>829.952</v>
      </c>
      <c r="F266" s="32">
        <v>1239</v>
      </c>
      <c r="G266" s="32">
        <v>75</v>
      </c>
      <c r="H266" s="40">
        <v>600</v>
      </c>
      <c r="I266" s="32">
        <v>695</v>
      </c>
      <c r="J266" s="32">
        <v>0</v>
      </c>
      <c r="K266" s="33"/>
      <c r="L266" s="33"/>
      <c r="M266" s="33"/>
      <c r="N266" s="33"/>
      <c r="O266" s="33"/>
      <c r="P266" s="33"/>
      <c r="Q266" s="33"/>
      <c r="R266" s="33"/>
      <c r="S266" s="33"/>
      <c r="T266" s="33"/>
    </row>
    <row r="267" spans="1:20" ht="15.75">
      <c r="A267" s="14">
        <v>49980</v>
      </c>
      <c r="B267" s="41">
        <v>30</v>
      </c>
      <c r="C267" s="32">
        <v>122.58</v>
      </c>
      <c r="D267" s="32">
        <v>297.94099999999997</v>
      </c>
      <c r="E267" s="38">
        <v>729.47900000000004</v>
      </c>
      <c r="F267" s="32">
        <v>1150</v>
      </c>
      <c r="G267" s="32">
        <v>100</v>
      </c>
      <c r="H267" s="40">
        <v>600</v>
      </c>
      <c r="I267" s="32">
        <v>695</v>
      </c>
      <c r="J267" s="32">
        <v>50</v>
      </c>
      <c r="K267" s="33"/>
      <c r="L267" s="33"/>
      <c r="M267" s="33"/>
      <c r="N267" s="33"/>
      <c r="O267" s="33"/>
      <c r="P267" s="33"/>
      <c r="Q267" s="33"/>
      <c r="R267" s="33"/>
      <c r="S267" s="33"/>
      <c r="T267" s="33"/>
    </row>
    <row r="268" spans="1:20" ht="15.75">
      <c r="A268" s="14">
        <v>50010</v>
      </c>
      <c r="B268" s="41">
        <v>31</v>
      </c>
      <c r="C268" s="32">
        <v>122.58</v>
      </c>
      <c r="D268" s="32">
        <v>297.94099999999997</v>
      </c>
      <c r="E268" s="38">
        <v>729.47900000000004</v>
      </c>
      <c r="F268" s="32">
        <v>1150</v>
      </c>
      <c r="G268" s="32">
        <v>100</v>
      </c>
      <c r="H268" s="40">
        <v>600</v>
      </c>
      <c r="I268" s="32">
        <v>695</v>
      </c>
      <c r="J268" s="32">
        <v>50</v>
      </c>
      <c r="K268" s="33"/>
      <c r="L268" s="33"/>
      <c r="M268" s="33"/>
      <c r="N268" s="33"/>
      <c r="O268" s="33"/>
      <c r="P268" s="33"/>
      <c r="Q268" s="33"/>
      <c r="R268" s="33"/>
      <c r="S268" s="33"/>
      <c r="T268" s="33"/>
    </row>
    <row r="269" spans="1:20" ht="15.75">
      <c r="A269" s="14">
        <v>50041</v>
      </c>
      <c r="B269" s="41">
        <v>31</v>
      </c>
      <c r="C269" s="32">
        <v>122.58</v>
      </c>
      <c r="D269" s="32">
        <v>297.94099999999997</v>
      </c>
      <c r="E269" s="38">
        <v>729.47900000000004</v>
      </c>
      <c r="F269" s="32">
        <v>1150</v>
      </c>
      <c r="G269" s="32">
        <v>100</v>
      </c>
      <c r="H269" s="40">
        <v>600</v>
      </c>
      <c r="I269" s="32">
        <v>695</v>
      </c>
      <c r="J269" s="32">
        <v>50</v>
      </c>
      <c r="K269" s="33"/>
      <c r="L269" s="33"/>
      <c r="M269" s="33"/>
      <c r="N269" s="33"/>
      <c r="O269" s="33"/>
      <c r="P269" s="33"/>
      <c r="Q269" s="33"/>
      <c r="R269" s="33"/>
      <c r="S269" s="33"/>
      <c r="T269" s="33"/>
    </row>
    <row r="270" spans="1:20" ht="15.75">
      <c r="A270" s="14">
        <v>50072</v>
      </c>
      <c r="B270" s="41">
        <v>28</v>
      </c>
      <c r="C270" s="32">
        <v>122.58</v>
      </c>
      <c r="D270" s="32">
        <v>297.94099999999997</v>
      </c>
      <c r="E270" s="38">
        <v>729.47900000000004</v>
      </c>
      <c r="F270" s="32">
        <v>1150</v>
      </c>
      <c r="G270" s="32">
        <v>100</v>
      </c>
      <c r="H270" s="40">
        <v>600</v>
      </c>
      <c r="I270" s="32">
        <v>695</v>
      </c>
      <c r="J270" s="32">
        <v>50</v>
      </c>
      <c r="K270" s="33"/>
      <c r="L270" s="33"/>
      <c r="M270" s="33"/>
      <c r="N270" s="33"/>
      <c r="O270" s="33"/>
      <c r="P270" s="33"/>
      <c r="Q270" s="33"/>
      <c r="R270" s="33"/>
      <c r="S270" s="33"/>
      <c r="T270" s="33"/>
    </row>
    <row r="271" spans="1:20" ht="15.75">
      <c r="A271" s="14">
        <v>50100</v>
      </c>
      <c r="B271" s="41">
        <v>31</v>
      </c>
      <c r="C271" s="32">
        <v>122.58</v>
      </c>
      <c r="D271" s="32">
        <v>297.94099999999997</v>
      </c>
      <c r="E271" s="38">
        <v>729.47900000000004</v>
      </c>
      <c r="F271" s="32">
        <v>1150</v>
      </c>
      <c r="G271" s="32">
        <v>100</v>
      </c>
      <c r="H271" s="40">
        <v>600</v>
      </c>
      <c r="I271" s="32">
        <v>695</v>
      </c>
      <c r="J271" s="32">
        <v>50</v>
      </c>
      <c r="K271" s="33"/>
      <c r="L271" s="33"/>
      <c r="M271" s="33"/>
      <c r="N271" s="33"/>
      <c r="O271" s="33"/>
      <c r="P271" s="33"/>
      <c r="Q271" s="33"/>
      <c r="R271" s="33"/>
      <c r="S271" s="33"/>
      <c r="T271" s="33"/>
    </row>
    <row r="272" spans="1:20" ht="15.75">
      <c r="A272" s="14">
        <v>50131</v>
      </c>
      <c r="B272" s="41">
        <v>30</v>
      </c>
      <c r="C272" s="32">
        <v>141.29300000000001</v>
      </c>
      <c r="D272" s="32">
        <v>267.99299999999999</v>
      </c>
      <c r="E272" s="38">
        <v>829.71400000000006</v>
      </c>
      <c r="F272" s="32">
        <v>1239</v>
      </c>
      <c r="G272" s="32">
        <v>100</v>
      </c>
      <c r="H272" s="40">
        <v>600</v>
      </c>
      <c r="I272" s="32">
        <v>695</v>
      </c>
      <c r="J272" s="32">
        <v>50</v>
      </c>
      <c r="K272" s="33"/>
      <c r="L272" s="33"/>
      <c r="M272" s="33"/>
      <c r="N272" s="33"/>
      <c r="O272" s="33"/>
      <c r="P272" s="33"/>
      <c r="Q272" s="33"/>
      <c r="R272" s="33"/>
      <c r="S272" s="33"/>
      <c r="T272" s="33"/>
    </row>
    <row r="273" spans="1:20" ht="15.75">
      <c r="A273" s="14">
        <v>50161</v>
      </c>
      <c r="B273" s="41">
        <v>31</v>
      </c>
      <c r="C273" s="32">
        <v>194.20500000000001</v>
      </c>
      <c r="D273" s="32">
        <v>267.46600000000001</v>
      </c>
      <c r="E273" s="38">
        <v>812.32899999999995</v>
      </c>
      <c r="F273" s="32">
        <v>1274</v>
      </c>
      <c r="G273" s="32">
        <v>75</v>
      </c>
      <c r="H273" s="40">
        <v>600</v>
      </c>
      <c r="I273" s="32">
        <v>695</v>
      </c>
      <c r="J273" s="32">
        <v>50</v>
      </c>
      <c r="K273" s="33"/>
      <c r="L273" s="33"/>
      <c r="M273" s="33"/>
      <c r="N273" s="33"/>
      <c r="O273" s="33"/>
      <c r="P273" s="33"/>
      <c r="Q273" s="33"/>
      <c r="R273" s="33"/>
      <c r="S273" s="33"/>
      <c r="T273" s="33"/>
    </row>
    <row r="274" spans="1:20" ht="15.75">
      <c r="A274" s="14">
        <v>50192</v>
      </c>
      <c r="B274" s="41">
        <v>30</v>
      </c>
      <c r="C274" s="32">
        <v>194.20500000000001</v>
      </c>
      <c r="D274" s="32">
        <v>267.46600000000001</v>
      </c>
      <c r="E274" s="38">
        <v>812.32899999999995</v>
      </c>
      <c r="F274" s="32">
        <v>1274</v>
      </c>
      <c r="G274" s="32">
        <v>50</v>
      </c>
      <c r="H274" s="40">
        <v>600</v>
      </c>
      <c r="I274" s="32">
        <v>695</v>
      </c>
      <c r="J274" s="32">
        <v>50</v>
      </c>
      <c r="K274" s="33"/>
      <c r="L274" s="33"/>
      <c r="M274" s="33"/>
      <c r="N274" s="33"/>
      <c r="O274" s="33"/>
      <c r="P274" s="33"/>
      <c r="Q274" s="33"/>
      <c r="R274" s="33"/>
      <c r="S274" s="33"/>
      <c r="T274" s="33"/>
    </row>
    <row r="275" spans="1:20" ht="15.75">
      <c r="A275" s="14">
        <v>50222</v>
      </c>
      <c r="B275" s="41">
        <v>31</v>
      </c>
      <c r="C275" s="32">
        <v>194.20500000000001</v>
      </c>
      <c r="D275" s="32">
        <v>267.46600000000001</v>
      </c>
      <c r="E275" s="38">
        <v>812.32899999999995</v>
      </c>
      <c r="F275" s="32">
        <v>1274</v>
      </c>
      <c r="G275" s="32">
        <v>50</v>
      </c>
      <c r="H275" s="40">
        <v>600</v>
      </c>
      <c r="I275" s="32">
        <v>695</v>
      </c>
      <c r="J275" s="32">
        <v>0</v>
      </c>
      <c r="K275" s="33"/>
      <c r="L275" s="33"/>
      <c r="M275" s="33"/>
      <c r="N275" s="33"/>
      <c r="O275" s="33"/>
      <c r="P275" s="33"/>
      <c r="Q275" s="33"/>
      <c r="R275" s="33"/>
      <c r="S275" s="33"/>
      <c r="T275" s="33"/>
    </row>
    <row r="276" spans="1:20" ht="15.75">
      <c r="A276" s="14">
        <v>50253</v>
      </c>
      <c r="B276" s="41">
        <v>31</v>
      </c>
      <c r="C276" s="32">
        <v>194.20500000000001</v>
      </c>
      <c r="D276" s="32">
        <v>267.46600000000001</v>
      </c>
      <c r="E276" s="38">
        <v>812.32899999999995</v>
      </c>
      <c r="F276" s="32">
        <v>1274</v>
      </c>
      <c r="G276" s="32">
        <v>50</v>
      </c>
      <c r="H276" s="40">
        <v>600</v>
      </c>
      <c r="I276" s="32">
        <v>695</v>
      </c>
      <c r="J276" s="32">
        <v>0</v>
      </c>
      <c r="K276" s="33"/>
      <c r="L276" s="33"/>
      <c r="M276" s="33"/>
      <c r="N276" s="33"/>
      <c r="O276" s="33"/>
      <c r="P276" s="33"/>
      <c r="Q276" s="33"/>
      <c r="R276" s="33"/>
      <c r="S276" s="33"/>
      <c r="T276" s="33"/>
    </row>
    <row r="277" spans="1:20" ht="15.75">
      <c r="A277" s="14">
        <v>50284</v>
      </c>
      <c r="B277" s="41">
        <v>30</v>
      </c>
      <c r="C277" s="32">
        <v>194.20500000000001</v>
      </c>
      <c r="D277" s="32">
        <v>267.46600000000001</v>
      </c>
      <c r="E277" s="38">
        <v>812.32899999999995</v>
      </c>
      <c r="F277" s="32">
        <v>1274</v>
      </c>
      <c r="G277" s="32">
        <v>50</v>
      </c>
      <c r="H277" s="40">
        <v>600</v>
      </c>
      <c r="I277" s="32">
        <v>695</v>
      </c>
      <c r="J277" s="32">
        <v>0</v>
      </c>
      <c r="K277" s="33"/>
      <c r="L277" s="33"/>
      <c r="M277" s="33"/>
      <c r="N277" s="33"/>
      <c r="O277" s="33"/>
      <c r="P277" s="33"/>
      <c r="Q277" s="33"/>
      <c r="R277" s="33"/>
      <c r="S277" s="33"/>
      <c r="T277" s="33"/>
    </row>
    <row r="278" spans="1:20" ht="15.75">
      <c r="A278" s="14">
        <v>50314</v>
      </c>
      <c r="B278" s="41">
        <v>31</v>
      </c>
      <c r="C278" s="32">
        <v>131.881</v>
      </c>
      <c r="D278" s="32">
        <v>277.16699999999997</v>
      </c>
      <c r="E278" s="38">
        <v>829.952</v>
      </c>
      <c r="F278" s="32">
        <v>1239</v>
      </c>
      <c r="G278" s="32">
        <v>75</v>
      </c>
      <c r="H278" s="40">
        <v>600</v>
      </c>
      <c r="I278" s="32">
        <v>695</v>
      </c>
      <c r="J278" s="32">
        <v>0</v>
      </c>
      <c r="K278" s="33"/>
      <c r="L278" s="33"/>
      <c r="M278" s="33"/>
      <c r="N278" s="33"/>
      <c r="O278" s="33"/>
      <c r="P278" s="33"/>
      <c r="Q278" s="33"/>
      <c r="R278" s="33"/>
      <c r="S278" s="33"/>
      <c r="T278" s="33"/>
    </row>
    <row r="279" spans="1:20" ht="15.75">
      <c r="A279" s="14">
        <v>50345</v>
      </c>
      <c r="B279" s="41">
        <v>30</v>
      </c>
      <c r="C279" s="32">
        <v>122.58</v>
      </c>
      <c r="D279" s="32">
        <v>297.94099999999997</v>
      </c>
      <c r="E279" s="38">
        <v>729.47900000000004</v>
      </c>
      <c r="F279" s="32">
        <v>1150</v>
      </c>
      <c r="G279" s="32">
        <v>100</v>
      </c>
      <c r="H279" s="40">
        <v>600</v>
      </c>
      <c r="I279" s="32">
        <v>695</v>
      </c>
      <c r="J279" s="32">
        <v>50</v>
      </c>
      <c r="K279" s="33"/>
      <c r="L279" s="33"/>
      <c r="M279" s="33"/>
      <c r="N279" s="33"/>
      <c r="O279" s="33"/>
      <c r="P279" s="33"/>
      <c r="Q279" s="33"/>
      <c r="R279" s="33"/>
      <c r="S279" s="33"/>
      <c r="T279" s="33"/>
    </row>
    <row r="280" spans="1:20" ht="15.75">
      <c r="A280" s="14">
        <v>50375</v>
      </c>
      <c r="B280" s="41">
        <v>31</v>
      </c>
      <c r="C280" s="32">
        <v>122.58</v>
      </c>
      <c r="D280" s="32">
        <v>297.94099999999997</v>
      </c>
      <c r="E280" s="38">
        <v>729.47900000000004</v>
      </c>
      <c r="F280" s="32">
        <v>1150</v>
      </c>
      <c r="G280" s="32">
        <v>100</v>
      </c>
      <c r="H280" s="40">
        <v>600</v>
      </c>
      <c r="I280" s="32">
        <v>695</v>
      </c>
      <c r="J280" s="32">
        <v>50</v>
      </c>
      <c r="K280" s="33"/>
      <c r="L280" s="33"/>
      <c r="M280" s="33"/>
      <c r="N280" s="33"/>
      <c r="O280" s="33"/>
      <c r="P280" s="33"/>
      <c r="Q280" s="33"/>
      <c r="R280" s="33"/>
      <c r="S280" s="33"/>
      <c r="T280" s="33"/>
    </row>
    <row r="281" spans="1:20" ht="15.75">
      <c r="A281" s="13">
        <v>50436</v>
      </c>
      <c r="B281" s="41">
        <v>31</v>
      </c>
      <c r="C281" s="32">
        <v>122.58</v>
      </c>
      <c r="D281" s="32">
        <v>297.94099999999997</v>
      </c>
      <c r="E281" s="38">
        <v>729.47900000000004</v>
      </c>
      <c r="F281" s="32">
        <v>1150</v>
      </c>
      <c r="G281" s="32">
        <v>100</v>
      </c>
      <c r="H281" s="40">
        <v>600</v>
      </c>
      <c r="I281" s="32">
        <v>695</v>
      </c>
      <c r="J281" s="32">
        <v>50</v>
      </c>
      <c r="K281" s="33"/>
      <c r="L281" s="33"/>
      <c r="M281" s="33"/>
      <c r="N281" s="33"/>
      <c r="O281" s="33"/>
      <c r="P281" s="33"/>
      <c r="Q281" s="33"/>
      <c r="R281" s="33"/>
      <c r="S281" s="33"/>
      <c r="T281" s="33"/>
    </row>
    <row r="282" spans="1:20" ht="15.75">
      <c r="A282" s="13">
        <v>50464</v>
      </c>
      <c r="B282" s="41">
        <v>28</v>
      </c>
      <c r="C282" s="32">
        <v>122.58</v>
      </c>
      <c r="D282" s="32">
        <v>297.94099999999997</v>
      </c>
      <c r="E282" s="38">
        <v>729.47900000000004</v>
      </c>
      <c r="F282" s="32">
        <v>1150</v>
      </c>
      <c r="G282" s="32">
        <v>100</v>
      </c>
      <c r="H282" s="40">
        <v>600</v>
      </c>
      <c r="I282" s="32">
        <v>695</v>
      </c>
      <c r="J282" s="32">
        <v>50</v>
      </c>
      <c r="K282" s="33"/>
      <c r="L282" s="33"/>
      <c r="M282" s="33"/>
      <c r="N282" s="33"/>
      <c r="O282" s="33"/>
      <c r="P282" s="33"/>
      <c r="Q282" s="33"/>
      <c r="R282" s="33"/>
      <c r="S282" s="33"/>
      <c r="T282" s="33"/>
    </row>
    <row r="283" spans="1:20" ht="15.75">
      <c r="A283" s="13">
        <v>50495</v>
      </c>
      <c r="B283" s="41">
        <v>31</v>
      </c>
      <c r="C283" s="32">
        <v>122.58</v>
      </c>
      <c r="D283" s="32">
        <v>297.94099999999997</v>
      </c>
      <c r="E283" s="38">
        <v>729.47900000000004</v>
      </c>
      <c r="F283" s="32">
        <v>1150</v>
      </c>
      <c r="G283" s="32">
        <v>100</v>
      </c>
      <c r="H283" s="40">
        <v>600</v>
      </c>
      <c r="I283" s="32">
        <v>695</v>
      </c>
      <c r="J283" s="32">
        <v>50</v>
      </c>
      <c r="K283" s="33"/>
      <c r="L283" s="33"/>
      <c r="M283" s="33"/>
      <c r="N283" s="33"/>
      <c r="O283" s="33"/>
      <c r="P283" s="33"/>
      <c r="Q283" s="33"/>
      <c r="R283" s="33"/>
      <c r="S283" s="33"/>
      <c r="T283" s="33"/>
    </row>
    <row r="284" spans="1:20" ht="15.75">
      <c r="A284" s="13">
        <v>50525</v>
      </c>
      <c r="B284" s="41">
        <v>30</v>
      </c>
      <c r="C284" s="32">
        <v>141.29300000000001</v>
      </c>
      <c r="D284" s="32">
        <v>267.99299999999999</v>
      </c>
      <c r="E284" s="38">
        <v>829.71400000000006</v>
      </c>
      <c r="F284" s="32">
        <v>1239</v>
      </c>
      <c r="G284" s="32">
        <v>100</v>
      </c>
      <c r="H284" s="40">
        <v>600</v>
      </c>
      <c r="I284" s="32">
        <v>695</v>
      </c>
      <c r="J284" s="32">
        <v>50</v>
      </c>
      <c r="K284" s="33"/>
      <c r="L284" s="33"/>
      <c r="M284" s="33"/>
      <c r="N284" s="33"/>
      <c r="O284" s="33"/>
      <c r="P284" s="33"/>
      <c r="Q284" s="33"/>
      <c r="R284" s="33"/>
      <c r="S284" s="33"/>
      <c r="T284" s="33"/>
    </row>
    <row r="285" spans="1:20" ht="15.75">
      <c r="A285" s="13">
        <v>50556</v>
      </c>
      <c r="B285" s="41">
        <v>31</v>
      </c>
      <c r="C285" s="32">
        <v>194.20500000000001</v>
      </c>
      <c r="D285" s="32">
        <v>267.46600000000001</v>
      </c>
      <c r="E285" s="38">
        <v>812.32899999999995</v>
      </c>
      <c r="F285" s="32">
        <v>1274</v>
      </c>
      <c r="G285" s="32">
        <v>75</v>
      </c>
      <c r="H285" s="40">
        <v>600</v>
      </c>
      <c r="I285" s="32">
        <v>695</v>
      </c>
      <c r="J285" s="32">
        <v>50</v>
      </c>
      <c r="K285" s="33"/>
      <c r="L285" s="33"/>
      <c r="M285" s="33"/>
      <c r="N285" s="33"/>
      <c r="O285" s="33"/>
      <c r="P285" s="33"/>
      <c r="Q285" s="33"/>
      <c r="R285" s="33"/>
      <c r="S285" s="33"/>
      <c r="T285" s="33"/>
    </row>
    <row r="286" spans="1:20" ht="15.75">
      <c r="A286" s="13">
        <v>50586</v>
      </c>
      <c r="B286" s="41">
        <v>30</v>
      </c>
      <c r="C286" s="32">
        <v>194.20500000000001</v>
      </c>
      <c r="D286" s="32">
        <v>267.46600000000001</v>
      </c>
      <c r="E286" s="38">
        <v>812.32899999999995</v>
      </c>
      <c r="F286" s="32">
        <v>1274</v>
      </c>
      <c r="G286" s="32">
        <v>50</v>
      </c>
      <c r="H286" s="40">
        <v>600</v>
      </c>
      <c r="I286" s="32">
        <v>695</v>
      </c>
      <c r="J286" s="32">
        <v>50</v>
      </c>
      <c r="K286" s="33"/>
      <c r="L286" s="33"/>
      <c r="M286" s="33"/>
      <c r="N286" s="33"/>
      <c r="O286" s="33"/>
      <c r="P286" s="33"/>
      <c r="Q286" s="33"/>
      <c r="R286" s="33"/>
      <c r="S286" s="33"/>
      <c r="T286" s="33"/>
    </row>
    <row r="287" spans="1:20" ht="15.75">
      <c r="A287" s="13">
        <v>50617</v>
      </c>
      <c r="B287" s="41">
        <v>31</v>
      </c>
      <c r="C287" s="32">
        <v>194.20500000000001</v>
      </c>
      <c r="D287" s="32">
        <v>267.46600000000001</v>
      </c>
      <c r="E287" s="38">
        <v>812.32899999999995</v>
      </c>
      <c r="F287" s="32">
        <v>1274</v>
      </c>
      <c r="G287" s="32">
        <v>50</v>
      </c>
      <c r="H287" s="40">
        <v>600</v>
      </c>
      <c r="I287" s="32">
        <v>695</v>
      </c>
      <c r="J287" s="32">
        <v>0</v>
      </c>
      <c r="K287" s="33"/>
      <c r="L287" s="33"/>
      <c r="M287" s="33"/>
      <c r="N287" s="33"/>
      <c r="O287" s="33"/>
      <c r="P287" s="33"/>
      <c r="Q287" s="33"/>
      <c r="R287" s="33"/>
      <c r="S287" s="33"/>
      <c r="T287" s="33"/>
    </row>
    <row r="288" spans="1:20" ht="15.75">
      <c r="A288" s="13">
        <v>50648</v>
      </c>
      <c r="B288" s="41">
        <v>31</v>
      </c>
      <c r="C288" s="32">
        <v>194.20500000000001</v>
      </c>
      <c r="D288" s="32">
        <v>267.46600000000001</v>
      </c>
      <c r="E288" s="38">
        <v>812.32899999999995</v>
      </c>
      <c r="F288" s="32">
        <v>1274</v>
      </c>
      <c r="G288" s="32">
        <v>50</v>
      </c>
      <c r="H288" s="40">
        <v>600</v>
      </c>
      <c r="I288" s="32">
        <v>695</v>
      </c>
      <c r="J288" s="32">
        <v>0</v>
      </c>
      <c r="K288" s="33"/>
      <c r="L288" s="33"/>
      <c r="M288" s="33"/>
      <c r="N288" s="33"/>
      <c r="O288" s="33"/>
      <c r="P288" s="33"/>
      <c r="Q288" s="33"/>
      <c r="R288" s="33"/>
      <c r="S288" s="33"/>
      <c r="T288" s="33"/>
    </row>
    <row r="289" spans="1:20" ht="15.75">
      <c r="A289" s="13">
        <v>50678</v>
      </c>
      <c r="B289" s="41">
        <v>30</v>
      </c>
      <c r="C289" s="32">
        <v>194.20500000000001</v>
      </c>
      <c r="D289" s="32">
        <v>267.46600000000001</v>
      </c>
      <c r="E289" s="38">
        <v>812.32899999999995</v>
      </c>
      <c r="F289" s="32">
        <v>1274</v>
      </c>
      <c r="G289" s="32">
        <v>50</v>
      </c>
      <c r="H289" s="40">
        <v>600</v>
      </c>
      <c r="I289" s="32">
        <v>695</v>
      </c>
      <c r="J289" s="32">
        <v>0</v>
      </c>
      <c r="K289" s="33"/>
      <c r="L289" s="33"/>
      <c r="M289" s="33"/>
      <c r="N289" s="33"/>
      <c r="O289" s="33"/>
      <c r="P289" s="33"/>
      <c r="Q289" s="33"/>
      <c r="R289" s="33"/>
      <c r="S289" s="33"/>
      <c r="T289" s="33"/>
    </row>
    <row r="290" spans="1:20" ht="15.75">
      <c r="A290" s="13">
        <v>50709</v>
      </c>
      <c r="B290" s="41">
        <v>31</v>
      </c>
      <c r="C290" s="32">
        <v>131.881</v>
      </c>
      <c r="D290" s="32">
        <v>277.16699999999997</v>
      </c>
      <c r="E290" s="38">
        <v>829.952</v>
      </c>
      <c r="F290" s="32">
        <v>1239</v>
      </c>
      <c r="G290" s="32">
        <v>75</v>
      </c>
      <c r="H290" s="40">
        <v>600</v>
      </c>
      <c r="I290" s="32">
        <v>695</v>
      </c>
      <c r="J290" s="32">
        <v>0</v>
      </c>
      <c r="K290" s="33"/>
      <c r="L290" s="33"/>
      <c r="M290" s="33"/>
      <c r="N290" s="33"/>
      <c r="O290" s="33"/>
      <c r="P290" s="33"/>
      <c r="Q290" s="33"/>
      <c r="R290" s="33"/>
      <c r="S290" s="33"/>
      <c r="T290" s="33"/>
    </row>
    <row r="291" spans="1:20" ht="15.75">
      <c r="A291" s="13">
        <v>50739</v>
      </c>
      <c r="B291" s="41">
        <v>30</v>
      </c>
      <c r="C291" s="32">
        <v>122.58</v>
      </c>
      <c r="D291" s="32">
        <v>297.94099999999997</v>
      </c>
      <c r="E291" s="38">
        <v>729.47900000000004</v>
      </c>
      <c r="F291" s="32">
        <v>1150</v>
      </c>
      <c r="G291" s="32">
        <v>100</v>
      </c>
      <c r="H291" s="40">
        <v>600</v>
      </c>
      <c r="I291" s="32">
        <v>695</v>
      </c>
      <c r="J291" s="32">
        <v>50</v>
      </c>
      <c r="K291" s="33"/>
      <c r="L291" s="33"/>
      <c r="M291" s="33"/>
      <c r="N291" s="33"/>
      <c r="O291" s="33"/>
      <c r="P291" s="33"/>
      <c r="Q291" s="33"/>
      <c r="R291" s="33"/>
      <c r="S291" s="33"/>
      <c r="T291" s="33"/>
    </row>
    <row r="292" spans="1:20" ht="15.75">
      <c r="A292" s="13">
        <v>50770</v>
      </c>
      <c r="B292" s="41">
        <v>31</v>
      </c>
      <c r="C292" s="32">
        <v>122.58</v>
      </c>
      <c r="D292" s="32">
        <v>297.94099999999997</v>
      </c>
      <c r="E292" s="38">
        <v>729.47900000000004</v>
      </c>
      <c r="F292" s="32">
        <v>1150</v>
      </c>
      <c r="G292" s="32">
        <v>100</v>
      </c>
      <c r="H292" s="40">
        <v>600</v>
      </c>
      <c r="I292" s="32">
        <v>695</v>
      </c>
      <c r="J292" s="32">
        <v>50</v>
      </c>
      <c r="K292" s="33"/>
      <c r="L292" s="33"/>
      <c r="M292" s="33"/>
      <c r="N292" s="33"/>
      <c r="O292" s="33"/>
      <c r="P292" s="33"/>
      <c r="Q292" s="33"/>
      <c r="R292" s="33"/>
      <c r="S292" s="33"/>
      <c r="T292" s="33"/>
    </row>
    <row r="293" spans="1:20" ht="15.75">
      <c r="A293" s="13">
        <v>50801</v>
      </c>
      <c r="B293" s="41">
        <v>31</v>
      </c>
      <c r="C293" s="32">
        <v>122.58</v>
      </c>
      <c r="D293" s="32">
        <v>297.94099999999997</v>
      </c>
      <c r="E293" s="38">
        <v>729.47900000000004</v>
      </c>
      <c r="F293" s="32">
        <v>1150</v>
      </c>
      <c r="G293" s="32">
        <v>100</v>
      </c>
      <c r="H293" s="40">
        <v>600</v>
      </c>
      <c r="I293" s="32">
        <v>695</v>
      </c>
      <c r="J293" s="32">
        <v>50</v>
      </c>
      <c r="K293" s="33"/>
      <c r="L293" s="33"/>
      <c r="M293" s="33"/>
      <c r="N293" s="33"/>
      <c r="O293" s="33"/>
      <c r="P293" s="33"/>
      <c r="Q293" s="33"/>
      <c r="R293" s="33"/>
      <c r="S293" s="33"/>
      <c r="T293" s="33"/>
    </row>
    <row r="294" spans="1:20" ht="15.75">
      <c r="A294" s="13">
        <v>50829</v>
      </c>
      <c r="B294" s="41">
        <v>28</v>
      </c>
      <c r="C294" s="32">
        <v>122.58</v>
      </c>
      <c r="D294" s="32">
        <v>297.94099999999997</v>
      </c>
      <c r="E294" s="38">
        <v>729.47900000000004</v>
      </c>
      <c r="F294" s="32">
        <v>1150</v>
      </c>
      <c r="G294" s="32">
        <v>100</v>
      </c>
      <c r="H294" s="40">
        <v>600</v>
      </c>
      <c r="I294" s="32">
        <v>695</v>
      </c>
      <c r="J294" s="32">
        <v>50</v>
      </c>
      <c r="K294" s="33"/>
      <c r="L294" s="33"/>
      <c r="M294" s="33"/>
      <c r="N294" s="33"/>
      <c r="O294" s="33"/>
      <c r="P294" s="33"/>
      <c r="Q294" s="33"/>
      <c r="R294" s="33"/>
      <c r="S294" s="33"/>
      <c r="T294" s="33"/>
    </row>
    <row r="295" spans="1:20" ht="15.75">
      <c r="A295" s="13">
        <v>50860</v>
      </c>
      <c r="B295" s="41">
        <v>31</v>
      </c>
      <c r="C295" s="32">
        <v>122.58</v>
      </c>
      <c r="D295" s="32">
        <v>297.94099999999997</v>
      </c>
      <c r="E295" s="38">
        <v>729.47900000000004</v>
      </c>
      <c r="F295" s="32">
        <v>1150</v>
      </c>
      <c r="G295" s="32">
        <v>100</v>
      </c>
      <c r="H295" s="40">
        <v>600</v>
      </c>
      <c r="I295" s="32">
        <v>695</v>
      </c>
      <c r="J295" s="32">
        <v>50</v>
      </c>
      <c r="K295" s="33"/>
      <c r="L295" s="33"/>
      <c r="M295" s="33"/>
      <c r="N295" s="33"/>
      <c r="O295" s="33"/>
      <c r="P295" s="33"/>
      <c r="Q295" s="33"/>
      <c r="R295" s="33"/>
      <c r="S295" s="33"/>
      <c r="T295" s="33"/>
    </row>
    <row r="296" spans="1:20" ht="15.75">
      <c r="A296" s="13">
        <v>50890</v>
      </c>
      <c r="B296" s="41">
        <v>30</v>
      </c>
      <c r="C296" s="32">
        <v>141.29300000000001</v>
      </c>
      <c r="D296" s="32">
        <v>267.99299999999999</v>
      </c>
      <c r="E296" s="38">
        <v>829.71400000000006</v>
      </c>
      <c r="F296" s="32">
        <v>1239</v>
      </c>
      <c r="G296" s="32">
        <v>100</v>
      </c>
      <c r="H296" s="40">
        <v>600</v>
      </c>
      <c r="I296" s="32">
        <v>695</v>
      </c>
      <c r="J296" s="32">
        <v>50</v>
      </c>
      <c r="K296" s="33"/>
      <c r="L296" s="33"/>
      <c r="M296" s="33"/>
      <c r="N296" s="33"/>
      <c r="O296" s="33"/>
      <c r="P296" s="33"/>
      <c r="Q296" s="33"/>
      <c r="R296" s="33"/>
      <c r="S296" s="33"/>
      <c r="T296" s="33"/>
    </row>
    <row r="297" spans="1:20" ht="15.75">
      <c r="A297" s="13">
        <v>50921</v>
      </c>
      <c r="B297" s="41">
        <v>31</v>
      </c>
      <c r="C297" s="32">
        <v>194.20500000000001</v>
      </c>
      <c r="D297" s="32">
        <v>267.46600000000001</v>
      </c>
      <c r="E297" s="38">
        <v>812.32899999999995</v>
      </c>
      <c r="F297" s="32">
        <v>1274</v>
      </c>
      <c r="G297" s="32">
        <v>75</v>
      </c>
      <c r="H297" s="40">
        <v>600</v>
      </c>
      <c r="I297" s="32">
        <v>695</v>
      </c>
      <c r="J297" s="32">
        <v>50</v>
      </c>
      <c r="K297" s="33"/>
      <c r="L297" s="33"/>
      <c r="M297" s="33"/>
      <c r="N297" s="33"/>
      <c r="O297" s="33"/>
      <c r="P297" s="33"/>
      <c r="Q297" s="33"/>
      <c r="R297" s="33"/>
      <c r="S297" s="33"/>
      <c r="T297" s="33"/>
    </row>
    <row r="298" spans="1:20" ht="15.75">
      <c r="A298" s="13">
        <v>50951</v>
      </c>
      <c r="B298" s="41">
        <v>30</v>
      </c>
      <c r="C298" s="32">
        <v>194.20500000000001</v>
      </c>
      <c r="D298" s="32">
        <v>267.46600000000001</v>
      </c>
      <c r="E298" s="38">
        <v>812.32899999999995</v>
      </c>
      <c r="F298" s="32">
        <v>1274</v>
      </c>
      <c r="G298" s="32">
        <v>50</v>
      </c>
      <c r="H298" s="40">
        <v>600</v>
      </c>
      <c r="I298" s="32">
        <v>695</v>
      </c>
      <c r="J298" s="32">
        <v>50</v>
      </c>
      <c r="K298" s="33"/>
      <c r="L298" s="33"/>
      <c r="M298" s="33"/>
      <c r="N298" s="33"/>
      <c r="O298" s="33"/>
      <c r="P298" s="33"/>
      <c r="Q298" s="33"/>
      <c r="R298" s="33"/>
      <c r="S298" s="33"/>
      <c r="T298" s="33"/>
    </row>
    <row r="299" spans="1:20" ht="15.75">
      <c r="A299" s="13">
        <v>50982</v>
      </c>
      <c r="B299" s="41">
        <v>31</v>
      </c>
      <c r="C299" s="32">
        <v>194.20500000000001</v>
      </c>
      <c r="D299" s="32">
        <v>267.46600000000001</v>
      </c>
      <c r="E299" s="38">
        <v>812.32899999999995</v>
      </c>
      <c r="F299" s="32">
        <v>1274</v>
      </c>
      <c r="G299" s="32">
        <v>50</v>
      </c>
      <c r="H299" s="40">
        <v>600</v>
      </c>
      <c r="I299" s="32">
        <v>695</v>
      </c>
      <c r="J299" s="32">
        <v>0</v>
      </c>
      <c r="K299" s="33"/>
      <c r="L299" s="33"/>
      <c r="M299" s="33"/>
      <c r="N299" s="33"/>
      <c r="O299" s="33"/>
      <c r="P299" s="33"/>
      <c r="Q299" s="33"/>
      <c r="R299" s="33"/>
      <c r="S299" s="33"/>
      <c r="T299" s="33"/>
    </row>
    <row r="300" spans="1:20" ht="15.75">
      <c r="A300" s="13">
        <v>51013</v>
      </c>
      <c r="B300" s="41">
        <v>31</v>
      </c>
      <c r="C300" s="32">
        <v>194.20500000000001</v>
      </c>
      <c r="D300" s="32">
        <v>267.46600000000001</v>
      </c>
      <c r="E300" s="38">
        <v>812.32899999999995</v>
      </c>
      <c r="F300" s="32">
        <v>1274</v>
      </c>
      <c r="G300" s="32">
        <v>50</v>
      </c>
      <c r="H300" s="40">
        <v>600</v>
      </c>
      <c r="I300" s="32">
        <v>695</v>
      </c>
      <c r="J300" s="32">
        <v>0</v>
      </c>
      <c r="K300" s="33"/>
      <c r="L300" s="33"/>
      <c r="M300" s="33"/>
      <c r="N300" s="33"/>
      <c r="O300" s="33"/>
      <c r="P300" s="33"/>
      <c r="Q300" s="33"/>
      <c r="R300" s="33"/>
      <c r="S300" s="33"/>
      <c r="T300" s="33"/>
    </row>
    <row r="301" spans="1:20" ht="15.75">
      <c r="A301" s="13">
        <v>51043</v>
      </c>
      <c r="B301" s="41">
        <v>30</v>
      </c>
      <c r="C301" s="32">
        <v>194.20500000000001</v>
      </c>
      <c r="D301" s="32">
        <v>267.46600000000001</v>
      </c>
      <c r="E301" s="38">
        <v>812.32899999999995</v>
      </c>
      <c r="F301" s="32">
        <v>1274</v>
      </c>
      <c r="G301" s="32">
        <v>50</v>
      </c>
      <c r="H301" s="40">
        <v>600</v>
      </c>
      <c r="I301" s="32">
        <v>695</v>
      </c>
      <c r="J301" s="32">
        <v>0</v>
      </c>
      <c r="K301" s="33"/>
      <c r="L301" s="33"/>
      <c r="M301" s="33"/>
      <c r="N301" s="33"/>
      <c r="O301" s="33"/>
      <c r="P301" s="33"/>
      <c r="Q301" s="33"/>
      <c r="R301" s="33"/>
      <c r="S301" s="33"/>
      <c r="T301" s="33"/>
    </row>
    <row r="302" spans="1:20" ht="15.75">
      <c r="A302" s="13">
        <v>51074</v>
      </c>
      <c r="B302" s="41">
        <v>31</v>
      </c>
      <c r="C302" s="32">
        <v>131.881</v>
      </c>
      <c r="D302" s="32">
        <v>277.16699999999997</v>
      </c>
      <c r="E302" s="38">
        <v>829.952</v>
      </c>
      <c r="F302" s="32">
        <v>1239</v>
      </c>
      <c r="G302" s="32">
        <v>75</v>
      </c>
      <c r="H302" s="40">
        <v>600</v>
      </c>
      <c r="I302" s="32">
        <v>695</v>
      </c>
      <c r="J302" s="32">
        <v>0</v>
      </c>
      <c r="K302" s="33"/>
      <c r="L302" s="33"/>
      <c r="M302" s="33"/>
      <c r="N302" s="33"/>
      <c r="O302" s="33"/>
      <c r="P302" s="33"/>
      <c r="Q302" s="33"/>
      <c r="R302" s="33"/>
      <c r="S302" s="33"/>
      <c r="T302" s="33"/>
    </row>
    <row r="303" spans="1:20" ht="15.75">
      <c r="A303" s="13">
        <v>51104</v>
      </c>
      <c r="B303" s="41">
        <v>30</v>
      </c>
      <c r="C303" s="32">
        <v>122.58</v>
      </c>
      <c r="D303" s="32">
        <v>297.94099999999997</v>
      </c>
      <c r="E303" s="38">
        <v>729.47900000000004</v>
      </c>
      <c r="F303" s="32">
        <v>1150</v>
      </c>
      <c r="G303" s="32">
        <v>100</v>
      </c>
      <c r="H303" s="40">
        <v>600</v>
      </c>
      <c r="I303" s="32">
        <v>695</v>
      </c>
      <c r="J303" s="32">
        <v>50</v>
      </c>
      <c r="K303" s="33"/>
      <c r="L303" s="33"/>
      <c r="M303" s="33"/>
      <c r="N303" s="33"/>
      <c r="O303" s="33"/>
      <c r="P303" s="33"/>
      <c r="Q303" s="33"/>
      <c r="R303" s="33"/>
      <c r="S303" s="33"/>
      <c r="T303" s="33"/>
    </row>
    <row r="304" spans="1:20" ht="15.75">
      <c r="A304" s="13">
        <v>51135</v>
      </c>
      <c r="B304" s="41">
        <v>31</v>
      </c>
      <c r="C304" s="32">
        <v>122.58</v>
      </c>
      <c r="D304" s="32">
        <v>297.94099999999997</v>
      </c>
      <c r="E304" s="38">
        <v>729.47900000000004</v>
      </c>
      <c r="F304" s="32">
        <v>1150</v>
      </c>
      <c r="G304" s="32">
        <v>100</v>
      </c>
      <c r="H304" s="40">
        <v>600</v>
      </c>
      <c r="I304" s="32">
        <v>695</v>
      </c>
      <c r="J304" s="32">
        <v>50</v>
      </c>
      <c r="K304" s="33"/>
      <c r="L304" s="33"/>
      <c r="M304" s="33"/>
      <c r="N304" s="33"/>
      <c r="O304" s="33"/>
      <c r="P304" s="33"/>
      <c r="Q304" s="33"/>
      <c r="R304" s="33"/>
      <c r="S304" s="33"/>
      <c r="T304" s="33"/>
    </row>
    <row r="305" spans="1:20" ht="15.75">
      <c r="A305" s="13">
        <v>51166</v>
      </c>
      <c r="B305" s="41">
        <v>31</v>
      </c>
      <c r="C305" s="32">
        <v>122.58</v>
      </c>
      <c r="D305" s="32">
        <v>297.94099999999997</v>
      </c>
      <c r="E305" s="38">
        <v>729.47900000000004</v>
      </c>
      <c r="F305" s="32">
        <v>1150</v>
      </c>
      <c r="G305" s="32">
        <v>100</v>
      </c>
      <c r="H305" s="40">
        <v>600</v>
      </c>
      <c r="I305" s="32">
        <v>695</v>
      </c>
      <c r="J305" s="32">
        <v>50</v>
      </c>
      <c r="K305" s="33"/>
      <c r="L305" s="33"/>
      <c r="M305" s="33"/>
      <c r="N305" s="33"/>
      <c r="O305" s="33"/>
      <c r="P305" s="33"/>
      <c r="Q305" s="33"/>
      <c r="R305" s="33"/>
      <c r="S305" s="33"/>
      <c r="T305" s="33"/>
    </row>
    <row r="306" spans="1:20" ht="15.75">
      <c r="A306" s="13">
        <v>51194</v>
      </c>
      <c r="B306" s="41">
        <v>29</v>
      </c>
      <c r="C306" s="32">
        <v>122.58</v>
      </c>
      <c r="D306" s="32">
        <v>297.94099999999997</v>
      </c>
      <c r="E306" s="38">
        <v>729.47900000000004</v>
      </c>
      <c r="F306" s="32">
        <v>1150</v>
      </c>
      <c r="G306" s="32">
        <v>100</v>
      </c>
      <c r="H306" s="40">
        <v>600</v>
      </c>
      <c r="I306" s="32">
        <v>695</v>
      </c>
      <c r="J306" s="32">
        <v>50</v>
      </c>
      <c r="K306" s="33"/>
      <c r="L306" s="33"/>
      <c r="M306" s="33"/>
      <c r="N306" s="33"/>
      <c r="O306" s="33"/>
      <c r="P306" s="33"/>
      <c r="Q306" s="33"/>
      <c r="R306" s="33"/>
      <c r="S306" s="33"/>
      <c r="T306" s="33"/>
    </row>
    <row r="307" spans="1:20" ht="15.75">
      <c r="A307" s="13">
        <v>51226</v>
      </c>
      <c r="B307" s="41">
        <v>31</v>
      </c>
      <c r="C307" s="32">
        <v>122.58</v>
      </c>
      <c r="D307" s="32">
        <v>297.94099999999997</v>
      </c>
      <c r="E307" s="38">
        <v>729.47900000000004</v>
      </c>
      <c r="F307" s="32">
        <v>1150</v>
      </c>
      <c r="G307" s="32">
        <v>100</v>
      </c>
      <c r="H307" s="40">
        <v>600</v>
      </c>
      <c r="I307" s="32">
        <v>695</v>
      </c>
      <c r="J307" s="32">
        <v>50</v>
      </c>
      <c r="K307" s="33"/>
      <c r="L307" s="33"/>
      <c r="M307" s="33"/>
      <c r="N307" s="33"/>
      <c r="O307" s="33"/>
      <c r="P307" s="33"/>
      <c r="Q307" s="33"/>
      <c r="R307" s="33"/>
      <c r="S307" s="33"/>
      <c r="T307" s="33"/>
    </row>
    <row r="308" spans="1:20" ht="15.75">
      <c r="A308" s="13">
        <v>51256</v>
      </c>
      <c r="B308" s="41">
        <v>30</v>
      </c>
      <c r="C308" s="32">
        <v>141.29300000000001</v>
      </c>
      <c r="D308" s="32">
        <v>267.99299999999999</v>
      </c>
      <c r="E308" s="38">
        <v>829.71400000000006</v>
      </c>
      <c r="F308" s="32">
        <v>1239</v>
      </c>
      <c r="G308" s="32">
        <v>100</v>
      </c>
      <c r="H308" s="40">
        <v>600</v>
      </c>
      <c r="I308" s="32">
        <v>695</v>
      </c>
      <c r="J308" s="32">
        <v>50</v>
      </c>
      <c r="K308" s="33"/>
      <c r="L308" s="33"/>
      <c r="M308" s="33"/>
      <c r="N308" s="33"/>
      <c r="O308" s="33"/>
      <c r="P308" s="33"/>
      <c r="Q308" s="33"/>
      <c r="R308" s="33"/>
      <c r="S308" s="33"/>
      <c r="T308" s="33"/>
    </row>
    <row r="309" spans="1:20" ht="15.75">
      <c r="A309" s="13">
        <v>51287</v>
      </c>
      <c r="B309" s="41">
        <v>31</v>
      </c>
      <c r="C309" s="32">
        <v>194.20500000000001</v>
      </c>
      <c r="D309" s="32">
        <v>267.46600000000001</v>
      </c>
      <c r="E309" s="38">
        <v>812.32899999999995</v>
      </c>
      <c r="F309" s="32">
        <v>1274</v>
      </c>
      <c r="G309" s="32">
        <v>75</v>
      </c>
      <c r="H309" s="40">
        <v>600</v>
      </c>
      <c r="I309" s="32">
        <v>695</v>
      </c>
      <c r="J309" s="32">
        <v>50</v>
      </c>
      <c r="K309" s="33"/>
      <c r="L309" s="33"/>
      <c r="M309" s="33"/>
      <c r="N309" s="33"/>
      <c r="O309" s="33"/>
      <c r="P309" s="33"/>
      <c r="Q309" s="33"/>
      <c r="R309" s="33"/>
      <c r="S309" s="33"/>
      <c r="T309" s="33"/>
    </row>
    <row r="310" spans="1:20" ht="15.75">
      <c r="A310" s="13">
        <v>51317</v>
      </c>
      <c r="B310" s="41">
        <v>30</v>
      </c>
      <c r="C310" s="32">
        <v>194.20500000000001</v>
      </c>
      <c r="D310" s="32">
        <v>267.46600000000001</v>
      </c>
      <c r="E310" s="38">
        <v>812.32899999999995</v>
      </c>
      <c r="F310" s="32">
        <v>1274</v>
      </c>
      <c r="G310" s="32">
        <v>50</v>
      </c>
      <c r="H310" s="40">
        <v>600</v>
      </c>
      <c r="I310" s="32">
        <v>695</v>
      </c>
      <c r="J310" s="32">
        <v>50</v>
      </c>
      <c r="K310" s="33"/>
      <c r="L310" s="33"/>
      <c r="M310" s="33"/>
      <c r="N310" s="33"/>
      <c r="O310" s="33"/>
      <c r="P310" s="33"/>
      <c r="Q310" s="33"/>
      <c r="R310" s="33"/>
      <c r="S310" s="33"/>
      <c r="T310" s="33"/>
    </row>
    <row r="311" spans="1:20" ht="15.75">
      <c r="A311" s="13">
        <v>51348</v>
      </c>
      <c r="B311" s="41">
        <v>31</v>
      </c>
      <c r="C311" s="32">
        <v>194.20500000000001</v>
      </c>
      <c r="D311" s="32">
        <v>267.46600000000001</v>
      </c>
      <c r="E311" s="38">
        <v>812.32899999999995</v>
      </c>
      <c r="F311" s="32">
        <v>1274</v>
      </c>
      <c r="G311" s="32">
        <v>50</v>
      </c>
      <c r="H311" s="40">
        <v>600</v>
      </c>
      <c r="I311" s="32">
        <v>695</v>
      </c>
      <c r="J311" s="32">
        <v>0</v>
      </c>
      <c r="K311" s="33"/>
      <c r="L311" s="33"/>
      <c r="M311" s="33"/>
      <c r="N311" s="33"/>
      <c r="O311" s="33"/>
      <c r="P311" s="33"/>
      <c r="Q311" s="33"/>
      <c r="R311" s="33"/>
      <c r="S311" s="33"/>
      <c r="T311" s="33"/>
    </row>
    <row r="312" spans="1:20" ht="15.75">
      <c r="A312" s="13">
        <v>51379</v>
      </c>
      <c r="B312" s="41">
        <v>31</v>
      </c>
      <c r="C312" s="32">
        <v>194.20500000000001</v>
      </c>
      <c r="D312" s="32">
        <v>267.46600000000001</v>
      </c>
      <c r="E312" s="38">
        <v>812.32899999999995</v>
      </c>
      <c r="F312" s="32">
        <v>1274</v>
      </c>
      <c r="G312" s="32">
        <v>50</v>
      </c>
      <c r="H312" s="40">
        <v>600</v>
      </c>
      <c r="I312" s="32">
        <v>695</v>
      </c>
      <c r="J312" s="32">
        <v>0</v>
      </c>
      <c r="K312" s="33"/>
      <c r="L312" s="33"/>
      <c r="M312" s="33"/>
      <c r="N312" s="33"/>
      <c r="O312" s="33"/>
      <c r="P312" s="33"/>
      <c r="Q312" s="33"/>
      <c r="R312" s="33"/>
      <c r="S312" s="33"/>
      <c r="T312" s="33"/>
    </row>
    <row r="313" spans="1:20" ht="15.75">
      <c r="A313" s="13">
        <v>51409</v>
      </c>
      <c r="B313" s="41">
        <v>30</v>
      </c>
      <c r="C313" s="32">
        <v>194.20500000000001</v>
      </c>
      <c r="D313" s="32">
        <v>267.46600000000001</v>
      </c>
      <c r="E313" s="38">
        <v>812.32899999999995</v>
      </c>
      <c r="F313" s="32">
        <v>1274</v>
      </c>
      <c r="G313" s="32">
        <v>50</v>
      </c>
      <c r="H313" s="40">
        <v>600</v>
      </c>
      <c r="I313" s="32">
        <v>695</v>
      </c>
      <c r="J313" s="32">
        <v>0</v>
      </c>
      <c r="K313" s="33"/>
      <c r="L313" s="33"/>
      <c r="M313" s="33"/>
      <c r="N313" s="33"/>
      <c r="O313" s="33"/>
      <c r="P313" s="33"/>
      <c r="Q313" s="33"/>
      <c r="R313" s="33"/>
      <c r="S313" s="33"/>
      <c r="T313" s="33"/>
    </row>
    <row r="314" spans="1:20" ht="15.75">
      <c r="A314" s="13">
        <v>51440</v>
      </c>
      <c r="B314" s="41">
        <v>31</v>
      </c>
      <c r="C314" s="32">
        <v>131.881</v>
      </c>
      <c r="D314" s="32">
        <v>277.16699999999997</v>
      </c>
      <c r="E314" s="38">
        <v>829.952</v>
      </c>
      <c r="F314" s="32">
        <v>1239</v>
      </c>
      <c r="G314" s="32">
        <v>75</v>
      </c>
      <c r="H314" s="40">
        <v>600</v>
      </c>
      <c r="I314" s="32">
        <v>695</v>
      </c>
      <c r="J314" s="32">
        <v>0</v>
      </c>
      <c r="K314" s="33"/>
      <c r="L314" s="33"/>
      <c r="M314" s="33"/>
      <c r="N314" s="33"/>
      <c r="O314" s="33"/>
      <c r="P314" s="33"/>
      <c r="Q314" s="33"/>
      <c r="R314" s="33"/>
      <c r="S314" s="33"/>
      <c r="T314" s="33"/>
    </row>
    <row r="315" spans="1:20" ht="15.75">
      <c r="A315" s="13">
        <v>51470</v>
      </c>
      <c r="B315" s="41">
        <v>30</v>
      </c>
      <c r="C315" s="32">
        <v>122.58</v>
      </c>
      <c r="D315" s="32">
        <v>297.94099999999997</v>
      </c>
      <c r="E315" s="38">
        <v>729.47900000000004</v>
      </c>
      <c r="F315" s="32">
        <v>1150</v>
      </c>
      <c r="G315" s="32">
        <v>100</v>
      </c>
      <c r="H315" s="40">
        <v>600</v>
      </c>
      <c r="I315" s="32">
        <v>695</v>
      </c>
      <c r="J315" s="32">
        <v>50</v>
      </c>
      <c r="K315" s="33"/>
      <c r="L315" s="33"/>
      <c r="M315" s="33"/>
      <c r="N315" s="33"/>
      <c r="O315" s="33"/>
      <c r="P315" s="33"/>
      <c r="Q315" s="33"/>
      <c r="R315" s="33"/>
      <c r="S315" s="33"/>
      <c r="T315" s="33"/>
    </row>
    <row r="316" spans="1:20" ht="15.75">
      <c r="A316" s="13">
        <v>51501</v>
      </c>
      <c r="B316" s="41">
        <v>31</v>
      </c>
      <c r="C316" s="32">
        <v>122.58</v>
      </c>
      <c r="D316" s="32">
        <v>297.94099999999997</v>
      </c>
      <c r="E316" s="38">
        <v>729.47900000000004</v>
      </c>
      <c r="F316" s="32">
        <v>1150</v>
      </c>
      <c r="G316" s="32">
        <v>100</v>
      </c>
      <c r="H316" s="40">
        <v>600</v>
      </c>
      <c r="I316" s="32">
        <v>695</v>
      </c>
      <c r="J316" s="32">
        <v>50</v>
      </c>
      <c r="K316" s="33"/>
      <c r="L316" s="33"/>
      <c r="M316" s="33"/>
      <c r="N316" s="33"/>
      <c r="O316" s="33"/>
      <c r="P316" s="33"/>
      <c r="Q316" s="33"/>
      <c r="R316" s="33"/>
      <c r="S316" s="33"/>
      <c r="T316" s="33"/>
    </row>
    <row r="317" spans="1:20" ht="15.75">
      <c r="A317" s="13">
        <v>51532</v>
      </c>
      <c r="B317" s="41">
        <v>31</v>
      </c>
      <c r="C317" s="32">
        <v>122.58</v>
      </c>
      <c r="D317" s="32">
        <v>297.94099999999997</v>
      </c>
      <c r="E317" s="38">
        <v>729.47900000000004</v>
      </c>
      <c r="F317" s="32">
        <v>1150</v>
      </c>
      <c r="G317" s="32">
        <v>100</v>
      </c>
      <c r="H317" s="40">
        <v>600</v>
      </c>
      <c r="I317" s="32">
        <v>695</v>
      </c>
      <c r="J317" s="32">
        <v>50</v>
      </c>
      <c r="K317" s="33"/>
      <c r="L317" s="33"/>
      <c r="M317" s="33"/>
      <c r="N317" s="33"/>
      <c r="O317" s="33"/>
      <c r="P317" s="33"/>
      <c r="Q317" s="33"/>
      <c r="R317" s="33"/>
      <c r="S317" s="33"/>
      <c r="T317" s="33"/>
    </row>
    <row r="318" spans="1:20" ht="15.75">
      <c r="A318" s="13">
        <v>51560</v>
      </c>
      <c r="B318" s="41">
        <v>28</v>
      </c>
      <c r="C318" s="32">
        <v>122.58</v>
      </c>
      <c r="D318" s="32">
        <v>297.94099999999997</v>
      </c>
      <c r="E318" s="38">
        <v>729.47900000000004</v>
      </c>
      <c r="F318" s="32">
        <v>1150</v>
      </c>
      <c r="G318" s="32">
        <v>100</v>
      </c>
      <c r="H318" s="40">
        <v>600</v>
      </c>
      <c r="I318" s="32">
        <v>695</v>
      </c>
      <c r="J318" s="32">
        <v>50</v>
      </c>
      <c r="K318" s="33"/>
      <c r="L318" s="33"/>
      <c r="M318" s="33"/>
      <c r="N318" s="33"/>
      <c r="O318" s="33"/>
      <c r="P318" s="33"/>
      <c r="Q318" s="33"/>
      <c r="R318" s="33"/>
      <c r="S318" s="33"/>
      <c r="T318" s="33"/>
    </row>
    <row r="319" spans="1:20" ht="15.75">
      <c r="A319" s="13">
        <v>51591</v>
      </c>
      <c r="B319" s="41">
        <v>31</v>
      </c>
      <c r="C319" s="32">
        <v>122.58</v>
      </c>
      <c r="D319" s="32">
        <v>297.94099999999997</v>
      </c>
      <c r="E319" s="38">
        <v>729.47900000000004</v>
      </c>
      <c r="F319" s="32">
        <v>1150</v>
      </c>
      <c r="G319" s="32">
        <v>100</v>
      </c>
      <c r="H319" s="40">
        <v>600</v>
      </c>
      <c r="I319" s="32">
        <v>695</v>
      </c>
      <c r="J319" s="32">
        <v>50</v>
      </c>
      <c r="K319" s="33"/>
      <c r="L319" s="33"/>
      <c r="M319" s="33"/>
      <c r="N319" s="33"/>
      <c r="O319" s="33"/>
      <c r="P319" s="33"/>
      <c r="Q319" s="33"/>
      <c r="R319" s="33"/>
      <c r="S319" s="33"/>
      <c r="T319" s="33"/>
    </row>
    <row r="320" spans="1:20" ht="15.75">
      <c r="A320" s="13">
        <v>51621</v>
      </c>
      <c r="B320" s="41">
        <v>30</v>
      </c>
      <c r="C320" s="32">
        <v>141.29300000000001</v>
      </c>
      <c r="D320" s="32">
        <v>267.99299999999999</v>
      </c>
      <c r="E320" s="38">
        <v>829.71400000000006</v>
      </c>
      <c r="F320" s="32">
        <v>1239</v>
      </c>
      <c r="G320" s="32">
        <v>100</v>
      </c>
      <c r="H320" s="40">
        <v>600</v>
      </c>
      <c r="I320" s="32">
        <v>695</v>
      </c>
      <c r="J320" s="32">
        <v>50</v>
      </c>
      <c r="K320" s="33"/>
      <c r="L320" s="33"/>
      <c r="M320" s="33"/>
      <c r="N320" s="33"/>
      <c r="O320" s="33"/>
      <c r="P320" s="33"/>
      <c r="Q320" s="33"/>
      <c r="R320" s="33"/>
      <c r="S320" s="33"/>
      <c r="T320" s="33"/>
    </row>
    <row r="321" spans="1:20" ht="15.75">
      <c r="A321" s="13">
        <v>51652</v>
      </c>
      <c r="B321" s="41">
        <v>31</v>
      </c>
      <c r="C321" s="32">
        <v>194.20500000000001</v>
      </c>
      <c r="D321" s="32">
        <v>267.46600000000001</v>
      </c>
      <c r="E321" s="38">
        <v>812.32899999999995</v>
      </c>
      <c r="F321" s="32">
        <v>1274</v>
      </c>
      <c r="G321" s="32">
        <v>75</v>
      </c>
      <c r="H321" s="40">
        <v>600</v>
      </c>
      <c r="I321" s="32">
        <v>695</v>
      </c>
      <c r="J321" s="32">
        <v>50</v>
      </c>
      <c r="K321" s="33"/>
      <c r="L321" s="33"/>
      <c r="M321" s="33"/>
      <c r="N321" s="33"/>
      <c r="O321" s="33"/>
      <c r="P321" s="33"/>
      <c r="Q321" s="33"/>
      <c r="R321" s="33"/>
      <c r="S321" s="33"/>
      <c r="T321" s="33"/>
    </row>
    <row r="322" spans="1:20" ht="15.75">
      <c r="A322" s="13">
        <v>51682</v>
      </c>
      <c r="B322" s="41">
        <v>30</v>
      </c>
      <c r="C322" s="32">
        <v>194.20500000000001</v>
      </c>
      <c r="D322" s="32">
        <v>267.46600000000001</v>
      </c>
      <c r="E322" s="38">
        <v>812.32899999999995</v>
      </c>
      <c r="F322" s="32">
        <v>1274</v>
      </c>
      <c r="G322" s="32">
        <v>50</v>
      </c>
      <c r="H322" s="40">
        <v>600</v>
      </c>
      <c r="I322" s="32">
        <v>695</v>
      </c>
      <c r="J322" s="32">
        <v>50</v>
      </c>
      <c r="K322" s="33"/>
      <c r="L322" s="33"/>
      <c r="M322" s="33"/>
      <c r="N322" s="33"/>
      <c r="O322" s="33"/>
      <c r="P322" s="33"/>
      <c r="Q322" s="33"/>
      <c r="R322" s="33"/>
      <c r="S322" s="33"/>
      <c r="T322" s="33"/>
    </row>
    <row r="323" spans="1:20" ht="15.75">
      <c r="A323" s="13">
        <v>51713</v>
      </c>
      <c r="B323" s="41">
        <v>31</v>
      </c>
      <c r="C323" s="32">
        <v>194.20500000000001</v>
      </c>
      <c r="D323" s="32">
        <v>267.46600000000001</v>
      </c>
      <c r="E323" s="38">
        <v>812.32899999999995</v>
      </c>
      <c r="F323" s="32">
        <v>1274</v>
      </c>
      <c r="G323" s="32">
        <v>50</v>
      </c>
      <c r="H323" s="40">
        <v>600</v>
      </c>
      <c r="I323" s="32">
        <v>695</v>
      </c>
      <c r="J323" s="32">
        <v>0</v>
      </c>
      <c r="K323" s="33"/>
      <c r="L323" s="33"/>
      <c r="M323" s="33"/>
      <c r="N323" s="33"/>
      <c r="O323" s="33"/>
      <c r="P323" s="33"/>
      <c r="Q323" s="33"/>
      <c r="R323" s="33"/>
      <c r="S323" s="33"/>
      <c r="T323" s="33"/>
    </row>
    <row r="324" spans="1:20" ht="15.75">
      <c r="A324" s="13">
        <v>51744</v>
      </c>
      <c r="B324" s="41">
        <v>31</v>
      </c>
      <c r="C324" s="32">
        <v>194.20500000000001</v>
      </c>
      <c r="D324" s="32">
        <v>267.46600000000001</v>
      </c>
      <c r="E324" s="38">
        <v>812.32899999999995</v>
      </c>
      <c r="F324" s="32">
        <v>1274</v>
      </c>
      <c r="G324" s="32">
        <v>50</v>
      </c>
      <c r="H324" s="40">
        <v>600</v>
      </c>
      <c r="I324" s="32">
        <v>695</v>
      </c>
      <c r="J324" s="32">
        <v>0</v>
      </c>
      <c r="K324" s="33"/>
      <c r="L324" s="33"/>
      <c r="M324" s="33"/>
      <c r="N324" s="33"/>
      <c r="O324" s="33"/>
      <c r="P324" s="33"/>
      <c r="Q324" s="33"/>
      <c r="R324" s="33"/>
      <c r="S324" s="33"/>
      <c r="T324" s="33"/>
    </row>
    <row r="325" spans="1:20" ht="15.75">
      <c r="A325" s="13">
        <v>51774</v>
      </c>
      <c r="B325" s="41">
        <v>30</v>
      </c>
      <c r="C325" s="32">
        <v>194.20500000000001</v>
      </c>
      <c r="D325" s="32">
        <v>267.46600000000001</v>
      </c>
      <c r="E325" s="38">
        <v>812.32899999999995</v>
      </c>
      <c r="F325" s="32">
        <v>1274</v>
      </c>
      <c r="G325" s="32">
        <v>50</v>
      </c>
      <c r="H325" s="40">
        <v>600</v>
      </c>
      <c r="I325" s="32">
        <v>695</v>
      </c>
      <c r="J325" s="32">
        <v>0</v>
      </c>
      <c r="K325" s="33"/>
      <c r="L325" s="33"/>
      <c r="M325" s="33"/>
      <c r="N325" s="33"/>
      <c r="O325" s="33"/>
      <c r="P325" s="33"/>
      <c r="Q325" s="33"/>
      <c r="R325" s="33"/>
      <c r="S325" s="33"/>
      <c r="T325" s="33"/>
    </row>
    <row r="326" spans="1:20" ht="15.75">
      <c r="A326" s="13">
        <v>51805</v>
      </c>
      <c r="B326" s="41">
        <v>31</v>
      </c>
      <c r="C326" s="32">
        <v>131.881</v>
      </c>
      <c r="D326" s="32">
        <v>277.16699999999997</v>
      </c>
      <c r="E326" s="38">
        <v>829.952</v>
      </c>
      <c r="F326" s="32">
        <v>1239</v>
      </c>
      <c r="G326" s="32">
        <v>75</v>
      </c>
      <c r="H326" s="40">
        <v>600</v>
      </c>
      <c r="I326" s="32">
        <v>695</v>
      </c>
      <c r="J326" s="32">
        <v>0</v>
      </c>
      <c r="K326" s="33"/>
      <c r="L326" s="33"/>
      <c r="M326" s="33"/>
      <c r="N326" s="33"/>
      <c r="O326" s="33"/>
      <c r="P326" s="33"/>
      <c r="Q326" s="33"/>
      <c r="R326" s="33"/>
      <c r="S326" s="33"/>
      <c r="T326" s="33"/>
    </row>
    <row r="327" spans="1:20" ht="15.75">
      <c r="A327" s="13">
        <v>51835</v>
      </c>
      <c r="B327" s="41">
        <v>30</v>
      </c>
      <c r="C327" s="32">
        <v>122.58</v>
      </c>
      <c r="D327" s="32">
        <v>297.94099999999997</v>
      </c>
      <c r="E327" s="38">
        <v>729.47900000000004</v>
      </c>
      <c r="F327" s="32">
        <v>1150</v>
      </c>
      <c r="G327" s="32">
        <v>100</v>
      </c>
      <c r="H327" s="40">
        <v>600</v>
      </c>
      <c r="I327" s="32">
        <v>695</v>
      </c>
      <c r="J327" s="32">
        <v>50</v>
      </c>
      <c r="K327" s="33"/>
      <c r="L327" s="33"/>
      <c r="M327" s="33"/>
      <c r="N327" s="33"/>
      <c r="O327" s="33"/>
      <c r="P327" s="33"/>
      <c r="Q327" s="33"/>
      <c r="R327" s="33"/>
      <c r="S327" s="33"/>
      <c r="T327" s="33"/>
    </row>
    <row r="328" spans="1:20" ht="15.75">
      <c r="A328" s="13">
        <v>51866</v>
      </c>
      <c r="B328" s="41">
        <v>31</v>
      </c>
      <c r="C328" s="32">
        <v>122.58</v>
      </c>
      <c r="D328" s="32">
        <v>297.94099999999997</v>
      </c>
      <c r="E328" s="38">
        <v>729.47900000000004</v>
      </c>
      <c r="F328" s="32">
        <v>1150</v>
      </c>
      <c r="G328" s="32">
        <v>100</v>
      </c>
      <c r="H328" s="40">
        <v>600</v>
      </c>
      <c r="I328" s="32">
        <v>695</v>
      </c>
      <c r="J328" s="32">
        <v>50</v>
      </c>
      <c r="K328" s="33"/>
      <c r="L328" s="33"/>
      <c r="M328" s="33"/>
      <c r="N328" s="33"/>
      <c r="O328" s="33"/>
      <c r="P328" s="33"/>
      <c r="Q328" s="33"/>
      <c r="R328" s="33"/>
      <c r="S328" s="33"/>
      <c r="T328" s="33"/>
    </row>
    <row r="329" spans="1:20" ht="15.75">
      <c r="A329" s="13">
        <v>51897</v>
      </c>
      <c r="B329" s="41">
        <v>31</v>
      </c>
      <c r="C329" s="32">
        <v>122.58</v>
      </c>
      <c r="D329" s="32">
        <v>297.94099999999997</v>
      </c>
      <c r="E329" s="38">
        <v>729.47900000000004</v>
      </c>
      <c r="F329" s="32">
        <v>1150</v>
      </c>
      <c r="G329" s="32">
        <v>100</v>
      </c>
      <c r="H329" s="40">
        <v>600</v>
      </c>
      <c r="I329" s="32">
        <v>695</v>
      </c>
      <c r="J329" s="32">
        <v>50</v>
      </c>
      <c r="K329" s="33"/>
      <c r="L329" s="33"/>
      <c r="M329" s="33"/>
      <c r="N329" s="33"/>
      <c r="O329" s="33"/>
      <c r="P329" s="33"/>
      <c r="Q329" s="33"/>
      <c r="R329" s="33"/>
      <c r="S329" s="33"/>
      <c r="T329" s="33"/>
    </row>
    <row r="330" spans="1:20" ht="15.75">
      <c r="A330" s="13">
        <v>51925</v>
      </c>
      <c r="B330" s="41">
        <v>28</v>
      </c>
      <c r="C330" s="32">
        <v>122.58</v>
      </c>
      <c r="D330" s="32">
        <v>297.94099999999997</v>
      </c>
      <c r="E330" s="38">
        <v>729.47900000000004</v>
      </c>
      <c r="F330" s="32">
        <v>1150</v>
      </c>
      <c r="G330" s="32">
        <v>100</v>
      </c>
      <c r="H330" s="40">
        <v>600</v>
      </c>
      <c r="I330" s="32">
        <v>695</v>
      </c>
      <c r="J330" s="32">
        <v>50</v>
      </c>
      <c r="K330" s="33"/>
      <c r="L330" s="33"/>
      <c r="M330" s="33"/>
      <c r="N330" s="33"/>
      <c r="O330" s="33"/>
      <c r="P330" s="33"/>
      <c r="Q330" s="33"/>
      <c r="R330" s="33"/>
      <c r="S330" s="33"/>
      <c r="T330" s="33"/>
    </row>
    <row r="331" spans="1:20" ht="15.75">
      <c r="A331" s="13">
        <v>51956</v>
      </c>
      <c r="B331" s="41">
        <v>31</v>
      </c>
      <c r="C331" s="32">
        <v>122.58</v>
      </c>
      <c r="D331" s="32">
        <v>297.94099999999997</v>
      </c>
      <c r="E331" s="38">
        <v>729.47900000000004</v>
      </c>
      <c r="F331" s="32">
        <v>1150</v>
      </c>
      <c r="G331" s="32">
        <v>100</v>
      </c>
      <c r="H331" s="40">
        <v>600</v>
      </c>
      <c r="I331" s="32">
        <v>695</v>
      </c>
      <c r="J331" s="32">
        <v>50</v>
      </c>
      <c r="K331" s="33"/>
      <c r="L331" s="33"/>
      <c r="M331" s="33"/>
      <c r="N331" s="33"/>
      <c r="O331" s="33"/>
      <c r="P331" s="33"/>
      <c r="Q331" s="33"/>
      <c r="R331" s="33"/>
      <c r="S331" s="33"/>
      <c r="T331" s="33"/>
    </row>
    <row r="332" spans="1:20" ht="15.75">
      <c r="A332" s="13">
        <v>51986</v>
      </c>
      <c r="B332" s="41">
        <v>30</v>
      </c>
      <c r="C332" s="32">
        <v>141.29300000000001</v>
      </c>
      <c r="D332" s="32">
        <v>267.99299999999999</v>
      </c>
      <c r="E332" s="38">
        <v>829.71400000000006</v>
      </c>
      <c r="F332" s="32">
        <v>1239</v>
      </c>
      <c r="G332" s="32">
        <v>100</v>
      </c>
      <c r="H332" s="40">
        <v>600</v>
      </c>
      <c r="I332" s="32">
        <v>695</v>
      </c>
      <c r="J332" s="32">
        <v>50</v>
      </c>
      <c r="K332" s="33"/>
      <c r="L332" s="33"/>
      <c r="M332" s="33"/>
      <c r="N332" s="33"/>
      <c r="O332" s="33"/>
      <c r="P332" s="33"/>
      <c r="Q332" s="33"/>
      <c r="R332" s="33"/>
      <c r="S332" s="33"/>
      <c r="T332" s="33"/>
    </row>
    <row r="333" spans="1:20" ht="15.75">
      <c r="A333" s="13">
        <v>52017</v>
      </c>
      <c r="B333" s="41">
        <v>31</v>
      </c>
      <c r="C333" s="32">
        <v>194.20500000000001</v>
      </c>
      <c r="D333" s="32">
        <v>267.46600000000001</v>
      </c>
      <c r="E333" s="38">
        <v>812.32899999999995</v>
      </c>
      <c r="F333" s="32">
        <v>1274</v>
      </c>
      <c r="G333" s="32">
        <v>75</v>
      </c>
      <c r="H333" s="40">
        <v>600</v>
      </c>
      <c r="I333" s="32">
        <v>695</v>
      </c>
      <c r="J333" s="32">
        <v>50</v>
      </c>
      <c r="K333" s="33"/>
      <c r="L333" s="33"/>
      <c r="M333" s="33"/>
      <c r="N333" s="33"/>
      <c r="O333" s="33"/>
      <c r="P333" s="33"/>
      <c r="Q333" s="33"/>
      <c r="R333" s="33"/>
      <c r="S333" s="33"/>
      <c r="T333" s="33"/>
    </row>
    <row r="334" spans="1:20" ht="15.75">
      <c r="A334" s="13">
        <v>52047</v>
      </c>
      <c r="B334" s="41">
        <v>30</v>
      </c>
      <c r="C334" s="32">
        <v>194.20500000000001</v>
      </c>
      <c r="D334" s="32">
        <v>267.46600000000001</v>
      </c>
      <c r="E334" s="38">
        <v>812.32899999999995</v>
      </c>
      <c r="F334" s="32">
        <v>1274</v>
      </c>
      <c r="G334" s="32">
        <v>50</v>
      </c>
      <c r="H334" s="40">
        <v>600</v>
      </c>
      <c r="I334" s="32">
        <v>695</v>
      </c>
      <c r="J334" s="32">
        <v>50</v>
      </c>
      <c r="K334" s="33"/>
      <c r="L334" s="33"/>
      <c r="M334" s="33"/>
      <c r="N334" s="33"/>
      <c r="O334" s="33"/>
      <c r="P334" s="33"/>
      <c r="Q334" s="33"/>
      <c r="R334" s="33"/>
      <c r="S334" s="33"/>
      <c r="T334" s="33"/>
    </row>
    <row r="335" spans="1:20" ht="15.75">
      <c r="A335" s="13">
        <v>52078</v>
      </c>
      <c r="B335" s="41">
        <v>31</v>
      </c>
      <c r="C335" s="32">
        <v>194.20500000000001</v>
      </c>
      <c r="D335" s="32">
        <v>267.46600000000001</v>
      </c>
      <c r="E335" s="38">
        <v>812.32899999999995</v>
      </c>
      <c r="F335" s="32">
        <v>1274</v>
      </c>
      <c r="G335" s="32">
        <v>50</v>
      </c>
      <c r="H335" s="40">
        <v>600</v>
      </c>
      <c r="I335" s="32">
        <v>695</v>
      </c>
      <c r="J335" s="32">
        <v>0</v>
      </c>
      <c r="K335" s="33"/>
      <c r="L335" s="33"/>
      <c r="M335" s="33"/>
      <c r="N335" s="33"/>
      <c r="O335" s="33"/>
      <c r="P335" s="33"/>
      <c r="Q335" s="33"/>
      <c r="R335" s="33"/>
      <c r="S335" s="33"/>
      <c r="T335" s="33"/>
    </row>
    <row r="336" spans="1:20" ht="15.75">
      <c r="A336" s="13">
        <v>52109</v>
      </c>
      <c r="B336" s="41">
        <v>31</v>
      </c>
      <c r="C336" s="32">
        <v>194.20500000000001</v>
      </c>
      <c r="D336" s="32">
        <v>267.46600000000001</v>
      </c>
      <c r="E336" s="38">
        <v>812.32899999999995</v>
      </c>
      <c r="F336" s="32">
        <v>1274</v>
      </c>
      <c r="G336" s="32">
        <v>50</v>
      </c>
      <c r="H336" s="40">
        <v>600</v>
      </c>
      <c r="I336" s="32">
        <v>695</v>
      </c>
      <c r="J336" s="32">
        <v>0</v>
      </c>
      <c r="K336" s="33"/>
      <c r="L336" s="33"/>
      <c r="M336" s="33"/>
      <c r="N336" s="33"/>
      <c r="O336" s="33"/>
      <c r="P336" s="33"/>
      <c r="Q336" s="33"/>
      <c r="R336" s="33"/>
      <c r="S336" s="33"/>
      <c r="T336" s="33"/>
    </row>
    <row r="337" spans="1:20" ht="15.75">
      <c r="A337" s="13">
        <v>52139</v>
      </c>
      <c r="B337" s="41">
        <v>30</v>
      </c>
      <c r="C337" s="32">
        <v>194.20500000000001</v>
      </c>
      <c r="D337" s="32">
        <v>267.46600000000001</v>
      </c>
      <c r="E337" s="38">
        <v>812.32899999999995</v>
      </c>
      <c r="F337" s="32">
        <v>1274</v>
      </c>
      <c r="G337" s="32">
        <v>50</v>
      </c>
      <c r="H337" s="40">
        <v>600</v>
      </c>
      <c r="I337" s="32">
        <v>695</v>
      </c>
      <c r="J337" s="32">
        <v>0</v>
      </c>
      <c r="K337" s="33"/>
      <c r="L337" s="33"/>
      <c r="M337" s="33"/>
      <c r="N337" s="33"/>
      <c r="O337" s="33"/>
      <c r="P337" s="33"/>
      <c r="Q337" s="33"/>
      <c r="R337" s="33"/>
      <c r="S337" s="33"/>
      <c r="T337" s="33"/>
    </row>
    <row r="338" spans="1:20" ht="15.75">
      <c r="A338" s="13">
        <v>52170</v>
      </c>
      <c r="B338" s="41">
        <v>31</v>
      </c>
      <c r="C338" s="32">
        <v>131.881</v>
      </c>
      <c r="D338" s="32">
        <v>277.16699999999997</v>
      </c>
      <c r="E338" s="38">
        <v>829.952</v>
      </c>
      <c r="F338" s="32">
        <v>1239</v>
      </c>
      <c r="G338" s="32">
        <v>75</v>
      </c>
      <c r="H338" s="40">
        <v>600</v>
      </c>
      <c r="I338" s="32">
        <v>695</v>
      </c>
      <c r="J338" s="32">
        <v>0</v>
      </c>
      <c r="K338" s="33"/>
      <c r="L338" s="33"/>
      <c r="M338" s="33"/>
      <c r="N338" s="33"/>
      <c r="O338" s="33"/>
      <c r="P338" s="33"/>
      <c r="Q338" s="33"/>
      <c r="R338" s="33"/>
      <c r="S338" s="33"/>
      <c r="T338" s="33"/>
    </row>
    <row r="339" spans="1:20" ht="15.75">
      <c r="A339" s="13">
        <v>52200</v>
      </c>
      <c r="B339" s="41">
        <v>30</v>
      </c>
      <c r="C339" s="32">
        <v>122.58</v>
      </c>
      <c r="D339" s="32">
        <v>297.94099999999997</v>
      </c>
      <c r="E339" s="38">
        <v>729.47900000000004</v>
      </c>
      <c r="F339" s="32">
        <v>1150</v>
      </c>
      <c r="G339" s="32">
        <v>100</v>
      </c>
      <c r="H339" s="40">
        <v>600</v>
      </c>
      <c r="I339" s="32">
        <v>695</v>
      </c>
      <c r="J339" s="32">
        <v>50</v>
      </c>
      <c r="K339" s="33"/>
      <c r="L339" s="33"/>
      <c r="M339" s="33"/>
      <c r="N339" s="33"/>
      <c r="O339" s="33"/>
      <c r="P339" s="33"/>
      <c r="Q339" s="33"/>
      <c r="R339" s="33"/>
      <c r="S339" s="33"/>
      <c r="T339" s="33"/>
    </row>
    <row r="340" spans="1:20" ht="15.75">
      <c r="A340" s="13">
        <v>52231</v>
      </c>
      <c r="B340" s="41">
        <v>31</v>
      </c>
      <c r="C340" s="32">
        <v>122.58</v>
      </c>
      <c r="D340" s="32">
        <v>297.94099999999997</v>
      </c>
      <c r="E340" s="38">
        <v>729.47900000000004</v>
      </c>
      <c r="F340" s="32">
        <v>1150</v>
      </c>
      <c r="G340" s="32">
        <v>100</v>
      </c>
      <c r="H340" s="40">
        <v>600</v>
      </c>
      <c r="I340" s="32">
        <v>695</v>
      </c>
      <c r="J340" s="32">
        <v>50</v>
      </c>
      <c r="K340" s="33"/>
      <c r="L340" s="33"/>
      <c r="M340" s="33"/>
      <c r="N340" s="33"/>
      <c r="O340" s="33"/>
      <c r="P340" s="33"/>
      <c r="Q340" s="33"/>
      <c r="R340" s="33"/>
      <c r="S340" s="33"/>
      <c r="T340" s="33"/>
    </row>
    <row r="341" spans="1:20" ht="15.75">
      <c r="A341" s="13">
        <v>52262</v>
      </c>
      <c r="B341" s="41">
        <v>31</v>
      </c>
      <c r="C341" s="32">
        <v>122.58</v>
      </c>
      <c r="D341" s="32">
        <v>297.94099999999997</v>
      </c>
      <c r="E341" s="38">
        <v>729.47900000000004</v>
      </c>
      <c r="F341" s="32">
        <v>1150</v>
      </c>
      <c r="G341" s="32">
        <v>100</v>
      </c>
      <c r="H341" s="40">
        <v>600</v>
      </c>
      <c r="I341" s="32">
        <v>695</v>
      </c>
      <c r="J341" s="32">
        <v>50</v>
      </c>
      <c r="K341" s="33"/>
      <c r="L341" s="33"/>
      <c r="M341" s="33"/>
      <c r="N341" s="33"/>
      <c r="O341" s="33"/>
      <c r="P341" s="33"/>
      <c r="Q341" s="33"/>
      <c r="R341" s="33"/>
      <c r="S341" s="33"/>
      <c r="T341" s="33"/>
    </row>
    <row r="342" spans="1:20" ht="15.75">
      <c r="A342" s="13">
        <v>52290</v>
      </c>
      <c r="B342" s="41">
        <v>28</v>
      </c>
      <c r="C342" s="32">
        <v>122.58</v>
      </c>
      <c r="D342" s="32">
        <v>297.94099999999997</v>
      </c>
      <c r="E342" s="38">
        <v>729.47900000000004</v>
      </c>
      <c r="F342" s="32">
        <v>1150</v>
      </c>
      <c r="G342" s="32">
        <v>100</v>
      </c>
      <c r="H342" s="40">
        <v>600</v>
      </c>
      <c r="I342" s="32">
        <v>695</v>
      </c>
      <c r="J342" s="32">
        <v>50</v>
      </c>
      <c r="K342" s="33"/>
      <c r="L342" s="33"/>
      <c r="M342" s="33"/>
      <c r="N342" s="33"/>
      <c r="O342" s="33"/>
      <c r="P342" s="33"/>
      <c r="Q342" s="33"/>
      <c r="R342" s="33"/>
      <c r="S342" s="33"/>
      <c r="T342" s="33"/>
    </row>
    <row r="343" spans="1:20" ht="15.75">
      <c r="A343" s="13">
        <v>52321</v>
      </c>
      <c r="B343" s="41">
        <v>31</v>
      </c>
      <c r="C343" s="32">
        <v>122.58</v>
      </c>
      <c r="D343" s="32">
        <v>297.94099999999997</v>
      </c>
      <c r="E343" s="38">
        <v>729.47900000000004</v>
      </c>
      <c r="F343" s="32">
        <v>1150</v>
      </c>
      <c r="G343" s="32">
        <v>100</v>
      </c>
      <c r="H343" s="40">
        <v>600</v>
      </c>
      <c r="I343" s="32">
        <v>695</v>
      </c>
      <c r="J343" s="32">
        <v>50</v>
      </c>
      <c r="K343" s="33"/>
      <c r="L343" s="33"/>
      <c r="M343" s="33"/>
      <c r="N343" s="33"/>
      <c r="O343" s="33"/>
      <c r="P343" s="33"/>
      <c r="Q343" s="33"/>
      <c r="R343" s="33"/>
      <c r="S343" s="33"/>
      <c r="T343" s="33"/>
    </row>
    <row r="344" spans="1:20" ht="15.75">
      <c r="A344" s="13">
        <v>52351</v>
      </c>
      <c r="B344" s="41">
        <v>30</v>
      </c>
      <c r="C344" s="32">
        <v>141.29300000000001</v>
      </c>
      <c r="D344" s="32">
        <v>267.99299999999999</v>
      </c>
      <c r="E344" s="38">
        <v>829.71400000000006</v>
      </c>
      <c r="F344" s="32">
        <v>1239</v>
      </c>
      <c r="G344" s="32">
        <v>100</v>
      </c>
      <c r="H344" s="40">
        <v>600</v>
      </c>
      <c r="I344" s="32">
        <v>695</v>
      </c>
      <c r="J344" s="32">
        <v>50</v>
      </c>
      <c r="K344" s="33"/>
      <c r="L344" s="33"/>
      <c r="M344" s="33"/>
      <c r="N344" s="33"/>
      <c r="O344" s="33"/>
      <c r="P344" s="33"/>
      <c r="Q344" s="33"/>
      <c r="R344" s="33"/>
      <c r="S344" s="33"/>
      <c r="T344" s="33"/>
    </row>
    <row r="345" spans="1:20" ht="15.75">
      <c r="A345" s="13">
        <v>52382</v>
      </c>
      <c r="B345" s="41">
        <v>31</v>
      </c>
      <c r="C345" s="32">
        <v>194.20500000000001</v>
      </c>
      <c r="D345" s="32">
        <v>267.46600000000001</v>
      </c>
      <c r="E345" s="38">
        <v>812.32899999999995</v>
      </c>
      <c r="F345" s="32">
        <v>1274</v>
      </c>
      <c r="G345" s="32">
        <v>75</v>
      </c>
      <c r="H345" s="40">
        <v>600</v>
      </c>
      <c r="I345" s="32">
        <v>695</v>
      </c>
      <c r="J345" s="32">
        <v>50</v>
      </c>
      <c r="K345" s="33"/>
      <c r="L345" s="33"/>
      <c r="M345" s="33"/>
      <c r="N345" s="33"/>
      <c r="O345" s="33"/>
      <c r="P345" s="33"/>
      <c r="Q345" s="33"/>
      <c r="R345" s="33"/>
      <c r="S345" s="33"/>
      <c r="T345" s="33"/>
    </row>
    <row r="346" spans="1:20" ht="15.75">
      <c r="A346" s="13">
        <v>52412</v>
      </c>
      <c r="B346" s="41">
        <v>30</v>
      </c>
      <c r="C346" s="32">
        <v>194.20500000000001</v>
      </c>
      <c r="D346" s="32">
        <v>267.46600000000001</v>
      </c>
      <c r="E346" s="38">
        <v>812.32899999999995</v>
      </c>
      <c r="F346" s="32">
        <v>1274</v>
      </c>
      <c r="G346" s="32">
        <v>50</v>
      </c>
      <c r="H346" s="40">
        <v>600</v>
      </c>
      <c r="I346" s="32">
        <v>695</v>
      </c>
      <c r="J346" s="32">
        <v>50</v>
      </c>
      <c r="K346" s="33"/>
      <c r="L346" s="33"/>
      <c r="M346" s="33"/>
      <c r="N346" s="33"/>
      <c r="O346" s="33"/>
      <c r="P346" s="33"/>
      <c r="Q346" s="33"/>
      <c r="R346" s="33"/>
      <c r="S346" s="33"/>
      <c r="T346" s="33"/>
    </row>
    <row r="347" spans="1:20" ht="15.75">
      <c r="A347" s="13">
        <v>52443</v>
      </c>
      <c r="B347" s="41">
        <v>31</v>
      </c>
      <c r="C347" s="32">
        <v>194.20500000000001</v>
      </c>
      <c r="D347" s="32">
        <v>267.46600000000001</v>
      </c>
      <c r="E347" s="38">
        <v>812.32899999999995</v>
      </c>
      <c r="F347" s="32">
        <v>1274</v>
      </c>
      <c r="G347" s="32">
        <v>50</v>
      </c>
      <c r="H347" s="40">
        <v>600</v>
      </c>
      <c r="I347" s="32">
        <v>695</v>
      </c>
      <c r="J347" s="32">
        <v>0</v>
      </c>
      <c r="K347" s="33"/>
      <c r="L347" s="33"/>
      <c r="M347" s="33"/>
      <c r="N347" s="33"/>
      <c r="O347" s="33"/>
      <c r="P347" s="33"/>
      <c r="Q347" s="33"/>
      <c r="R347" s="33"/>
      <c r="S347" s="33"/>
      <c r="T347" s="33"/>
    </row>
    <row r="348" spans="1:20" ht="15.75">
      <c r="A348" s="13">
        <v>52474</v>
      </c>
      <c r="B348" s="41">
        <v>31</v>
      </c>
      <c r="C348" s="32">
        <v>194.20500000000001</v>
      </c>
      <c r="D348" s="32">
        <v>267.46600000000001</v>
      </c>
      <c r="E348" s="38">
        <v>812.32899999999995</v>
      </c>
      <c r="F348" s="32">
        <v>1274</v>
      </c>
      <c r="G348" s="32">
        <v>50</v>
      </c>
      <c r="H348" s="40">
        <v>600</v>
      </c>
      <c r="I348" s="32">
        <v>695</v>
      </c>
      <c r="J348" s="32">
        <v>0</v>
      </c>
      <c r="K348" s="33"/>
      <c r="L348" s="33"/>
      <c r="M348" s="33"/>
      <c r="N348" s="33"/>
      <c r="O348" s="33"/>
      <c r="P348" s="33"/>
      <c r="Q348" s="33"/>
      <c r="R348" s="33"/>
      <c r="S348" s="33"/>
      <c r="T348" s="33"/>
    </row>
    <row r="349" spans="1:20" ht="15.75">
      <c r="A349" s="13">
        <v>52504</v>
      </c>
      <c r="B349" s="41">
        <v>30</v>
      </c>
      <c r="C349" s="32">
        <v>194.20500000000001</v>
      </c>
      <c r="D349" s="32">
        <v>267.46600000000001</v>
      </c>
      <c r="E349" s="38">
        <v>812.32899999999995</v>
      </c>
      <c r="F349" s="32">
        <v>1274</v>
      </c>
      <c r="G349" s="32">
        <v>50</v>
      </c>
      <c r="H349" s="40">
        <v>600</v>
      </c>
      <c r="I349" s="32">
        <v>695</v>
      </c>
      <c r="J349" s="32">
        <v>0</v>
      </c>
      <c r="K349" s="33"/>
      <c r="L349" s="33"/>
      <c r="M349" s="33"/>
      <c r="N349" s="33"/>
      <c r="O349" s="33"/>
      <c r="P349" s="33"/>
      <c r="Q349" s="33"/>
      <c r="R349" s="33"/>
      <c r="S349" s="33"/>
      <c r="T349" s="33"/>
    </row>
    <row r="350" spans="1:20" ht="15.75">
      <c r="A350" s="13">
        <v>52535</v>
      </c>
      <c r="B350" s="41">
        <v>31</v>
      </c>
      <c r="C350" s="32">
        <v>131.881</v>
      </c>
      <c r="D350" s="32">
        <v>277.16699999999997</v>
      </c>
      <c r="E350" s="38">
        <v>829.952</v>
      </c>
      <c r="F350" s="32">
        <v>1239</v>
      </c>
      <c r="G350" s="32">
        <v>75</v>
      </c>
      <c r="H350" s="40">
        <v>600</v>
      </c>
      <c r="I350" s="32">
        <v>695</v>
      </c>
      <c r="J350" s="32">
        <v>0</v>
      </c>
      <c r="K350" s="33"/>
      <c r="L350" s="33"/>
      <c r="M350" s="33"/>
      <c r="N350" s="33"/>
      <c r="O350" s="33"/>
      <c r="P350" s="33"/>
      <c r="Q350" s="33"/>
      <c r="R350" s="33"/>
      <c r="S350" s="33"/>
      <c r="T350" s="33"/>
    </row>
    <row r="351" spans="1:20" ht="15.75">
      <c r="A351" s="13">
        <v>52565</v>
      </c>
      <c r="B351" s="41">
        <v>30</v>
      </c>
      <c r="C351" s="32">
        <v>122.58</v>
      </c>
      <c r="D351" s="32">
        <v>297.94099999999997</v>
      </c>
      <c r="E351" s="38">
        <v>729.47900000000004</v>
      </c>
      <c r="F351" s="32">
        <v>1150</v>
      </c>
      <c r="G351" s="32">
        <v>100</v>
      </c>
      <c r="H351" s="40">
        <v>600</v>
      </c>
      <c r="I351" s="32">
        <v>695</v>
      </c>
      <c r="J351" s="32">
        <v>50</v>
      </c>
      <c r="K351" s="33"/>
      <c r="L351" s="33"/>
      <c r="M351" s="33"/>
      <c r="N351" s="33"/>
      <c r="O351" s="33"/>
      <c r="P351" s="33"/>
      <c r="Q351" s="33"/>
      <c r="R351" s="33"/>
      <c r="S351" s="33"/>
      <c r="T351" s="33"/>
    </row>
    <row r="352" spans="1:20" ht="15.75">
      <c r="A352" s="13">
        <v>52596</v>
      </c>
      <c r="B352" s="41">
        <v>31</v>
      </c>
      <c r="C352" s="32">
        <v>122.58</v>
      </c>
      <c r="D352" s="32">
        <v>297.94099999999997</v>
      </c>
      <c r="E352" s="38">
        <v>729.47900000000004</v>
      </c>
      <c r="F352" s="32">
        <v>1150</v>
      </c>
      <c r="G352" s="32">
        <v>100</v>
      </c>
      <c r="H352" s="40">
        <v>600</v>
      </c>
      <c r="I352" s="32">
        <v>695</v>
      </c>
      <c r="J352" s="32">
        <v>50</v>
      </c>
      <c r="K352" s="33"/>
      <c r="L352" s="33"/>
      <c r="M352" s="33"/>
      <c r="N352" s="33"/>
      <c r="O352" s="33"/>
      <c r="P352" s="33"/>
      <c r="Q352" s="33"/>
      <c r="R352" s="33"/>
      <c r="S352" s="33"/>
      <c r="T352" s="33"/>
    </row>
    <row r="353" spans="1:20" ht="15.75">
      <c r="A353" s="13">
        <v>52627</v>
      </c>
      <c r="B353" s="41">
        <v>31</v>
      </c>
      <c r="C353" s="32">
        <v>122.58</v>
      </c>
      <c r="D353" s="32">
        <v>297.94099999999997</v>
      </c>
      <c r="E353" s="38">
        <v>729.47900000000004</v>
      </c>
      <c r="F353" s="32">
        <v>1150</v>
      </c>
      <c r="G353" s="32">
        <v>100</v>
      </c>
      <c r="H353" s="40">
        <v>600</v>
      </c>
      <c r="I353" s="32">
        <v>695</v>
      </c>
      <c r="J353" s="32">
        <v>50</v>
      </c>
      <c r="K353" s="33"/>
      <c r="L353" s="33"/>
      <c r="M353" s="33"/>
      <c r="N353" s="33"/>
      <c r="O353" s="33"/>
      <c r="P353" s="33"/>
      <c r="Q353" s="33"/>
      <c r="R353" s="33"/>
      <c r="S353" s="33"/>
      <c r="T353" s="33"/>
    </row>
    <row r="354" spans="1:20" ht="15.75">
      <c r="A354" s="13">
        <v>52655</v>
      </c>
      <c r="B354" s="41">
        <v>29</v>
      </c>
      <c r="C354" s="32">
        <v>122.58</v>
      </c>
      <c r="D354" s="32">
        <v>297.94099999999997</v>
      </c>
      <c r="E354" s="38">
        <v>729.47900000000004</v>
      </c>
      <c r="F354" s="32">
        <v>1150</v>
      </c>
      <c r="G354" s="32">
        <v>100</v>
      </c>
      <c r="H354" s="40">
        <v>600</v>
      </c>
      <c r="I354" s="32">
        <v>695</v>
      </c>
      <c r="J354" s="32">
        <v>50</v>
      </c>
      <c r="K354" s="33"/>
      <c r="L354" s="33"/>
      <c r="M354" s="33"/>
      <c r="N354" s="33"/>
      <c r="O354" s="33"/>
      <c r="P354" s="33"/>
      <c r="Q354" s="33"/>
      <c r="R354" s="33"/>
      <c r="S354" s="33"/>
      <c r="T354" s="33"/>
    </row>
    <row r="355" spans="1:20" ht="15.75">
      <c r="A355" s="13">
        <v>52687</v>
      </c>
      <c r="B355" s="41">
        <v>31</v>
      </c>
      <c r="C355" s="32">
        <v>122.58</v>
      </c>
      <c r="D355" s="32">
        <v>297.94099999999997</v>
      </c>
      <c r="E355" s="38">
        <v>729.47900000000004</v>
      </c>
      <c r="F355" s="32">
        <v>1150</v>
      </c>
      <c r="G355" s="32">
        <v>100</v>
      </c>
      <c r="H355" s="40">
        <v>600</v>
      </c>
      <c r="I355" s="32">
        <v>695</v>
      </c>
      <c r="J355" s="32">
        <v>50</v>
      </c>
      <c r="K355" s="33"/>
      <c r="L355" s="33"/>
      <c r="M355" s="33"/>
      <c r="N355" s="33"/>
      <c r="O355" s="33"/>
      <c r="P355" s="33"/>
      <c r="Q355" s="33"/>
      <c r="R355" s="33"/>
      <c r="S355" s="33"/>
      <c r="T355" s="33"/>
    </row>
    <row r="356" spans="1:20" ht="15.75">
      <c r="A356" s="13">
        <v>52717</v>
      </c>
      <c r="B356" s="41">
        <v>30</v>
      </c>
      <c r="C356" s="32">
        <v>141.29300000000001</v>
      </c>
      <c r="D356" s="32">
        <v>267.99299999999999</v>
      </c>
      <c r="E356" s="38">
        <v>829.71400000000006</v>
      </c>
      <c r="F356" s="32">
        <v>1239</v>
      </c>
      <c r="G356" s="32">
        <v>100</v>
      </c>
      <c r="H356" s="40">
        <v>600</v>
      </c>
      <c r="I356" s="32">
        <v>695</v>
      </c>
      <c r="J356" s="32">
        <v>50</v>
      </c>
      <c r="K356" s="33"/>
      <c r="L356" s="33"/>
      <c r="M356" s="33"/>
      <c r="N356" s="33"/>
      <c r="O356" s="33"/>
      <c r="P356" s="33"/>
      <c r="Q356" s="33"/>
      <c r="R356" s="33"/>
      <c r="S356" s="33"/>
      <c r="T356" s="33"/>
    </row>
    <row r="357" spans="1:20" ht="15.75">
      <c r="A357" s="13">
        <v>52748</v>
      </c>
      <c r="B357" s="41">
        <v>31</v>
      </c>
      <c r="C357" s="32">
        <v>194.20500000000001</v>
      </c>
      <c r="D357" s="32">
        <v>267.46600000000001</v>
      </c>
      <c r="E357" s="38">
        <v>812.32899999999995</v>
      </c>
      <c r="F357" s="32">
        <v>1274</v>
      </c>
      <c r="G357" s="32">
        <v>75</v>
      </c>
      <c r="H357" s="40">
        <v>600</v>
      </c>
      <c r="I357" s="32">
        <v>695</v>
      </c>
      <c r="J357" s="32">
        <v>50</v>
      </c>
      <c r="K357" s="33"/>
      <c r="L357" s="33"/>
      <c r="M357" s="33"/>
      <c r="N357" s="33"/>
      <c r="O357" s="33"/>
      <c r="P357" s="33"/>
      <c r="Q357" s="33"/>
      <c r="R357" s="33"/>
      <c r="S357" s="33"/>
      <c r="T357" s="33"/>
    </row>
    <row r="358" spans="1:20" ht="15.75">
      <c r="A358" s="13">
        <v>52778</v>
      </c>
      <c r="B358" s="41">
        <v>30</v>
      </c>
      <c r="C358" s="32">
        <v>194.20500000000001</v>
      </c>
      <c r="D358" s="32">
        <v>267.46600000000001</v>
      </c>
      <c r="E358" s="38">
        <v>812.32899999999995</v>
      </c>
      <c r="F358" s="32">
        <v>1274</v>
      </c>
      <c r="G358" s="32">
        <v>50</v>
      </c>
      <c r="H358" s="40">
        <v>600</v>
      </c>
      <c r="I358" s="32">
        <v>695</v>
      </c>
      <c r="J358" s="32">
        <v>50</v>
      </c>
      <c r="K358" s="33"/>
      <c r="L358" s="33"/>
      <c r="M358" s="33"/>
      <c r="N358" s="33"/>
      <c r="O358" s="33"/>
      <c r="P358" s="33"/>
      <c r="Q358" s="33"/>
      <c r="R358" s="33"/>
      <c r="S358" s="33"/>
      <c r="T358" s="33"/>
    </row>
    <row r="359" spans="1:20" ht="15.75">
      <c r="A359" s="13">
        <v>52809</v>
      </c>
      <c r="B359" s="41">
        <v>31</v>
      </c>
      <c r="C359" s="32">
        <v>194.20500000000001</v>
      </c>
      <c r="D359" s="32">
        <v>267.46600000000001</v>
      </c>
      <c r="E359" s="38">
        <v>812.32899999999995</v>
      </c>
      <c r="F359" s="32">
        <v>1274</v>
      </c>
      <c r="G359" s="32">
        <v>50</v>
      </c>
      <c r="H359" s="40">
        <v>600</v>
      </c>
      <c r="I359" s="32">
        <v>695</v>
      </c>
      <c r="J359" s="32">
        <v>0</v>
      </c>
      <c r="K359" s="33"/>
      <c r="L359" s="33"/>
      <c r="M359" s="33"/>
      <c r="N359" s="33"/>
      <c r="O359" s="33"/>
      <c r="P359" s="33"/>
      <c r="Q359" s="33"/>
      <c r="R359" s="33"/>
      <c r="S359" s="33"/>
      <c r="T359" s="33"/>
    </row>
    <row r="360" spans="1:20" ht="15.75">
      <c r="A360" s="13">
        <v>52840</v>
      </c>
      <c r="B360" s="41">
        <v>31</v>
      </c>
      <c r="C360" s="32">
        <v>194.20500000000001</v>
      </c>
      <c r="D360" s="32">
        <v>267.46600000000001</v>
      </c>
      <c r="E360" s="38">
        <v>812.32899999999995</v>
      </c>
      <c r="F360" s="32">
        <v>1274</v>
      </c>
      <c r="G360" s="32">
        <v>50</v>
      </c>
      <c r="H360" s="40">
        <v>600</v>
      </c>
      <c r="I360" s="32">
        <v>695</v>
      </c>
      <c r="J360" s="32">
        <v>0</v>
      </c>
      <c r="K360" s="33"/>
      <c r="L360" s="33"/>
      <c r="M360" s="33"/>
      <c r="N360" s="33"/>
      <c r="O360" s="33"/>
      <c r="P360" s="33"/>
      <c r="Q360" s="33"/>
      <c r="R360" s="33"/>
      <c r="S360" s="33"/>
      <c r="T360" s="33"/>
    </row>
    <row r="361" spans="1:20" ht="15.75">
      <c r="A361" s="13">
        <v>52870</v>
      </c>
      <c r="B361" s="41">
        <v>30</v>
      </c>
      <c r="C361" s="32">
        <v>194.20500000000001</v>
      </c>
      <c r="D361" s="32">
        <v>267.46600000000001</v>
      </c>
      <c r="E361" s="38">
        <v>812.32899999999995</v>
      </c>
      <c r="F361" s="32">
        <v>1274</v>
      </c>
      <c r="G361" s="32">
        <v>50</v>
      </c>
      <c r="H361" s="40">
        <v>600</v>
      </c>
      <c r="I361" s="32">
        <v>695</v>
      </c>
      <c r="J361" s="32">
        <v>0</v>
      </c>
      <c r="K361" s="33"/>
      <c r="L361" s="33"/>
      <c r="M361" s="33"/>
      <c r="N361" s="33"/>
      <c r="O361" s="33"/>
      <c r="P361" s="33"/>
      <c r="Q361" s="33"/>
      <c r="R361" s="33"/>
      <c r="S361" s="33"/>
      <c r="T361" s="33"/>
    </row>
    <row r="362" spans="1:20" ht="15.75">
      <c r="A362" s="13">
        <v>52901</v>
      </c>
      <c r="B362" s="41">
        <v>31</v>
      </c>
      <c r="C362" s="32">
        <v>131.881</v>
      </c>
      <c r="D362" s="32">
        <v>277.16699999999997</v>
      </c>
      <c r="E362" s="38">
        <v>829.952</v>
      </c>
      <c r="F362" s="32">
        <v>1239</v>
      </c>
      <c r="G362" s="32">
        <v>75</v>
      </c>
      <c r="H362" s="40">
        <v>600</v>
      </c>
      <c r="I362" s="32">
        <v>695</v>
      </c>
      <c r="J362" s="32">
        <v>0</v>
      </c>
      <c r="K362" s="33"/>
      <c r="L362" s="33"/>
      <c r="M362" s="33"/>
      <c r="N362" s="33"/>
      <c r="O362" s="33"/>
      <c r="P362" s="33"/>
      <c r="Q362" s="33"/>
      <c r="R362" s="33"/>
      <c r="S362" s="33"/>
      <c r="T362" s="33"/>
    </row>
    <row r="363" spans="1:20" ht="15.75">
      <c r="A363" s="13">
        <v>52931</v>
      </c>
      <c r="B363" s="41">
        <v>30</v>
      </c>
      <c r="C363" s="32">
        <v>122.58</v>
      </c>
      <c r="D363" s="32">
        <v>297.94099999999997</v>
      </c>
      <c r="E363" s="38">
        <v>729.47900000000004</v>
      </c>
      <c r="F363" s="32">
        <v>1150</v>
      </c>
      <c r="G363" s="32">
        <v>100</v>
      </c>
      <c r="H363" s="40">
        <v>600</v>
      </c>
      <c r="I363" s="32">
        <v>695</v>
      </c>
      <c r="J363" s="32">
        <v>50</v>
      </c>
      <c r="K363" s="33"/>
      <c r="L363" s="33"/>
      <c r="M363" s="33"/>
      <c r="N363" s="33"/>
      <c r="O363" s="33"/>
      <c r="P363" s="33"/>
      <c r="Q363" s="33"/>
      <c r="R363" s="33"/>
      <c r="S363" s="33"/>
      <c r="T363" s="33"/>
    </row>
    <row r="364" spans="1:20" ht="15.75">
      <c r="A364" s="13">
        <v>52962</v>
      </c>
      <c r="B364" s="41">
        <v>31</v>
      </c>
      <c r="C364" s="32">
        <v>122.58</v>
      </c>
      <c r="D364" s="32">
        <v>297.94099999999997</v>
      </c>
      <c r="E364" s="38">
        <v>729.47900000000004</v>
      </c>
      <c r="F364" s="32">
        <v>1150</v>
      </c>
      <c r="G364" s="32">
        <v>100</v>
      </c>
      <c r="H364" s="40">
        <v>600</v>
      </c>
      <c r="I364" s="32">
        <v>695</v>
      </c>
      <c r="J364" s="32">
        <v>50</v>
      </c>
      <c r="K364" s="33"/>
      <c r="L364" s="33"/>
      <c r="M364" s="33"/>
      <c r="N364" s="33"/>
      <c r="O364" s="33"/>
      <c r="P364" s="33"/>
      <c r="Q364" s="33"/>
      <c r="R364" s="33"/>
      <c r="S364" s="33"/>
      <c r="T364" s="33"/>
    </row>
    <row r="365" spans="1:20" ht="15.75">
      <c r="A365" s="13">
        <v>52993</v>
      </c>
      <c r="B365" s="41">
        <v>31</v>
      </c>
      <c r="C365" s="32">
        <v>122.58</v>
      </c>
      <c r="D365" s="32">
        <v>297.94099999999997</v>
      </c>
      <c r="E365" s="38">
        <v>729.47900000000004</v>
      </c>
      <c r="F365" s="32">
        <v>1150</v>
      </c>
      <c r="G365" s="32">
        <v>100</v>
      </c>
      <c r="H365" s="40">
        <v>600</v>
      </c>
      <c r="I365" s="32">
        <v>695</v>
      </c>
      <c r="J365" s="32">
        <v>50</v>
      </c>
      <c r="K365" s="33"/>
      <c r="L365" s="33"/>
      <c r="M365" s="33"/>
      <c r="N365" s="33"/>
      <c r="O365" s="33"/>
      <c r="P365" s="33"/>
      <c r="Q365" s="33"/>
      <c r="R365" s="33"/>
      <c r="S365" s="33"/>
      <c r="T365" s="33"/>
    </row>
    <row r="366" spans="1:20" ht="15.75">
      <c r="A366" s="13">
        <v>53021</v>
      </c>
      <c r="B366" s="41">
        <v>28</v>
      </c>
      <c r="C366" s="32">
        <v>122.58</v>
      </c>
      <c r="D366" s="32">
        <v>297.94099999999997</v>
      </c>
      <c r="E366" s="38">
        <v>729.47900000000004</v>
      </c>
      <c r="F366" s="32">
        <v>1150</v>
      </c>
      <c r="G366" s="32">
        <v>100</v>
      </c>
      <c r="H366" s="40">
        <v>600</v>
      </c>
      <c r="I366" s="32">
        <v>695</v>
      </c>
      <c r="J366" s="32">
        <v>50</v>
      </c>
      <c r="K366" s="33"/>
      <c r="L366" s="33"/>
      <c r="M366" s="33"/>
      <c r="N366" s="33"/>
      <c r="O366" s="33"/>
      <c r="P366" s="33"/>
      <c r="Q366" s="33"/>
      <c r="R366" s="33"/>
      <c r="S366" s="33"/>
      <c r="T366" s="33"/>
    </row>
    <row r="367" spans="1:20" ht="15.75">
      <c r="A367" s="13">
        <v>53052</v>
      </c>
      <c r="B367" s="41">
        <v>31</v>
      </c>
      <c r="C367" s="32">
        <v>122.58</v>
      </c>
      <c r="D367" s="32">
        <v>297.94099999999997</v>
      </c>
      <c r="E367" s="38">
        <v>729.47900000000004</v>
      </c>
      <c r="F367" s="32">
        <v>1150</v>
      </c>
      <c r="G367" s="32">
        <v>100</v>
      </c>
      <c r="H367" s="40">
        <v>600</v>
      </c>
      <c r="I367" s="32">
        <v>695</v>
      </c>
      <c r="J367" s="32">
        <v>50</v>
      </c>
      <c r="K367" s="33"/>
      <c r="L367" s="33"/>
      <c r="M367" s="33"/>
      <c r="N367" s="33"/>
      <c r="O367" s="33"/>
      <c r="P367" s="33"/>
      <c r="Q367" s="33"/>
      <c r="R367" s="33"/>
      <c r="S367" s="33"/>
      <c r="T367" s="33"/>
    </row>
    <row r="368" spans="1:20" ht="15.75">
      <c r="A368" s="13">
        <v>53082</v>
      </c>
      <c r="B368" s="41">
        <v>30</v>
      </c>
      <c r="C368" s="32">
        <v>141.29300000000001</v>
      </c>
      <c r="D368" s="32">
        <v>267.99299999999999</v>
      </c>
      <c r="E368" s="38">
        <v>829.71400000000006</v>
      </c>
      <c r="F368" s="32">
        <v>1239</v>
      </c>
      <c r="G368" s="32">
        <v>100</v>
      </c>
      <c r="H368" s="40">
        <v>600</v>
      </c>
      <c r="I368" s="32">
        <v>695</v>
      </c>
      <c r="J368" s="32">
        <v>50</v>
      </c>
      <c r="K368" s="33"/>
      <c r="L368" s="33"/>
      <c r="M368" s="33"/>
      <c r="N368" s="33"/>
      <c r="O368" s="33"/>
      <c r="P368" s="33"/>
      <c r="Q368" s="33"/>
      <c r="R368" s="33"/>
      <c r="S368" s="33"/>
      <c r="T368" s="33"/>
    </row>
    <row r="369" spans="1:20" ht="15.75">
      <c r="A369" s="13">
        <v>53113</v>
      </c>
      <c r="B369" s="41">
        <v>31</v>
      </c>
      <c r="C369" s="32">
        <v>194.20500000000001</v>
      </c>
      <c r="D369" s="32">
        <v>267.46600000000001</v>
      </c>
      <c r="E369" s="38">
        <v>812.32899999999995</v>
      </c>
      <c r="F369" s="32">
        <v>1274</v>
      </c>
      <c r="G369" s="32">
        <v>75</v>
      </c>
      <c r="H369" s="40">
        <v>600</v>
      </c>
      <c r="I369" s="32">
        <v>695</v>
      </c>
      <c r="J369" s="32">
        <v>50</v>
      </c>
      <c r="K369" s="33"/>
      <c r="L369" s="33"/>
      <c r="M369" s="33"/>
      <c r="N369" s="33"/>
      <c r="O369" s="33"/>
      <c r="P369" s="33"/>
      <c r="Q369" s="33"/>
      <c r="R369" s="33"/>
      <c r="S369" s="33"/>
      <c r="T369" s="33"/>
    </row>
    <row r="370" spans="1:20" ht="15.75">
      <c r="A370" s="13">
        <v>53143</v>
      </c>
      <c r="B370" s="41">
        <v>30</v>
      </c>
      <c r="C370" s="32">
        <v>194.20500000000001</v>
      </c>
      <c r="D370" s="32">
        <v>267.46600000000001</v>
      </c>
      <c r="E370" s="38">
        <v>812.32899999999995</v>
      </c>
      <c r="F370" s="32">
        <v>1274</v>
      </c>
      <c r="G370" s="32">
        <v>50</v>
      </c>
      <c r="H370" s="40">
        <v>600</v>
      </c>
      <c r="I370" s="32">
        <v>695</v>
      </c>
      <c r="J370" s="32">
        <v>50</v>
      </c>
      <c r="K370" s="33"/>
      <c r="L370" s="33"/>
      <c r="M370" s="33"/>
      <c r="N370" s="33"/>
      <c r="O370" s="33"/>
      <c r="P370" s="33"/>
      <c r="Q370" s="33"/>
      <c r="R370" s="33"/>
      <c r="S370" s="33"/>
      <c r="T370" s="33"/>
    </row>
    <row r="371" spans="1:20" ht="15.75">
      <c r="A371" s="13">
        <v>53174</v>
      </c>
      <c r="B371" s="41">
        <v>31</v>
      </c>
      <c r="C371" s="32">
        <v>194.20500000000001</v>
      </c>
      <c r="D371" s="32">
        <v>267.46600000000001</v>
      </c>
      <c r="E371" s="38">
        <v>812.32899999999995</v>
      </c>
      <c r="F371" s="32">
        <v>1274</v>
      </c>
      <c r="G371" s="32">
        <v>50</v>
      </c>
      <c r="H371" s="40">
        <v>600</v>
      </c>
      <c r="I371" s="32">
        <v>695</v>
      </c>
      <c r="J371" s="32">
        <v>0</v>
      </c>
      <c r="K371" s="33"/>
      <c r="L371" s="33"/>
      <c r="M371" s="33"/>
      <c r="N371" s="33"/>
      <c r="O371" s="33"/>
      <c r="P371" s="33"/>
      <c r="Q371" s="33"/>
      <c r="R371" s="33"/>
      <c r="S371" s="33"/>
      <c r="T371" s="33"/>
    </row>
    <row r="372" spans="1:20" ht="15.75">
      <c r="A372" s="13">
        <v>53205</v>
      </c>
      <c r="B372" s="41">
        <v>31</v>
      </c>
      <c r="C372" s="32">
        <v>194.20500000000001</v>
      </c>
      <c r="D372" s="32">
        <v>267.46600000000001</v>
      </c>
      <c r="E372" s="38">
        <v>812.32899999999995</v>
      </c>
      <c r="F372" s="32">
        <v>1274</v>
      </c>
      <c r="G372" s="32">
        <v>50</v>
      </c>
      <c r="H372" s="40">
        <v>600</v>
      </c>
      <c r="I372" s="32">
        <v>695</v>
      </c>
      <c r="J372" s="32">
        <v>0</v>
      </c>
      <c r="K372" s="33"/>
      <c r="L372" s="33"/>
      <c r="M372" s="33"/>
      <c r="N372" s="33"/>
      <c r="O372" s="33"/>
      <c r="P372" s="33"/>
      <c r="Q372" s="33"/>
      <c r="R372" s="33"/>
      <c r="S372" s="33"/>
      <c r="T372" s="33"/>
    </row>
    <row r="373" spans="1:20" ht="15.75">
      <c r="A373" s="13">
        <v>53235</v>
      </c>
      <c r="B373" s="41">
        <v>30</v>
      </c>
      <c r="C373" s="32">
        <v>194.20500000000001</v>
      </c>
      <c r="D373" s="32">
        <v>267.46600000000001</v>
      </c>
      <c r="E373" s="38">
        <v>812.32899999999995</v>
      </c>
      <c r="F373" s="32">
        <v>1274</v>
      </c>
      <c r="G373" s="32">
        <v>50</v>
      </c>
      <c r="H373" s="40">
        <v>600</v>
      </c>
      <c r="I373" s="32">
        <v>695</v>
      </c>
      <c r="J373" s="32">
        <v>0</v>
      </c>
      <c r="K373" s="33"/>
      <c r="L373" s="33"/>
      <c r="M373" s="33"/>
      <c r="N373" s="33"/>
      <c r="O373" s="33"/>
      <c r="P373" s="33"/>
      <c r="Q373" s="33"/>
      <c r="R373" s="33"/>
      <c r="S373" s="33"/>
      <c r="T373" s="33"/>
    </row>
    <row r="374" spans="1:20" ht="15.75">
      <c r="A374" s="13">
        <v>53266</v>
      </c>
      <c r="B374" s="41">
        <v>31</v>
      </c>
      <c r="C374" s="32">
        <v>131.881</v>
      </c>
      <c r="D374" s="32">
        <v>277.16699999999997</v>
      </c>
      <c r="E374" s="38">
        <v>829.952</v>
      </c>
      <c r="F374" s="32">
        <v>1239</v>
      </c>
      <c r="G374" s="32">
        <v>75</v>
      </c>
      <c r="H374" s="40">
        <v>600</v>
      </c>
      <c r="I374" s="32">
        <v>695</v>
      </c>
      <c r="J374" s="32">
        <v>0</v>
      </c>
      <c r="K374" s="33"/>
      <c r="L374" s="33"/>
      <c r="M374" s="33"/>
      <c r="N374" s="33"/>
      <c r="O374" s="33"/>
      <c r="P374" s="33"/>
      <c r="Q374" s="33"/>
      <c r="R374" s="33"/>
      <c r="S374" s="33"/>
      <c r="T374" s="33"/>
    </row>
    <row r="375" spans="1:20" ht="15.75">
      <c r="A375" s="13">
        <v>53296</v>
      </c>
      <c r="B375" s="41">
        <v>30</v>
      </c>
      <c r="C375" s="32">
        <v>122.58</v>
      </c>
      <c r="D375" s="32">
        <v>297.94099999999997</v>
      </c>
      <c r="E375" s="38">
        <v>729.47900000000004</v>
      </c>
      <c r="F375" s="32">
        <v>1150</v>
      </c>
      <c r="G375" s="32">
        <v>100</v>
      </c>
      <c r="H375" s="40">
        <v>600</v>
      </c>
      <c r="I375" s="32">
        <v>695</v>
      </c>
      <c r="J375" s="32">
        <v>50</v>
      </c>
      <c r="K375" s="33"/>
      <c r="L375" s="33"/>
      <c r="M375" s="33"/>
      <c r="N375" s="33"/>
      <c r="O375" s="33"/>
      <c r="P375" s="33"/>
      <c r="Q375" s="33"/>
      <c r="R375" s="33"/>
      <c r="S375" s="33"/>
      <c r="T375" s="33"/>
    </row>
    <row r="376" spans="1:20" ht="15.75">
      <c r="A376" s="13">
        <v>53327</v>
      </c>
      <c r="B376" s="41">
        <v>31</v>
      </c>
      <c r="C376" s="32">
        <v>122.58</v>
      </c>
      <c r="D376" s="32">
        <v>297.94099999999997</v>
      </c>
      <c r="E376" s="38">
        <v>729.47900000000004</v>
      </c>
      <c r="F376" s="32">
        <v>1150</v>
      </c>
      <c r="G376" s="32">
        <v>100</v>
      </c>
      <c r="H376" s="40">
        <v>600</v>
      </c>
      <c r="I376" s="32">
        <v>695</v>
      </c>
      <c r="J376" s="32">
        <v>50</v>
      </c>
      <c r="K376" s="33"/>
      <c r="L376" s="33"/>
      <c r="M376" s="33"/>
      <c r="N376" s="33"/>
      <c r="O376" s="33"/>
      <c r="P376" s="33"/>
      <c r="Q376" s="33"/>
      <c r="R376" s="33"/>
      <c r="S376" s="33"/>
      <c r="T376" s="33"/>
    </row>
    <row r="377" spans="1:20" ht="15.75">
      <c r="A377" s="13">
        <v>53358</v>
      </c>
      <c r="B377" s="41">
        <v>31</v>
      </c>
      <c r="C377" s="32">
        <v>122.58</v>
      </c>
      <c r="D377" s="32">
        <v>297.94099999999997</v>
      </c>
      <c r="E377" s="38">
        <v>729.47900000000004</v>
      </c>
      <c r="F377" s="32">
        <v>1150</v>
      </c>
      <c r="G377" s="32">
        <v>100</v>
      </c>
      <c r="H377" s="40">
        <v>600</v>
      </c>
      <c r="I377" s="32">
        <v>695</v>
      </c>
      <c r="J377" s="32">
        <v>50</v>
      </c>
      <c r="K377" s="33"/>
      <c r="L377" s="33"/>
      <c r="M377" s="33"/>
      <c r="N377" s="33"/>
      <c r="O377" s="33"/>
      <c r="P377" s="33"/>
      <c r="Q377" s="33"/>
      <c r="R377" s="33"/>
      <c r="S377" s="33"/>
      <c r="T377" s="33"/>
    </row>
    <row r="378" spans="1:20" ht="15.75">
      <c r="A378" s="13">
        <v>53386</v>
      </c>
      <c r="B378" s="41">
        <v>28</v>
      </c>
      <c r="C378" s="32">
        <v>122.58</v>
      </c>
      <c r="D378" s="32">
        <v>297.94099999999997</v>
      </c>
      <c r="E378" s="38">
        <v>729.47900000000004</v>
      </c>
      <c r="F378" s="32">
        <v>1150</v>
      </c>
      <c r="G378" s="32">
        <v>100</v>
      </c>
      <c r="H378" s="40">
        <v>600</v>
      </c>
      <c r="I378" s="32">
        <v>695</v>
      </c>
      <c r="J378" s="32">
        <v>50</v>
      </c>
      <c r="K378" s="33"/>
      <c r="L378" s="33"/>
      <c r="M378" s="33"/>
      <c r="N378" s="33"/>
      <c r="O378" s="33"/>
      <c r="P378" s="33"/>
      <c r="Q378" s="33"/>
      <c r="R378" s="33"/>
      <c r="S378" s="33"/>
      <c r="T378" s="33"/>
    </row>
    <row r="379" spans="1:20" ht="15.75">
      <c r="A379" s="13">
        <v>53417</v>
      </c>
      <c r="B379" s="41">
        <v>31</v>
      </c>
      <c r="C379" s="32">
        <v>122.58</v>
      </c>
      <c r="D379" s="32">
        <v>297.94099999999997</v>
      </c>
      <c r="E379" s="38">
        <v>729.47900000000004</v>
      </c>
      <c r="F379" s="32">
        <v>1150</v>
      </c>
      <c r="G379" s="32">
        <v>100</v>
      </c>
      <c r="H379" s="40">
        <v>600</v>
      </c>
      <c r="I379" s="32">
        <v>695</v>
      </c>
      <c r="J379" s="32">
        <v>50</v>
      </c>
      <c r="K379" s="33"/>
      <c r="L379" s="33"/>
      <c r="M379" s="33"/>
      <c r="N379" s="33"/>
      <c r="O379" s="33"/>
      <c r="P379" s="33"/>
      <c r="Q379" s="33"/>
      <c r="R379" s="33"/>
      <c r="S379" s="33"/>
      <c r="T379" s="33"/>
    </row>
    <row r="380" spans="1:20" ht="15.75">
      <c r="A380" s="13">
        <v>53447</v>
      </c>
      <c r="B380" s="41">
        <v>30</v>
      </c>
      <c r="C380" s="32">
        <v>141.29300000000001</v>
      </c>
      <c r="D380" s="32">
        <v>267.99299999999999</v>
      </c>
      <c r="E380" s="38">
        <v>829.71400000000006</v>
      </c>
      <c r="F380" s="32">
        <v>1239</v>
      </c>
      <c r="G380" s="32">
        <v>100</v>
      </c>
      <c r="H380" s="40">
        <v>600</v>
      </c>
      <c r="I380" s="32">
        <v>695</v>
      </c>
      <c r="J380" s="32">
        <v>50</v>
      </c>
      <c r="K380" s="33"/>
      <c r="L380" s="33"/>
      <c r="M380" s="33"/>
      <c r="N380" s="33"/>
      <c r="O380" s="33"/>
      <c r="P380" s="33"/>
      <c r="Q380" s="33"/>
      <c r="R380" s="33"/>
      <c r="S380" s="33"/>
      <c r="T380" s="33"/>
    </row>
    <row r="381" spans="1:20" ht="15.75">
      <c r="A381" s="13">
        <v>53478</v>
      </c>
      <c r="B381" s="41">
        <v>31</v>
      </c>
      <c r="C381" s="32">
        <v>194.20500000000001</v>
      </c>
      <c r="D381" s="32">
        <v>267.46600000000001</v>
      </c>
      <c r="E381" s="38">
        <v>812.32899999999995</v>
      </c>
      <c r="F381" s="32">
        <v>1274</v>
      </c>
      <c r="G381" s="32">
        <v>75</v>
      </c>
      <c r="H381" s="40">
        <v>600</v>
      </c>
      <c r="I381" s="32">
        <v>695</v>
      </c>
      <c r="J381" s="32">
        <v>50</v>
      </c>
      <c r="K381" s="33"/>
      <c r="L381" s="33"/>
      <c r="M381" s="33"/>
      <c r="N381" s="33"/>
      <c r="O381" s="33"/>
      <c r="P381" s="33"/>
      <c r="Q381" s="33"/>
      <c r="R381" s="33"/>
      <c r="S381" s="33"/>
      <c r="T381" s="33"/>
    </row>
    <row r="382" spans="1:20" ht="15.75">
      <c r="A382" s="13">
        <v>53508</v>
      </c>
      <c r="B382" s="41">
        <v>30</v>
      </c>
      <c r="C382" s="32">
        <v>194.20500000000001</v>
      </c>
      <c r="D382" s="32">
        <v>267.46600000000001</v>
      </c>
      <c r="E382" s="38">
        <v>812.32899999999995</v>
      </c>
      <c r="F382" s="32">
        <v>1274</v>
      </c>
      <c r="G382" s="32">
        <v>50</v>
      </c>
      <c r="H382" s="40">
        <v>600</v>
      </c>
      <c r="I382" s="32">
        <v>695</v>
      </c>
      <c r="J382" s="32">
        <v>50</v>
      </c>
      <c r="K382" s="33"/>
      <c r="L382" s="33"/>
      <c r="M382" s="33"/>
      <c r="N382" s="33"/>
      <c r="O382" s="33"/>
      <c r="P382" s="33"/>
      <c r="Q382" s="33"/>
      <c r="R382" s="33"/>
      <c r="S382" s="33"/>
      <c r="T382" s="33"/>
    </row>
    <row r="383" spans="1:20" ht="15.75">
      <c r="A383" s="13">
        <v>53539</v>
      </c>
      <c r="B383" s="41">
        <v>31</v>
      </c>
      <c r="C383" s="32">
        <v>194.20500000000001</v>
      </c>
      <c r="D383" s="32">
        <v>267.46600000000001</v>
      </c>
      <c r="E383" s="38">
        <v>812.32899999999995</v>
      </c>
      <c r="F383" s="32">
        <v>1274</v>
      </c>
      <c r="G383" s="32">
        <v>50</v>
      </c>
      <c r="H383" s="40">
        <v>600</v>
      </c>
      <c r="I383" s="32">
        <v>695</v>
      </c>
      <c r="J383" s="32">
        <v>0</v>
      </c>
      <c r="K383" s="33"/>
      <c r="L383" s="33"/>
      <c r="M383" s="33"/>
      <c r="N383" s="33"/>
      <c r="O383" s="33"/>
      <c r="P383" s="33"/>
      <c r="Q383" s="33"/>
      <c r="R383" s="33"/>
      <c r="S383" s="33"/>
      <c r="T383" s="33"/>
    </row>
    <row r="384" spans="1:20" ht="15.75">
      <c r="A384" s="13">
        <v>53570</v>
      </c>
      <c r="B384" s="41">
        <v>31</v>
      </c>
      <c r="C384" s="32">
        <v>194.20500000000001</v>
      </c>
      <c r="D384" s="32">
        <v>267.46600000000001</v>
      </c>
      <c r="E384" s="38">
        <v>812.32899999999995</v>
      </c>
      <c r="F384" s="32">
        <v>1274</v>
      </c>
      <c r="G384" s="32">
        <v>50</v>
      </c>
      <c r="H384" s="40">
        <v>600</v>
      </c>
      <c r="I384" s="32">
        <v>695</v>
      </c>
      <c r="J384" s="32">
        <v>0</v>
      </c>
      <c r="K384" s="33"/>
      <c r="L384" s="33"/>
      <c r="M384" s="33"/>
      <c r="N384" s="33"/>
      <c r="O384" s="33"/>
      <c r="P384" s="33"/>
      <c r="Q384" s="33"/>
      <c r="R384" s="33"/>
      <c r="S384" s="33"/>
      <c r="T384" s="33"/>
    </row>
    <row r="385" spans="1:20" ht="15.75">
      <c r="A385" s="13">
        <v>53600</v>
      </c>
      <c r="B385" s="41">
        <v>30</v>
      </c>
      <c r="C385" s="32">
        <v>194.20500000000001</v>
      </c>
      <c r="D385" s="32">
        <v>267.46600000000001</v>
      </c>
      <c r="E385" s="38">
        <v>812.32899999999995</v>
      </c>
      <c r="F385" s="32">
        <v>1274</v>
      </c>
      <c r="G385" s="32">
        <v>50</v>
      </c>
      <c r="H385" s="40">
        <v>600</v>
      </c>
      <c r="I385" s="32">
        <v>695</v>
      </c>
      <c r="J385" s="32">
        <v>0</v>
      </c>
      <c r="K385" s="33"/>
      <c r="L385" s="33"/>
      <c r="M385" s="33"/>
      <c r="N385" s="33"/>
      <c r="O385" s="33"/>
      <c r="P385" s="33"/>
      <c r="Q385" s="33"/>
      <c r="R385" s="33"/>
      <c r="S385" s="33"/>
      <c r="T385" s="33"/>
    </row>
    <row r="386" spans="1:20" ht="15.75">
      <c r="A386" s="13">
        <v>53631</v>
      </c>
      <c r="B386" s="41">
        <v>31</v>
      </c>
      <c r="C386" s="32">
        <v>131.881</v>
      </c>
      <c r="D386" s="32">
        <v>277.16699999999997</v>
      </c>
      <c r="E386" s="38">
        <v>829.952</v>
      </c>
      <c r="F386" s="32">
        <v>1239</v>
      </c>
      <c r="G386" s="32">
        <v>75</v>
      </c>
      <c r="H386" s="40">
        <v>600</v>
      </c>
      <c r="I386" s="32">
        <v>695</v>
      </c>
      <c r="J386" s="32">
        <v>0</v>
      </c>
      <c r="K386" s="33"/>
      <c r="L386" s="33"/>
      <c r="M386" s="33"/>
      <c r="N386" s="33"/>
      <c r="O386" s="33"/>
      <c r="P386" s="33"/>
      <c r="Q386" s="33"/>
      <c r="R386" s="33"/>
      <c r="S386" s="33"/>
      <c r="T386" s="33"/>
    </row>
    <row r="387" spans="1:20" ht="15.75">
      <c r="A387" s="13">
        <v>53661</v>
      </c>
      <c r="B387" s="41">
        <v>30</v>
      </c>
      <c r="C387" s="32">
        <v>122.58</v>
      </c>
      <c r="D387" s="32">
        <v>297.94099999999997</v>
      </c>
      <c r="E387" s="38">
        <v>729.47900000000004</v>
      </c>
      <c r="F387" s="32">
        <v>1150</v>
      </c>
      <c r="G387" s="32">
        <v>100</v>
      </c>
      <c r="H387" s="40">
        <v>600</v>
      </c>
      <c r="I387" s="32">
        <v>695</v>
      </c>
      <c r="J387" s="32">
        <v>50</v>
      </c>
      <c r="K387" s="33"/>
      <c r="L387" s="33"/>
      <c r="M387" s="33"/>
      <c r="N387" s="33"/>
      <c r="O387" s="33"/>
      <c r="P387" s="33"/>
      <c r="Q387" s="33"/>
      <c r="R387" s="33"/>
      <c r="S387" s="33"/>
      <c r="T387" s="33"/>
    </row>
    <row r="388" spans="1:20" ht="15.75">
      <c r="A388" s="13">
        <v>53692</v>
      </c>
      <c r="B388" s="41">
        <v>31</v>
      </c>
      <c r="C388" s="32">
        <v>122.58</v>
      </c>
      <c r="D388" s="32">
        <v>297.94099999999997</v>
      </c>
      <c r="E388" s="38">
        <v>729.47900000000004</v>
      </c>
      <c r="F388" s="32">
        <v>1150</v>
      </c>
      <c r="G388" s="32">
        <v>100</v>
      </c>
      <c r="H388" s="40">
        <v>600</v>
      </c>
      <c r="I388" s="32">
        <v>695</v>
      </c>
      <c r="J388" s="32">
        <v>50</v>
      </c>
      <c r="K388" s="33"/>
      <c r="L388" s="33"/>
      <c r="M388" s="33"/>
      <c r="N388" s="33"/>
      <c r="O388" s="33"/>
      <c r="P388" s="33"/>
      <c r="Q388" s="33"/>
      <c r="R388" s="33"/>
      <c r="S388" s="33"/>
      <c r="T388" s="33"/>
    </row>
    <row r="389" spans="1:20" ht="15.75">
      <c r="A389" s="13">
        <v>53723</v>
      </c>
      <c r="B389" s="41">
        <v>31</v>
      </c>
      <c r="C389" s="32">
        <v>122.58</v>
      </c>
      <c r="D389" s="32">
        <v>297.94099999999997</v>
      </c>
      <c r="E389" s="38">
        <v>729.47900000000004</v>
      </c>
      <c r="F389" s="32">
        <v>1150</v>
      </c>
      <c r="G389" s="32">
        <v>100</v>
      </c>
      <c r="H389" s="40">
        <v>600</v>
      </c>
      <c r="I389" s="32">
        <v>695</v>
      </c>
      <c r="J389" s="32">
        <v>50</v>
      </c>
      <c r="K389" s="33"/>
      <c r="L389" s="33"/>
      <c r="M389" s="33"/>
      <c r="N389" s="33"/>
      <c r="O389" s="33"/>
      <c r="P389" s="33"/>
      <c r="Q389" s="33"/>
      <c r="R389" s="33"/>
      <c r="S389" s="33"/>
      <c r="T389" s="33"/>
    </row>
    <row r="390" spans="1:20" ht="15.75">
      <c r="A390" s="13">
        <v>53751</v>
      </c>
      <c r="B390" s="41">
        <v>28</v>
      </c>
      <c r="C390" s="32">
        <v>122.58</v>
      </c>
      <c r="D390" s="32">
        <v>297.94099999999997</v>
      </c>
      <c r="E390" s="38">
        <v>729.47900000000004</v>
      </c>
      <c r="F390" s="32">
        <v>1150</v>
      </c>
      <c r="G390" s="32">
        <v>100</v>
      </c>
      <c r="H390" s="40">
        <v>600</v>
      </c>
      <c r="I390" s="32">
        <v>695</v>
      </c>
      <c r="J390" s="32">
        <v>50</v>
      </c>
      <c r="K390" s="33"/>
      <c r="L390" s="33"/>
      <c r="M390" s="33"/>
      <c r="N390" s="33"/>
      <c r="O390" s="33"/>
      <c r="P390" s="33"/>
      <c r="Q390" s="33"/>
      <c r="R390" s="33"/>
      <c r="S390" s="33"/>
      <c r="T390" s="33"/>
    </row>
    <row r="391" spans="1:20" ht="15.75">
      <c r="A391" s="13">
        <v>53782</v>
      </c>
      <c r="B391" s="41">
        <v>31</v>
      </c>
      <c r="C391" s="32">
        <v>122.58</v>
      </c>
      <c r="D391" s="32">
        <v>297.94099999999997</v>
      </c>
      <c r="E391" s="38">
        <v>729.47900000000004</v>
      </c>
      <c r="F391" s="32">
        <v>1150</v>
      </c>
      <c r="G391" s="32">
        <v>100</v>
      </c>
      <c r="H391" s="40">
        <v>600</v>
      </c>
      <c r="I391" s="32">
        <v>695</v>
      </c>
      <c r="J391" s="32">
        <v>50</v>
      </c>
      <c r="K391" s="33"/>
      <c r="L391" s="33"/>
      <c r="M391" s="33"/>
      <c r="N391" s="33"/>
      <c r="O391" s="33"/>
      <c r="P391" s="33"/>
      <c r="Q391" s="33"/>
      <c r="R391" s="33"/>
      <c r="S391" s="33"/>
      <c r="T391" s="33"/>
    </row>
    <row r="392" spans="1:20" ht="15.75">
      <c r="A392" s="13">
        <v>53812</v>
      </c>
      <c r="B392" s="41">
        <v>30</v>
      </c>
      <c r="C392" s="32">
        <v>141.29300000000001</v>
      </c>
      <c r="D392" s="32">
        <v>267.99299999999999</v>
      </c>
      <c r="E392" s="38">
        <v>829.71400000000006</v>
      </c>
      <c r="F392" s="32">
        <v>1239</v>
      </c>
      <c r="G392" s="32">
        <v>100</v>
      </c>
      <c r="H392" s="40">
        <v>600</v>
      </c>
      <c r="I392" s="32">
        <v>695</v>
      </c>
      <c r="J392" s="32">
        <v>50</v>
      </c>
      <c r="K392" s="33"/>
      <c r="L392" s="33"/>
      <c r="M392" s="33"/>
      <c r="N392" s="33"/>
      <c r="O392" s="33"/>
      <c r="P392" s="33"/>
      <c r="Q392" s="33"/>
      <c r="R392" s="33"/>
      <c r="S392" s="33"/>
      <c r="T392" s="33"/>
    </row>
    <row r="393" spans="1:20" ht="15.75">
      <c r="A393" s="13">
        <v>53843</v>
      </c>
      <c r="B393" s="41">
        <v>31</v>
      </c>
      <c r="C393" s="32">
        <v>194.20500000000001</v>
      </c>
      <c r="D393" s="32">
        <v>267.46600000000001</v>
      </c>
      <c r="E393" s="38">
        <v>812.32899999999995</v>
      </c>
      <c r="F393" s="32">
        <v>1274</v>
      </c>
      <c r="G393" s="32">
        <v>75</v>
      </c>
      <c r="H393" s="40">
        <v>600</v>
      </c>
      <c r="I393" s="32">
        <v>695</v>
      </c>
      <c r="J393" s="32">
        <v>50</v>
      </c>
      <c r="K393" s="33"/>
      <c r="L393" s="33"/>
      <c r="M393" s="33"/>
      <c r="N393" s="33"/>
      <c r="O393" s="33"/>
      <c r="P393" s="33"/>
      <c r="Q393" s="33"/>
      <c r="R393" s="33"/>
      <c r="S393" s="33"/>
      <c r="T393" s="33"/>
    </row>
    <row r="394" spans="1:20" ht="15.75">
      <c r="A394" s="13">
        <v>53873</v>
      </c>
      <c r="B394" s="41">
        <v>30</v>
      </c>
      <c r="C394" s="32">
        <v>194.20500000000001</v>
      </c>
      <c r="D394" s="32">
        <v>267.46600000000001</v>
      </c>
      <c r="E394" s="38">
        <v>812.32899999999995</v>
      </c>
      <c r="F394" s="32">
        <v>1274</v>
      </c>
      <c r="G394" s="32">
        <v>50</v>
      </c>
      <c r="H394" s="40">
        <v>600</v>
      </c>
      <c r="I394" s="32">
        <v>695</v>
      </c>
      <c r="J394" s="32">
        <v>50</v>
      </c>
      <c r="K394" s="33"/>
      <c r="L394" s="33"/>
      <c r="M394" s="33"/>
      <c r="N394" s="33"/>
      <c r="O394" s="33"/>
      <c r="P394" s="33"/>
      <c r="Q394" s="33"/>
      <c r="R394" s="33"/>
      <c r="S394" s="33"/>
      <c r="T394" s="33"/>
    </row>
    <row r="395" spans="1:20" ht="15.75">
      <c r="A395" s="13">
        <v>53904</v>
      </c>
      <c r="B395" s="41">
        <v>31</v>
      </c>
      <c r="C395" s="32">
        <v>194.20500000000001</v>
      </c>
      <c r="D395" s="32">
        <v>267.46600000000001</v>
      </c>
      <c r="E395" s="38">
        <v>812.32899999999995</v>
      </c>
      <c r="F395" s="32">
        <v>1274</v>
      </c>
      <c r="G395" s="32">
        <v>50</v>
      </c>
      <c r="H395" s="40">
        <v>600</v>
      </c>
      <c r="I395" s="32">
        <v>695</v>
      </c>
      <c r="J395" s="32">
        <v>0</v>
      </c>
      <c r="K395" s="33"/>
      <c r="L395" s="33"/>
      <c r="M395" s="33"/>
      <c r="N395" s="33"/>
      <c r="O395" s="33"/>
      <c r="P395" s="33"/>
      <c r="Q395" s="33"/>
      <c r="R395" s="33"/>
      <c r="S395" s="33"/>
      <c r="T395" s="33"/>
    </row>
    <row r="396" spans="1:20" ht="15.75">
      <c r="A396" s="13">
        <v>53935</v>
      </c>
      <c r="B396" s="41">
        <v>31</v>
      </c>
      <c r="C396" s="32">
        <v>194.20500000000001</v>
      </c>
      <c r="D396" s="32">
        <v>267.46600000000001</v>
      </c>
      <c r="E396" s="38">
        <v>812.32899999999995</v>
      </c>
      <c r="F396" s="32">
        <v>1274</v>
      </c>
      <c r="G396" s="32">
        <v>50</v>
      </c>
      <c r="H396" s="40">
        <v>600</v>
      </c>
      <c r="I396" s="32">
        <v>695</v>
      </c>
      <c r="J396" s="32">
        <v>0</v>
      </c>
      <c r="K396" s="33"/>
      <c r="L396" s="33"/>
      <c r="M396" s="33"/>
      <c r="N396" s="33"/>
      <c r="O396" s="33"/>
      <c r="P396" s="33"/>
      <c r="Q396" s="33"/>
      <c r="R396" s="33"/>
      <c r="S396" s="33"/>
      <c r="T396" s="33"/>
    </row>
    <row r="397" spans="1:20" ht="15.75">
      <c r="A397" s="13">
        <v>53965</v>
      </c>
      <c r="B397" s="41">
        <v>30</v>
      </c>
      <c r="C397" s="32">
        <v>194.20500000000001</v>
      </c>
      <c r="D397" s="32">
        <v>267.46600000000001</v>
      </c>
      <c r="E397" s="38">
        <v>812.32899999999995</v>
      </c>
      <c r="F397" s="32">
        <v>1274</v>
      </c>
      <c r="G397" s="32">
        <v>50</v>
      </c>
      <c r="H397" s="40">
        <v>600</v>
      </c>
      <c r="I397" s="32">
        <v>695</v>
      </c>
      <c r="J397" s="32">
        <v>0</v>
      </c>
      <c r="K397" s="33"/>
      <c r="L397" s="33"/>
      <c r="M397" s="33"/>
      <c r="N397" s="33"/>
      <c r="O397" s="33"/>
      <c r="P397" s="33"/>
      <c r="Q397" s="33"/>
      <c r="R397" s="33"/>
      <c r="S397" s="33"/>
      <c r="T397" s="33"/>
    </row>
    <row r="398" spans="1:20" ht="15.75">
      <c r="A398" s="13">
        <v>53996</v>
      </c>
      <c r="B398" s="41">
        <v>31</v>
      </c>
      <c r="C398" s="32">
        <v>131.881</v>
      </c>
      <c r="D398" s="32">
        <v>277.16699999999997</v>
      </c>
      <c r="E398" s="38">
        <v>829.952</v>
      </c>
      <c r="F398" s="32">
        <v>1239</v>
      </c>
      <c r="G398" s="32">
        <v>75</v>
      </c>
      <c r="H398" s="40">
        <v>600</v>
      </c>
      <c r="I398" s="32">
        <v>695</v>
      </c>
      <c r="J398" s="32">
        <v>0</v>
      </c>
      <c r="K398" s="33"/>
      <c r="L398" s="33"/>
      <c r="M398" s="33"/>
      <c r="N398" s="33"/>
      <c r="O398" s="33"/>
      <c r="P398" s="33"/>
      <c r="Q398" s="33"/>
      <c r="R398" s="33"/>
      <c r="S398" s="33"/>
      <c r="T398" s="33"/>
    </row>
    <row r="399" spans="1:20" ht="15.75">
      <c r="A399" s="13">
        <v>54026</v>
      </c>
      <c r="B399" s="41">
        <v>30</v>
      </c>
      <c r="C399" s="32">
        <v>122.58</v>
      </c>
      <c r="D399" s="32">
        <v>297.94099999999997</v>
      </c>
      <c r="E399" s="38">
        <v>729.47900000000004</v>
      </c>
      <c r="F399" s="32">
        <v>1150</v>
      </c>
      <c r="G399" s="32">
        <v>100</v>
      </c>
      <c r="H399" s="40">
        <v>600</v>
      </c>
      <c r="I399" s="32">
        <v>695</v>
      </c>
      <c r="J399" s="32">
        <v>50</v>
      </c>
      <c r="K399" s="33"/>
      <c r="L399" s="33"/>
      <c r="M399" s="33"/>
      <c r="N399" s="33"/>
      <c r="O399" s="33"/>
      <c r="P399" s="33"/>
      <c r="Q399" s="33"/>
      <c r="R399" s="33"/>
      <c r="S399" s="33"/>
      <c r="T399" s="33"/>
    </row>
    <row r="400" spans="1:20" ht="15.75">
      <c r="A400" s="13">
        <v>54057</v>
      </c>
      <c r="B400" s="41">
        <v>31</v>
      </c>
      <c r="C400" s="32">
        <v>122.58</v>
      </c>
      <c r="D400" s="32">
        <v>297.94099999999997</v>
      </c>
      <c r="E400" s="38">
        <v>729.47900000000004</v>
      </c>
      <c r="F400" s="32">
        <v>1150</v>
      </c>
      <c r="G400" s="32">
        <v>100</v>
      </c>
      <c r="H400" s="40">
        <v>600</v>
      </c>
      <c r="I400" s="32">
        <v>695</v>
      </c>
      <c r="J400" s="32">
        <v>50</v>
      </c>
      <c r="K400" s="33"/>
      <c r="L400" s="33"/>
      <c r="M400" s="33"/>
      <c r="N400" s="33"/>
      <c r="O400" s="33"/>
      <c r="P400" s="33"/>
      <c r="Q400" s="33"/>
      <c r="R400" s="33"/>
      <c r="S400" s="33"/>
      <c r="T400" s="33"/>
    </row>
    <row r="401" spans="1:20" ht="15.75">
      <c r="A401" s="13">
        <v>54088</v>
      </c>
      <c r="B401" s="41">
        <v>31</v>
      </c>
      <c r="C401" s="32">
        <v>122.58</v>
      </c>
      <c r="D401" s="32">
        <v>297.94099999999997</v>
      </c>
      <c r="E401" s="38">
        <v>729.47900000000004</v>
      </c>
      <c r="F401" s="32">
        <v>1150</v>
      </c>
      <c r="G401" s="32">
        <v>100</v>
      </c>
      <c r="H401" s="40">
        <v>600</v>
      </c>
      <c r="I401" s="32">
        <v>695</v>
      </c>
      <c r="J401" s="32">
        <v>50</v>
      </c>
      <c r="K401" s="33"/>
      <c r="L401" s="33"/>
      <c r="M401" s="33"/>
      <c r="N401" s="33"/>
      <c r="O401" s="33"/>
      <c r="P401" s="33"/>
      <c r="Q401" s="33"/>
      <c r="R401" s="33"/>
      <c r="S401" s="33"/>
      <c r="T401" s="33"/>
    </row>
    <row r="402" spans="1:20" ht="15.75">
      <c r="A402" s="13">
        <v>54116</v>
      </c>
      <c r="B402" s="41">
        <v>29</v>
      </c>
      <c r="C402" s="32">
        <v>122.58</v>
      </c>
      <c r="D402" s="32">
        <v>297.94099999999997</v>
      </c>
      <c r="E402" s="38">
        <v>729.47900000000004</v>
      </c>
      <c r="F402" s="32">
        <v>1150</v>
      </c>
      <c r="G402" s="32">
        <v>100</v>
      </c>
      <c r="H402" s="40">
        <v>600</v>
      </c>
      <c r="I402" s="32">
        <v>695</v>
      </c>
      <c r="J402" s="32">
        <v>50</v>
      </c>
      <c r="K402" s="33"/>
      <c r="L402" s="33"/>
      <c r="M402" s="33"/>
      <c r="N402" s="33"/>
      <c r="O402" s="33"/>
      <c r="P402" s="33"/>
      <c r="Q402" s="33"/>
      <c r="R402" s="33"/>
      <c r="S402" s="33"/>
      <c r="T402" s="33"/>
    </row>
    <row r="403" spans="1:20" ht="15.75">
      <c r="A403" s="13">
        <v>54148</v>
      </c>
      <c r="B403" s="41">
        <v>31</v>
      </c>
      <c r="C403" s="32">
        <v>122.58</v>
      </c>
      <c r="D403" s="32">
        <v>297.94099999999997</v>
      </c>
      <c r="E403" s="38">
        <v>729.47900000000004</v>
      </c>
      <c r="F403" s="32">
        <v>1150</v>
      </c>
      <c r="G403" s="32">
        <v>100</v>
      </c>
      <c r="H403" s="40">
        <v>600</v>
      </c>
      <c r="I403" s="32">
        <v>695</v>
      </c>
      <c r="J403" s="32">
        <v>50</v>
      </c>
      <c r="K403" s="33"/>
      <c r="L403" s="33"/>
      <c r="M403" s="33"/>
      <c r="N403" s="33"/>
      <c r="O403" s="33"/>
      <c r="P403" s="33"/>
      <c r="Q403" s="33"/>
      <c r="R403" s="33"/>
      <c r="S403" s="33"/>
      <c r="T403" s="33"/>
    </row>
    <row r="404" spans="1:20" ht="15.75">
      <c r="A404" s="13">
        <v>54178</v>
      </c>
      <c r="B404" s="41">
        <v>30</v>
      </c>
      <c r="C404" s="32">
        <v>141.29300000000001</v>
      </c>
      <c r="D404" s="32">
        <v>267.99299999999999</v>
      </c>
      <c r="E404" s="38">
        <v>829.71400000000006</v>
      </c>
      <c r="F404" s="32">
        <v>1239</v>
      </c>
      <c r="G404" s="32">
        <v>100</v>
      </c>
      <c r="H404" s="40">
        <v>600</v>
      </c>
      <c r="I404" s="32">
        <v>695</v>
      </c>
      <c r="J404" s="32">
        <v>50</v>
      </c>
      <c r="K404" s="33"/>
      <c r="L404" s="33"/>
      <c r="M404" s="33"/>
      <c r="N404" s="33"/>
      <c r="O404" s="33"/>
      <c r="P404" s="33"/>
      <c r="Q404" s="33"/>
      <c r="R404" s="33"/>
      <c r="S404" s="33"/>
      <c r="T404" s="33"/>
    </row>
    <row r="405" spans="1:20" ht="15.75">
      <c r="A405" s="13">
        <v>54209</v>
      </c>
      <c r="B405" s="41">
        <v>31</v>
      </c>
      <c r="C405" s="32">
        <v>194.20500000000001</v>
      </c>
      <c r="D405" s="32">
        <v>267.46600000000001</v>
      </c>
      <c r="E405" s="38">
        <v>812.32899999999995</v>
      </c>
      <c r="F405" s="32">
        <v>1274</v>
      </c>
      <c r="G405" s="32">
        <v>75</v>
      </c>
      <c r="H405" s="40">
        <v>600</v>
      </c>
      <c r="I405" s="32">
        <v>695</v>
      </c>
      <c r="J405" s="32">
        <v>50</v>
      </c>
      <c r="K405" s="33"/>
      <c r="L405" s="33"/>
      <c r="M405" s="33"/>
      <c r="N405" s="33"/>
      <c r="O405" s="33"/>
      <c r="P405" s="33"/>
      <c r="Q405" s="33"/>
      <c r="R405" s="33"/>
      <c r="S405" s="33"/>
      <c r="T405" s="33"/>
    </row>
    <row r="406" spans="1:20" ht="15.75">
      <c r="A406" s="13">
        <v>54239</v>
      </c>
      <c r="B406" s="41">
        <v>30</v>
      </c>
      <c r="C406" s="32">
        <v>194.20500000000001</v>
      </c>
      <c r="D406" s="32">
        <v>267.46600000000001</v>
      </c>
      <c r="E406" s="38">
        <v>812.32899999999995</v>
      </c>
      <c r="F406" s="32">
        <v>1274</v>
      </c>
      <c r="G406" s="32">
        <v>50</v>
      </c>
      <c r="H406" s="40">
        <v>600</v>
      </c>
      <c r="I406" s="32">
        <v>695</v>
      </c>
      <c r="J406" s="32">
        <v>50</v>
      </c>
      <c r="K406" s="33"/>
      <c r="L406" s="33"/>
      <c r="M406" s="33"/>
      <c r="N406" s="33"/>
      <c r="O406" s="33"/>
      <c r="P406" s="33"/>
      <c r="Q406" s="33"/>
      <c r="R406" s="33"/>
      <c r="S406" s="33"/>
      <c r="T406" s="33"/>
    </row>
    <row r="407" spans="1:20" ht="15.75">
      <c r="A407" s="13">
        <v>54270</v>
      </c>
      <c r="B407" s="41">
        <v>31</v>
      </c>
      <c r="C407" s="32">
        <v>194.20500000000001</v>
      </c>
      <c r="D407" s="32">
        <v>267.46600000000001</v>
      </c>
      <c r="E407" s="38">
        <v>812.32899999999995</v>
      </c>
      <c r="F407" s="32">
        <v>1274</v>
      </c>
      <c r="G407" s="32">
        <v>50</v>
      </c>
      <c r="H407" s="40">
        <v>600</v>
      </c>
      <c r="I407" s="32">
        <v>695</v>
      </c>
      <c r="J407" s="32">
        <v>0</v>
      </c>
      <c r="K407" s="33"/>
      <c r="L407" s="33"/>
      <c r="M407" s="33"/>
      <c r="N407" s="33"/>
      <c r="O407" s="33"/>
      <c r="P407" s="33"/>
      <c r="Q407" s="33"/>
      <c r="R407" s="33"/>
      <c r="S407" s="33"/>
      <c r="T407" s="33"/>
    </row>
    <row r="408" spans="1:20" ht="15.75">
      <c r="A408" s="13">
        <v>54301</v>
      </c>
      <c r="B408" s="41">
        <v>31</v>
      </c>
      <c r="C408" s="32">
        <v>194.20500000000001</v>
      </c>
      <c r="D408" s="32">
        <v>267.46600000000001</v>
      </c>
      <c r="E408" s="38">
        <v>812.32899999999995</v>
      </c>
      <c r="F408" s="32">
        <v>1274</v>
      </c>
      <c r="G408" s="32">
        <v>50</v>
      </c>
      <c r="H408" s="40">
        <v>600</v>
      </c>
      <c r="I408" s="32">
        <v>695</v>
      </c>
      <c r="J408" s="32">
        <v>0</v>
      </c>
      <c r="K408" s="33"/>
      <c r="L408" s="33"/>
      <c r="M408" s="33"/>
      <c r="N408" s="33"/>
      <c r="O408" s="33"/>
      <c r="P408" s="33"/>
      <c r="Q408" s="33"/>
      <c r="R408" s="33"/>
      <c r="S408" s="33"/>
      <c r="T408" s="33"/>
    </row>
    <row r="409" spans="1:20" ht="15.75">
      <c r="A409" s="13">
        <v>54331</v>
      </c>
      <c r="B409" s="41">
        <v>30</v>
      </c>
      <c r="C409" s="32">
        <v>194.20500000000001</v>
      </c>
      <c r="D409" s="32">
        <v>267.46600000000001</v>
      </c>
      <c r="E409" s="38">
        <v>812.32899999999995</v>
      </c>
      <c r="F409" s="32">
        <v>1274</v>
      </c>
      <c r="G409" s="32">
        <v>50</v>
      </c>
      <c r="H409" s="40">
        <v>600</v>
      </c>
      <c r="I409" s="32">
        <v>695</v>
      </c>
      <c r="J409" s="32">
        <v>0</v>
      </c>
      <c r="K409" s="33"/>
      <c r="L409" s="33"/>
      <c r="M409" s="33"/>
      <c r="N409" s="33"/>
      <c r="O409" s="33"/>
      <c r="P409" s="33"/>
      <c r="Q409" s="33"/>
      <c r="R409" s="33"/>
      <c r="S409" s="33"/>
      <c r="T409" s="33"/>
    </row>
    <row r="410" spans="1:20" ht="15.75">
      <c r="A410" s="13">
        <v>54362</v>
      </c>
      <c r="B410" s="41">
        <v>31</v>
      </c>
      <c r="C410" s="32">
        <v>131.881</v>
      </c>
      <c r="D410" s="32">
        <v>277.16699999999997</v>
      </c>
      <c r="E410" s="38">
        <v>829.952</v>
      </c>
      <c r="F410" s="32">
        <v>1239</v>
      </c>
      <c r="G410" s="32">
        <v>75</v>
      </c>
      <c r="H410" s="40">
        <v>600</v>
      </c>
      <c r="I410" s="32">
        <v>695</v>
      </c>
      <c r="J410" s="32">
        <v>0</v>
      </c>
      <c r="K410" s="33"/>
      <c r="L410" s="33"/>
      <c r="M410" s="33"/>
      <c r="N410" s="33"/>
      <c r="O410" s="33"/>
      <c r="P410" s="33"/>
      <c r="Q410" s="33"/>
      <c r="R410" s="33"/>
      <c r="S410" s="33"/>
      <c r="T410" s="33"/>
    </row>
    <row r="411" spans="1:20" ht="15.75">
      <c r="A411" s="13">
        <v>54392</v>
      </c>
      <c r="B411" s="41">
        <v>30</v>
      </c>
      <c r="C411" s="32">
        <v>122.58</v>
      </c>
      <c r="D411" s="32">
        <v>297.94099999999997</v>
      </c>
      <c r="E411" s="38">
        <v>729.47900000000004</v>
      </c>
      <c r="F411" s="32">
        <v>1150</v>
      </c>
      <c r="G411" s="32">
        <v>100</v>
      </c>
      <c r="H411" s="40">
        <v>600</v>
      </c>
      <c r="I411" s="32">
        <v>695</v>
      </c>
      <c r="J411" s="32">
        <v>50</v>
      </c>
      <c r="K411" s="33"/>
      <c r="L411" s="33"/>
      <c r="M411" s="33"/>
      <c r="N411" s="33"/>
      <c r="O411" s="33"/>
      <c r="P411" s="33"/>
      <c r="Q411" s="33"/>
      <c r="R411" s="33"/>
      <c r="S411" s="33"/>
      <c r="T411" s="33"/>
    </row>
    <row r="412" spans="1:20" ht="15.75">
      <c r="A412" s="13">
        <v>54423</v>
      </c>
      <c r="B412" s="41">
        <v>31</v>
      </c>
      <c r="C412" s="32">
        <v>122.58</v>
      </c>
      <c r="D412" s="32">
        <v>297.94099999999997</v>
      </c>
      <c r="E412" s="38">
        <v>729.47900000000004</v>
      </c>
      <c r="F412" s="32">
        <v>1150</v>
      </c>
      <c r="G412" s="32">
        <v>100</v>
      </c>
      <c r="H412" s="40">
        <v>600</v>
      </c>
      <c r="I412" s="32">
        <v>695</v>
      </c>
      <c r="J412" s="32">
        <v>50</v>
      </c>
      <c r="K412" s="33"/>
      <c r="L412" s="33"/>
      <c r="M412" s="33"/>
      <c r="N412" s="33"/>
      <c r="O412" s="33"/>
      <c r="P412" s="33"/>
      <c r="Q412" s="33"/>
      <c r="R412" s="33"/>
      <c r="S412" s="33"/>
      <c r="T412" s="33"/>
    </row>
    <row r="413" spans="1:20" ht="15.75">
      <c r="A413" s="13">
        <v>54454</v>
      </c>
      <c r="B413" s="41">
        <v>31</v>
      </c>
      <c r="C413" s="32">
        <v>122.58</v>
      </c>
      <c r="D413" s="32">
        <v>297.94099999999997</v>
      </c>
      <c r="E413" s="38">
        <v>729.47900000000004</v>
      </c>
      <c r="F413" s="32">
        <v>1150</v>
      </c>
      <c r="G413" s="32">
        <v>100</v>
      </c>
      <c r="H413" s="40">
        <v>600</v>
      </c>
      <c r="I413" s="32">
        <v>695</v>
      </c>
      <c r="J413" s="32">
        <v>50</v>
      </c>
      <c r="K413" s="33"/>
      <c r="L413" s="33"/>
      <c r="M413" s="33"/>
      <c r="N413" s="33"/>
      <c r="O413" s="33"/>
      <c r="P413" s="33"/>
      <c r="Q413" s="33"/>
      <c r="R413" s="33"/>
      <c r="S413" s="33"/>
      <c r="T413" s="33"/>
    </row>
    <row r="414" spans="1:20" ht="15.75">
      <c r="A414" s="13">
        <v>54482</v>
      </c>
      <c r="B414" s="41">
        <v>28</v>
      </c>
      <c r="C414" s="32">
        <v>122.58</v>
      </c>
      <c r="D414" s="32">
        <v>297.94099999999997</v>
      </c>
      <c r="E414" s="38">
        <v>729.47900000000004</v>
      </c>
      <c r="F414" s="32">
        <v>1150</v>
      </c>
      <c r="G414" s="32">
        <v>100</v>
      </c>
      <c r="H414" s="40">
        <v>600</v>
      </c>
      <c r="I414" s="32">
        <v>695</v>
      </c>
      <c r="J414" s="32">
        <v>50</v>
      </c>
      <c r="K414" s="33"/>
      <c r="L414" s="33"/>
      <c r="M414" s="33"/>
      <c r="N414" s="33"/>
      <c r="O414" s="33"/>
      <c r="P414" s="33"/>
      <c r="Q414" s="33"/>
      <c r="R414" s="33"/>
      <c r="S414" s="33"/>
      <c r="T414" s="33"/>
    </row>
    <row r="415" spans="1:20" ht="15.75">
      <c r="A415" s="13">
        <v>54513</v>
      </c>
      <c r="B415" s="41">
        <v>31</v>
      </c>
      <c r="C415" s="32">
        <v>122.58</v>
      </c>
      <c r="D415" s="32">
        <v>297.94099999999997</v>
      </c>
      <c r="E415" s="38">
        <v>729.47900000000004</v>
      </c>
      <c r="F415" s="32">
        <v>1150</v>
      </c>
      <c r="G415" s="32">
        <v>100</v>
      </c>
      <c r="H415" s="40">
        <v>600</v>
      </c>
      <c r="I415" s="32">
        <v>695</v>
      </c>
      <c r="J415" s="32">
        <v>50</v>
      </c>
      <c r="K415" s="33"/>
      <c r="L415" s="33"/>
      <c r="M415" s="33"/>
      <c r="N415" s="33"/>
      <c r="O415" s="33"/>
      <c r="P415" s="33"/>
      <c r="Q415" s="33"/>
      <c r="R415" s="33"/>
      <c r="S415" s="33"/>
      <c r="T415" s="33"/>
    </row>
    <row r="416" spans="1:20" ht="15.75">
      <c r="A416" s="13">
        <v>54543</v>
      </c>
      <c r="B416" s="41">
        <v>30</v>
      </c>
      <c r="C416" s="32">
        <v>141.29300000000001</v>
      </c>
      <c r="D416" s="32">
        <v>267.99299999999999</v>
      </c>
      <c r="E416" s="38">
        <v>829.71400000000006</v>
      </c>
      <c r="F416" s="32">
        <v>1239</v>
      </c>
      <c r="G416" s="32">
        <v>100</v>
      </c>
      <c r="H416" s="40">
        <v>600</v>
      </c>
      <c r="I416" s="32">
        <v>695</v>
      </c>
      <c r="J416" s="32">
        <v>50</v>
      </c>
      <c r="K416" s="33"/>
      <c r="L416" s="33"/>
      <c r="M416" s="33"/>
      <c r="N416" s="33"/>
      <c r="O416" s="33"/>
      <c r="P416" s="33"/>
      <c r="Q416" s="33"/>
      <c r="R416" s="33"/>
      <c r="S416" s="33"/>
      <c r="T416" s="33"/>
    </row>
    <row r="417" spans="1:20" ht="15.75">
      <c r="A417" s="13">
        <v>54574</v>
      </c>
      <c r="B417" s="41">
        <v>31</v>
      </c>
      <c r="C417" s="32">
        <v>194.20500000000001</v>
      </c>
      <c r="D417" s="32">
        <v>267.46600000000001</v>
      </c>
      <c r="E417" s="38">
        <v>812.32899999999995</v>
      </c>
      <c r="F417" s="32">
        <v>1274</v>
      </c>
      <c r="G417" s="32">
        <v>75</v>
      </c>
      <c r="H417" s="40">
        <v>600</v>
      </c>
      <c r="I417" s="32">
        <v>695</v>
      </c>
      <c r="J417" s="32">
        <v>50</v>
      </c>
      <c r="K417" s="33"/>
      <c r="L417" s="33"/>
      <c r="M417" s="33"/>
      <c r="N417" s="33"/>
      <c r="O417" s="33"/>
      <c r="P417" s="33"/>
      <c r="Q417" s="33"/>
      <c r="R417" s="33"/>
      <c r="S417" s="33"/>
      <c r="T417" s="33"/>
    </row>
    <row r="418" spans="1:20" ht="15.75">
      <c r="A418" s="13">
        <v>54604</v>
      </c>
      <c r="B418" s="41">
        <v>30</v>
      </c>
      <c r="C418" s="32">
        <v>194.20500000000001</v>
      </c>
      <c r="D418" s="32">
        <v>267.46600000000001</v>
      </c>
      <c r="E418" s="38">
        <v>812.32899999999995</v>
      </c>
      <c r="F418" s="32">
        <v>1274</v>
      </c>
      <c r="G418" s="32">
        <v>50</v>
      </c>
      <c r="H418" s="40">
        <v>600</v>
      </c>
      <c r="I418" s="32">
        <v>695</v>
      </c>
      <c r="J418" s="32">
        <v>50</v>
      </c>
      <c r="K418" s="33"/>
      <c r="L418" s="33"/>
      <c r="M418" s="33"/>
      <c r="N418" s="33"/>
      <c r="O418" s="33"/>
      <c r="P418" s="33"/>
      <c r="Q418" s="33"/>
      <c r="R418" s="33"/>
      <c r="S418" s="33"/>
      <c r="T418" s="33"/>
    </row>
    <row r="419" spans="1:20" ht="15.75">
      <c r="A419" s="13">
        <v>54635</v>
      </c>
      <c r="B419" s="41">
        <v>31</v>
      </c>
      <c r="C419" s="32">
        <v>194.20500000000001</v>
      </c>
      <c r="D419" s="32">
        <v>267.46600000000001</v>
      </c>
      <c r="E419" s="38">
        <v>812.32899999999995</v>
      </c>
      <c r="F419" s="32">
        <v>1274</v>
      </c>
      <c r="G419" s="32">
        <v>50</v>
      </c>
      <c r="H419" s="40">
        <v>600</v>
      </c>
      <c r="I419" s="32">
        <v>695</v>
      </c>
      <c r="J419" s="32">
        <v>0</v>
      </c>
      <c r="K419" s="33"/>
      <c r="L419" s="33"/>
      <c r="M419" s="33"/>
      <c r="N419" s="33"/>
      <c r="O419" s="33"/>
      <c r="P419" s="33"/>
      <c r="Q419" s="33"/>
      <c r="R419" s="33"/>
      <c r="S419" s="33"/>
      <c r="T419" s="33"/>
    </row>
    <row r="420" spans="1:20" ht="15.75">
      <c r="A420" s="13">
        <v>54666</v>
      </c>
      <c r="B420" s="41">
        <v>31</v>
      </c>
      <c r="C420" s="32">
        <v>194.20500000000001</v>
      </c>
      <c r="D420" s="32">
        <v>267.46600000000001</v>
      </c>
      <c r="E420" s="38">
        <v>812.32899999999995</v>
      </c>
      <c r="F420" s="32">
        <v>1274</v>
      </c>
      <c r="G420" s="32">
        <v>50</v>
      </c>
      <c r="H420" s="40">
        <v>600</v>
      </c>
      <c r="I420" s="32">
        <v>695</v>
      </c>
      <c r="J420" s="32">
        <v>0</v>
      </c>
      <c r="K420" s="33"/>
      <c r="L420" s="33"/>
      <c r="M420" s="33"/>
      <c r="N420" s="33"/>
      <c r="O420" s="33"/>
      <c r="P420" s="33"/>
      <c r="Q420" s="33"/>
      <c r="R420" s="33"/>
      <c r="S420" s="33"/>
      <c r="T420" s="33"/>
    </row>
    <row r="421" spans="1:20" ht="15.75">
      <c r="A421" s="13">
        <v>54696</v>
      </c>
      <c r="B421" s="41">
        <v>30</v>
      </c>
      <c r="C421" s="32">
        <v>194.20500000000001</v>
      </c>
      <c r="D421" s="32">
        <v>267.46600000000001</v>
      </c>
      <c r="E421" s="38">
        <v>812.32899999999995</v>
      </c>
      <c r="F421" s="32">
        <v>1274</v>
      </c>
      <c r="G421" s="32">
        <v>50</v>
      </c>
      <c r="H421" s="40">
        <v>600</v>
      </c>
      <c r="I421" s="32">
        <v>695</v>
      </c>
      <c r="J421" s="32">
        <v>0</v>
      </c>
      <c r="K421" s="33"/>
      <c r="L421" s="33"/>
      <c r="M421" s="33"/>
      <c r="N421" s="33"/>
      <c r="O421" s="33"/>
      <c r="P421" s="33"/>
      <c r="Q421" s="33"/>
      <c r="R421" s="33"/>
      <c r="S421" s="33"/>
      <c r="T421" s="33"/>
    </row>
    <row r="422" spans="1:20" ht="15.75">
      <c r="A422" s="13">
        <v>54727</v>
      </c>
      <c r="B422" s="41">
        <v>31</v>
      </c>
      <c r="C422" s="32">
        <v>131.881</v>
      </c>
      <c r="D422" s="32">
        <v>277.16699999999997</v>
      </c>
      <c r="E422" s="38">
        <v>829.952</v>
      </c>
      <c r="F422" s="32">
        <v>1239</v>
      </c>
      <c r="G422" s="32">
        <v>75</v>
      </c>
      <c r="H422" s="40">
        <v>600</v>
      </c>
      <c r="I422" s="32">
        <v>695</v>
      </c>
      <c r="J422" s="32">
        <v>0</v>
      </c>
      <c r="K422" s="33"/>
      <c r="L422" s="33"/>
      <c r="M422" s="33"/>
      <c r="N422" s="33"/>
      <c r="O422" s="33"/>
      <c r="P422" s="33"/>
      <c r="Q422" s="33"/>
      <c r="R422" s="33"/>
      <c r="S422" s="33"/>
      <c r="T422" s="33"/>
    </row>
    <row r="423" spans="1:20" ht="15.75">
      <c r="A423" s="13">
        <v>54757</v>
      </c>
      <c r="B423" s="41">
        <v>30</v>
      </c>
      <c r="C423" s="32">
        <v>122.58</v>
      </c>
      <c r="D423" s="32">
        <v>297.94099999999997</v>
      </c>
      <c r="E423" s="38">
        <v>729.47900000000004</v>
      </c>
      <c r="F423" s="32">
        <v>1150</v>
      </c>
      <c r="G423" s="32">
        <v>100</v>
      </c>
      <c r="H423" s="40">
        <v>600</v>
      </c>
      <c r="I423" s="32">
        <v>695</v>
      </c>
      <c r="J423" s="32">
        <v>50</v>
      </c>
      <c r="K423" s="33"/>
      <c r="L423" s="33"/>
      <c r="M423" s="33"/>
      <c r="N423" s="33"/>
      <c r="O423" s="33"/>
      <c r="P423" s="33"/>
      <c r="Q423" s="33"/>
      <c r="R423" s="33"/>
      <c r="S423" s="33"/>
      <c r="T423" s="33"/>
    </row>
    <row r="424" spans="1:20" ht="15.75">
      <c r="A424" s="13">
        <v>54788</v>
      </c>
      <c r="B424" s="41">
        <v>31</v>
      </c>
      <c r="C424" s="32">
        <v>122.58</v>
      </c>
      <c r="D424" s="32">
        <v>297.94099999999997</v>
      </c>
      <c r="E424" s="38">
        <v>729.47900000000004</v>
      </c>
      <c r="F424" s="32">
        <v>1150</v>
      </c>
      <c r="G424" s="32">
        <v>100</v>
      </c>
      <c r="H424" s="40">
        <v>600</v>
      </c>
      <c r="I424" s="32">
        <v>695</v>
      </c>
      <c r="J424" s="32">
        <v>50</v>
      </c>
      <c r="K424" s="33"/>
      <c r="L424" s="33"/>
      <c r="M424" s="33"/>
      <c r="N424" s="33"/>
      <c r="O424" s="33"/>
      <c r="P424" s="33"/>
      <c r="Q424" s="33"/>
      <c r="R424" s="33"/>
      <c r="S424" s="33"/>
      <c r="T424" s="33"/>
    </row>
    <row r="425" spans="1:20" ht="15.75">
      <c r="A425" s="13">
        <v>54819</v>
      </c>
      <c r="B425" s="41">
        <v>31</v>
      </c>
      <c r="C425" s="32">
        <v>122.58</v>
      </c>
      <c r="D425" s="32">
        <v>297.94099999999997</v>
      </c>
      <c r="E425" s="38">
        <v>729.47900000000004</v>
      </c>
      <c r="F425" s="32">
        <v>1150</v>
      </c>
      <c r="G425" s="32">
        <v>100</v>
      </c>
      <c r="H425" s="40">
        <v>600</v>
      </c>
      <c r="I425" s="32">
        <v>695</v>
      </c>
      <c r="J425" s="32">
        <v>50</v>
      </c>
      <c r="K425" s="33"/>
      <c r="L425" s="33"/>
      <c r="M425" s="33"/>
      <c r="N425" s="33"/>
      <c r="O425" s="33"/>
      <c r="P425" s="33"/>
      <c r="Q425" s="33"/>
      <c r="R425" s="33"/>
      <c r="S425" s="33"/>
      <c r="T425" s="33"/>
    </row>
    <row r="426" spans="1:20" ht="15.75">
      <c r="A426" s="13">
        <v>54847</v>
      </c>
      <c r="B426" s="41">
        <v>28</v>
      </c>
      <c r="C426" s="32">
        <v>122.58</v>
      </c>
      <c r="D426" s="32">
        <v>297.94099999999997</v>
      </c>
      <c r="E426" s="38">
        <v>729.47900000000004</v>
      </c>
      <c r="F426" s="32">
        <v>1150</v>
      </c>
      <c r="G426" s="32">
        <v>100</v>
      </c>
      <c r="H426" s="40">
        <v>600</v>
      </c>
      <c r="I426" s="32">
        <v>695</v>
      </c>
      <c r="J426" s="32">
        <v>50</v>
      </c>
      <c r="K426" s="33"/>
      <c r="L426" s="33"/>
      <c r="M426" s="33"/>
      <c r="N426" s="33"/>
      <c r="O426" s="33"/>
      <c r="P426" s="33"/>
      <c r="Q426" s="33"/>
      <c r="R426" s="33"/>
      <c r="S426" s="33"/>
      <c r="T426" s="33"/>
    </row>
    <row r="427" spans="1:20" ht="15.75">
      <c r="A427" s="13">
        <v>54878</v>
      </c>
      <c r="B427" s="41">
        <v>31</v>
      </c>
      <c r="C427" s="32">
        <v>122.58</v>
      </c>
      <c r="D427" s="32">
        <v>297.94099999999997</v>
      </c>
      <c r="E427" s="38">
        <v>729.47900000000004</v>
      </c>
      <c r="F427" s="32">
        <v>1150</v>
      </c>
      <c r="G427" s="32">
        <v>100</v>
      </c>
      <c r="H427" s="40">
        <v>600</v>
      </c>
      <c r="I427" s="32">
        <v>695</v>
      </c>
      <c r="J427" s="32">
        <v>50</v>
      </c>
      <c r="K427" s="33"/>
      <c r="L427" s="33"/>
      <c r="M427" s="33"/>
      <c r="N427" s="33"/>
      <c r="O427" s="33"/>
      <c r="P427" s="33"/>
      <c r="Q427" s="33"/>
      <c r="R427" s="33"/>
      <c r="S427" s="33"/>
      <c r="T427" s="33"/>
    </row>
    <row r="428" spans="1:20" ht="15.75">
      <c r="A428" s="13">
        <v>54908</v>
      </c>
      <c r="B428" s="41">
        <v>30</v>
      </c>
      <c r="C428" s="32">
        <v>141.29300000000001</v>
      </c>
      <c r="D428" s="32">
        <v>267.99299999999999</v>
      </c>
      <c r="E428" s="38">
        <v>829.71400000000006</v>
      </c>
      <c r="F428" s="32">
        <v>1239</v>
      </c>
      <c r="G428" s="32">
        <v>100</v>
      </c>
      <c r="H428" s="40">
        <v>600</v>
      </c>
      <c r="I428" s="32">
        <v>695</v>
      </c>
      <c r="J428" s="32">
        <v>50</v>
      </c>
      <c r="K428" s="33"/>
      <c r="L428" s="33"/>
      <c r="M428" s="33"/>
      <c r="N428" s="33"/>
      <c r="O428" s="33"/>
      <c r="P428" s="33"/>
      <c r="Q428" s="33"/>
      <c r="R428" s="33"/>
      <c r="S428" s="33"/>
      <c r="T428" s="33"/>
    </row>
    <row r="429" spans="1:20" ht="15.75">
      <c r="A429" s="13">
        <v>54939</v>
      </c>
      <c r="B429" s="41">
        <v>31</v>
      </c>
      <c r="C429" s="32">
        <v>194.20500000000001</v>
      </c>
      <c r="D429" s="32">
        <v>267.46600000000001</v>
      </c>
      <c r="E429" s="38">
        <v>812.32899999999995</v>
      </c>
      <c r="F429" s="32">
        <v>1274</v>
      </c>
      <c r="G429" s="32">
        <v>75</v>
      </c>
      <c r="H429" s="40">
        <v>600</v>
      </c>
      <c r="I429" s="32">
        <v>695</v>
      </c>
      <c r="J429" s="32">
        <v>50</v>
      </c>
      <c r="K429" s="33"/>
      <c r="L429" s="33"/>
      <c r="M429" s="33"/>
      <c r="N429" s="33"/>
      <c r="O429" s="33"/>
      <c r="P429" s="33"/>
      <c r="Q429" s="33"/>
      <c r="R429" s="33"/>
      <c r="S429" s="33"/>
      <c r="T429" s="33"/>
    </row>
    <row r="430" spans="1:20" ht="15.75">
      <c r="A430" s="13">
        <v>54969</v>
      </c>
      <c r="B430" s="41">
        <v>30</v>
      </c>
      <c r="C430" s="32">
        <v>194.20500000000001</v>
      </c>
      <c r="D430" s="32">
        <v>267.46600000000001</v>
      </c>
      <c r="E430" s="38">
        <v>812.32899999999995</v>
      </c>
      <c r="F430" s="32">
        <v>1274</v>
      </c>
      <c r="G430" s="32">
        <v>50</v>
      </c>
      <c r="H430" s="40">
        <v>600</v>
      </c>
      <c r="I430" s="32">
        <v>695</v>
      </c>
      <c r="J430" s="32">
        <v>50</v>
      </c>
      <c r="K430" s="33"/>
      <c r="L430" s="33"/>
      <c r="M430" s="33"/>
      <c r="N430" s="33"/>
      <c r="O430" s="33"/>
      <c r="P430" s="33"/>
      <c r="Q430" s="33"/>
      <c r="R430" s="33"/>
      <c r="S430" s="33"/>
      <c r="T430" s="33"/>
    </row>
    <row r="431" spans="1:20" ht="15.75">
      <c r="A431" s="13">
        <v>55000</v>
      </c>
      <c r="B431" s="41">
        <v>31</v>
      </c>
      <c r="C431" s="32">
        <v>194.20500000000001</v>
      </c>
      <c r="D431" s="32">
        <v>267.46600000000001</v>
      </c>
      <c r="E431" s="38">
        <v>812.32899999999995</v>
      </c>
      <c r="F431" s="32">
        <v>1274</v>
      </c>
      <c r="G431" s="32">
        <v>50</v>
      </c>
      <c r="H431" s="40">
        <v>600</v>
      </c>
      <c r="I431" s="32">
        <v>695</v>
      </c>
      <c r="J431" s="32">
        <v>0</v>
      </c>
      <c r="K431" s="33"/>
      <c r="L431" s="33"/>
      <c r="M431" s="33"/>
      <c r="N431" s="33"/>
      <c r="O431" s="33"/>
      <c r="P431" s="33"/>
      <c r="Q431" s="33"/>
      <c r="R431" s="33"/>
      <c r="S431" s="33"/>
      <c r="T431" s="33"/>
    </row>
    <row r="432" spans="1:20" ht="15.75">
      <c r="A432" s="13">
        <v>55031</v>
      </c>
      <c r="B432" s="41">
        <v>31</v>
      </c>
      <c r="C432" s="32">
        <v>194.20500000000001</v>
      </c>
      <c r="D432" s="32">
        <v>267.46600000000001</v>
      </c>
      <c r="E432" s="38">
        <v>812.32899999999995</v>
      </c>
      <c r="F432" s="32">
        <v>1274</v>
      </c>
      <c r="G432" s="32">
        <v>50</v>
      </c>
      <c r="H432" s="40">
        <v>600</v>
      </c>
      <c r="I432" s="32">
        <v>695</v>
      </c>
      <c r="J432" s="32">
        <v>0</v>
      </c>
      <c r="K432" s="33"/>
      <c r="L432" s="33"/>
      <c r="M432" s="33"/>
      <c r="N432" s="33"/>
      <c r="O432" s="33"/>
      <c r="P432" s="33"/>
      <c r="Q432" s="33"/>
      <c r="R432" s="33"/>
      <c r="S432" s="33"/>
      <c r="T432" s="33"/>
    </row>
    <row r="433" spans="1:20" ht="15.75">
      <c r="A433" s="13">
        <v>55061</v>
      </c>
      <c r="B433" s="41">
        <v>30</v>
      </c>
      <c r="C433" s="32">
        <v>194.20500000000001</v>
      </c>
      <c r="D433" s="32">
        <v>267.46600000000001</v>
      </c>
      <c r="E433" s="38">
        <v>812.32899999999995</v>
      </c>
      <c r="F433" s="32">
        <v>1274</v>
      </c>
      <c r="G433" s="32">
        <v>50</v>
      </c>
      <c r="H433" s="40">
        <v>600</v>
      </c>
      <c r="I433" s="32">
        <v>695</v>
      </c>
      <c r="J433" s="32">
        <v>0</v>
      </c>
      <c r="K433" s="33"/>
      <c r="L433" s="33"/>
      <c r="M433" s="33"/>
      <c r="N433" s="33"/>
      <c r="O433" s="33"/>
      <c r="P433" s="33"/>
      <c r="Q433" s="33"/>
      <c r="R433" s="33"/>
      <c r="S433" s="33"/>
      <c r="T433" s="33"/>
    </row>
    <row r="434" spans="1:20" ht="15.75">
      <c r="A434" s="13">
        <v>55092</v>
      </c>
      <c r="B434" s="41">
        <v>31</v>
      </c>
      <c r="C434" s="32">
        <v>131.881</v>
      </c>
      <c r="D434" s="32">
        <v>277.16699999999997</v>
      </c>
      <c r="E434" s="38">
        <v>829.952</v>
      </c>
      <c r="F434" s="32">
        <v>1239</v>
      </c>
      <c r="G434" s="32">
        <v>75</v>
      </c>
      <c r="H434" s="40">
        <v>600</v>
      </c>
      <c r="I434" s="32">
        <v>695</v>
      </c>
      <c r="J434" s="32">
        <v>0</v>
      </c>
      <c r="K434" s="33"/>
      <c r="L434" s="33"/>
      <c r="M434" s="33"/>
      <c r="N434" s="33"/>
      <c r="O434" s="33"/>
      <c r="P434" s="33"/>
      <c r="Q434" s="33"/>
      <c r="R434" s="33"/>
      <c r="S434" s="33"/>
      <c r="T434" s="33"/>
    </row>
    <row r="435" spans="1:20" ht="15.75">
      <c r="A435" s="13">
        <v>55122</v>
      </c>
      <c r="B435" s="41">
        <v>30</v>
      </c>
      <c r="C435" s="32">
        <v>122.58</v>
      </c>
      <c r="D435" s="32">
        <v>297.94099999999997</v>
      </c>
      <c r="E435" s="38">
        <v>729.47900000000004</v>
      </c>
      <c r="F435" s="32">
        <v>1150</v>
      </c>
      <c r="G435" s="32">
        <v>100</v>
      </c>
      <c r="H435" s="40">
        <v>600</v>
      </c>
      <c r="I435" s="32">
        <v>695</v>
      </c>
      <c r="J435" s="32">
        <v>50</v>
      </c>
      <c r="K435" s="33"/>
      <c r="L435" s="33"/>
      <c r="M435" s="33"/>
      <c r="N435" s="33"/>
      <c r="O435" s="33"/>
      <c r="P435" s="33"/>
      <c r="Q435" s="33"/>
      <c r="R435" s="33"/>
      <c r="S435" s="33"/>
      <c r="T435" s="33"/>
    </row>
    <row r="436" spans="1:20" ht="15.75">
      <c r="A436" s="13">
        <v>55153</v>
      </c>
      <c r="B436" s="41">
        <v>31</v>
      </c>
      <c r="C436" s="32">
        <v>122.58</v>
      </c>
      <c r="D436" s="32">
        <v>297.94099999999997</v>
      </c>
      <c r="E436" s="38">
        <v>729.47900000000004</v>
      </c>
      <c r="F436" s="32">
        <v>1150</v>
      </c>
      <c r="G436" s="32">
        <v>100</v>
      </c>
      <c r="H436" s="40">
        <v>600</v>
      </c>
      <c r="I436" s="32">
        <v>695</v>
      </c>
      <c r="J436" s="32">
        <v>50</v>
      </c>
      <c r="K436" s="33"/>
      <c r="L436" s="33"/>
      <c r="M436" s="33"/>
      <c r="N436" s="33"/>
      <c r="O436" s="33"/>
      <c r="P436" s="33"/>
      <c r="Q436" s="33"/>
      <c r="R436" s="33"/>
      <c r="S436" s="33"/>
      <c r="T436" s="33"/>
    </row>
    <row r="437" spans="1:20" ht="15.75">
      <c r="A437" s="13">
        <v>55184</v>
      </c>
      <c r="B437" s="41">
        <v>31</v>
      </c>
      <c r="C437" s="32">
        <v>122.58</v>
      </c>
      <c r="D437" s="32">
        <v>297.94099999999997</v>
      </c>
      <c r="E437" s="38">
        <v>729.47900000000004</v>
      </c>
      <c r="F437" s="32">
        <v>1150</v>
      </c>
      <c r="G437" s="32">
        <v>100</v>
      </c>
      <c r="H437" s="40">
        <v>600</v>
      </c>
      <c r="I437" s="32">
        <v>695</v>
      </c>
      <c r="J437" s="32">
        <v>50</v>
      </c>
      <c r="K437" s="33"/>
      <c r="L437" s="33"/>
      <c r="M437" s="33"/>
      <c r="N437" s="33"/>
      <c r="O437" s="33"/>
      <c r="P437" s="33"/>
      <c r="Q437" s="33"/>
      <c r="R437" s="33"/>
      <c r="S437" s="33"/>
      <c r="T437" s="33"/>
    </row>
    <row r="438" spans="1:20" ht="15.75">
      <c r="A438" s="13">
        <v>55212</v>
      </c>
      <c r="B438" s="41">
        <v>28</v>
      </c>
      <c r="C438" s="32">
        <v>122.58</v>
      </c>
      <c r="D438" s="32">
        <v>297.94099999999997</v>
      </c>
      <c r="E438" s="38">
        <v>729.47900000000004</v>
      </c>
      <c r="F438" s="32">
        <v>1150</v>
      </c>
      <c r="G438" s="32">
        <v>100</v>
      </c>
      <c r="H438" s="40">
        <v>600</v>
      </c>
      <c r="I438" s="32">
        <v>695</v>
      </c>
      <c r="J438" s="32">
        <v>50</v>
      </c>
      <c r="K438" s="33"/>
      <c r="L438" s="33"/>
      <c r="M438" s="33"/>
      <c r="N438" s="33"/>
      <c r="O438" s="33"/>
      <c r="P438" s="33"/>
      <c r="Q438" s="33"/>
      <c r="R438" s="33"/>
      <c r="S438" s="33"/>
      <c r="T438" s="33"/>
    </row>
    <row r="439" spans="1:20" ht="15.75">
      <c r="A439" s="13">
        <v>55243</v>
      </c>
      <c r="B439" s="41">
        <v>31</v>
      </c>
      <c r="C439" s="32">
        <v>122.58</v>
      </c>
      <c r="D439" s="32">
        <v>297.94099999999997</v>
      </c>
      <c r="E439" s="38">
        <v>729.47900000000004</v>
      </c>
      <c r="F439" s="32">
        <v>1150</v>
      </c>
      <c r="G439" s="32">
        <v>100</v>
      </c>
      <c r="H439" s="40">
        <v>600</v>
      </c>
      <c r="I439" s="32">
        <v>695</v>
      </c>
      <c r="J439" s="32">
        <v>50</v>
      </c>
      <c r="K439" s="33"/>
      <c r="L439" s="33"/>
      <c r="M439" s="33"/>
      <c r="N439" s="33"/>
      <c r="O439" s="33"/>
      <c r="P439" s="33"/>
      <c r="Q439" s="33"/>
      <c r="R439" s="33"/>
      <c r="S439" s="33"/>
      <c r="T439" s="33"/>
    </row>
    <row r="440" spans="1:20" ht="15.75">
      <c r="A440" s="13">
        <v>55273</v>
      </c>
      <c r="B440" s="41">
        <v>30</v>
      </c>
      <c r="C440" s="32">
        <v>141.29300000000001</v>
      </c>
      <c r="D440" s="32">
        <v>267.99299999999999</v>
      </c>
      <c r="E440" s="38">
        <v>829.71400000000006</v>
      </c>
      <c r="F440" s="32">
        <v>1239</v>
      </c>
      <c r="G440" s="32">
        <v>100</v>
      </c>
      <c r="H440" s="40">
        <v>600</v>
      </c>
      <c r="I440" s="32">
        <v>695</v>
      </c>
      <c r="J440" s="32">
        <v>50</v>
      </c>
      <c r="K440" s="33"/>
      <c r="L440" s="33"/>
      <c r="M440" s="33"/>
      <c r="N440" s="33"/>
      <c r="O440" s="33"/>
      <c r="P440" s="33"/>
      <c r="Q440" s="33"/>
      <c r="R440" s="33"/>
      <c r="S440" s="33"/>
      <c r="T440" s="33"/>
    </row>
    <row r="441" spans="1:20" ht="15.75">
      <c r="A441" s="13">
        <v>55304</v>
      </c>
      <c r="B441" s="41">
        <v>31</v>
      </c>
      <c r="C441" s="32">
        <v>194.20500000000001</v>
      </c>
      <c r="D441" s="32">
        <v>267.46600000000001</v>
      </c>
      <c r="E441" s="38">
        <v>812.32899999999995</v>
      </c>
      <c r="F441" s="32">
        <v>1274</v>
      </c>
      <c r="G441" s="32">
        <v>75</v>
      </c>
      <c r="H441" s="40">
        <v>600</v>
      </c>
      <c r="I441" s="32">
        <v>695</v>
      </c>
      <c r="J441" s="32">
        <v>50</v>
      </c>
      <c r="K441" s="33"/>
      <c r="L441" s="33"/>
      <c r="M441" s="33"/>
      <c r="N441" s="33"/>
      <c r="O441" s="33"/>
      <c r="P441" s="33"/>
      <c r="Q441" s="33"/>
      <c r="R441" s="33"/>
      <c r="S441" s="33"/>
      <c r="T441" s="33"/>
    </row>
    <row r="442" spans="1:20" ht="15.75">
      <c r="A442" s="13">
        <v>55334</v>
      </c>
      <c r="B442" s="41">
        <v>30</v>
      </c>
      <c r="C442" s="32">
        <v>194.20500000000001</v>
      </c>
      <c r="D442" s="32">
        <v>267.46600000000001</v>
      </c>
      <c r="E442" s="38">
        <v>812.32899999999995</v>
      </c>
      <c r="F442" s="32">
        <v>1274</v>
      </c>
      <c r="G442" s="32">
        <v>50</v>
      </c>
      <c r="H442" s="40">
        <v>600</v>
      </c>
      <c r="I442" s="32">
        <v>695</v>
      </c>
      <c r="J442" s="32">
        <v>50</v>
      </c>
      <c r="K442" s="33"/>
      <c r="L442" s="33"/>
      <c r="M442" s="33"/>
      <c r="N442" s="33"/>
      <c r="O442" s="33"/>
      <c r="P442" s="33"/>
      <c r="Q442" s="33"/>
      <c r="R442" s="33"/>
      <c r="S442" s="33"/>
      <c r="T442" s="33"/>
    </row>
    <row r="443" spans="1:20" ht="15.75">
      <c r="A443" s="13">
        <v>55365</v>
      </c>
      <c r="B443" s="41">
        <v>31</v>
      </c>
      <c r="C443" s="32">
        <v>194.20500000000001</v>
      </c>
      <c r="D443" s="32">
        <v>267.46600000000001</v>
      </c>
      <c r="E443" s="38">
        <v>812.32899999999995</v>
      </c>
      <c r="F443" s="32">
        <v>1274</v>
      </c>
      <c r="G443" s="32">
        <v>50</v>
      </c>
      <c r="H443" s="40">
        <v>600</v>
      </c>
      <c r="I443" s="32">
        <v>695</v>
      </c>
      <c r="J443" s="32">
        <v>0</v>
      </c>
      <c r="K443" s="33"/>
      <c r="L443" s="33"/>
      <c r="M443" s="33"/>
      <c r="N443" s="33"/>
      <c r="O443" s="33"/>
      <c r="P443" s="33"/>
      <c r="Q443" s="33"/>
      <c r="R443" s="33"/>
      <c r="S443" s="33"/>
      <c r="T443" s="33"/>
    </row>
    <row r="444" spans="1:20" ht="15.75">
      <c r="A444" s="13">
        <v>55396</v>
      </c>
      <c r="B444" s="41">
        <v>31</v>
      </c>
      <c r="C444" s="32">
        <v>194.20500000000001</v>
      </c>
      <c r="D444" s="32">
        <v>267.46600000000001</v>
      </c>
      <c r="E444" s="38">
        <v>812.32899999999995</v>
      </c>
      <c r="F444" s="32">
        <v>1274</v>
      </c>
      <c r="G444" s="32">
        <v>50</v>
      </c>
      <c r="H444" s="40">
        <v>600</v>
      </c>
      <c r="I444" s="32">
        <v>695</v>
      </c>
      <c r="J444" s="32">
        <v>0</v>
      </c>
      <c r="K444" s="33"/>
      <c r="L444" s="33"/>
      <c r="M444" s="33"/>
      <c r="N444" s="33"/>
      <c r="O444" s="33"/>
      <c r="P444" s="33"/>
      <c r="Q444" s="33"/>
      <c r="R444" s="33"/>
      <c r="S444" s="33"/>
      <c r="T444" s="33"/>
    </row>
    <row r="445" spans="1:20" ht="15.75">
      <c r="A445" s="13">
        <v>55426</v>
      </c>
      <c r="B445" s="41">
        <v>30</v>
      </c>
      <c r="C445" s="32">
        <v>194.20500000000001</v>
      </c>
      <c r="D445" s="32">
        <v>267.46600000000001</v>
      </c>
      <c r="E445" s="38">
        <v>812.32899999999995</v>
      </c>
      <c r="F445" s="32">
        <v>1274</v>
      </c>
      <c r="G445" s="32">
        <v>50</v>
      </c>
      <c r="H445" s="40">
        <v>600</v>
      </c>
      <c r="I445" s="32">
        <v>695</v>
      </c>
      <c r="J445" s="32">
        <v>0</v>
      </c>
      <c r="K445" s="33"/>
      <c r="L445" s="33"/>
      <c r="M445" s="33"/>
      <c r="N445" s="33"/>
      <c r="O445" s="33"/>
      <c r="P445" s="33"/>
      <c r="Q445" s="33"/>
      <c r="R445" s="33"/>
      <c r="S445" s="33"/>
      <c r="T445" s="33"/>
    </row>
    <row r="446" spans="1:20" ht="15.75">
      <c r="A446" s="13">
        <v>55457</v>
      </c>
      <c r="B446" s="41">
        <v>31</v>
      </c>
      <c r="C446" s="32">
        <v>131.881</v>
      </c>
      <c r="D446" s="32">
        <v>277.16699999999997</v>
      </c>
      <c r="E446" s="38">
        <v>829.952</v>
      </c>
      <c r="F446" s="32">
        <v>1239</v>
      </c>
      <c r="G446" s="32">
        <v>75</v>
      </c>
      <c r="H446" s="40">
        <v>600</v>
      </c>
      <c r="I446" s="32">
        <v>695</v>
      </c>
      <c r="J446" s="32">
        <v>0</v>
      </c>
      <c r="K446" s="33"/>
      <c r="L446" s="33"/>
      <c r="M446" s="33"/>
      <c r="N446" s="33"/>
      <c r="O446" s="33"/>
      <c r="P446" s="33"/>
      <c r="Q446" s="33"/>
      <c r="R446" s="33"/>
      <c r="S446" s="33"/>
      <c r="T446" s="33"/>
    </row>
    <row r="447" spans="1:20" ht="15.75">
      <c r="A447" s="13">
        <v>55487</v>
      </c>
      <c r="B447" s="41">
        <v>30</v>
      </c>
      <c r="C447" s="32">
        <v>122.58</v>
      </c>
      <c r="D447" s="32">
        <v>297.94099999999997</v>
      </c>
      <c r="E447" s="38">
        <v>729.47900000000004</v>
      </c>
      <c r="F447" s="32">
        <v>1150</v>
      </c>
      <c r="G447" s="32">
        <v>100</v>
      </c>
      <c r="H447" s="40">
        <v>600</v>
      </c>
      <c r="I447" s="32">
        <v>695</v>
      </c>
      <c r="J447" s="32">
        <v>50</v>
      </c>
      <c r="K447" s="33"/>
      <c r="L447" s="33"/>
      <c r="M447" s="33"/>
      <c r="N447" s="33"/>
      <c r="O447" s="33"/>
      <c r="P447" s="33"/>
      <c r="Q447" s="33"/>
      <c r="R447" s="33"/>
      <c r="S447" s="33"/>
      <c r="T447" s="33"/>
    </row>
    <row r="448" spans="1:20" ht="15.75">
      <c r="A448" s="13">
        <v>55518</v>
      </c>
      <c r="B448" s="41">
        <v>31</v>
      </c>
      <c r="C448" s="32">
        <v>122.58</v>
      </c>
      <c r="D448" s="32">
        <v>297.94099999999997</v>
      </c>
      <c r="E448" s="38">
        <v>729.47900000000004</v>
      </c>
      <c r="F448" s="32">
        <v>1150</v>
      </c>
      <c r="G448" s="32">
        <v>100</v>
      </c>
      <c r="H448" s="40">
        <v>600</v>
      </c>
      <c r="I448" s="32">
        <v>695</v>
      </c>
      <c r="J448" s="32">
        <v>50</v>
      </c>
      <c r="K448" s="33"/>
      <c r="L448" s="33"/>
      <c r="M448" s="33"/>
      <c r="N448" s="33"/>
      <c r="O448" s="33"/>
      <c r="P448" s="33"/>
      <c r="Q448" s="33"/>
      <c r="R448" s="33"/>
      <c r="S448" s="33"/>
      <c r="T448" s="33"/>
    </row>
    <row r="449" spans="1:20" ht="15.75">
      <c r="A449" s="13">
        <v>55549</v>
      </c>
      <c r="B449" s="41">
        <v>31</v>
      </c>
      <c r="C449" s="32">
        <v>122.58</v>
      </c>
      <c r="D449" s="32">
        <v>297.94099999999997</v>
      </c>
      <c r="E449" s="38">
        <v>729.47900000000004</v>
      </c>
      <c r="F449" s="32">
        <v>1150</v>
      </c>
      <c r="G449" s="32">
        <v>100</v>
      </c>
      <c r="H449" s="40">
        <v>600</v>
      </c>
      <c r="I449" s="32">
        <v>695</v>
      </c>
      <c r="J449" s="32">
        <v>50</v>
      </c>
      <c r="K449" s="33"/>
      <c r="L449" s="33"/>
      <c r="M449" s="33"/>
      <c r="N449" s="33"/>
      <c r="O449" s="33"/>
      <c r="P449" s="33"/>
      <c r="Q449" s="33"/>
      <c r="R449" s="33"/>
      <c r="S449" s="33"/>
      <c r="T449" s="33"/>
    </row>
    <row r="450" spans="1:20" ht="15.75">
      <c r="A450" s="13">
        <v>55577</v>
      </c>
      <c r="B450" s="41">
        <v>29</v>
      </c>
      <c r="C450" s="32">
        <v>122.58</v>
      </c>
      <c r="D450" s="32">
        <v>297.94099999999997</v>
      </c>
      <c r="E450" s="38">
        <v>729.47900000000004</v>
      </c>
      <c r="F450" s="32">
        <v>1150</v>
      </c>
      <c r="G450" s="32">
        <v>100</v>
      </c>
      <c r="H450" s="40">
        <v>600</v>
      </c>
      <c r="I450" s="32">
        <v>695</v>
      </c>
      <c r="J450" s="32">
        <v>50</v>
      </c>
      <c r="K450" s="33"/>
      <c r="L450" s="33"/>
      <c r="M450" s="33"/>
      <c r="N450" s="33"/>
      <c r="O450" s="33"/>
      <c r="P450" s="33"/>
      <c r="Q450" s="33"/>
      <c r="R450" s="33"/>
      <c r="S450" s="33"/>
      <c r="T450" s="33"/>
    </row>
    <row r="451" spans="1:20" ht="15.75">
      <c r="A451" s="13">
        <v>55609</v>
      </c>
      <c r="B451" s="41">
        <v>31</v>
      </c>
      <c r="C451" s="32">
        <v>122.58</v>
      </c>
      <c r="D451" s="32">
        <v>297.94099999999997</v>
      </c>
      <c r="E451" s="38">
        <v>729.47900000000004</v>
      </c>
      <c r="F451" s="32">
        <v>1150</v>
      </c>
      <c r="G451" s="32">
        <v>100</v>
      </c>
      <c r="H451" s="40">
        <v>600</v>
      </c>
      <c r="I451" s="32">
        <v>695</v>
      </c>
      <c r="J451" s="32">
        <v>50</v>
      </c>
      <c r="K451" s="33"/>
      <c r="L451" s="33"/>
      <c r="M451" s="33"/>
      <c r="N451" s="33"/>
      <c r="O451" s="33"/>
      <c r="P451" s="33"/>
      <c r="Q451" s="33"/>
      <c r="R451" s="33"/>
      <c r="S451" s="33"/>
      <c r="T451" s="33"/>
    </row>
    <row r="452" spans="1:20" ht="15.75">
      <c r="A452" s="13">
        <v>55639</v>
      </c>
      <c r="B452" s="41">
        <v>30</v>
      </c>
      <c r="C452" s="32">
        <v>141.29300000000001</v>
      </c>
      <c r="D452" s="32">
        <v>267.99299999999999</v>
      </c>
      <c r="E452" s="38">
        <v>829.71400000000006</v>
      </c>
      <c r="F452" s="32">
        <v>1239</v>
      </c>
      <c r="G452" s="32">
        <v>100</v>
      </c>
      <c r="H452" s="40">
        <v>600</v>
      </c>
      <c r="I452" s="32">
        <v>695</v>
      </c>
      <c r="J452" s="32">
        <v>50</v>
      </c>
      <c r="K452" s="33"/>
      <c r="L452" s="33"/>
      <c r="M452" s="33"/>
      <c r="N452" s="33"/>
      <c r="O452" s="33"/>
      <c r="P452" s="33"/>
      <c r="Q452" s="33"/>
      <c r="R452" s="33"/>
      <c r="S452" s="33"/>
      <c r="T452" s="33"/>
    </row>
    <row r="453" spans="1:20" ht="15.75">
      <c r="A453" s="13">
        <v>55670</v>
      </c>
      <c r="B453" s="41">
        <v>31</v>
      </c>
      <c r="C453" s="32">
        <v>194.20500000000001</v>
      </c>
      <c r="D453" s="32">
        <v>267.46600000000001</v>
      </c>
      <c r="E453" s="38">
        <v>812.32899999999995</v>
      </c>
      <c r="F453" s="32">
        <v>1274</v>
      </c>
      <c r="G453" s="32">
        <v>75</v>
      </c>
      <c r="H453" s="40">
        <v>600</v>
      </c>
      <c r="I453" s="32">
        <v>695</v>
      </c>
      <c r="J453" s="32">
        <v>50</v>
      </c>
      <c r="K453" s="33"/>
      <c r="L453" s="33"/>
      <c r="M453" s="33"/>
      <c r="N453" s="33"/>
      <c r="O453" s="33"/>
      <c r="P453" s="33"/>
      <c r="Q453" s="33"/>
      <c r="R453" s="33"/>
      <c r="S453" s="33"/>
      <c r="T453" s="33"/>
    </row>
    <row r="454" spans="1:20" ht="15.75">
      <c r="A454" s="13">
        <v>55700</v>
      </c>
      <c r="B454" s="41">
        <v>30</v>
      </c>
      <c r="C454" s="32">
        <v>194.20500000000001</v>
      </c>
      <c r="D454" s="32">
        <v>267.46600000000001</v>
      </c>
      <c r="E454" s="38">
        <v>812.32899999999995</v>
      </c>
      <c r="F454" s="32">
        <v>1274</v>
      </c>
      <c r="G454" s="32">
        <v>50</v>
      </c>
      <c r="H454" s="40">
        <v>600</v>
      </c>
      <c r="I454" s="32">
        <v>695</v>
      </c>
      <c r="J454" s="32">
        <v>50</v>
      </c>
      <c r="K454" s="33"/>
      <c r="L454" s="33"/>
      <c r="M454" s="33"/>
      <c r="N454" s="33"/>
      <c r="O454" s="33"/>
      <c r="P454" s="33"/>
      <c r="Q454" s="33"/>
      <c r="R454" s="33"/>
      <c r="S454" s="33"/>
      <c r="T454" s="33"/>
    </row>
    <row r="455" spans="1:20" ht="15.75">
      <c r="A455" s="13">
        <v>55731</v>
      </c>
      <c r="B455" s="41">
        <v>31</v>
      </c>
      <c r="C455" s="32">
        <v>194.20500000000001</v>
      </c>
      <c r="D455" s="32">
        <v>267.46600000000001</v>
      </c>
      <c r="E455" s="38">
        <v>812.32899999999995</v>
      </c>
      <c r="F455" s="32">
        <v>1274</v>
      </c>
      <c r="G455" s="32">
        <v>50</v>
      </c>
      <c r="H455" s="40">
        <v>600</v>
      </c>
      <c r="I455" s="32">
        <v>695</v>
      </c>
      <c r="J455" s="32">
        <v>0</v>
      </c>
      <c r="K455" s="33"/>
      <c r="L455" s="33"/>
      <c r="M455" s="33"/>
      <c r="N455" s="33"/>
      <c r="O455" s="33"/>
      <c r="P455" s="33"/>
      <c r="Q455" s="33"/>
      <c r="R455" s="33"/>
      <c r="S455" s="33"/>
      <c r="T455" s="33"/>
    </row>
    <row r="456" spans="1:20" ht="15.75">
      <c r="A456" s="13">
        <v>55762</v>
      </c>
      <c r="B456" s="41">
        <v>31</v>
      </c>
      <c r="C456" s="32">
        <v>194.20500000000001</v>
      </c>
      <c r="D456" s="32">
        <v>267.46600000000001</v>
      </c>
      <c r="E456" s="38">
        <v>812.32899999999995</v>
      </c>
      <c r="F456" s="32">
        <v>1274</v>
      </c>
      <c r="G456" s="32">
        <v>50</v>
      </c>
      <c r="H456" s="40">
        <v>600</v>
      </c>
      <c r="I456" s="32">
        <v>695</v>
      </c>
      <c r="J456" s="32">
        <v>0</v>
      </c>
      <c r="K456" s="33"/>
      <c r="L456" s="33"/>
      <c r="M456" s="33"/>
      <c r="N456" s="33"/>
      <c r="O456" s="33"/>
      <c r="P456" s="33"/>
      <c r="Q456" s="33"/>
      <c r="R456" s="33"/>
      <c r="S456" s="33"/>
      <c r="T456" s="33"/>
    </row>
    <row r="457" spans="1:20" ht="15.75">
      <c r="A457" s="13">
        <v>55792</v>
      </c>
      <c r="B457" s="41">
        <v>30</v>
      </c>
      <c r="C457" s="32">
        <v>194.20500000000001</v>
      </c>
      <c r="D457" s="32">
        <v>267.46600000000001</v>
      </c>
      <c r="E457" s="38">
        <v>812.32899999999995</v>
      </c>
      <c r="F457" s="32">
        <v>1274</v>
      </c>
      <c r="G457" s="32">
        <v>50</v>
      </c>
      <c r="H457" s="40">
        <v>600</v>
      </c>
      <c r="I457" s="32">
        <v>695</v>
      </c>
      <c r="J457" s="32">
        <v>0</v>
      </c>
      <c r="K457" s="33"/>
      <c r="L457" s="33"/>
      <c r="M457" s="33"/>
      <c r="N457" s="33"/>
      <c r="O457" s="33"/>
      <c r="P457" s="33"/>
      <c r="Q457" s="33"/>
      <c r="R457" s="33"/>
      <c r="S457" s="33"/>
      <c r="T457" s="33"/>
    </row>
    <row r="458" spans="1:20" ht="15.75">
      <c r="A458" s="13">
        <v>55823</v>
      </c>
      <c r="B458" s="41">
        <v>31</v>
      </c>
      <c r="C458" s="32">
        <v>131.881</v>
      </c>
      <c r="D458" s="32">
        <v>277.16699999999997</v>
      </c>
      <c r="E458" s="38">
        <v>829.952</v>
      </c>
      <c r="F458" s="32">
        <v>1239</v>
      </c>
      <c r="G458" s="32">
        <v>75</v>
      </c>
      <c r="H458" s="40">
        <v>600</v>
      </c>
      <c r="I458" s="32">
        <v>695</v>
      </c>
      <c r="J458" s="32">
        <v>0</v>
      </c>
      <c r="K458" s="33"/>
      <c r="L458" s="33"/>
      <c r="M458" s="33"/>
      <c r="N458" s="33"/>
      <c r="O458" s="33"/>
      <c r="P458" s="33"/>
      <c r="Q458" s="33"/>
      <c r="R458" s="33"/>
      <c r="S458" s="33"/>
      <c r="T458" s="33"/>
    </row>
    <row r="459" spans="1:20" ht="15.75">
      <c r="A459" s="13">
        <v>55853</v>
      </c>
      <c r="B459" s="41">
        <v>30</v>
      </c>
      <c r="C459" s="32">
        <v>122.58</v>
      </c>
      <c r="D459" s="32">
        <v>297.94099999999997</v>
      </c>
      <c r="E459" s="38">
        <v>729.47900000000004</v>
      </c>
      <c r="F459" s="32">
        <v>1150</v>
      </c>
      <c r="G459" s="32">
        <v>100</v>
      </c>
      <c r="H459" s="40">
        <v>600</v>
      </c>
      <c r="I459" s="32">
        <v>695</v>
      </c>
      <c r="J459" s="32">
        <v>50</v>
      </c>
      <c r="K459" s="33"/>
      <c r="L459" s="33"/>
      <c r="M459" s="33"/>
      <c r="N459" s="33"/>
      <c r="O459" s="33"/>
      <c r="P459" s="33"/>
      <c r="Q459" s="33"/>
      <c r="R459" s="33"/>
      <c r="S459" s="33"/>
      <c r="T459" s="33"/>
    </row>
    <row r="460" spans="1:20" ht="15.75">
      <c r="A460" s="13">
        <v>55884</v>
      </c>
      <c r="B460" s="41">
        <v>31</v>
      </c>
      <c r="C460" s="32">
        <v>122.58</v>
      </c>
      <c r="D460" s="32">
        <v>297.94099999999997</v>
      </c>
      <c r="E460" s="38">
        <v>729.47900000000004</v>
      </c>
      <c r="F460" s="32">
        <v>1150</v>
      </c>
      <c r="G460" s="32">
        <v>100</v>
      </c>
      <c r="H460" s="40">
        <v>600</v>
      </c>
      <c r="I460" s="32">
        <v>695</v>
      </c>
      <c r="J460" s="32">
        <v>50</v>
      </c>
      <c r="K460" s="33"/>
      <c r="L460" s="33"/>
      <c r="M460" s="33"/>
      <c r="N460" s="33"/>
      <c r="O460" s="33"/>
      <c r="P460" s="33"/>
      <c r="Q460" s="33"/>
      <c r="R460" s="33"/>
      <c r="S460" s="33"/>
      <c r="T460" s="33"/>
    </row>
    <row r="461" spans="1:20" ht="15.75">
      <c r="A461" s="13">
        <v>55915</v>
      </c>
      <c r="B461" s="41">
        <v>31</v>
      </c>
      <c r="C461" s="32">
        <v>122.58</v>
      </c>
      <c r="D461" s="32">
        <v>297.94099999999997</v>
      </c>
      <c r="E461" s="38">
        <v>729.47900000000004</v>
      </c>
      <c r="F461" s="32">
        <v>1150</v>
      </c>
      <c r="G461" s="32">
        <v>100</v>
      </c>
      <c r="H461" s="40">
        <v>600</v>
      </c>
      <c r="I461" s="32">
        <v>695</v>
      </c>
      <c r="J461" s="32">
        <v>50</v>
      </c>
      <c r="K461" s="33"/>
      <c r="L461" s="33"/>
      <c r="M461" s="33"/>
      <c r="N461" s="33"/>
      <c r="O461" s="33"/>
      <c r="P461" s="33"/>
      <c r="Q461" s="33"/>
      <c r="R461" s="33"/>
      <c r="S461" s="33"/>
      <c r="T461" s="33"/>
    </row>
    <row r="462" spans="1:20" ht="15.75">
      <c r="A462" s="13">
        <v>55943</v>
      </c>
      <c r="B462" s="41">
        <v>28</v>
      </c>
      <c r="C462" s="32">
        <v>122.58</v>
      </c>
      <c r="D462" s="32">
        <v>297.94099999999997</v>
      </c>
      <c r="E462" s="38">
        <v>729.47900000000004</v>
      </c>
      <c r="F462" s="32">
        <v>1150</v>
      </c>
      <c r="G462" s="32">
        <v>100</v>
      </c>
      <c r="H462" s="40">
        <v>600</v>
      </c>
      <c r="I462" s="32">
        <v>695</v>
      </c>
      <c r="J462" s="32">
        <v>50</v>
      </c>
      <c r="K462" s="33"/>
      <c r="L462" s="33"/>
      <c r="M462" s="33"/>
      <c r="N462" s="33"/>
      <c r="O462" s="33"/>
      <c r="P462" s="33"/>
      <c r="Q462" s="33"/>
      <c r="R462" s="33"/>
      <c r="S462" s="33"/>
      <c r="T462" s="33"/>
    </row>
    <row r="463" spans="1:20" ht="15.75">
      <c r="A463" s="13">
        <v>55974</v>
      </c>
      <c r="B463" s="41">
        <v>31</v>
      </c>
      <c r="C463" s="32">
        <v>122.58</v>
      </c>
      <c r="D463" s="32">
        <v>297.94099999999997</v>
      </c>
      <c r="E463" s="38">
        <v>729.47900000000004</v>
      </c>
      <c r="F463" s="32">
        <v>1150</v>
      </c>
      <c r="G463" s="32">
        <v>100</v>
      </c>
      <c r="H463" s="40">
        <v>600</v>
      </c>
      <c r="I463" s="32">
        <v>695</v>
      </c>
      <c r="J463" s="32">
        <v>50</v>
      </c>
      <c r="K463" s="33"/>
      <c r="L463" s="33"/>
      <c r="M463" s="33"/>
      <c r="N463" s="33"/>
      <c r="O463" s="33"/>
      <c r="P463" s="33"/>
      <c r="Q463" s="33"/>
      <c r="R463" s="33"/>
      <c r="S463" s="33"/>
      <c r="T463" s="33"/>
    </row>
    <row r="464" spans="1:20" ht="15.75">
      <c r="A464" s="13">
        <v>56004</v>
      </c>
      <c r="B464" s="41">
        <v>30</v>
      </c>
      <c r="C464" s="32">
        <v>141.29300000000001</v>
      </c>
      <c r="D464" s="32">
        <v>267.99299999999999</v>
      </c>
      <c r="E464" s="38">
        <v>829.71400000000006</v>
      </c>
      <c r="F464" s="32">
        <v>1239</v>
      </c>
      <c r="G464" s="32">
        <v>100</v>
      </c>
      <c r="H464" s="40">
        <v>600</v>
      </c>
      <c r="I464" s="32">
        <v>695</v>
      </c>
      <c r="J464" s="32">
        <v>50</v>
      </c>
      <c r="K464" s="33"/>
      <c r="L464" s="33"/>
      <c r="M464" s="33"/>
      <c r="N464" s="33"/>
      <c r="O464" s="33"/>
      <c r="P464" s="33"/>
      <c r="Q464" s="33"/>
      <c r="R464" s="33"/>
      <c r="S464" s="33"/>
      <c r="T464" s="33"/>
    </row>
    <row r="465" spans="1:20" ht="15.75">
      <c r="A465" s="13">
        <v>56035</v>
      </c>
      <c r="B465" s="41">
        <v>31</v>
      </c>
      <c r="C465" s="32">
        <v>194.20500000000001</v>
      </c>
      <c r="D465" s="32">
        <v>267.46600000000001</v>
      </c>
      <c r="E465" s="38">
        <v>812.32899999999995</v>
      </c>
      <c r="F465" s="32">
        <v>1274</v>
      </c>
      <c r="G465" s="32">
        <v>75</v>
      </c>
      <c r="H465" s="40">
        <v>600</v>
      </c>
      <c r="I465" s="32">
        <v>695</v>
      </c>
      <c r="J465" s="32">
        <v>50</v>
      </c>
      <c r="K465" s="33"/>
      <c r="L465" s="33"/>
      <c r="M465" s="33"/>
      <c r="N465" s="33"/>
      <c r="O465" s="33"/>
      <c r="P465" s="33"/>
      <c r="Q465" s="33"/>
      <c r="R465" s="33"/>
      <c r="S465" s="33"/>
      <c r="T465" s="33"/>
    </row>
    <row r="466" spans="1:20" ht="15.75">
      <c r="A466" s="13">
        <v>56065</v>
      </c>
      <c r="B466" s="41">
        <v>30</v>
      </c>
      <c r="C466" s="32">
        <v>194.20500000000001</v>
      </c>
      <c r="D466" s="32">
        <v>267.46600000000001</v>
      </c>
      <c r="E466" s="38">
        <v>812.32899999999995</v>
      </c>
      <c r="F466" s="32">
        <v>1274</v>
      </c>
      <c r="G466" s="32">
        <v>50</v>
      </c>
      <c r="H466" s="40">
        <v>600</v>
      </c>
      <c r="I466" s="32">
        <v>695</v>
      </c>
      <c r="J466" s="32">
        <v>50</v>
      </c>
      <c r="K466" s="33"/>
      <c r="L466" s="33"/>
      <c r="M466" s="33"/>
      <c r="N466" s="33"/>
      <c r="O466" s="33"/>
      <c r="P466" s="33"/>
      <c r="Q466" s="33"/>
      <c r="R466" s="33"/>
      <c r="S466" s="33"/>
      <c r="T466" s="33"/>
    </row>
    <row r="467" spans="1:20" ht="15.75">
      <c r="A467" s="13">
        <v>56096</v>
      </c>
      <c r="B467" s="41">
        <v>31</v>
      </c>
      <c r="C467" s="32">
        <v>194.20500000000001</v>
      </c>
      <c r="D467" s="32">
        <v>267.46600000000001</v>
      </c>
      <c r="E467" s="38">
        <v>812.32899999999995</v>
      </c>
      <c r="F467" s="32">
        <v>1274</v>
      </c>
      <c r="G467" s="32">
        <v>50</v>
      </c>
      <c r="H467" s="40">
        <v>600</v>
      </c>
      <c r="I467" s="32">
        <v>695</v>
      </c>
      <c r="J467" s="32">
        <v>0</v>
      </c>
      <c r="K467" s="33"/>
      <c r="L467" s="33"/>
      <c r="M467" s="33"/>
      <c r="N467" s="33"/>
      <c r="O467" s="33"/>
      <c r="P467" s="33"/>
      <c r="Q467" s="33"/>
      <c r="R467" s="33"/>
      <c r="S467" s="33"/>
      <c r="T467" s="33"/>
    </row>
    <row r="468" spans="1:20" ht="15.75">
      <c r="A468" s="13">
        <v>56127</v>
      </c>
      <c r="B468" s="41">
        <v>31</v>
      </c>
      <c r="C468" s="32">
        <v>194.20500000000001</v>
      </c>
      <c r="D468" s="32">
        <v>267.46600000000001</v>
      </c>
      <c r="E468" s="38">
        <v>812.32899999999995</v>
      </c>
      <c r="F468" s="32">
        <v>1274</v>
      </c>
      <c r="G468" s="32">
        <v>50</v>
      </c>
      <c r="H468" s="40">
        <v>600</v>
      </c>
      <c r="I468" s="32">
        <v>695</v>
      </c>
      <c r="J468" s="32">
        <v>0</v>
      </c>
      <c r="K468" s="33"/>
      <c r="L468" s="33"/>
      <c r="M468" s="33"/>
      <c r="N468" s="33"/>
      <c r="O468" s="33"/>
      <c r="P468" s="33"/>
      <c r="Q468" s="33"/>
      <c r="R468" s="33"/>
      <c r="S468" s="33"/>
      <c r="T468" s="33"/>
    </row>
    <row r="469" spans="1:20" ht="15.75">
      <c r="A469" s="13">
        <v>56157</v>
      </c>
      <c r="B469" s="41">
        <v>30</v>
      </c>
      <c r="C469" s="32">
        <v>194.20500000000001</v>
      </c>
      <c r="D469" s="32">
        <v>267.46600000000001</v>
      </c>
      <c r="E469" s="38">
        <v>812.32899999999995</v>
      </c>
      <c r="F469" s="32">
        <v>1274</v>
      </c>
      <c r="G469" s="32">
        <v>50</v>
      </c>
      <c r="H469" s="40">
        <v>600</v>
      </c>
      <c r="I469" s="32">
        <v>695</v>
      </c>
      <c r="J469" s="32">
        <v>0</v>
      </c>
      <c r="K469" s="33"/>
      <c r="L469" s="33"/>
      <c r="M469" s="33"/>
      <c r="N469" s="33"/>
      <c r="O469" s="33"/>
      <c r="P469" s="33"/>
      <c r="Q469" s="33"/>
      <c r="R469" s="33"/>
      <c r="S469" s="33"/>
      <c r="T469" s="33"/>
    </row>
    <row r="470" spans="1:20" ht="15.75">
      <c r="A470" s="13">
        <v>56188</v>
      </c>
      <c r="B470" s="41">
        <v>31</v>
      </c>
      <c r="C470" s="32">
        <v>131.881</v>
      </c>
      <c r="D470" s="32">
        <v>277.16699999999997</v>
      </c>
      <c r="E470" s="38">
        <v>829.952</v>
      </c>
      <c r="F470" s="32">
        <v>1239</v>
      </c>
      <c r="G470" s="32">
        <v>75</v>
      </c>
      <c r="H470" s="40">
        <v>600</v>
      </c>
      <c r="I470" s="32">
        <v>695</v>
      </c>
      <c r="J470" s="32">
        <v>0</v>
      </c>
      <c r="K470" s="33"/>
      <c r="L470" s="33"/>
      <c r="M470" s="33"/>
      <c r="N470" s="33"/>
      <c r="O470" s="33"/>
      <c r="P470" s="33"/>
      <c r="Q470" s="33"/>
      <c r="R470" s="33"/>
      <c r="S470" s="33"/>
      <c r="T470" s="33"/>
    </row>
    <row r="471" spans="1:20" ht="15.75">
      <c r="A471" s="13">
        <v>56218</v>
      </c>
      <c r="B471" s="41">
        <v>30</v>
      </c>
      <c r="C471" s="32">
        <v>122.58</v>
      </c>
      <c r="D471" s="32">
        <v>297.94099999999997</v>
      </c>
      <c r="E471" s="38">
        <v>729.47900000000004</v>
      </c>
      <c r="F471" s="32">
        <v>1150</v>
      </c>
      <c r="G471" s="32">
        <v>100</v>
      </c>
      <c r="H471" s="40">
        <v>600</v>
      </c>
      <c r="I471" s="32">
        <v>695</v>
      </c>
      <c r="J471" s="32">
        <v>50</v>
      </c>
      <c r="K471" s="33"/>
      <c r="L471" s="33"/>
      <c r="M471" s="33"/>
      <c r="N471" s="33"/>
      <c r="O471" s="33"/>
      <c r="P471" s="33"/>
      <c r="Q471" s="33"/>
      <c r="R471" s="33"/>
      <c r="S471" s="33"/>
      <c r="T471" s="33"/>
    </row>
    <row r="472" spans="1:20" ht="15.75">
      <c r="A472" s="13">
        <v>56249</v>
      </c>
      <c r="B472" s="41">
        <v>31</v>
      </c>
      <c r="C472" s="32">
        <v>122.58</v>
      </c>
      <c r="D472" s="32">
        <v>297.94099999999997</v>
      </c>
      <c r="E472" s="38">
        <v>729.47900000000004</v>
      </c>
      <c r="F472" s="32">
        <v>1150</v>
      </c>
      <c r="G472" s="32">
        <v>100</v>
      </c>
      <c r="H472" s="40">
        <v>600</v>
      </c>
      <c r="I472" s="32">
        <v>695</v>
      </c>
      <c r="J472" s="32">
        <v>50</v>
      </c>
      <c r="K472" s="33"/>
      <c r="L472" s="33"/>
      <c r="M472" s="33"/>
      <c r="N472" s="33"/>
      <c r="O472" s="33"/>
      <c r="P472" s="33"/>
      <c r="Q472" s="33"/>
      <c r="R472" s="33"/>
      <c r="S472" s="33"/>
      <c r="T472" s="33"/>
    </row>
    <row r="473" spans="1:20" ht="15.75">
      <c r="A473" s="13">
        <v>56280</v>
      </c>
      <c r="B473" s="41">
        <v>31</v>
      </c>
      <c r="C473" s="32">
        <v>122.58</v>
      </c>
      <c r="D473" s="32">
        <v>297.94099999999997</v>
      </c>
      <c r="E473" s="38">
        <v>729.47900000000004</v>
      </c>
      <c r="F473" s="32">
        <v>1150</v>
      </c>
      <c r="G473" s="32">
        <v>100</v>
      </c>
      <c r="H473" s="40">
        <v>600</v>
      </c>
      <c r="I473" s="32">
        <v>695</v>
      </c>
      <c r="J473" s="32">
        <v>50</v>
      </c>
      <c r="K473" s="33"/>
      <c r="L473" s="33"/>
      <c r="M473" s="33"/>
      <c r="N473" s="33"/>
      <c r="O473" s="33"/>
      <c r="P473" s="33"/>
      <c r="Q473" s="33"/>
      <c r="R473" s="33"/>
      <c r="S473" s="33"/>
      <c r="T473" s="33"/>
    </row>
    <row r="474" spans="1:20" ht="15.75">
      <c r="A474" s="13">
        <v>56308</v>
      </c>
      <c r="B474" s="41">
        <v>28</v>
      </c>
      <c r="C474" s="32">
        <v>122.58</v>
      </c>
      <c r="D474" s="32">
        <v>297.94099999999997</v>
      </c>
      <c r="E474" s="38">
        <v>729.47900000000004</v>
      </c>
      <c r="F474" s="32">
        <v>1150</v>
      </c>
      <c r="G474" s="32">
        <v>100</v>
      </c>
      <c r="H474" s="40">
        <v>600</v>
      </c>
      <c r="I474" s="32">
        <v>695</v>
      </c>
      <c r="J474" s="32">
        <v>50</v>
      </c>
      <c r="K474" s="33"/>
      <c r="L474" s="33"/>
      <c r="M474" s="33"/>
      <c r="N474" s="33"/>
      <c r="O474" s="33"/>
      <c r="P474" s="33"/>
      <c r="Q474" s="33"/>
      <c r="R474" s="33"/>
      <c r="S474" s="33"/>
      <c r="T474" s="33"/>
    </row>
    <row r="475" spans="1:20" ht="15.75">
      <c r="A475" s="13">
        <v>56339</v>
      </c>
      <c r="B475" s="41">
        <v>31</v>
      </c>
      <c r="C475" s="32">
        <v>122.58</v>
      </c>
      <c r="D475" s="32">
        <v>297.94099999999997</v>
      </c>
      <c r="E475" s="38">
        <v>729.47900000000004</v>
      </c>
      <c r="F475" s="32">
        <v>1150</v>
      </c>
      <c r="G475" s="32">
        <v>100</v>
      </c>
      <c r="H475" s="40">
        <v>600</v>
      </c>
      <c r="I475" s="32">
        <v>695</v>
      </c>
      <c r="J475" s="32">
        <v>50</v>
      </c>
      <c r="K475" s="33"/>
      <c r="L475" s="33"/>
      <c r="M475" s="33"/>
      <c r="N475" s="33"/>
      <c r="O475" s="33"/>
      <c r="P475" s="33"/>
      <c r="Q475" s="33"/>
      <c r="R475" s="33"/>
      <c r="S475" s="33"/>
      <c r="T475" s="33"/>
    </row>
    <row r="476" spans="1:20" ht="15.75">
      <c r="A476" s="13">
        <v>56369</v>
      </c>
      <c r="B476" s="41">
        <v>30</v>
      </c>
      <c r="C476" s="32">
        <v>141.29300000000001</v>
      </c>
      <c r="D476" s="32">
        <v>267.99299999999999</v>
      </c>
      <c r="E476" s="38">
        <v>829.71400000000006</v>
      </c>
      <c r="F476" s="32">
        <v>1239</v>
      </c>
      <c r="G476" s="32">
        <v>100</v>
      </c>
      <c r="H476" s="40">
        <v>600</v>
      </c>
      <c r="I476" s="32">
        <v>695</v>
      </c>
      <c r="J476" s="32">
        <v>50</v>
      </c>
      <c r="K476" s="33"/>
      <c r="L476" s="33"/>
      <c r="M476" s="33"/>
      <c r="N476" s="33"/>
      <c r="O476" s="33"/>
      <c r="P476" s="33"/>
      <c r="Q476" s="33"/>
      <c r="R476" s="33"/>
      <c r="S476" s="33"/>
      <c r="T476" s="33"/>
    </row>
    <row r="477" spans="1:20" ht="15.75">
      <c r="A477" s="13">
        <v>56400</v>
      </c>
      <c r="B477" s="41">
        <v>31</v>
      </c>
      <c r="C477" s="32">
        <v>194.20500000000001</v>
      </c>
      <c r="D477" s="32">
        <v>267.46600000000001</v>
      </c>
      <c r="E477" s="38">
        <v>812.32899999999995</v>
      </c>
      <c r="F477" s="32">
        <v>1274</v>
      </c>
      <c r="G477" s="32">
        <v>75</v>
      </c>
      <c r="H477" s="40">
        <v>600</v>
      </c>
      <c r="I477" s="32">
        <v>695</v>
      </c>
      <c r="J477" s="32">
        <v>50</v>
      </c>
      <c r="K477" s="33"/>
      <c r="L477" s="33"/>
      <c r="M477" s="33"/>
      <c r="N477" s="33"/>
      <c r="O477" s="33"/>
      <c r="P477" s="33"/>
      <c r="Q477" s="33"/>
      <c r="R477" s="33"/>
      <c r="S477" s="33"/>
      <c r="T477" s="33"/>
    </row>
    <row r="478" spans="1:20" ht="15.75">
      <c r="A478" s="13">
        <v>56430</v>
      </c>
      <c r="B478" s="41">
        <v>30</v>
      </c>
      <c r="C478" s="32">
        <v>194.20500000000001</v>
      </c>
      <c r="D478" s="32">
        <v>267.46600000000001</v>
      </c>
      <c r="E478" s="38">
        <v>812.32899999999995</v>
      </c>
      <c r="F478" s="32">
        <v>1274</v>
      </c>
      <c r="G478" s="32">
        <v>50</v>
      </c>
      <c r="H478" s="40">
        <v>600</v>
      </c>
      <c r="I478" s="32">
        <v>695</v>
      </c>
      <c r="J478" s="32">
        <v>50</v>
      </c>
      <c r="K478" s="33"/>
      <c r="L478" s="33"/>
      <c r="M478" s="33"/>
      <c r="N478" s="33"/>
      <c r="O478" s="33"/>
      <c r="P478" s="33"/>
      <c r="Q478" s="33"/>
      <c r="R478" s="33"/>
      <c r="S478" s="33"/>
      <c r="T478" s="33"/>
    </row>
    <row r="479" spans="1:20" ht="15.75">
      <c r="A479" s="13">
        <v>56461</v>
      </c>
      <c r="B479" s="41">
        <v>31</v>
      </c>
      <c r="C479" s="32">
        <v>194.20500000000001</v>
      </c>
      <c r="D479" s="32">
        <v>267.46600000000001</v>
      </c>
      <c r="E479" s="38">
        <v>812.32899999999995</v>
      </c>
      <c r="F479" s="32">
        <v>1274</v>
      </c>
      <c r="G479" s="32">
        <v>50</v>
      </c>
      <c r="H479" s="40">
        <v>600</v>
      </c>
      <c r="I479" s="32">
        <v>695</v>
      </c>
      <c r="J479" s="32">
        <v>0</v>
      </c>
      <c r="K479" s="33"/>
      <c r="L479" s="33"/>
      <c r="M479" s="33"/>
      <c r="N479" s="33"/>
      <c r="O479" s="33"/>
      <c r="P479" s="33"/>
      <c r="Q479" s="33"/>
      <c r="R479" s="33"/>
      <c r="S479" s="33"/>
      <c r="T479" s="33"/>
    </row>
    <row r="480" spans="1:20" ht="15.75">
      <c r="A480" s="13">
        <v>56492</v>
      </c>
      <c r="B480" s="41">
        <v>31</v>
      </c>
      <c r="C480" s="32">
        <v>194.20500000000001</v>
      </c>
      <c r="D480" s="32">
        <v>267.46600000000001</v>
      </c>
      <c r="E480" s="38">
        <v>812.32899999999995</v>
      </c>
      <c r="F480" s="32">
        <v>1274</v>
      </c>
      <c r="G480" s="32">
        <v>50</v>
      </c>
      <c r="H480" s="40">
        <v>600</v>
      </c>
      <c r="I480" s="32">
        <v>695</v>
      </c>
      <c r="J480" s="32">
        <v>0</v>
      </c>
      <c r="K480" s="33"/>
      <c r="L480" s="33"/>
      <c r="M480" s="33"/>
      <c r="N480" s="33"/>
      <c r="O480" s="33"/>
      <c r="P480" s="33"/>
      <c r="Q480" s="33"/>
      <c r="R480" s="33"/>
      <c r="S480" s="33"/>
      <c r="T480" s="33"/>
    </row>
    <row r="481" spans="1:20" ht="15.75">
      <c r="A481" s="13">
        <v>56522</v>
      </c>
      <c r="B481" s="41">
        <v>30</v>
      </c>
      <c r="C481" s="32">
        <v>194.20500000000001</v>
      </c>
      <c r="D481" s="32">
        <v>267.46600000000001</v>
      </c>
      <c r="E481" s="38">
        <v>812.32899999999995</v>
      </c>
      <c r="F481" s="32">
        <v>1274</v>
      </c>
      <c r="G481" s="32">
        <v>50</v>
      </c>
      <c r="H481" s="40">
        <v>600</v>
      </c>
      <c r="I481" s="32">
        <v>695</v>
      </c>
      <c r="J481" s="32">
        <v>0</v>
      </c>
      <c r="K481" s="33"/>
      <c r="L481" s="33"/>
      <c r="M481" s="33"/>
      <c r="N481" s="33"/>
      <c r="O481" s="33"/>
      <c r="P481" s="33"/>
      <c r="Q481" s="33"/>
      <c r="R481" s="33"/>
      <c r="S481" s="33"/>
      <c r="T481" s="33"/>
    </row>
    <row r="482" spans="1:20" ht="15.75">
      <c r="A482" s="13">
        <v>56553</v>
      </c>
      <c r="B482" s="41">
        <v>31</v>
      </c>
      <c r="C482" s="32">
        <v>131.881</v>
      </c>
      <c r="D482" s="32">
        <v>277.16699999999997</v>
      </c>
      <c r="E482" s="38">
        <v>829.952</v>
      </c>
      <c r="F482" s="32">
        <v>1239</v>
      </c>
      <c r="G482" s="32">
        <v>75</v>
      </c>
      <c r="H482" s="40">
        <v>600</v>
      </c>
      <c r="I482" s="32">
        <v>695</v>
      </c>
      <c r="J482" s="32">
        <v>0</v>
      </c>
      <c r="K482" s="33"/>
      <c r="L482" s="33"/>
      <c r="M482" s="33"/>
      <c r="N482" s="33"/>
      <c r="O482" s="33"/>
      <c r="P482" s="33"/>
      <c r="Q482" s="33"/>
      <c r="R482" s="33"/>
      <c r="S482" s="33"/>
      <c r="T482" s="33"/>
    </row>
    <row r="483" spans="1:20" ht="15.75">
      <c r="A483" s="13">
        <v>56583</v>
      </c>
      <c r="B483" s="41">
        <v>30</v>
      </c>
      <c r="C483" s="32">
        <v>122.58</v>
      </c>
      <c r="D483" s="32">
        <v>297.94099999999997</v>
      </c>
      <c r="E483" s="38">
        <v>729.47900000000004</v>
      </c>
      <c r="F483" s="32">
        <v>1150</v>
      </c>
      <c r="G483" s="32">
        <v>100</v>
      </c>
      <c r="H483" s="40">
        <v>600</v>
      </c>
      <c r="I483" s="32">
        <v>695</v>
      </c>
      <c r="J483" s="32">
        <v>50</v>
      </c>
      <c r="K483" s="33"/>
      <c r="L483" s="33"/>
      <c r="M483" s="33"/>
      <c r="N483" s="33"/>
      <c r="O483" s="33"/>
      <c r="P483" s="33"/>
      <c r="Q483" s="33"/>
      <c r="R483" s="33"/>
      <c r="S483" s="33"/>
      <c r="T483" s="33"/>
    </row>
    <row r="484" spans="1:20" ht="15.75">
      <c r="A484" s="13">
        <v>56614</v>
      </c>
      <c r="B484" s="41">
        <v>31</v>
      </c>
      <c r="C484" s="32">
        <v>122.58</v>
      </c>
      <c r="D484" s="32">
        <v>297.94099999999997</v>
      </c>
      <c r="E484" s="38">
        <v>729.47900000000004</v>
      </c>
      <c r="F484" s="32">
        <v>1150</v>
      </c>
      <c r="G484" s="32">
        <v>100</v>
      </c>
      <c r="H484" s="40">
        <v>600</v>
      </c>
      <c r="I484" s="32">
        <v>695</v>
      </c>
      <c r="J484" s="32">
        <v>50</v>
      </c>
      <c r="K484" s="33"/>
      <c r="L484" s="33"/>
      <c r="M484" s="33"/>
      <c r="N484" s="33"/>
      <c r="O484" s="33"/>
      <c r="P484" s="33"/>
      <c r="Q484" s="33"/>
      <c r="R484" s="33"/>
      <c r="S484" s="33"/>
      <c r="T484" s="33"/>
    </row>
    <row r="485" spans="1:20" ht="15.75">
      <c r="A485" s="13">
        <v>56645</v>
      </c>
      <c r="B485" s="41">
        <v>31</v>
      </c>
      <c r="C485" s="32">
        <v>122.58</v>
      </c>
      <c r="D485" s="32">
        <v>297.94099999999997</v>
      </c>
      <c r="E485" s="38">
        <v>729.47900000000004</v>
      </c>
      <c r="F485" s="32">
        <v>1150</v>
      </c>
      <c r="G485" s="32">
        <v>100</v>
      </c>
      <c r="H485" s="40">
        <v>600</v>
      </c>
      <c r="I485" s="32">
        <v>695</v>
      </c>
      <c r="J485" s="32">
        <v>50</v>
      </c>
      <c r="K485" s="33"/>
      <c r="L485" s="33"/>
      <c r="M485" s="33"/>
      <c r="N485" s="33"/>
      <c r="O485" s="33"/>
      <c r="P485" s="33"/>
      <c r="Q485" s="33"/>
      <c r="R485" s="33"/>
      <c r="S485" s="33"/>
      <c r="T485" s="33"/>
    </row>
    <row r="486" spans="1:20" ht="15.75">
      <c r="A486" s="13">
        <v>56673</v>
      </c>
      <c r="B486" s="41">
        <v>28</v>
      </c>
      <c r="C486" s="32">
        <v>122.58</v>
      </c>
      <c r="D486" s="32">
        <v>297.94099999999997</v>
      </c>
      <c r="E486" s="38">
        <v>729.47900000000004</v>
      </c>
      <c r="F486" s="32">
        <v>1150</v>
      </c>
      <c r="G486" s="32">
        <v>100</v>
      </c>
      <c r="H486" s="40">
        <v>600</v>
      </c>
      <c r="I486" s="32">
        <v>695</v>
      </c>
      <c r="J486" s="32">
        <v>50</v>
      </c>
      <c r="K486" s="33"/>
      <c r="L486" s="33"/>
      <c r="M486" s="33"/>
      <c r="N486" s="33"/>
      <c r="O486" s="33"/>
      <c r="P486" s="33"/>
      <c r="Q486" s="33"/>
      <c r="R486" s="33"/>
      <c r="S486" s="33"/>
      <c r="T486" s="33"/>
    </row>
    <row r="487" spans="1:20" ht="15.75">
      <c r="A487" s="13">
        <v>56704</v>
      </c>
      <c r="B487" s="41">
        <v>31</v>
      </c>
      <c r="C487" s="32">
        <v>122.58</v>
      </c>
      <c r="D487" s="32">
        <v>297.94099999999997</v>
      </c>
      <c r="E487" s="38">
        <v>729.47900000000004</v>
      </c>
      <c r="F487" s="32">
        <v>1150</v>
      </c>
      <c r="G487" s="32">
        <v>100</v>
      </c>
      <c r="H487" s="40">
        <v>600</v>
      </c>
      <c r="I487" s="32">
        <v>695</v>
      </c>
      <c r="J487" s="32">
        <v>50</v>
      </c>
      <c r="K487" s="33"/>
      <c r="L487" s="33"/>
      <c r="M487" s="33"/>
      <c r="N487" s="33"/>
      <c r="O487" s="33"/>
      <c r="P487" s="33"/>
      <c r="Q487" s="33"/>
      <c r="R487" s="33"/>
      <c r="S487" s="33"/>
      <c r="T487" s="33"/>
    </row>
    <row r="488" spans="1:20" ht="15.75">
      <c r="A488" s="13">
        <v>56734</v>
      </c>
      <c r="B488" s="41">
        <v>30</v>
      </c>
      <c r="C488" s="32">
        <v>141.29300000000001</v>
      </c>
      <c r="D488" s="32">
        <v>267.99299999999999</v>
      </c>
      <c r="E488" s="38">
        <v>829.71400000000006</v>
      </c>
      <c r="F488" s="32">
        <v>1239</v>
      </c>
      <c r="G488" s="32">
        <v>100</v>
      </c>
      <c r="H488" s="40">
        <v>600</v>
      </c>
      <c r="I488" s="32">
        <v>695</v>
      </c>
      <c r="J488" s="32">
        <v>50</v>
      </c>
      <c r="K488" s="33"/>
      <c r="L488" s="33"/>
      <c r="M488" s="33"/>
      <c r="N488" s="33"/>
      <c r="O488" s="33"/>
      <c r="P488" s="33"/>
      <c r="Q488" s="33"/>
      <c r="R488" s="33"/>
      <c r="S488" s="33"/>
      <c r="T488" s="33"/>
    </row>
    <row r="489" spans="1:20" ht="15.75">
      <c r="A489" s="13">
        <v>56765</v>
      </c>
      <c r="B489" s="41">
        <v>31</v>
      </c>
      <c r="C489" s="32">
        <v>194.20500000000001</v>
      </c>
      <c r="D489" s="32">
        <v>267.46600000000001</v>
      </c>
      <c r="E489" s="38">
        <v>812.32899999999995</v>
      </c>
      <c r="F489" s="32">
        <v>1274</v>
      </c>
      <c r="G489" s="32">
        <v>75</v>
      </c>
      <c r="H489" s="40">
        <v>600</v>
      </c>
      <c r="I489" s="32">
        <v>695</v>
      </c>
      <c r="J489" s="32">
        <v>50</v>
      </c>
      <c r="K489" s="33"/>
      <c r="L489" s="33"/>
      <c r="M489" s="33"/>
      <c r="N489" s="33"/>
      <c r="O489" s="33"/>
      <c r="P489" s="33"/>
      <c r="Q489" s="33"/>
      <c r="R489" s="33"/>
      <c r="S489" s="33"/>
      <c r="T489" s="33"/>
    </row>
    <row r="490" spans="1:20" ht="15.75">
      <c r="A490" s="13">
        <v>56795</v>
      </c>
      <c r="B490" s="41">
        <v>30</v>
      </c>
      <c r="C490" s="32">
        <v>194.20500000000001</v>
      </c>
      <c r="D490" s="32">
        <v>267.46600000000001</v>
      </c>
      <c r="E490" s="38">
        <v>812.32899999999995</v>
      </c>
      <c r="F490" s="32">
        <v>1274</v>
      </c>
      <c r="G490" s="32">
        <v>50</v>
      </c>
      <c r="H490" s="40">
        <v>600</v>
      </c>
      <c r="I490" s="32">
        <v>695</v>
      </c>
      <c r="J490" s="32">
        <v>50</v>
      </c>
      <c r="K490" s="33"/>
      <c r="L490" s="33"/>
      <c r="M490" s="33"/>
      <c r="N490" s="33"/>
      <c r="O490" s="33"/>
      <c r="P490" s="33"/>
      <c r="Q490" s="33"/>
      <c r="R490" s="33"/>
      <c r="S490" s="33"/>
      <c r="T490" s="33"/>
    </row>
    <row r="491" spans="1:20" ht="15.75">
      <c r="A491" s="13">
        <v>56826</v>
      </c>
      <c r="B491" s="41">
        <v>31</v>
      </c>
      <c r="C491" s="32">
        <v>194.20500000000001</v>
      </c>
      <c r="D491" s="32">
        <v>267.46600000000001</v>
      </c>
      <c r="E491" s="38">
        <v>812.32899999999995</v>
      </c>
      <c r="F491" s="32">
        <v>1274</v>
      </c>
      <c r="G491" s="32">
        <v>50</v>
      </c>
      <c r="H491" s="40">
        <v>600</v>
      </c>
      <c r="I491" s="32">
        <v>695</v>
      </c>
      <c r="J491" s="32">
        <v>0</v>
      </c>
      <c r="K491" s="33"/>
      <c r="L491" s="33"/>
      <c r="M491" s="33"/>
      <c r="N491" s="33"/>
      <c r="O491" s="33"/>
      <c r="P491" s="33"/>
      <c r="Q491" s="33"/>
      <c r="R491" s="33"/>
      <c r="S491" s="33"/>
      <c r="T491" s="33"/>
    </row>
    <row r="492" spans="1:20" ht="15.75">
      <c r="A492" s="13">
        <v>56857</v>
      </c>
      <c r="B492" s="41">
        <v>31</v>
      </c>
      <c r="C492" s="32">
        <v>194.20500000000001</v>
      </c>
      <c r="D492" s="32">
        <v>267.46600000000001</v>
      </c>
      <c r="E492" s="38">
        <v>812.32899999999995</v>
      </c>
      <c r="F492" s="32">
        <v>1274</v>
      </c>
      <c r="G492" s="32">
        <v>50</v>
      </c>
      <c r="H492" s="40">
        <v>600</v>
      </c>
      <c r="I492" s="32">
        <v>695</v>
      </c>
      <c r="J492" s="32">
        <v>0</v>
      </c>
      <c r="K492" s="33"/>
      <c r="L492" s="33"/>
      <c r="M492" s="33"/>
      <c r="N492" s="33"/>
      <c r="O492" s="33"/>
      <c r="P492" s="33"/>
      <c r="Q492" s="33"/>
      <c r="R492" s="33"/>
      <c r="S492" s="33"/>
      <c r="T492" s="33"/>
    </row>
    <row r="493" spans="1:20" ht="15.75">
      <c r="A493" s="13">
        <v>56887</v>
      </c>
      <c r="B493" s="41">
        <v>30</v>
      </c>
      <c r="C493" s="32">
        <v>194.20500000000001</v>
      </c>
      <c r="D493" s="32">
        <v>267.46600000000001</v>
      </c>
      <c r="E493" s="38">
        <v>812.32899999999995</v>
      </c>
      <c r="F493" s="32">
        <v>1274</v>
      </c>
      <c r="G493" s="32">
        <v>50</v>
      </c>
      <c r="H493" s="40">
        <v>600</v>
      </c>
      <c r="I493" s="32">
        <v>695</v>
      </c>
      <c r="J493" s="32">
        <v>0</v>
      </c>
      <c r="K493" s="33"/>
      <c r="L493" s="33"/>
      <c r="M493" s="33"/>
      <c r="N493" s="33"/>
      <c r="O493" s="33"/>
      <c r="P493" s="33"/>
      <c r="Q493" s="33"/>
      <c r="R493" s="33"/>
      <c r="S493" s="33"/>
      <c r="T493" s="33"/>
    </row>
    <row r="494" spans="1:20" ht="15.75">
      <c r="A494" s="13">
        <v>56918</v>
      </c>
      <c r="B494" s="41">
        <v>31</v>
      </c>
      <c r="C494" s="32">
        <v>131.881</v>
      </c>
      <c r="D494" s="32">
        <v>277.16699999999997</v>
      </c>
      <c r="E494" s="38">
        <v>829.952</v>
      </c>
      <c r="F494" s="32">
        <v>1239</v>
      </c>
      <c r="G494" s="32">
        <v>75</v>
      </c>
      <c r="H494" s="40">
        <v>600</v>
      </c>
      <c r="I494" s="32">
        <v>695</v>
      </c>
      <c r="J494" s="32">
        <v>0</v>
      </c>
      <c r="K494" s="33"/>
      <c r="L494" s="33"/>
      <c r="M494" s="33"/>
      <c r="N494" s="33"/>
      <c r="O494" s="33"/>
      <c r="P494" s="33"/>
      <c r="Q494" s="33"/>
      <c r="R494" s="33"/>
      <c r="S494" s="33"/>
      <c r="T494" s="33"/>
    </row>
    <row r="495" spans="1:20" ht="15.75">
      <c r="A495" s="13">
        <v>56948</v>
      </c>
      <c r="B495" s="41">
        <v>30</v>
      </c>
      <c r="C495" s="32">
        <v>122.58</v>
      </c>
      <c r="D495" s="32">
        <v>297.94099999999997</v>
      </c>
      <c r="E495" s="38">
        <v>729.47900000000004</v>
      </c>
      <c r="F495" s="32">
        <v>1150</v>
      </c>
      <c r="G495" s="32">
        <v>100</v>
      </c>
      <c r="H495" s="40">
        <v>600</v>
      </c>
      <c r="I495" s="32">
        <v>695</v>
      </c>
      <c r="J495" s="32">
        <v>50</v>
      </c>
      <c r="K495" s="33"/>
      <c r="L495" s="33"/>
      <c r="M495" s="33"/>
      <c r="N495" s="33"/>
      <c r="O495" s="33"/>
      <c r="P495" s="33"/>
      <c r="Q495" s="33"/>
      <c r="R495" s="33"/>
      <c r="S495" s="33"/>
      <c r="T495" s="33"/>
    </row>
    <row r="496" spans="1:20" ht="15.75">
      <c r="A496" s="13">
        <v>56979</v>
      </c>
      <c r="B496" s="41">
        <v>31</v>
      </c>
      <c r="C496" s="32">
        <v>122.58</v>
      </c>
      <c r="D496" s="32">
        <v>297.94099999999997</v>
      </c>
      <c r="E496" s="38">
        <v>729.47900000000004</v>
      </c>
      <c r="F496" s="32">
        <v>1150</v>
      </c>
      <c r="G496" s="32">
        <v>100</v>
      </c>
      <c r="H496" s="40">
        <v>600</v>
      </c>
      <c r="I496" s="32">
        <v>695</v>
      </c>
      <c r="J496" s="32">
        <v>50</v>
      </c>
      <c r="K496" s="33"/>
      <c r="L496" s="33"/>
      <c r="M496" s="33"/>
      <c r="N496" s="33"/>
      <c r="O496" s="33"/>
      <c r="P496" s="33"/>
      <c r="Q496" s="33"/>
      <c r="R496" s="33"/>
      <c r="S496" s="33"/>
      <c r="T496" s="33"/>
    </row>
    <row r="497" spans="1:20" ht="15.75">
      <c r="A497" s="13">
        <v>57010</v>
      </c>
      <c r="B497" s="41">
        <v>31</v>
      </c>
      <c r="C497" s="32">
        <v>122.58</v>
      </c>
      <c r="D497" s="32">
        <v>297.94099999999997</v>
      </c>
      <c r="E497" s="38">
        <v>729.47900000000004</v>
      </c>
      <c r="F497" s="32">
        <v>1150</v>
      </c>
      <c r="G497" s="32">
        <v>100</v>
      </c>
      <c r="H497" s="40">
        <v>600</v>
      </c>
      <c r="I497" s="32">
        <v>695</v>
      </c>
      <c r="J497" s="32">
        <v>50</v>
      </c>
      <c r="K497" s="33"/>
      <c r="L497" s="33"/>
      <c r="M497" s="33"/>
      <c r="N497" s="33"/>
      <c r="O497" s="33"/>
      <c r="P497" s="33"/>
      <c r="Q497" s="33"/>
      <c r="R497" s="33"/>
      <c r="S497" s="33"/>
      <c r="T497" s="33"/>
    </row>
    <row r="498" spans="1:20" ht="15.75">
      <c r="A498" s="13">
        <v>57038</v>
      </c>
      <c r="B498" s="41">
        <v>29</v>
      </c>
      <c r="C498" s="32">
        <v>122.58</v>
      </c>
      <c r="D498" s="32">
        <v>297.94099999999997</v>
      </c>
      <c r="E498" s="38">
        <v>729.47900000000004</v>
      </c>
      <c r="F498" s="32">
        <v>1150</v>
      </c>
      <c r="G498" s="32">
        <v>100</v>
      </c>
      <c r="H498" s="40">
        <v>600</v>
      </c>
      <c r="I498" s="32">
        <v>695</v>
      </c>
      <c r="J498" s="32">
        <v>50</v>
      </c>
      <c r="K498" s="33"/>
      <c r="L498" s="33"/>
      <c r="M498" s="33"/>
      <c r="N498" s="33"/>
      <c r="O498" s="33"/>
      <c r="P498" s="33"/>
      <c r="Q498" s="33"/>
      <c r="R498" s="33"/>
      <c r="S498" s="33"/>
      <c r="T498" s="33"/>
    </row>
    <row r="499" spans="1:20" ht="15.75">
      <c r="A499" s="13">
        <v>57070</v>
      </c>
      <c r="B499" s="41">
        <v>31</v>
      </c>
      <c r="C499" s="32">
        <v>122.58</v>
      </c>
      <c r="D499" s="32">
        <v>297.94099999999997</v>
      </c>
      <c r="E499" s="38">
        <v>729.47900000000004</v>
      </c>
      <c r="F499" s="32">
        <v>1150</v>
      </c>
      <c r="G499" s="32">
        <v>100</v>
      </c>
      <c r="H499" s="40">
        <v>600</v>
      </c>
      <c r="I499" s="32">
        <v>695</v>
      </c>
      <c r="J499" s="32">
        <v>50</v>
      </c>
      <c r="K499" s="33"/>
      <c r="L499" s="33"/>
      <c r="M499" s="33"/>
      <c r="N499" s="33"/>
      <c r="O499" s="33"/>
      <c r="P499" s="33"/>
      <c r="Q499" s="33"/>
      <c r="R499" s="33"/>
      <c r="S499" s="33"/>
      <c r="T499" s="33"/>
    </row>
    <row r="500" spans="1:20" ht="15.75">
      <c r="A500" s="13">
        <v>57100</v>
      </c>
      <c r="B500" s="41">
        <v>30</v>
      </c>
      <c r="C500" s="32">
        <v>141.29300000000001</v>
      </c>
      <c r="D500" s="32">
        <v>267.99299999999999</v>
      </c>
      <c r="E500" s="38">
        <v>829.71400000000006</v>
      </c>
      <c r="F500" s="32">
        <v>1239</v>
      </c>
      <c r="G500" s="32">
        <v>100</v>
      </c>
      <c r="H500" s="40">
        <v>600</v>
      </c>
      <c r="I500" s="32">
        <v>695</v>
      </c>
      <c r="J500" s="32">
        <v>50</v>
      </c>
      <c r="K500" s="33"/>
      <c r="L500" s="33"/>
      <c r="M500" s="33"/>
      <c r="N500" s="33"/>
      <c r="O500" s="33"/>
      <c r="P500" s="33"/>
      <c r="Q500" s="33"/>
      <c r="R500" s="33"/>
      <c r="S500" s="33"/>
      <c r="T500" s="33"/>
    </row>
    <row r="501" spans="1:20" ht="15.75">
      <c r="A501" s="13">
        <v>57131</v>
      </c>
      <c r="B501" s="41">
        <v>31</v>
      </c>
      <c r="C501" s="32">
        <v>194.20500000000001</v>
      </c>
      <c r="D501" s="32">
        <v>267.46600000000001</v>
      </c>
      <c r="E501" s="38">
        <v>812.32899999999995</v>
      </c>
      <c r="F501" s="32">
        <v>1274</v>
      </c>
      <c r="G501" s="32">
        <v>75</v>
      </c>
      <c r="H501" s="40">
        <v>600</v>
      </c>
      <c r="I501" s="32">
        <v>695</v>
      </c>
      <c r="J501" s="32">
        <v>50</v>
      </c>
      <c r="K501" s="33"/>
      <c r="L501" s="33"/>
      <c r="M501" s="33"/>
      <c r="N501" s="33"/>
      <c r="O501" s="33"/>
      <c r="P501" s="33"/>
      <c r="Q501" s="33"/>
      <c r="R501" s="33"/>
      <c r="S501" s="33"/>
      <c r="T501" s="33"/>
    </row>
    <row r="502" spans="1:20" ht="15.75">
      <c r="A502" s="13">
        <v>57161</v>
      </c>
      <c r="B502" s="41">
        <v>30</v>
      </c>
      <c r="C502" s="32">
        <v>194.20500000000001</v>
      </c>
      <c r="D502" s="32">
        <v>267.46600000000001</v>
      </c>
      <c r="E502" s="38">
        <v>812.32899999999995</v>
      </c>
      <c r="F502" s="32">
        <v>1274</v>
      </c>
      <c r="G502" s="32">
        <v>50</v>
      </c>
      <c r="H502" s="40">
        <v>600</v>
      </c>
      <c r="I502" s="32">
        <v>695</v>
      </c>
      <c r="J502" s="32">
        <v>50</v>
      </c>
      <c r="K502" s="33"/>
      <c r="L502" s="33"/>
      <c r="M502" s="33"/>
      <c r="N502" s="33"/>
      <c r="O502" s="33"/>
      <c r="P502" s="33"/>
      <c r="Q502" s="33"/>
      <c r="R502" s="33"/>
      <c r="S502" s="33"/>
      <c r="T502" s="33"/>
    </row>
    <row r="503" spans="1:20" ht="15.75">
      <c r="A503" s="13">
        <v>57192</v>
      </c>
      <c r="B503" s="41">
        <v>31</v>
      </c>
      <c r="C503" s="32">
        <v>194.20500000000001</v>
      </c>
      <c r="D503" s="32">
        <v>267.46600000000001</v>
      </c>
      <c r="E503" s="38">
        <v>812.32899999999995</v>
      </c>
      <c r="F503" s="32">
        <v>1274</v>
      </c>
      <c r="G503" s="32">
        <v>50</v>
      </c>
      <c r="H503" s="40">
        <v>600</v>
      </c>
      <c r="I503" s="32">
        <v>695</v>
      </c>
      <c r="J503" s="32">
        <v>0</v>
      </c>
      <c r="K503" s="33"/>
      <c r="L503" s="33"/>
      <c r="M503" s="33"/>
      <c r="N503" s="33"/>
      <c r="O503" s="33"/>
      <c r="P503" s="33"/>
      <c r="Q503" s="33"/>
      <c r="R503" s="33"/>
      <c r="S503" s="33"/>
      <c r="T503" s="33"/>
    </row>
    <row r="504" spans="1:20" ht="15.75">
      <c r="A504" s="13">
        <v>57223</v>
      </c>
      <c r="B504" s="41">
        <v>31</v>
      </c>
      <c r="C504" s="32">
        <v>194.20500000000001</v>
      </c>
      <c r="D504" s="32">
        <v>267.46600000000001</v>
      </c>
      <c r="E504" s="38">
        <v>812.32899999999995</v>
      </c>
      <c r="F504" s="32">
        <v>1274</v>
      </c>
      <c r="G504" s="32">
        <v>50</v>
      </c>
      <c r="H504" s="40">
        <v>600</v>
      </c>
      <c r="I504" s="32">
        <v>695</v>
      </c>
      <c r="J504" s="32">
        <v>0</v>
      </c>
      <c r="K504" s="33"/>
      <c r="L504" s="33"/>
      <c r="M504" s="33"/>
      <c r="N504" s="33"/>
      <c r="O504" s="33"/>
      <c r="P504" s="33"/>
      <c r="Q504" s="33"/>
      <c r="R504" s="33"/>
      <c r="S504" s="33"/>
      <c r="T504" s="33"/>
    </row>
    <row r="505" spans="1:20" ht="15.75">
      <c r="A505" s="13">
        <v>57253</v>
      </c>
      <c r="B505" s="41">
        <v>30</v>
      </c>
      <c r="C505" s="32">
        <v>194.20500000000001</v>
      </c>
      <c r="D505" s="32">
        <v>267.46600000000001</v>
      </c>
      <c r="E505" s="38">
        <v>812.32899999999995</v>
      </c>
      <c r="F505" s="32">
        <v>1274</v>
      </c>
      <c r="G505" s="32">
        <v>50</v>
      </c>
      <c r="H505" s="40">
        <v>600</v>
      </c>
      <c r="I505" s="32">
        <v>695</v>
      </c>
      <c r="J505" s="32">
        <v>0</v>
      </c>
      <c r="K505" s="33"/>
      <c r="L505" s="33"/>
      <c r="M505" s="33"/>
      <c r="N505" s="33"/>
      <c r="O505" s="33"/>
      <c r="P505" s="33"/>
      <c r="Q505" s="33"/>
      <c r="R505" s="33"/>
      <c r="S505" s="33"/>
      <c r="T505" s="33"/>
    </row>
    <row r="506" spans="1:20" ht="15.75">
      <c r="A506" s="13">
        <v>57284</v>
      </c>
      <c r="B506" s="41">
        <v>31</v>
      </c>
      <c r="C506" s="32">
        <v>131.881</v>
      </c>
      <c r="D506" s="32">
        <v>277.16699999999997</v>
      </c>
      <c r="E506" s="38">
        <v>829.952</v>
      </c>
      <c r="F506" s="32">
        <v>1239</v>
      </c>
      <c r="G506" s="32">
        <v>75</v>
      </c>
      <c r="H506" s="40">
        <v>600</v>
      </c>
      <c r="I506" s="32">
        <v>695</v>
      </c>
      <c r="J506" s="32">
        <v>0</v>
      </c>
      <c r="K506" s="33"/>
      <c r="L506" s="33"/>
      <c r="M506" s="33"/>
      <c r="N506" s="33"/>
      <c r="O506" s="33"/>
      <c r="P506" s="33"/>
      <c r="Q506" s="33"/>
      <c r="R506" s="33"/>
      <c r="S506" s="33"/>
      <c r="T506" s="33"/>
    </row>
    <row r="507" spans="1:20" ht="15.75">
      <c r="A507" s="13">
        <v>57314</v>
      </c>
      <c r="B507" s="41">
        <v>30</v>
      </c>
      <c r="C507" s="32">
        <v>122.58</v>
      </c>
      <c r="D507" s="32">
        <v>297.94099999999997</v>
      </c>
      <c r="E507" s="38">
        <v>729.47900000000004</v>
      </c>
      <c r="F507" s="32">
        <v>1150</v>
      </c>
      <c r="G507" s="32">
        <v>100</v>
      </c>
      <c r="H507" s="40">
        <v>600</v>
      </c>
      <c r="I507" s="32">
        <v>695</v>
      </c>
      <c r="J507" s="32">
        <v>50</v>
      </c>
      <c r="K507" s="33"/>
      <c r="L507" s="33"/>
      <c r="M507" s="33"/>
      <c r="N507" s="33"/>
      <c r="O507" s="33"/>
      <c r="P507" s="33"/>
      <c r="Q507" s="33"/>
      <c r="R507" s="33"/>
      <c r="S507" s="33"/>
      <c r="T507" s="33"/>
    </row>
    <row r="508" spans="1:20" ht="15.75">
      <c r="A508" s="13">
        <v>57345</v>
      </c>
      <c r="B508" s="41">
        <v>31</v>
      </c>
      <c r="C508" s="32">
        <v>122.58</v>
      </c>
      <c r="D508" s="32">
        <v>297.94099999999997</v>
      </c>
      <c r="E508" s="38">
        <v>729.47900000000004</v>
      </c>
      <c r="F508" s="32">
        <v>1150</v>
      </c>
      <c r="G508" s="32">
        <v>100</v>
      </c>
      <c r="H508" s="40">
        <v>600</v>
      </c>
      <c r="I508" s="32">
        <v>695</v>
      </c>
      <c r="J508" s="32">
        <v>50</v>
      </c>
      <c r="K508" s="33"/>
      <c r="L508" s="33"/>
      <c r="M508" s="33"/>
      <c r="N508" s="33"/>
      <c r="O508" s="33"/>
      <c r="P508" s="33"/>
      <c r="Q508" s="33"/>
      <c r="R508" s="33"/>
      <c r="S508" s="33"/>
      <c r="T508" s="33"/>
    </row>
    <row r="509" spans="1:20" ht="15.75">
      <c r="A509" s="13">
        <v>57376</v>
      </c>
      <c r="B509" s="41">
        <v>31</v>
      </c>
      <c r="C509" s="32">
        <v>122.58</v>
      </c>
      <c r="D509" s="32">
        <v>297.94099999999997</v>
      </c>
      <c r="E509" s="38">
        <v>729.47900000000004</v>
      </c>
      <c r="F509" s="32">
        <v>1150</v>
      </c>
      <c r="G509" s="32">
        <v>100</v>
      </c>
      <c r="H509" s="40">
        <v>600</v>
      </c>
      <c r="I509" s="32">
        <v>695</v>
      </c>
      <c r="J509" s="32">
        <v>50</v>
      </c>
      <c r="K509" s="33"/>
      <c r="L509" s="33"/>
      <c r="M509" s="33"/>
      <c r="N509" s="33"/>
      <c r="O509" s="33"/>
      <c r="P509" s="33"/>
      <c r="Q509" s="33"/>
      <c r="R509" s="33"/>
      <c r="S509" s="33"/>
      <c r="T509" s="33"/>
    </row>
    <row r="510" spans="1:20" ht="15.75">
      <c r="A510" s="13">
        <v>57404</v>
      </c>
      <c r="B510" s="41">
        <v>28</v>
      </c>
      <c r="C510" s="32">
        <v>122.58</v>
      </c>
      <c r="D510" s="32">
        <v>297.94099999999997</v>
      </c>
      <c r="E510" s="38">
        <v>729.47900000000004</v>
      </c>
      <c r="F510" s="32">
        <v>1150</v>
      </c>
      <c r="G510" s="32">
        <v>100</v>
      </c>
      <c r="H510" s="40">
        <v>600</v>
      </c>
      <c r="I510" s="32">
        <v>695</v>
      </c>
      <c r="J510" s="32">
        <v>50</v>
      </c>
      <c r="K510" s="33"/>
      <c r="L510" s="33"/>
      <c r="M510" s="33"/>
      <c r="N510" s="33"/>
      <c r="O510" s="33"/>
      <c r="P510" s="33"/>
      <c r="Q510" s="33"/>
      <c r="R510" s="33"/>
      <c r="S510" s="33"/>
      <c r="T510" s="33"/>
    </row>
    <row r="511" spans="1:20" ht="15.75">
      <c r="A511" s="13">
        <v>57435</v>
      </c>
      <c r="B511" s="41">
        <v>31</v>
      </c>
      <c r="C511" s="32">
        <v>122.58</v>
      </c>
      <c r="D511" s="32">
        <v>297.94099999999997</v>
      </c>
      <c r="E511" s="38">
        <v>729.47900000000004</v>
      </c>
      <c r="F511" s="32">
        <v>1150</v>
      </c>
      <c r="G511" s="32">
        <v>100</v>
      </c>
      <c r="H511" s="40">
        <v>600</v>
      </c>
      <c r="I511" s="32">
        <v>695</v>
      </c>
      <c r="J511" s="32">
        <v>50</v>
      </c>
      <c r="K511" s="33"/>
      <c r="L511" s="33"/>
      <c r="M511" s="33"/>
      <c r="N511" s="33"/>
      <c r="O511" s="33"/>
      <c r="P511" s="33"/>
      <c r="Q511" s="33"/>
      <c r="R511" s="33"/>
      <c r="S511" s="33"/>
      <c r="T511" s="33"/>
    </row>
    <row r="512" spans="1:20" ht="15.75">
      <c r="A512" s="13">
        <v>57465</v>
      </c>
      <c r="B512" s="41">
        <v>30</v>
      </c>
      <c r="C512" s="32">
        <v>141.29300000000001</v>
      </c>
      <c r="D512" s="32">
        <v>267.99299999999999</v>
      </c>
      <c r="E512" s="38">
        <v>829.71400000000006</v>
      </c>
      <c r="F512" s="32">
        <v>1239</v>
      </c>
      <c r="G512" s="32">
        <v>100</v>
      </c>
      <c r="H512" s="40">
        <v>600</v>
      </c>
      <c r="I512" s="32">
        <v>695</v>
      </c>
      <c r="J512" s="32">
        <v>50</v>
      </c>
      <c r="K512" s="33"/>
      <c r="L512" s="33"/>
      <c r="M512" s="33"/>
      <c r="N512" s="33"/>
      <c r="O512" s="33"/>
      <c r="P512" s="33"/>
      <c r="Q512" s="33"/>
      <c r="R512" s="33"/>
      <c r="S512" s="33"/>
      <c r="T512" s="33"/>
    </row>
    <row r="513" spans="1:20" ht="15.75">
      <c r="A513" s="13">
        <v>57496</v>
      </c>
      <c r="B513" s="41">
        <v>31</v>
      </c>
      <c r="C513" s="32">
        <v>194.20500000000001</v>
      </c>
      <c r="D513" s="32">
        <v>267.46600000000001</v>
      </c>
      <c r="E513" s="38">
        <v>812.32899999999995</v>
      </c>
      <c r="F513" s="32">
        <v>1274</v>
      </c>
      <c r="G513" s="32">
        <v>75</v>
      </c>
      <c r="H513" s="40">
        <v>600</v>
      </c>
      <c r="I513" s="32">
        <v>695</v>
      </c>
      <c r="J513" s="32">
        <v>50</v>
      </c>
      <c r="K513" s="33"/>
      <c r="L513" s="33"/>
      <c r="M513" s="33"/>
      <c r="N513" s="33"/>
      <c r="O513" s="33"/>
      <c r="P513" s="33"/>
      <c r="Q513" s="33"/>
      <c r="R513" s="33"/>
      <c r="S513" s="33"/>
      <c r="T513" s="33"/>
    </row>
    <row r="514" spans="1:20" ht="15.75">
      <c r="A514" s="13">
        <v>57526</v>
      </c>
      <c r="B514" s="41">
        <v>30</v>
      </c>
      <c r="C514" s="32">
        <v>194.20500000000001</v>
      </c>
      <c r="D514" s="32">
        <v>267.46600000000001</v>
      </c>
      <c r="E514" s="38">
        <v>812.32899999999995</v>
      </c>
      <c r="F514" s="32">
        <v>1274</v>
      </c>
      <c r="G514" s="32">
        <v>50</v>
      </c>
      <c r="H514" s="40">
        <v>600</v>
      </c>
      <c r="I514" s="32">
        <v>695</v>
      </c>
      <c r="J514" s="32">
        <v>50</v>
      </c>
      <c r="K514" s="33"/>
      <c r="L514" s="33"/>
      <c r="M514" s="33"/>
      <c r="N514" s="33"/>
      <c r="O514" s="33"/>
      <c r="P514" s="33"/>
      <c r="Q514" s="33"/>
      <c r="R514" s="33"/>
      <c r="S514" s="33"/>
      <c r="T514" s="33"/>
    </row>
    <row r="515" spans="1:20" ht="15.75">
      <c r="A515" s="13">
        <v>57557</v>
      </c>
      <c r="B515" s="41">
        <v>31</v>
      </c>
      <c r="C515" s="32">
        <v>194.20500000000001</v>
      </c>
      <c r="D515" s="32">
        <v>267.46600000000001</v>
      </c>
      <c r="E515" s="38">
        <v>812.32899999999995</v>
      </c>
      <c r="F515" s="32">
        <v>1274</v>
      </c>
      <c r="G515" s="32">
        <v>50</v>
      </c>
      <c r="H515" s="40">
        <v>600</v>
      </c>
      <c r="I515" s="32">
        <v>695</v>
      </c>
      <c r="J515" s="32">
        <v>0</v>
      </c>
      <c r="K515" s="33"/>
      <c r="L515" s="33"/>
      <c r="M515" s="33"/>
      <c r="N515" s="33"/>
      <c r="O515" s="33"/>
      <c r="P515" s="33"/>
      <c r="Q515" s="33"/>
      <c r="R515" s="33"/>
      <c r="S515" s="33"/>
      <c r="T515" s="33"/>
    </row>
    <row r="516" spans="1:20" ht="15.75">
      <c r="A516" s="13">
        <v>57588</v>
      </c>
      <c r="B516" s="41">
        <v>31</v>
      </c>
      <c r="C516" s="32">
        <v>194.20500000000001</v>
      </c>
      <c r="D516" s="32">
        <v>267.46600000000001</v>
      </c>
      <c r="E516" s="38">
        <v>812.32899999999995</v>
      </c>
      <c r="F516" s="32">
        <v>1274</v>
      </c>
      <c r="G516" s="32">
        <v>50</v>
      </c>
      <c r="H516" s="40">
        <v>600</v>
      </c>
      <c r="I516" s="32">
        <v>695</v>
      </c>
      <c r="J516" s="32">
        <v>0</v>
      </c>
      <c r="K516" s="33"/>
      <c r="L516" s="33"/>
      <c r="M516" s="33"/>
      <c r="N516" s="33"/>
      <c r="O516" s="33"/>
      <c r="P516" s="33"/>
      <c r="Q516" s="33"/>
      <c r="R516" s="33"/>
      <c r="S516" s="33"/>
      <c r="T516" s="33"/>
    </row>
    <row r="517" spans="1:20" ht="15.75">
      <c r="A517" s="13">
        <v>57618</v>
      </c>
      <c r="B517" s="41">
        <v>30</v>
      </c>
      <c r="C517" s="32">
        <v>194.20500000000001</v>
      </c>
      <c r="D517" s="32">
        <v>267.46600000000001</v>
      </c>
      <c r="E517" s="38">
        <v>812.32899999999995</v>
      </c>
      <c r="F517" s="32">
        <v>1274</v>
      </c>
      <c r="G517" s="32">
        <v>50</v>
      </c>
      <c r="H517" s="40">
        <v>600</v>
      </c>
      <c r="I517" s="32">
        <v>695</v>
      </c>
      <c r="J517" s="32">
        <v>0</v>
      </c>
      <c r="K517" s="33"/>
      <c r="L517" s="33"/>
      <c r="M517" s="33"/>
      <c r="N517" s="33"/>
      <c r="O517" s="33"/>
      <c r="P517" s="33"/>
      <c r="Q517" s="33"/>
      <c r="R517" s="33"/>
      <c r="S517" s="33"/>
      <c r="T517" s="33"/>
    </row>
    <row r="518" spans="1:20" ht="15.75">
      <c r="A518" s="13">
        <v>57649</v>
      </c>
      <c r="B518" s="41">
        <v>31</v>
      </c>
      <c r="C518" s="32">
        <v>131.881</v>
      </c>
      <c r="D518" s="32">
        <v>277.16699999999997</v>
      </c>
      <c r="E518" s="38">
        <v>829.952</v>
      </c>
      <c r="F518" s="32">
        <v>1239</v>
      </c>
      <c r="G518" s="32">
        <v>75</v>
      </c>
      <c r="H518" s="40">
        <v>600</v>
      </c>
      <c r="I518" s="32">
        <v>695</v>
      </c>
      <c r="J518" s="32">
        <v>0</v>
      </c>
      <c r="K518" s="33"/>
      <c r="L518" s="33"/>
      <c r="M518" s="33"/>
      <c r="N518" s="33"/>
      <c r="O518" s="33"/>
      <c r="P518" s="33"/>
      <c r="Q518" s="33"/>
      <c r="R518" s="33"/>
      <c r="S518" s="33"/>
      <c r="T518" s="33"/>
    </row>
    <row r="519" spans="1:20" ht="15.75">
      <c r="A519" s="13">
        <v>57679</v>
      </c>
      <c r="B519" s="41">
        <v>30</v>
      </c>
      <c r="C519" s="32">
        <v>122.58</v>
      </c>
      <c r="D519" s="32">
        <v>297.94099999999997</v>
      </c>
      <c r="E519" s="38">
        <v>729.47900000000004</v>
      </c>
      <c r="F519" s="32">
        <v>1150</v>
      </c>
      <c r="G519" s="32">
        <v>100</v>
      </c>
      <c r="H519" s="40">
        <v>600</v>
      </c>
      <c r="I519" s="32">
        <v>695</v>
      </c>
      <c r="J519" s="32">
        <v>50</v>
      </c>
      <c r="K519" s="33"/>
      <c r="L519" s="33"/>
      <c r="M519" s="33"/>
      <c r="N519" s="33"/>
      <c r="O519" s="33"/>
      <c r="P519" s="33"/>
      <c r="Q519" s="33"/>
      <c r="R519" s="33"/>
      <c r="S519" s="33"/>
      <c r="T519" s="33"/>
    </row>
    <row r="520" spans="1:20" ht="15.75">
      <c r="A520" s="13">
        <v>57710</v>
      </c>
      <c r="B520" s="41">
        <v>31</v>
      </c>
      <c r="C520" s="32">
        <v>122.58</v>
      </c>
      <c r="D520" s="32">
        <v>297.94099999999997</v>
      </c>
      <c r="E520" s="38">
        <v>729.47900000000004</v>
      </c>
      <c r="F520" s="32">
        <v>1150</v>
      </c>
      <c r="G520" s="32">
        <v>100</v>
      </c>
      <c r="H520" s="40">
        <v>600</v>
      </c>
      <c r="I520" s="32">
        <v>695</v>
      </c>
      <c r="J520" s="32">
        <v>50</v>
      </c>
      <c r="K520" s="33"/>
      <c r="L520" s="33"/>
      <c r="M520" s="33"/>
      <c r="N520" s="33"/>
      <c r="O520" s="33"/>
      <c r="P520" s="33"/>
      <c r="Q520" s="33"/>
      <c r="R520" s="33"/>
      <c r="S520" s="33"/>
      <c r="T520" s="33"/>
    </row>
    <row r="521" spans="1:20" ht="15.75">
      <c r="A521" s="13">
        <v>57741</v>
      </c>
      <c r="B521" s="41">
        <v>31</v>
      </c>
      <c r="C521" s="32">
        <v>122.58</v>
      </c>
      <c r="D521" s="32">
        <v>297.94099999999997</v>
      </c>
      <c r="E521" s="38">
        <v>729.47900000000004</v>
      </c>
      <c r="F521" s="32">
        <v>1150</v>
      </c>
      <c r="G521" s="32">
        <v>100</v>
      </c>
      <c r="H521" s="40">
        <v>600</v>
      </c>
      <c r="I521" s="32">
        <v>695</v>
      </c>
      <c r="J521" s="32">
        <v>50</v>
      </c>
      <c r="K521" s="33"/>
      <c r="L521" s="33"/>
      <c r="M521" s="33"/>
      <c r="N521" s="33"/>
      <c r="O521" s="33"/>
      <c r="P521" s="33"/>
      <c r="Q521" s="33"/>
      <c r="R521" s="33"/>
      <c r="S521" s="33"/>
      <c r="T521" s="33"/>
    </row>
    <row r="522" spans="1:20" ht="15.75">
      <c r="A522" s="13">
        <v>57769</v>
      </c>
      <c r="B522" s="41">
        <v>28</v>
      </c>
      <c r="C522" s="32">
        <v>122.58</v>
      </c>
      <c r="D522" s="32">
        <v>297.94099999999997</v>
      </c>
      <c r="E522" s="38">
        <v>729.47900000000004</v>
      </c>
      <c r="F522" s="32">
        <v>1150</v>
      </c>
      <c r="G522" s="32">
        <v>100</v>
      </c>
      <c r="H522" s="40">
        <v>600</v>
      </c>
      <c r="I522" s="32">
        <v>695</v>
      </c>
      <c r="J522" s="32">
        <v>50</v>
      </c>
      <c r="K522" s="33"/>
      <c r="L522" s="33"/>
      <c r="M522" s="33"/>
      <c r="N522" s="33"/>
      <c r="O522" s="33"/>
      <c r="P522" s="33"/>
      <c r="Q522" s="33"/>
      <c r="R522" s="33"/>
      <c r="S522" s="33"/>
      <c r="T522" s="33"/>
    </row>
    <row r="523" spans="1:20" ht="15.75">
      <c r="A523" s="13">
        <v>57800</v>
      </c>
      <c r="B523" s="41">
        <v>31</v>
      </c>
      <c r="C523" s="32">
        <v>122.58</v>
      </c>
      <c r="D523" s="32">
        <v>297.94099999999997</v>
      </c>
      <c r="E523" s="38">
        <v>729.47900000000004</v>
      </c>
      <c r="F523" s="32">
        <v>1150</v>
      </c>
      <c r="G523" s="32">
        <v>100</v>
      </c>
      <c r="H523" s="40">
        <v>600</v>
      </c>
      <c r="I523" s="32">
        <v>695</v>
      </c>
      <c r="J523" s="32">
        <v>50</v>
      </c>
      <c r="K523" s="33"/>
      <c r="L523" s="33"/>
      <c r="M523" s="33"/>
      <c r="N523" s="33"/>
      <c r="O523" s="33"/>
      <c r="P523" s="33"/>
      <c r="Q523" s="33"/>
      <c r="R523" s="33"/>
      <c r="S523" s="33"/>
      <c r="T523" s="33"/>
    </row>
    <row r="524" spans="1:20" ht="15.75">
      <c r="A524" s="13">
        <v>57830</v>
      </c>
      <c r="B524" s="41">
        <v>30</v>
      </c>
      <c r="C524" s="32">
        <v>141.29300000000001</v>
      </c>
      <c r="D524" s="32">
        <v>267.99299999999999</v>
      </c>
      <c r="E524" s="38">
        <v>829.71400000000006</v>
      </c>
      <c r="F524" s="32">
        <v>1239</v>
      </c>
      <c r="G524" s="32">
        <v>100</v>
      </c>
      <c r="H524" s="40">
        <v>600</v>
      </c>
      <c r="I524" s="32">
        <v>695</v>
      </c>
      <c r="J524" s="32">
        <v>50</v>
      </c>
      <c r="K524" s="33"/>
      <c r="L524" s="33"/>
      <c r="M524" s="33"/>
      <c r="N524" s="33"/>
      <c r="O524" s="33"/>
      <c r="P524" s="33"/>
      <c r="Q524" s="33"/>
      <c r="R524" s="33"/>
      <c r="S524" s="33"/>
      <c r="T524" s="33"/>
    </row>
    <row r="525" spans="1:20" ht="15.75">
      <c r="A525" s="13">
        <v>57861</v>
      </c>
      <c r="B525" s="41">
        <v>31</v>
      </c>
      <c r="C525" s="32">
        <v>194.20500000000001</v>
      </c>
      <c r="D525" s="32">
        <v>267.46600000000001</v>
      </c>
      <c r="E525" s="38">
        <v>812.32899999999995</v>
      </c>
      <c r="F525" s="32">
        <v>1274</v>
      </c>
      <c r="G525" s="32">
        <v>75</v>
      </c>
      <c r="H525" s="40">
        <v>600</v>
      </c>
      <c r="I525" s="32">
        <v>695</v>
      </c>
      <c r="J525" s="32">
        <v>50</v>
      </c>
      <c r="K525" s="33"/>
      <c r="L525" s="33"/>
      <c r="M525" s="33"/>
      <c r="N525" s="33"/>
      <c r="O525" s="33"/>
      <c r="P525" s="33"/>
      <c r="Q525" s="33"/>
      <c r="R525" s="33"/>
      <c r="S525" s="33"/>
      <c r="T525" s="33"/>
    </row>
    <row r="526" spans="1:20" ht="15.75">
      <c r="A526" s="13">
        <v>57891</v>
      </c>
      <c r="B526" s="41">
        <v>30</v>
      </c>
      <c r="C526" s="32">
        <v>194.20500000000001</v>
      </c>
      <c r="D526" s="32">
        <v>267.46600000000001</v>
      </c>
      <c r="E526" s="38">
        <v>812.32899999999995</v>
      </c>
      <c r="F526" s="32">
        <v>1274</v>
      </c>
      <c r="G526" s="32">
        <v>50</v>
      </c>
      <c r="H526" s="40">
        <v>600</v>
      </c>
      <c r="I526" s="32">
        <v>695</v>
      </c>
      <c r="J526" s="32">
        <v>50</v>
      </c>
      <c r="K526" s="33"/>
      <c r="L526" s="33"/>
      <c r="M526" s="33"/>
      <c r="N526" s="33"/>
      <c r="O526" s="33"/>
      <c r="P526" s="33"/>
      <c r="Q526" s="33"/>
      <c r="R526" s="33"/>
      <c r="S526" s="33"/>
      <c r="T526" s="33"/>
    </row>
    <row r="527" spans="1:20" ht="15.75">
      <c r="A527" s="13">
        <v>57922</v>
      </c>
      <c r="B527" s="41">
        <v>31</v>
      </c>
      <c r="C527" s="32">
        <v>194.20500000000001</v>
      </c>
      <c r="D527" s="32">
        <v>267.46600000000001</v>
      </c>
      <c r="E527" s="38">
        <v>812.32899999999995</v>
      </c>
      <c r="F527" s="32">
        <v>1274</v>
      </c>
      <c r="G527" s="32">
        <v>50</v>
      </c>
      <c r="H527" s="40">
        <v>600</v>
      </c>
      <c r="I527" s="32">
        <v>695</v>
      </c>
      <c r="J527" s="32">
        <v>0</v>
      </c>
      <c r="K527" s="33"/>
      <c r="L527" s="33"/>
      <c r="M527" s="33"/>
      <c r="N527" s="33"/>
      <c r="O527" s="33"/>
      <c r="P527" s="33"/>
      <c r="Q527" s="33"/>
      <c r="R527" s="33"/>
      <c r="S527" s="33"/>
      <c r="T527" s="33"/>
    </row>
    <row r="528" spans="1:20" ht="15.75">
      <c r="A528" s="13">
        <v>57953</v>
      </c>
      <c r="B528" s="41">
        <v>31</v>
      </c>
      <c r="C528" s="32">
        <v>194.20500000000001</v>
      </c>
      <c r="D528" s="32">
        <v>267.46600000000001</v>
      </c>
      <c r="E528" s="38">
        <v>812.32899999999995</v>
      </c>
      <c r="F528" s="32">
        <v>1274</v>
      </c>
      <c r="G528" s="32">
        <v>50</v>
      </c>
      <c r="H528" s="40">
        <v>600</v>
      </c>
      <c r="I528" s="32">
        <v>695</v>
      </c>
      <c r="J528" s="32">
        <v>0</v>
      </c>
      <c r="K528" s="33"/>
      <c r="L528" s="33"/>
      <c r="M528" s="33"/>
      <c r="N528" s="33"/>
      <c r="O528" s="33"/>
      <c r="P528" s="33"/>
      <c r="Q528" s="33"/>
      <c r="R528" s="33"/>
      <c r="S528" s="33"/>
      <c r="T528" s="33"/>
    </row>
    <row r="529" spans="1:20" ht="15.75">
      <c r="A529" s="13">
        <v>57983</v>
      </c>
      <c r="B529" s="41">
        <v>30</v>
      </c>
      <c r="C529" s="32">
        <v>194.20500000000001</v>
      </c>
      <c r="D529" s="32">
        <v>267.46600000000001</v>
      </c>
      <c r="E529" s="38">
        <v>812.32899999999995</v>
      </c>
      <c r="F529" s="32">
        <v>1274</v>
      </c>
      <c r="G529" s="32">
        <v>50</v>
      </c>
      <c r="H529" s="40">
        <v>600</v>
      </c>
      <c r="I529" s="32">
        <v>695</v>
      </c>
      <c r="J529" s="32">
        <v>0</v>
      </c>
      <c r="K529" s="33"/>
      <c r="L529" s="33"/>
      <c r="M529" s="33"/>
      <c r="N529" s="33"/>
      <c r="O529" s="33"/>
      <c r="P529" s="33"/>
      <c r="Q529" s="33"/>
      <c r="R529" s="33"/>
      <c r="S529" s="33"/>
      <c r="T529" s="33"/>
    </row>
    <row r="530" spans="1:20" ht="15.75">
      <c r="A530" s="13">
        <v>58014</v>
      </c>
      <c r="B530" s="41">
        <v>31</v>
      </c>
      <c r="C530" s="32">
        <v>131.881</v>
      </c>
      <c r="D530" s="32">
        <v>277.16699999999997</v>
      </c>
      <c r="E530" s="38">
        <v>829.952</v>
      </c>
      <c r="F530" s="32">
        <v>1239</v>
      </c>
      <c r="G530" s="32">
        <v>75</v>
      </c>
      <c r="H530" s="40">
        <v>600</v>
      </c>
      <c r="I530" s="32">
        <v>695</v>
      </c>
      <c r="J530" s="32">
        <v>0</v>
      </c>
      <c r="K530" s="33"/>
      <c r="L530" s="33"/>
      <c r="M530" s="33"/>
      <c r="N530" s="33"/>
      <c r="O530" s="33"/>
      <c r="P530" s="33"/>
      <c r="Q530" s="33"/>
      <c r="R530" s="33"/>
      <c r="S530" s="33"/>
      <c r="T530" s="33"/>
    </row>
    <row r="531" spans="1:20" ht="15.75">
      <c r="A531" s="13">
        <v>58044</v>
      </c>
      <c r="B531" s="41">
        <v>30</v>
      </c>
      <c r="C531" s="32">
        <v>122.58</v>
      </c>
      <c r="D531" s="32">
        <v>297.94099999999997</v>
      </c>
      <c r="E531" s="38">
        <v>729.47900000000004</v>
      </c>
      <c r="F531" s="32">
        <v>1150</v>
      </c>
      <c r="G531" s="32">
        <v>100</v>
      </c>
      <c r="H531" s="40">
        <v>600</v>
      </c>
      <c r="I531" s="32">
        <v>695</v>
      </c>
      <c r="J531" s="32">
        <v>50</v>
      </c>
      <c r="K531" s="33"/>
      <c r="L531" s="33"/>
      <c r="M531" s="33"/>
      <c r="N531" s="33"/>
      <c r="O531" s="33"/>
      <c r="P531" s="33"/>
      <c r="Q531" s="33"/>
      <c r="R531" s="33"/>
      <c r="S531" s="33"/>
      <c r="T531" s="33"/>
    </row>
    <row r="532" spans="1:20" ht="15.75">
      <c r="A532" s="13">
        <v>58075</v>
      </c>
      <c r="B532" s="41">
        <v>31</v>
      </c>
      <c r="C532" s="32">
        <v>122.58</v>
      </c>
      <c r="D532" s="32">
        <v>297.94099999999997</v>
      </c>
      <c r="E532" s="38">
        <v>729.47900000000004</v>
      </c>
      <c r="F532" s="32">
        <v>1150</v>
      </c>
      <c r="G532" s="32">
        <v>100</v>
      </c>
      <c r="H532" s="40">
        <v>600</v>
      </c>
      <c r="I532" s="32">
        <v>695</v>
      </c>
      <c r="J532" s="32">
        <v>50</v>
      </c>
      <c r="K532" s="33"/>
      <c r="L532" s="33"/>
      <c r="M532" s="33"/>
      <c r="N532" s="33"/>
      <c r="O532" s="33"/>
      <c r="P532" s="33"/>
      <c r="Q532" s="33"/>
      <c r="R532" s="33"/>
      <c r="S532" s="33"/>
      <c r="T532" s="33"/>
    </row>
    <row r="533" spans="1:20" ht="15.75">
      <c r="A533" s="13">
        <v>58106</v>
      </c>
      <c r="B533" s="41">
        <v>31</v>
      </c>
      <c r="C533" s="32">
        <v>122.58</v>
      </c>
      <c r="D533" s="32">
        <v>297.94099999999997</v>
      </c>
      <c r="E533" s="38">
        <v>729.47900000000004</v>
      </c>
      <c r="F533" s="32">
        <v>1150</v>
      </c>
      <c r="G533" s="32">
        <v>100</v>
      </c>
      <c r="H533" s="40">
        <v>600</v>
      </c>
      <c r="I533" s="32">
        <v>695</v>
      </c>
      <c r="J533" s="32">
        <v>50</v>
      </c>
      <c r="K533" s="33"/>
      <c r="L533" s="33"/>
      <c r="M533" s="33"/>
      <c r="N533" s="33"/>
      <c r="O533" s="33"/>
      <c r="P533" s="33"/>
      <c r="Q533" s="33"/>
      <c r="R533" s="33"/>
      <c r="S533" s="33"/>
      <c r="T533" s="33"/>
    </row>
    <row r="534" spans="1:20" ht="15.75">
      <c r="A534" s="13">
        <v>58134</v>
      </c>
      <c r="B534" s="41">
        <v>28</v>
      </c>
      <c r="C534" s="32">
        <v>122.58</v>
      </c>
      <c r="D534" s="32">
        <v>297.94099999999997</v>
      </c>
      <c r="E534" s="38">
        <v>729.47900000000004</v>
      </c>
      <c r="F534" s="32">
        <v>1150</v>
      </c>
      <c r="G534" s="32">
        <v>100</v>
      </c>
      <c r="H534" s="40">
        <v>600</v>
      </c>
      <c r="I534" s="32">
        <v>695</v>
      </c>
      <c r="J534" s="32">
        <v>50</v>
      </c>
      <c r="K534" s="33"/>
      <c r="L534" s="33"/>
      <c r="M534" s="33"/>
      <c r="N534" s="33"/>
      <c r="O534" s="33"/>
      <c r="P534" s="33"/>
      <c r="Q534" s="33"/>
      <c r="R534" s="33"/>
      <c r="S534" s="33"/>
      <c r="T534" s="33"/>
    </row>
    <row r="535" spans="1:20" ht="15.75">
      <c r="A535" s="13">
        <v>58165</v>
      </c>
      <c r="B535" s="41">
        <v>31</v>
      </c>
      <c r="C535" s="32">
        <v>122.58</v>
      </c>
      <c r="D535" s="32">
        <v>297.94099999999997</v>
      </c>
      <c r="E535" s="38">
        <v>729.47900000000004</v>
      </c>
      <c r="F535" s="32">
        <v>1150</v>
      </c>
      <c r="G535" s="32">
        <v>100</v>
      </c>
      <c r="H535" s="40">
        <v>600</v>
      </c>
      <c r="I535" s="32">
        <v>695</v>
      </c>
      <c r="J535" s="32">
        <v>50</v>
      </c>
      <c r="K535" s="33"/>
      <c r="L535" s="33"/>
      <c r="M535" s="33"/>
      <c r="N535" s="33"/>
      <c r="O535" s="33"/>
      <c r="P535" s="33"/>
      <c r="Q535" s="33"/>
      <c r="R535" s="33"/>
      <c r="S535" s="33"/>
      <c r="T535" s="33"/>
    </row>
    <row r="536" spans="1:20" ht="15.75">
      <c r="A536" s="13">
        <v>58195</v>
      </c>
      <c r="B536" s="41">
        <v>30</v>
      </c>
      <c r="C536" s="32">
        <v>141.29300000000001</v>
      </c>
      <c r="D536" s="32">
        <v>267.99299999999999</v>
      </c>
      <c r="E536" s="38">
        <v>829.71400000000006</v>
      </c>
      <c r="F536" s="32">
        <v>1239</v>
      </c>
      <c r="G536" s="32">
        <v>100</v>
      </c>
      <c r="H536" s="40">
        <v>600</v>
      </c>
      <c r="I536" s="32">
        <v>695</v>
      </c>
      <c r="J536" s="32">
        <v>50</v>
      </c>
      <c r="K536" s="33"/>
      <c r="L536" s="33"/>
      <c r="M536" s="33"/>
      <c r="N536" s="33"/>
      <c r="O536" s="33"/>
      <c r="P536" s="33"/>
      <c r="Q536" s="33"/>
      <c r="R536" s="33"/>
      <c r="S536" s="33"/>
      <c r="T536" s="33"/>
    </row>
    <row r="537" spans="1:20" ht="15.75">
      <c r="A537" s="13">
        <v>58226</v>
      </c>
      <c r="B537" s="41">
        <v>31</v>
      </c>
      <c r="C537" s="32">
        <v>194.20500000000001</v>
      </c>
      <c r="D537" s="32">
        <v>267.46600000000001</v>
      </c>
      <c r="E537" s="38">
        <v>812.32899999999995</v>
      </c>
      <c r="F537" s="32">
        <v>1274</v>
      </c>
      <c r="G537" s="32">
        <v>75</v>
      </c>
      <c r="H537" s="40">
        <v>600</v>
      </c>
      <c r="I537" s="32">
        <v>695</v>
      </c>
      <c r="J537" s="32">
        <v>50</v>
      </c>
      <c r="K537" s="33"/>
      <c r="L537" s="33"/>
      <c r="M537" s="33"/>
      <c r="N537" s="33"/>
      <c r="O537" s="33"/>
      <c r="P537" s="33"/>
      <c r="Q537" s="33"/>
      <c r="R537" s="33"/>
      <c r="S537" s="33"/>
      <c r="T537" s="33"/>
    </row>
    <row r="538" spans="1:20" ht="15.75">
      <c r="A538" s="13">
        <v>58256</v>
      </c>
      <c r="B538" s="41">
        <v>30</v>
      </c>
      <c r="C538" s="32">
        <v>194.20500000000001</v>
      </c>
      <c r="D538" s="32">
        <v>267.46600000000001</v>
      </c>
      <c r="E538" s="38">
        <v>812.32899999999995</v>
      </c>
      <c r="F538" s="32">
        <v>1274</v>
      </c>
      <c r="G538" s="32">
        <v>50</v>
      </c>
      <c r="H538" s="40">
        <v>600</v>
      </c>
      <c r="I538" s="32">
        <v>695</v>
      </c>
      <c r="J538" s="32">
        <v>50</v>
      </c>
      <c r="K538" s="33"/>
      <c r="L538" s="33"/>
      <c r="M538" s="33"/>
      <c r="N538" s="33"/>
      <c r="O538" s="33"/>
      <c r="P538" s="33"/>
      <c r="Q538" s="33"/>
      <c r="R538" s="33"/>
      <c r="S538" s="33"/>
      <c r="T538" s="33"/>
    </row>
    <row r="539" spans="1:20" ht="15.75">
      <c r="A539" s="13">
        <v>58287</v>
      </c>
      <c r="B539" s="41">
        <v>31</v>
      </c>
      <c r="C539" s="32">
        <v>194.20500000000001</v>
      </c>
      <c r="D539" s="32">
        <v>267.46600000000001</v>
      </c>
      <c r="E539" s="38">
        <v>812.32899999999995</v>
      </c>
      <c r="F539" s="32">
        <v>1274</v>
      </c>
      <c r="G539" s="32">
        <v>50</v>
      </c>
      <c r="H539" s="40">
        <v>600</v>
      </c>
      <c r="I539" s="32">
        <v>695</v>
      </c>
      <c r="J539" s="32">
        <v>0</v>
      </c>
      <c r="K539" s="33"/>
      <c r="L539" s="33"/>
      <c r="M539" s="33"/>
      <c r="N539" s="33"/>
      <c r="O539" s="33"/>
      <c r="P539" s="33"/>
      <c r="Q539" s="33"/>
      <c r="R539" s="33"/>
      <c r="S539" s="33"/>
      <c r="T539" s="33"/>
    </row>
    <row r="540" spans="1:20" ht="15.75">
      <c r="A540" s="13">
        <v>58318</v>
      </c>
      <c r="B540" s="41">
        <v>31</v>
      </c>
      <c r="C540" s="32">
        <v>194.20500000000001</v>
      </c>
      <c r="D540" s="32">
        <v>267.46600000000001</v>
      </c>
      <c r="E540" s="38">
        <v>812.32899999999995</v>
      </c>
      <c r="F540" s="32">
        <v>1274</v>
      </c>
      <c r="G540" s="32">
        <v>50</v>
      </c>
      <c r="H540" s="40">
        <v>600</v>
      </c>
      <c r="I540" s="32">
        <v>695</v>
      </c>
      <c r="J540" s="32">
        <v>0</v>
      </c>
      <c r="K540" s="33"/>
      <c r="L540" s="33"/>
      <c r="M540" s="33"/>
      <c r="N540" s="33"/>
      <c r="O540" s="33"/>
      <c r="P540" s="33"/>
      <c r="Q540" s="33"/>
      <c r="R540" s="33"/>
      <c r="S540" s="33"/>
      <c r="T540" s="33"/>
    </row>
    <row r="541" spans="1:20" ht="15.75">
      <c r="A541" s="13">
        <v>58348</v>
      </c>
      <c r="B541" s="41">
        <v>30</v>
      </c>
      <c r="C541" s="32">
        <v>194.20500000000001</v>
      </c>
      <c r="D541" s="32">
        <v>267.46600000000001</v>
      </c>
      <c r="E541" s="38">
        <v>812.32899999999995</v>
      </c>
      <c r="F541" s="32">
        <v>1274</v>
      </c>
      <c r="G541" s="32">
        <v>50</v>
      </c>
      <c r="H541" s="40">
        <v>600</v>
      </c>
      <c r="I541" s="32">
        <v>695</v>
      </c>
      <c r="J541" s="32">
        <v>0</v>
      </c>
      <c r="K541" s="33"/>
      <c r="L541" s="33"/>
      <c r="M541" s="33"/>
      <c r="N541" s="33"/>
      <c r="O541" s="33"/>
      <c r="P541" s="33"/>
      <c r="Q541" s="33"/>
      <c r="R541" s="33"/>
      <c r="S541" s="33"/>
      <c r="T541" s="33"/>
    </row>
    <row r="542" spans="1:20" ht="15.75">
      <c r="A542" s="13">
        <v>58379</v>
      </c>
      <c r="B542" s="41">
        <v>31</v>
      </c>
      <c r="C542" s="32">
        <v>131.881</v>
      </c>
      <c r="D542" s="32">
        <v>277.16699999999997</v>
      </c>
      <c r="E542" s="38">
        <v>829.952</v>
      </c>
      <c r="F542" s="32">
        <v>1239</v>
      </c>
      <c r="G542" s="32">
        <v>75</v>
      </c>
      <c r="H542" s="40">
        <v>600</v>
      </c>
      <c r="I542" s="32">
        <v>695</v>
      </c>
      <c r="J542" s="32">
        <v>0</v>
      </c>
      <c r="K542" s="33"/>
      <c r="L542" s="33"/>
      <c r="M542" s="33"/>
      <c r="N542" s="33"/>
      <c r="O542" s="33"/>
      <c r="P542" s="33"/>
      <c r="Q542" s="33"/>
      <c r="R542" s="33"/>
      <c r="S542" s="33"/>
      <c r="T542" s="33"/>
    </row>
    <row r="543" spans="1:20" ht="15.75">
      <c r="A543" s="13">
        <v>58409</v>
      </c>
      <c r="B543" s="41">
        <v>30</v>
      </c>
      <c r="C543" s="32">
        <v>122.58</v>
      </c>
      <c r="D543" s="32">
        <v>297.94099999999997</v>
      </c>
      <c r="E543" s="38">
        <v>729.47900000000004</v>
      </c>
      <c r="F543" s="32">
        <v>1150</v>
      </c>
      <c r="G543" s="32">
        <v>100</v>
      </c>
      <c r="H543" s="40">
        <v>600</v>
      </c>
      <c r="I543" s="32">
        <v>695</v>
      </c>
      <c r="J543" s="32">
        <v>50</v>
      </c>
      <c r="K543" s="33"/>
      <c r="L543" s="33"/>
      <c r="M543" s="33"/>
      <c r="N543" s="33"/>
      <c r="O543" s="33"/>
      <c r="P543" s="33"/>
      <c r="Q543" s="33"/>
      <c r="R543" s="33"/>
      <c r="S543" s="33"/>
      <c r="T543" s="33"/>
    </row>
    <row r="544" spans="1:20" ht="15.75">
      <c r="A544" s="13">
        <v>58440</v>
      </c>
      <c r="B544" s="41">
        <v>31</v>
      </c>
      <c r="C544" s="32">
        <v>122.58</v>
      </c>
      <c r="D544" s="32">
        <v>297.94099999999997</v>
      </c>
      <c r="E544" s="38">
        <v>729.47900000000004</v>
      </c>
      <c r="F544" s="32">
        <v>1150</v>
      </c>
      <c r="G544" s="32">
        <v>100</v>
      </c>
      <c r="H544" s="40">
        <v>600</v>
      </c>
      <c r="I544" s="32">
        <v>695</v>
      </c>
      <c r="J544" s="32">
        <v>50</v>
      </c>
      <c r="K544" s="33"/>
      <c r="L544" s="33"/>
      <c r="M544" s="33"/>
      <c r="N544" s="33"/>
      <c r="O544" s="33"/>
      <c r="P544" s="33"/>
      <c r="Q544" s="33"/>
      <c r="R544" s="33"/>
      <c r="S544" s="33"/>
      <c r="T544" s="33"/>
    </row>
    <row r="545" spans="1:20" ht="15.75">
      <c r="A545" s="13">
        <v>58471</v>
      </c>
      <c r="B545" s="41">
        <v>31</v>
      </c>
      <c r="C545" s="32">
        <v>122.58</v>
      </c>
      <c r="D545" s="32">
        <v>297.94099999999997</v>
      </c>
      <c r="E545" s="38">
        <v>729.47900000000004</v>
      </c>
      <c r="F545" s="32">
        <v>1150</v>
      </c>
      <c r="G545" s="32">
        <v>100</v>
      </c>
      <c r="H545" s="40">
        <v>600</v>
      </c>
      <c r="I545" s="32">
        <v>695</v>
      </c>
      <c r="J545" s="32">
        <v>50</v>
      </c>
      <c r="K545" s="33"/>
      <c r="L545" s="33"/>
      <c r="M545" s="33"/>
      <c r="N545" s="33"/>
      <c r="O545" s="33"/>
      <c r="P545" s="33"/>
      <c r="Q545" s="33"/>
      <c r="R545" s="33"/>
      <c r="S545" s="33"/>
      <c r="T545" s="33"/>
    </row>
    <row r="546" spans="1:20" ht="15.75">
      <c r="A546" s="13">
        <v>58499</v>
      </c>
      <c r="B546" s="41">
        <v>29</v>
      </c>
      <c r="C546" s="32">
        <v>122.58</v>
      </c>
      <c r="D546" s="32">
        <v>297.94099999999997</v>
      </c>
      <c r="E546" s="38">
        <v>729.47900000000004</v>
      </c>
      <c r="F546" s="32">
        <v>1150</v>
      </c>
      <c r="G546" s="32">
        <v>100</v>
      </c>
      <c r="H546" s="40">
        <v>600</v>
      </c>
      <c r="I546" s="32">
        <v>695</v>
      </c>
      <c r="J546" s="32">
        <v>50</v>
      </c>
      <c r="K546" s="33"/>
      <c r="L546" s="33"/>
      <c r="M546" s="33"/>
      <c r="N546" s="33"/>
      <c r="O546" s="33"/>
      <c r="P546" s="33"/>
      <c r="Q546" s="33"/>
      <c r="R546" s="33"/>
      <c r="S546" s="33"/>
      <c r="T546" s="33"/>
    </row>
    <row r="547" spans="1:20" ht="15.75">
      <c r="A547" s="13">
        <v>58531</v>
      </c>
      <c r="B547" s="41">
        <v>31</v>
      </c>
      <c r="C547" s="32">
        <v>122.58</v>
      </c>
      <c r="D547" s="32">
        <v>297.94099999999997</v>
      </c>
      <c r="E547" s="38">
        <v>729.47900000000004</v>
      </c>
      <c r="F547" s="32">
        <v>1150</v>
      </c>
      <c r="G547" s="32">
        <v>100</v>
      </c>
      <c r="H547" s="40">
        <v>600</v>
      </c>
      <c r="I547" s="32">
        <v>695</v>
      </c>
      <c r="J547" s="32">
        <v>50</v>
      </c>
      <c r="K547" s="33"/>
      <c r="L547" s="33"/>
      <c r="M547" s="33"/>
      <c r="N547" s="33"/>
      <c r="O547" s="33"/>
      <c r="P547" s="33"/>
      <c r="Q547" s="33"/>
      <c r="R547" s="33"/>
      <c r="S547" s="33"/>
      <c r="T547" s="33"/>
    </row>
    <row r="548" spans="1:20" ht="15.75">
      <c r="A548" s="13">
        <v>58561</v>
      </c>
      <c r="B548" s="41">
        <v>30</v>
      </c>
      <c r="C548" s="32">
        <v>141.29300000000001</v>
      </c>
      <c r="D548" s="32">
        <v>267.99299999999999</v>
      </c>
      <c r="E548" s="38">
        <v>829.71400000000006</v>
      </c>
      <c r="F548" s="32">
        <v>1239</v>
      </c>
      <c r="G548" s="32">
        <v>100</v>
      </c>
      <c r="H548" s="40">
        <v>600</v>
      </c>
      <c r="I548" s="32">
        <v>695</v>
      </c>
      <c r="J548" s="32">
        <v>50</v>
      </c>
      <c r="K548" s="33"/>
      <c r="L548" s="33"/>
      <c r="M548" s="33"/>
      <c r="N548" s="33"/>
      <c r="O548" s="33"/>
      <c r="P548" s="33"/>
      <c r="Q548" s="33"/>
      <c r="R548" s="33"/>
      <c r="S548" s="33"/>
      <c r="T548" s="33"/>
    </row>
    <row r="549" spans="1:20" ht="15.75">
      <c r="A549" s="13">
        <v>58592</v>
      </c>
      <c r="B549" s="41">
        <v>31</v>
      </c>
      <c r="C549" s="32">
        <v>194.20500000000001</v>
      </c>
      <c r="D549" s="32">
        <v>267.46600000000001</v>
      </c>
      <c r="E549" s="38">
        <v>812.32899999999995</v>
      </c>
      <c r="F549" s="32">
        <v>1274</v>
      </c>
      <c r="G549" s="32">
        <v>75</v>
      </c>
      <c r="H549" s="40">
        <v>600</v>
      </c>
      <c r="I549" s="32">
        <v>695</v>
      </c>
      <c r="J549" s="32">
        <v>50</v>
      </c>
      <c r="K549" s="33"/>
      <c r="L549" s="33"/>
      <c r="M549" s="33"/>
      <c r="N549" s="33"/>
      <c r="O549" s="33"/>
      <c r="P549" s="33"/>
      <c r="Q549" s="33"/>
      <c r="R549" s="33"/>
      <c r="S549" s="33"/>
      <c r="T549" s="33"/>
    </row>
    <row r="550" spans="1:20" ht="15.75">
      <c r="A550" s="13">
        <v>58622</v>
      </c>
      <c r="B550" s="41">
        <v>30</v>
      </c>
      <c r="C550" s="32">
        <v>194.20500000000001</v>
      </c>
      <c r="D550" s="32">
        <v>267.46600000000001</v>
      </c>
      <c r="E550" s="38">
        <v>812.32899999999995</v>
      </c>
      <c r="F550" s="32">
        <v>1274</v>
      </c>
      <c r="G550" s="32">
        <v>50</v>
      </c>
      <c r="H550" s="40">
        <v>600</v>
      </c>
      <c r="I550" s="32">
        <v>695</v>
      </c>
      <c r="J550" s="32">
        <v>50</v>
      </c>
      <c r="K550" s="33"/>
      <c r="L550" s="33"/>
      <c r="M550" s="33"/>
      <c r="N550" s="33"/>
      <c r="O550" s="33"/>
      <c r="P550" s="33"/>
      <c r="Q550" s="33"/>
      <c r="R550" s="33"/>
      <c r="S550" s="33"/>
      <c r="T550" s="33"/>
    </row>
    <row r="551" spans="1:20" ht="15.75">
      <c r="A551" s="13">
        <v>58653</v>
      </c>
      <c r="B551" s="41">
        <v>31</v>
      </c>
      <c r="C551" s="32">
        <v>194.20500000000001</v>
      </c>
      <c r="D551" s="32">
        <v>267.46600000000001</v>
      </c>
      <c r="E551" s="38">
        <v>812.32899999999995</v>
      </c>
      <c r="F551" s="32">
        <v>1274</v>
      </c>
      <c r="G551" s="32">
        <v>50</v>
      </c>
      <c r="H551" s="40">
        <v>600</v>
      </c>
      <c r="I551" s="32">
        <v>695</v>
      </c>
      <c r="J551" s="32">
        <v>0</v>
      </c>
      <c r="K551" s="33"/>
      <c r="L551" s="33"/>
      <c r="M551" s="33"/>
      <c r="N551" s="33"/>
      <c r="O551" s="33"/>
      <c r="P551" s="33"/>
      <c r="Q551" s="33"/>
      <c r="R551" s="33"/>
      <c r="S551" s="33"/>
      <c r="T551" s="33"/>
    </row>
    <row r="552" spans="1:20" ht="15.75">
      <c r="A552" s="13">
        <v>58684</v>
      </c>
      <c r="B552" s="41">
        <v>31</v>
      </c>
      <c r="C552" s="32">
        <v>194.20500000000001</v>
      </c>
      <c r="D552" s="32">
        <v>267.46600000000001</v>
      </c>
      <c r="E552" s="38">
        <v>812.32899999999995</v>
      </c>
      <c r="F552" s="32">
        <v>1274</v>
      </c>
      <c r="G552" s="32">
        <v>50</v>
      </c>
      <c r="H552" s="40">
        <v>600</v>
      </c>
      <c r="I552" s="32">
        <v>695</v>
      </c>
      <c r="J552" s="32">
        <v>0</v>
      </c>
      <c r="K552" s="33"/>
      <c r="L552" s="33"/>
      <c r="M552" s="33"/>
      <c r="N552" s="33"/>
      <c r="O552" s="33"/>
      <c r="P552" s="33"/>
      <c r="Q552" s="33"/>
      <c r="R552" s="33"/>
      <c r="S552" s="33"/>
      <c r="T552" s="33"/>
    </row>
    <row r="553" spans="1:20" ht="15.75">
      <c r="A553" s="13">
        <v>58714</v>
      </c>
      <c r="B553" s="41">
        <v>30</v>
      </c>
      <c r="C553" s="32">
        <v>194.20500000000001</v>
      </c>
      <c r="D553" s="32">
        <v>267.46600000000001</v>
      </c>
      <c r="E553" s="38">
        <v>812.32899999999995</v>
      </c>
      <c r="F553" s="32">
        <v>1274</v>
      </c>
      <c r="G553" s="32">
        <v>50</v>
      </c>
      <c r="H553" s="40">
        <v>600</v>
      </c>
      <c r="I553" s="32">
        <v>695</v>
      </c>
      <c r="J553" s="32">
        <v>0</v>
      </c>
      <c r="K553" s="33"/>
      <c r="L553" s="33"/>
      <c r="M553" s="33"/>
      <c r="N553" s="33"/>
      <c r="O553" s="33"/>
      <c r="P553" s="33"/>
      <c r="Q553" s="33"/>
      <c r="R553" s="33"/>
      <c r="S553" s="33"/>
      <c r="T553" s="33"/>
    </row>
    <row r="554" spans="1:20" ht="15.75">
      <c r="A554" s="13">
        <v>58745</v>
      </c>
      <c r="B554" s="41">
        <v>31</v>
      </c>
      <c r="C554" s="32">
        <v>131.881</v>
      </c>
      <c r="D554" s="32">
        <v>277.16699999999997</v>
      </c>
      <c r="E554" s="38">
        <v>829.952</v>
      </c>
      <c r="F554" s="32">
        <v>1239</v>
      </c>
      <c r="G554" s="32">
        <v>75</v>
      </c>
      <c r="H554" s="40">
        <v>600</v>
      </c>
      <c r="I554" s="32">
        <v>695</v>
      </c>
      <c r="J554" s="32">
        <v>0</v>
      </c>
      <c r="K554" s="33"/>
      <c r="L554" s="33"/>
      <c r="M554" s="33"/>
      <c r="N554" s="33"/>
      <c r="O554" s="33"/>
      <c r="P554" s="33"/>
      <c r="Q554" s="33"/>
      <c r="R554" s="33"/>
      <c r="S554" s="33"/>
      <c r="T554" s="33"/>
    </row>
    <row r="555" spans="1:20" ht="15.75">
      <c r="A555" s="13">
        <v>58775</v>
      </c>
      <c r="B555" s="41">
        <v>30</v>
      </c>
      <c r="C555" s="32">
        <v>122.58</v>
      </c>
      <c r="D555" s="32">
        <v>297.94099999999997</v>
      </c>
      <c r="E555" s="38">
        <v>729.47900000000004</v>
      </c>
      <c r="F555" s="32">
        <v>1150</v>
      </c>
      <c r="G555" s="32">
        <v>100</v>
      </c>
      <c r="H555" s="40">
        <v>600</v>
      </c>
      <c r="I555" s="32">
        <v>695</v>
      </c>
      <c r="J555" s="32">
        <v>50</v>
      </c>
      <c r="K555" s="33"/>
      <c r="L555" s="33"/>
      <c r="M555" s="33"/>
      <c r="N555" s="33"/>
      <c r="O555" s="33"/>
      <c r="P555" s="33"/>
      <c r="Q555" s="33"/>
      <c r="R555" s="33"/>
      <c r="S555" s="33"/>
      <c r="T555" s="33"/>
    </row>
    <row r="556" spans="1:20" ht="15.75">
      <c r="A556" s="13">
        <v>58806</v>
      </c>
      <c r="B556" s="41">
        <v>31</v>
      </c>
      <c r="C556" s="32">
        <v>122.58</v>
      </c>
      <c r="D556" s="32">
        <v>297.94099999999997</v>
      </c>
      <c r="E556" s="38">
        <v>729.47900000000004</v>
      </c>
      <c r="F556" s="32">
        <v>1150</v>
      </c>
      <c r="G556" s="32">
        <v>100</v>
      </c>
      <c r="H556" s="40">
        <v>600</v>
      </c>
      <c r="I556" s="32">
        <v>695</v>
      </c>
      <c r="J556" s="32">
        <v>50</v>
      </c>
      <c r="K556" s="33"/>
      <c r="L556" s="33"/>
      <c r="M556" s="33"/>
      <c r="N556" s="33"/>
      <c r="O556" s="33"/>
      <c r="P556" s="33"/>
      <c r="Q556" s="33"/>
      <c r="R556" s="33"/>
      <c r="S556" s="33"/>
      <c r="T556" s="33"/>
    </row>
    <row r="557" spans="1:20" ht="15.75">
      <c r="A557" s="13">
        <v>58837</v>
      </c>
      <c r="B557" s="41">
        <v>31</v>
      </c>
      <c r="C557" s="32">
        <v>122.58</v>
      </c>
      <c r="D557" s="32">
        <v>297.94099999999997</v>
      </c>
      <c r="E557" s="38">
        <v>729.47900000000004</v>
      </c>
      <c r="F557" s="32">
        <v>1150</v>
      </c>
      <c r="G557" s="32">
        <v>100</v>
      </c>
      <c r="H557" s="40">
        <v>600</v>
      </c>
      <c r="I557" s="32">
        <v>695</v>
      </c>
      <c r="J557" s="32">
        <v>50</v>
      </c>
      <c r="K557" s="33"/>
      <c r="L557" s="33"/>
      <c r="M557" s="33"/>
      <c r="N557" s="33"/>
      <c r="O557" s="33"/>
      <c r="P557" s="33"/>
      <c r="Q557" s="33"/>
      <c r="R557" s="33"/>
      <c r="S557" s="33"/>
      <c r="T557" s="33"/>
    </row>
    <row r="558" spans="1:20" ht="15.75">
      <c r="A558" s="13">
        <v>58865</v>
      </c>
      <c r="B558" s="41">
        <v>28</v>
      </c>
      <c r="C558" s="32">
        <v>122.58</v>
      </c>
      <c r="D558" s="32">
        <v>297.94099999999997</v>
      </c>
      <c r="E558" s="38">
        <v>729.47900000000004</v>
      </c>
      <c r="F558" s="32">
        <v>1150</v>
      </c>
      <c r="G558" s="32">
        <v>100</v>
      </c>
      <c r="H558" s="40">
        <v>600</v>
      </c>
      <c r="I558" s="32">
        <v>695</v>
      </c>
      <c r="J558" s="32">
        <v>50</v>
      </c>
      <c r="K558" s="33"/>
      <c r="L558" s="33"/>
      <c r="M558" s="33"/>
      <c r="N558" s="33"/>
      <c r="O558" s="33"/>
      <c r="P558" s="33"/>
      <c r="Q558" s="33"/>
      <c r="R558" s="33"/>
      <c r="S558" s="33"/>
      <c r="T558" s="33"/>
    </row>
    <row r="559" spans="1:20" ht="15.75">
      <c r="A559" s="13">
        <v>58893</v>
      </c>
      <c r="B559" s="41">
        <v>31</v>
      </c>
      <c r="C559" s="32">
        <v>122.58</v>
      </c>
      <c r="D559" s="32">
        <v>297.94099999999997</v>
      </c>
      <c r="E559" s="38">
        <v>729.47900000000004</v>
      </c>
      <c r="F559" s="32">
        <v>1150</v>
      </c>
      <c r="G559" s="32">
        <v>100</v>
      </c>
      <c r="H559" s="40">
        <v>600</v>
      </c>
      <c r="I559" s="32">
        <v>695</v>
      </c>
      <c r="J559" s="32">
        <v>50</v>
      </c>
      <c r="K559" s="33"/>
      <c r="L559" s="33"/>
      <c r="M559" s="33"/>
      <c r="N559" s="33"/>
      <c r="O559" s="33"/>
      <c r="P559" s="33"/>
      <c r="Q559" s="33"/>
      <c r="R559" s="33"/>
      <c r="S559" s="33"/>
      <c r="T559" s="33"/>
    </row>
    <row r="560" spans="1:20" ht="15.75">
      <c r="A560" s="13">
        <v>58926</v>
      </c>
      <c r="B560" s="41">
        <v>30</v>
      </c>
      <c r="C560" s="32">
        <v>141.29300000000001</v>
      </c>
      <c r="D560" s="32">
        <v>267.99299999999999</v>
      </c>
      <c r="E560" s="38">
        <v>829.71400000000006</v>
      </c>
      <c r="F560" s="32">
        <v>1239</v>
      </c>
      <c r="G560" s="32">
        <v>100</v>
      </c>
      <c r="H560" s="40">
        <v>600</v>
      </c>
      <c r="I560" s="32">
        <v>695</v>
      </c>
      <c r="J560" s="32">
        <v>50</v>
      </c>
      <c r="K560" s="33"/>
      <c r="L560" s="33"/>
      <c r="M560" s="33"/>
      <c r="N560" s="33"/>
      <c r="O560" s="33"/>
      <c r="P560" s="33"/>
      <c r="Q560" s="33"/>
      <c r="R560" s="33"/>
      <c r="S560" s="33"/>
      <c r="T560" s="33"/>
    </row>
    <row r="561" spans="1:20" ht="15.75">
      <c r="A561" s="13">
        <v>58957</v>
      </c>
      <c r="B561" s="41">
        <v>31</v>
      </c>
      <c r="C561" s="32">
        <v>194.20500000000001</v>
      </c>
      <c r="D561" s="32">
        <v>267.46600000000001</v>
      </c>
      <c r="E561" s="38">
        <v>812.32899999999995</v>
      </c>
      <c r="F561" s="32">
        <v>1274</v>
      </c>
      <c r="G561" s="32">
        <v>75</v>
      </c>
      <c r="H561" s="40">
        <v>600</v>
      </c>
      <c r="I561" s="32">
        <v>695</v>
      </c>
      <c r="J561" s="32">
        <v>50</v>
      </c>
      <c r="K561" s="33"/>
      <c r="L561" s="33"/>
      <c r="M561" s="33"/>
      <c r="N561" s="33"/>
      <c r="O561" s="33"/>
      <c r="P561" s="33"/>
      <c r="Q561" s="33"/>
      <c r="R561" s="33"/>
      <c r="S561" s="33"/>
      <c r="T561" s="33"/>
    </row>
    <row r="562" spans="1:20" ht="15.75">
      <c r="A562" s="13">
        <v>58987</v>
      </c>
      <c r="B562" s="41">
        <v>30</v>
      </c>
      <c r="C562" s="32">
        <v>194.20500000000001</v>
      </c>
      <c r="D562" s="32">
        <v>267.46600000000001</v>
      </c>
      <c r="E562" s="38">
        <v>812.32899999999995</v>
      </c>
      <c r="F562" s="32">
        <v>1274</v>
      </c>
      <c r="G562" s="32">
        <v>50</v>
      </c>
      <c r="H562" s="40">
        <v>600</v>
      </c>
      <c r="I562" s="32">
        <v>695</v>
      </c>
      <c r="J562" s="32">
        <v>50</v>
      </c>
      <c r="K562" s="33"/>
      <c r="L562" s="33"/>
      <c r="M562" s="33"/>
      <c r="N562" s="33"/>
      <c r="O562" s="33"/>
      <c r="P562" s="33"/>
      <c r="Q562" s="33"/>
      <c r="R562" s="33"/>
      <c r="S562" s="33"/>
      <c r="T562" s="33"/>
    </row>
    <row r="563" spans="1:20" ht="15.75">
      <c r="A563" s="13">
        <v>59018</v>
      </c>
      <c r="B563" s="41">
        <v>31</v>
      </c>
      <c r="C563" s="32">
        <v>194.20500000000001</v>
      </c>
      <c r="D563" s="32">
        <v>267.46600000000001</v>
      </c>
      <c r="E563" s="38">
        <v>812.32899999999995</v>
      </c>
      <c r="F563" s="32">
        <v>1274</v>
      </c>
      <c r="G563" s="32">
        <v>50</v>
      </c>
      <c r="H563" s="40">
        <v>600</v>
      </c>
      <c r="I563" s="32">
        <v>695</v>
      </c>
      <c r="J563" s="32">
        <v>0</v>
      </c>
      <c r="K563" s="33"/>
      <c r="L563" s="33"/>
      <c r="M563" s="33"/>
      <c r="N563" s="33"/>
      <c r="O563" s="33"/>
      <c r="P563" s="33"/>
      <c r="Q563" s="33"/>
      <c r="R563" s="33"/>
      <c r="S563" s="33"/>
      <c r="T563" s="33"/>
    </row>
    <row r="564" spans="1:20" ht="15.75">
      <c r="A564" s="13">
        <v>59049</v>
      </c>
      <c r="B564" s="41">
        <v>31</v>
      </c>
      <c r="C564" s="32">
        <v>194.20500000000001</v>
      </c>
      <c r="D564" s="32">
        <v>267.46600000000001</v>
      </c>
      <c r="E564" s="38">
        <v>812.32899999999995</v>
      </c>
      <c r="F564" s="32">
        <v>1274</v>
      </c>
      <c r="G564" s="32">
        <v>50</v>
      </c>
      <c r="H564" s="40">
        <v>600</v>
      </c>
      <c r="I564" s="32">
        <v>695</v>
      </c>
      <c r="J564" s="32">
        <v>0</v>
      </c>
      <c r="K564" s="33"/>
      <c r="L564" s="33"/>
      <c r="M564" s="33"/>
      <c r="N564" s="33"/>
      <c r="O564" s="33"/>
      <c r="P564" s="33"/>
      <c r="Q564" s="33"/>
      <c r="R564" s="33"/>
      <c r="S564" s="33"/>
      <c r="T564" s="33"/>
    </row>
    <row r="565" spans="1:20" ht="15.75">
      <c r="A565" s="13">
        <v>59079</v>
      </c>
      <c r="B565" s="41">
        <v>30</v>
      </c>
      <c r="C565" s="32">
        <v>194.20500000000001</v>
      </c>
      <c r="D565" s="32">
        <v>267.46600000000001</v>
      </c>
      <c r="E565" s="38">
        <v>812.32899999999995</v>
      </c>
      <c r="F565" s="32">
        <v>1274</v>
      </c>
      <c r="G565" s="32">
        <v>50</v>
      </c>
      <c r="H565" s="40">
        <v>600</v>
      </c>
      <c r="I565" s="32">
        <v>695</v>
      </c>
      <c r="J565" s="32">
        <v>0</v>
      </c>
      <c r="K565" s="33"/>
      <c r="L565" s="33"/>
      <c r="M565" s="33"/>
      <c r="N565" s="33"/>
      <c r="O565" s="33"/>
      <c r="P565" s="33"/>
      <c r="Q565" s="33"/>
      <c r="R565" s="33"/>
      <c r="S565" s="33"/>
      <c r="T565" s="33"/>
    </row>
    <row r="566" spans="1:20" ht="15.75">
      <c r="A566" s="13">
        <v>59110</v>
      </c>
      <c r="B566" s="41">
        <v>31</v>
      </c>
      <c r="C566" s="32">
        <v>131.881</v>
      </c>
      <c r="D566" s="32">
        <v>277.16699999999997</v>
      </c>
      <c r="E566" s="38">
        <v>829.952</v>
      </c>
      <c r="F566" s="32">
        <v>1239</v>
      </c>
      <c r="G566" s="32">
        <v>75</v>
      </c>
      <c r="H566" s="40">
        <v>600</v>
      </c>
      <c r="I566" s="32">
        <v>695</v>
      </c>
      <c r="J566" s="32">
        <v>0</v>
      </c>
      <c r="K566" s="33"/>
      <c r="L566" s="33"/>
      <c r="M566" s="33"/>
      <c r="N566" s="33"/>
      <c r="O566" s="33"/>
      <c r="P566" s="33"/>
      <c r="Q566" s="33"/>
      <c r="R566" s="33"/>
      <c r="S566" s="33"/>
      <c r="T566" s="33"/>
    </row>
    <row r="567" spans="1:20" ht="15.75">
      <c r="A567" s="13">
        <v>59140</v>
      </c>
      <c r="B567" s="41">
        <v>30</v>
      </c>
      <c r="C567" s="32">
        <v>122.58</v>
      </c>
      <c r="D567" s="32">
        <v>297.94099999999997</v>
      </c>
      <c r="E567" s="38">
        <v>729.47900000000004</v>
      </c>
      <c r="F567" s="32">
        <v>1150</v>
      </c>
      <c r="G567" s="32">
        <v>100</v>
      </c>
      <c r="H567" s="40">
        <v>600</v>
      </c>
      <c r="I567" s="32">
        <v>695</v>
      </c>
      <c r="J567" s="32">
        <v>50</v>
      </c>
      <c r="K567" s="33"/>
      <c r="L567" s="33"/>
      <c r="M567" s="33"/>
      <c r="N567" s="33"/>
      <c r="O567" s="33"/>
      <c r="P567" s="33"/>
      <c r="Q567" s="33"/>
      <c r="R567" s="33"/>
      <c r="S567" s="33"/>
      <c r="T567" s="33"/>
    </row>
    <row r="568" spans="1:20" ht="15.75">
      <c r="A568" s="13">
        <v>59171</v>
      </c>
      <c r="B568" s="41">
        <v>31</v>
      </c>
      <c r="C568" s="32">
        <v>122.58</v>
      </c>
      <c r="D568" s="32">
        <v>297.94099999999997</v>
      </c>
      <c r="E568" s="38">
        <v>729.47900000000004</v>
      </c>
      <c r="F568" s="32">
        <v>1150</v>
      </c>
      <c r="G568" s="32">
        <v>100</v>
      </c>
      <c r="H568" s="40">
        <v>600</v>
      </c>
      <c r="I568" s="32">
        <v>695</v>
      </c>
      <c r="J568" s="32">
        <v>50</v>
      </c>
      <c r="K568" s="33"/>
      <c r="L568" s="33"/>
      <c r="M568" s="33"/>
      <c r="N568" s="33"/>
      <c r="O568" s="33"/>
      <c r="P568" s="33"/>
      <c r="Q568" s="33"/>
      <c r="R568" s="33"/>
      <c r="S568" s="33"/>
      <c r="T568" s="33"/>
    </row>
    <row r="569" spans="1:20" ht="15.75">
      <c r="A569" s="13">
        <v>59202</v>
      </c>
      <c r="B569" s="41">
        <f t="shared" ref="B569:B632" si="0">EOMONTH(A569,0)-EOMONTH(A569,-1)</f>
        <v>31</v>
      </c>
      <c r="C569" s="32">
        <v>122.58</v>
      </c>
      <c r="D569" s="32">
        <v>297.94099999999997</v>
      </c>
      <c r="E569" s="38">
        <v>729.47900000000004</v>
      </c>
      <c r="F569" s="32">
        <v>1150</v>
      </c>
      <c r="G569" s="32">
        <v>100</v>
      </c>
      <c r="H569" s="40">
        <v>600</v>
      </c>
      <c r="I569" s="32">
        <v>695</v>
      </c>
      <c r="J569" s="32">
        <v>50</v>
      </c>
      <c r="K569" s="33"/>
      <c r="L569" s="33"/>
      <c r="M569" s="33"/>
      <c r="N569" s="33"/>
      <c r="O569" s="33"/>
      <c r="P569" s="33"/>
      <c r="Q569" s="33"/>
      <c r="R569" s="33"/>
      <c r="S569" s="33"/>
      <c r="T569" s="33"/>
    </row>
    <row r="570" spans="1:20" ht="15.75">
      <c r="A570" s="13">
        <v>59230</v>
      </c>
      <c r="B570" s="41">
        <f t="shared" si="0"/>
        <v>28</v>
      </c>
      <c r="C570" s="32">
        <v>122.58</v>
      </c>
      <c r="D570" s="32">
        <v>297.94099999999997</v>
      </c>
      <c r="E570" s="38">
        <v>729.47900000000004</v>
      </c>
      <c r="F570" s="32">
        <v>1150</v>
      </c>
      <c r="G570" s="32">
        <v>100</v>
      </c>
      <c r="H570" s="40">
        <v>600</v>
      </c>
      <c r="I570" s="32">
        <v>695</v>
      </c>
      <c r="J570" s="32">
        <v>50</v>
      </c>
      <c r="K570" s="33"/>
      <c r="L570" s="33"/>
      <c r="M570" s="33"/>
      <c r="N570" s="33"/>
      <c r="O570" s="33"/>
      <c r="P570" s="33"/>
      <c r="Q570" s="33"/>
      <c r="R570" s="33"/>
      <c r="S570" s="33"/>
      <c r="T570" s="33"/>
    </row>
    <row r="571" spans="1:20" ht="15.75">
      <c r="A571" s="13">
        <v>59261</v>
      </c>
      <c r="B571" s="41">
        <f t="shared" si="0"/>
        <v>31</v>
      </c>
      <c r="C571" s="32">
        <v>122.58</v>
      </c>
      <c r="D571" s="32">
        <v>297.94099999999997</v>
      </c>
      <c r="E571" s="38">
        <v>729.47900000000004</v>
      </c>
      <c r="F571" s="32">
        <v>1150</v>
      </c>
      <c r="G571" s="32">
        <v>100</v>
      </c>
      <c r="H571" s="40">
        <v>600</v>
      </c>
      <c r="I571" s="32">
        <v>695</v>
      </c>
      <c r="J571" s="32">
        <v>50</v>
      </c>
      <c r="K571" s="33"/>
      <c r="L571" s="33"/>
      <c r="M571" s="33"/>
      <c r="N571" s="33"/>
      <c r="O571" s="33"/>
      <c r="P571" s="33"/>
      <c r="Q571" s="33"/>
      <c r="R571" s="33"/>
      <c r="S571" s="33"/>
      <c r="T571" s="33"/>
    </row>
    <row r="572" spans="1:20" ht="15.75">
      <c r="A572" s="13">
        <v>59291</v>
      </c>
      <c r="B572" s="41">
        <f t="shared" si="0"/>
        <v>30</v>
      </c>
      <c r="C572" s="32">
        <v>141.29300000000001</v>
      </c>
      <c r="D572" s="32">
        <v>267.99299999999999</v>
      </c>
      <c r="E572" s="38">
        <v>829.71400000000006</v>
      </c>
      <c r="F572" s="32">
        <v>1239</v>
      </c>
      <c r="G572" s="32">
        <v>100</v>
      </c>
      <c r="H572" s="40">
        <v>600</v>
      </c>
      <c r="I572" s="32">
        <v>695</v>
      </c>
      <c r="J572" s="32">
        <v>50</v>
      </c>
      <c r="K572" s="33"/>
      <c r="L572" s="33"/>
      <c r="M572" s="33"/>
      <c r="N572" s="33"/>
      <c r="O572" s="33"/>
      <c r="P572" s="33"/>
      <c r="Q572" s="33"/>
      <c r="R572" s="33"/>
      <c r="S572" s="33"/>
      <c r="T572" s="33"/>
    </row>
    <row r="573" spans="1:20" ht="15.75">
      <c r="A573" s="13">
        <v>59322</v>
      </c>
      <c r="B573" s="41">
        <f t="shared" si="0"/>
        <v>31</v>
      </c>
      <c r="C573" s="32">
        <v>194.20500000000001</v>
      </c>
      <c r="D573" s="32">
        <v>267.46600000000001</v>
      </c>
      <c r="E573" s="38">
        <v>812.32899999999995</v>
      </c>
      <c r="F573" s="32">
        <v>1274</v>
      </c>
      <c r="G573" s="32">
        <v>75</v>
      </c>
      <c r="H573" s="40">
        <v>600</v>
      </c>
      <c r="I573" s="32">
        <v>695</v>
      </c>
      <c r="J573" s="32">
        <v>50</v>
      </c>
      <c r="K573" s="33"/>
      <c r="L573" s="33"/>
      <c r="M573" s="33"/>
      <c r="N573" s="33"/>
      <c r="O573" s="33"/>
      <c r="P573" s="33"/>
      <c r="Q573" s="33"/>
      <c r="R573" s="33"/>
      <c r="S573" s="33"/>
      <c r="T573" s="33"/>
    </row>
    <row r="574" spans="1:20" ht="15.75">
      <c r="A574" s="13">
        <v>59352</v>
      </c>
      <c r="B574" s="41">
        <f t="shared" si="0"/>
        <v>30</v>
      </c>
      <c r="C574" s="32">
        <v>194.20500000000001</v>
      </c>
      <c r="D574" s="32">
        <v>267.46600000000001</v>
      </c>
      <c r="E574" s="38">
        <v>812.32899999999995</v>
      </c>
      <c r="F574" s="32">
        <v>1274</v>
      </c>
      <c r="G574" s="32">
        <v>50</v>
      </c>
      <c r="H574" s="40">
        <v>600</v>
      </c>
      <c r="I574" s="32">
        <v>695</v>
      </c>
      <c r="J574" s="32">
        <v>50</v>
      </c>
      <c r="K574" s="33"/>
      <c r="L574" s="33"/>
      <c r="M574" s="33"/>
      <c r="N574" s="33"/>
      <c r="O574" s="33"/>
      <c r="P574" s="33"/>
      <c r="Q574" s="33"/>
      <c r="R574" s="33"/>
      <c r="S574" s="33"/>
      <c r="T574" s="33"/>
    </row>
    <row r="575" spans="1:20" ht="15.75">
      <c r="A575" s="13">
        <v>59383</v>
      </c>
      <c r="B575" s="41">
        <f t="shared" si="0"/>
        <v>31</v>
      </c>
      <c r="C575" s="32">
        <v>194.20500000000001</v>
      </c>
      <c r="D575" s="32">
        <v>267.46600000000001</v>
      </c>
      <c r="E575" s="38">
        <v>812.32899999999995</v>
      </c>
      <c r="F575" s="32">
        <v>1274</v>
      </c>
      <c r="G575" s="32">
        <v>50</v>
      </c>
      <c r="H575" s="40">
        <v>600</v>
      </c>
      <c r="I575" s="32">
        <v>695</v>
      </c>
      <c r="J575" s="32">
        <v>0</v>
      </c>
      <c r="K575" s="33"/>
      <c r="L575" s="33"/>
      <c r="M575" s="33"/>
      <c r="N575" s="33"/>
      <c r="O575" s="33"/>
      <c r="P575" s="33"/>
      <c r="Q575" s="33"/>
      <c r="R575" s="33"/>
      <c r="S575" s="33"/>
      <c r="T575" s="33"/>
    </row>
    <row r="576" spans="1:20" ht="15.75">
      <c r="A576" s="13">
        <v>59414</v>
      </c>
      <c r="B576" s="41">
        <f t="shared" si="0"/>
        <v>31</v>
      </c>
      <c r="C576" s="32">
        <v>194.20500000000001</v>
      </c>
      <c r="D576" s="32">
        <v>267.46600000000001</v>
      </c>
      <c r="E576" s="38">
        <v>812.32899999999995</v>
      </c>
      <c r="F576" s="32">
        <v>1274</v>
      </c>
      <c r="G576" s="32">
        <v>50</v>
      </c>
      <c r="H576" s="40">
        <v>600</v>
      </c>
      <c r="I576" s="32">
        <v>695</v>
      </c>
      <c r="J576" s="32">
        <v>0</v>
      </c>
      <c r="K576" s="33"/>
      <c r="L576" s="33"/>
      <c r="M576" s="33"/>
      <c r="N576" s="33"/>
      <c r="O576" s="33"/>
      <c r="P576" s="33"/>
      <c r="Q576" s="33"/>
      <c r="R576" s="33"/>
      <c r="S576" s="33"/>
      <c r="T576" s="33"/>
    </row>
    <row r="577" spans="1:20" ht="15.75">
      <c r="A577" s="13">
        <v>59444</v>
      </c>
      <c r="B577" s="41">
        <f t="shared" si="0"/>
        <v>30</v>
      </c>
      <c r="C577" s="32">
        <v>194.20500000000001</v>
      </c>
      <c r="D577" s="32">
        <v>267.46600000000001</v>
      </c>
      <c r="E577" s="38">
        <v>812.32899999999995</v>
      </c>
      <c r="F577" s="32">
        <v>1274</v>
      </c>
      <c r="G577" s="32">
        <v>50</v>
      </c>
      <c r="H577" s="40">
        <v>600</v>
      </c>
      <c r="I577" s="32">
        <v>695</v>
      </c>
      <c r="J577" s="32">
        <v>0</v>
      </c>
      <c r="K577" s="33"/>
      <c r="L577" s="33"/>
      <c r="M577" s="33"/>
      <c r="N577" s="33"/>
      <c r="O577" s="33"/>
      <c r="P577" s="33"/>
      <c r="Q577" s="33"/>
      <c r="R577" s="33"/>
      <c r="S577" s="33"/>
      <c r="T577" s="33"/>
    </row>
    <row r="578" spans="1:20" ht="15.75">
      <c r="A578" s="13">
        <v>59475</v>
      </c>
      <c r="B578" s="41">
        <f t="shared" si="0"/>
        <v>31</v>
      </c>
      <c r="C578" s="32">
        <v>131.881</v>
      </c>
      <c r="D578" s="32">
        <v>277.16699999999997</v>
      </c>
      <c r="E578" s="38">
        <v>829.952</v>
      </c>
      <c r="F578" s="32">
        <v>1239</v>
      </c>
      <c r="G578" s="32">
        <v>75</v>
      </c>
      <c r="H578" s="40">
        <v>600</v>
      </c>
      <c r="I578" s="32">
        <v>695</v>
      </c>
      <c r="J578" s="32">
        <v>0</v>
      </c>
      <c r="K578" s="33"/>
      <c r="L578" s="33"/>
      <c r="M578" s="33"/>
      <c r="N578" s="33"/>
      <c r="O578" s="33"/>
      <c r="P578" s="33"/>
      <c r="Q578" s="33"/>
      <c r="R578" s="33"/>
      <c r="S578" s="33"/>
      <c r="T578" s="33"/>
    </row>
    <row r="579" spans="1:20" ht="15.75">
      <c r="A579" s="13">
        <v>59505</v>
      </c>
      <c r="B579" s="41">
        <f t="shared" si="0"/>
        <v>30</v>
      </c>
      <c r="C579" s="32">
        <v>122.58</v>
      </c>
      <c r="D579" s="32">
        <v>297.94099999999997</v>
      </c>
      <c r="E579" s="38">
        <v>729.47900000000004</v>
      </c>
      <c r="F579" s="32">
        <v>1150</v>
      </c>
      <c r="G579" s="32">
        <v>100</v>
      </c>
      <c r="H579" s="40">
        <v>600</v>
      </c>
      <c r="I579" s="32">
        <v>695</v>
      </c>
      <c r="J579" s="32">
        <v>50</v>
      </c>
      <c r="K579" s="33"/>
      <c r="L579" s="33"/>
      <c r="M579" s="33"/>
      <c r="N579" s="33"/>
      <c r="O579" s="33"/>
      <c r="P579" s="33"/>
      <c r="Q579" s="33"/>
      <c r="R579" s="33"/>
      <c r="S579" s="33"/>
      <c r="T579" s="33"/>
    </row>
    <row r="580" spans="1:20" ht="15.75">
      <c r="A580" s="13">
        <v>59536</v>
      </c>
      <c r="B580" s="41">
        <f t="shared" si="0"/>
        <v>31</v>
      </c>
      <c r="C580" s="32">
        <v>122.58</v>
      </c>
      <c r="D580" s="32">
        <v>297.94099999999997</v>
      </c>
      <c r="E580" s="38">
        <v>729.47900000000004</v>
      </c>
      <c r="F580" s="32">
        <v>1150</v>
      </c>
      <c r="G580" s="32">
        <v>100</v>
      </c>
      <c r="H580" s="40">
        <v>600</v>
      </c>
      <c r="I580" s="32">
        <v>695</v>
      </c>
      <c r="J580" s="32">
        <v>50</v>
      </c>
      <c r="K580" s="33"/>
      <c r="L580" s="33"/>
      <c r="M580" s="33"/>
      <c r="N580" s="33"/>
      <c r="O580" s="33"/>
      <c r="P580" s="33"/>
      <c r="Q580" s="33"/>
      <c r="R580" s="33"/>
      <c r="S580" s="33"/>
      <c r="T580" s="33"/>
    </row>
    <row r="581" spans="1:20" ht="15.75">
      <c r="A581" s="13">
        <v>59567</v>
      </c>
      <c r="B581" s="41">
        <f t="shared" si="0"/>
        <v>31</v>
      </c>
      <c r="C581" s="32">
        <v>122.58</v>
      </c>
      <c r="D581" s="32">
        <v>297.94099999999997</v>
      </c>
      <c r="E581" s="38">
        <v>729.47900000000004</v>
      </c>
      <c r="F581" s="32">
        <v>1150</v>
      </c>
      <c r="G581" s="32">
        <v>100</v>
      </c>
      <c r="H581" s="40">
        <v>600</v>
      </c>
      <c r="I581" s="32">
        <v>695</v>
      </c>
      <c r="J581" s="32">
        <v>50</v>
      </c>
      <c r="K581" s="33"/>
      <c r="L581" s="33"/>
      <c r="M581" s="33"/>
      <c r="N581" s="33"/>
      <c r="O581" s="33"/>
      <c r="P581" s="33"/>
      <c r="Q581" s="33"/>
      <c r="R581" s="33"/>
      <c r="S581" s="33"/>
      <c r="T581" s="33"/>
    </row>
    <row r="582" spans="1:20" ht="15.75">
      <c r="A582" s="13">
        <v>59595</v>
      </c>
      <c r="B582" s="41">
        <f t="shared" si="0"/>
        <v>28</v>
      </c>
      <c r="C582" s="32">
        <v>122.58</v>
      </c>
      <c r="D582" s="32">
        <v>297.94099999999997</v>
      </c>
      <c r="E582" s="38">
        <v>729.47900000000004</v>
      </c>
      <c r="F582" s="32">
        <v>1150</v>
      </c>
      <c r="G582" s="32">
        <v>100</v>
      </c>
      <c r="H582" s="40">
        <v>600</v>
      </c>
      <c r="I582" s="32">
        <v>695</v>
      </c>
      <c r="J582" s="32">
        <v>50</v>
      </c>
      <c r="K582" s="33"/>
      <c r="L582" s="33"/>
      <c r="M582" s="33"/>
      <c r="N582" s="33"/>
      <c r="O582" s="33"/>
      <c r="P582" s="33"/>
      <c r="Q582" s="33"/>
      <c r="R582" s="33"/>
      <c r="S582" s="33"/>
      <c r="T582" s="33"/>
    </row>
    <row r="583" spans="1:20" ht="15.75">
      <c r="A583" s="13">
        <v>59626</v>
      </c>
      <c r="B583" s="41">
        <f t="shared" si="0"/>
        <v>31</v>
      </c>
      <c r="C583" s="32">
        <v>122.58</v>
      </c>
      <c r="D583" s="32">
        <v>297.94099999999997</v>
      </c>
      <c r="E583" s="38">
        <v>729.47900000000004</v>
      </c>
      <c r="F583" s="32">
        <v>1150</v>
      </c>
      <c r="G583" s="32">
        <v>100</v>
      </c>
      <c r="H583" s="40">
        <v>600</v>
      </c>
      <c r="I583" s="32">
        <v>695</v>
      </c>
      <c r="J583" s="32">
        <v>50</v>
      </c>
      <c r="K583" s="33"/>
      <c r="L583" s="33"/>
      <c r="M583" s="33"/>
      <c r="N583" s="33"/>
      <c r="O583" s="33"/>
      <c r="P583" s="33"/>
      <c r="Q583" s="33"/>
      <c r="R583" s="33"/>
      <c r="S583" s="33"/>
      <c r="T583" s="33"/>
    </row>
    <row r="584" spans="1:20" ht="15.75">
      <c r="A584" s="13">
        <v>59656</v>
      </c>
      <c r="B584" s="41">
        <f t="shared" si="0"/>
        <v>30</v>
      </c>
      <c r="C584" s="32">
        <v>141.29300000000001</v>
      </c>
      <c r="D584" s="32">
        <v>267.99299999999999</v>
      </c>
      <c r="E584" s="38">
        <v>829.71400000000006</v>
      </c>
      <c r="F584" s="32">
        <v>1239</v>
      </c>
      <c r="G584" s="32">
        <v>100</v>
      </c>
      <c r="H584" s="40">
        <v>600</v>
      </c>
      <c r="I584" s="32">
        <v>695</v>
      </c>
      <c r="J584" s="32">
        <v>50</v>
      </c>
      <c r="K584" s="33"/>
      <c r="L584" s="33"/>
      <c r="M584" s="33"/>
      <c r="N584" s="33"/>
      <c r="O584" s="33"/>
      <c r="P584" s="33"/>
      <c r="Q584" s="33"/>
      <c r="R584" s="33"/>
      <c r="S584" s="33"/>
      <c r="T584" s="33"/>
    </row>
    <row r="585" spans="1:20" ht="15.75">
      <c r="A585" s="13">
        <v>59687</v>
      </c>
      <c r="B585" s="41">
        <f t="shared" si="0"/>
        <v>31</v>
      </c>
      <c r="C585" s="32">
        <v>194.20500000000001</v>
      </c>
      <c r="D585" s="32">
        <v>267.46600000000001</v>
      </c>
      <c r="E585" s="38">
        <v>812.32899999999995</v>
      </c>
      <c r="F585" s="32">
        <v>1274</v>
      </c>
      <c r="G585" s="32">
        <v>75</v>
      </c>
      <c r="H585" s="40">
        <v>600</v>
      </c>
      <c r="I585" s="32">
        <v>695</v>
      </c>
      <c r="J585" s="32">
        <v>50</v>
      </c>
      <c r="K585" s="33"/>
      <c r="L585" s="33"/>
      <c r="M585" s="33"/>
      <c r="N585" s="33"/>
      <c r="O585" s="33"/>
      <c r="P585" s="33"/>
      <c r="Q585" s="33"/>
      <c r="R585" s="33"/>
      <c r="S585" s="33"/>
      <c r="T585" s="33"/>
    </row>
    <row r="586" spans="1:20" ht="15.75">
      <c r="A586" s="13">
        <v>59717</v>
      </c>
      <c r="B586" s="41">
        <f t="shared" si="0"/>
        <v>30</v>
      </c>
      <c r="C586" s="32">
        <v>194.20500000000001</v>
      </c>
      <c r="D586" s="32">
        <v>267.46600000000001</v>
      </c>
      <c r="E586" s="38">
        <v>812.32899999999995</v>
      </c>
      <c r="F586" s="32">
        <v>1274</v>
      </c>
      <c r="G586" s="32">
        <v>50</v>
      </c>
      <c r="H586" s="40">
        <v>600</v>
      </c>
      <c r="I586" s="32">
        <v>695</v>
      </c>
      <c r="J586" s="32">
        <v>50</v>
      </c>
      <c r="K586" s="33"/>
      <c r="L586" s="33"/>
      <c r="M586" s="33"/>
      <c r="N586" s="33"/>
      <c r="O586" s="33"/>
      <c r="P586" s="33"/>
      <c r="Q586" s="33"/>
      <c r="R586" s="33"/>
      <c r="S586" s="33"/>
      <c r="T586" s="33"/>
    </row>
    <row r="587" spans="1:20" ht="15.75">
      <c r="A587" s="13">
        <v>59748</v>
      </c>
      <c r="B587" s="41">
        <f t="shared" si="0"/>
        <v>31</v>
      </c>
      <c r="C587" s="32">
        <v>194.20500000000001</v>
      </c>
      <c r="D587" s="32">
        <v>267.46600000000001</v>
      </c>
      <c r="E587" s="38">
        <v>812.32899999999995</v>
      </c>
      <c r="F587" s="32">
        <v>1274</v>
      </c>
      <c r="G587" s="32">
        <v>50</v>
      </c>
      <c r="H587" s="40">
        <v>600</v>
      </c>
      <c r="I587" s="32">
        <v>695</v>
      </c>
      <c r="J587" s="32">
        <v>0</v>
      </c>
      <c r="K587" s="33"/>
      <c r="L587" s="33"/>
      <c r="M587" s="33"/>
      <c r="N587" s="33"/>
      <c r="O587" s="33"/>
      <c r="P587" s="33"/>
      <c r="Q587" s="33"/>
      <c r="R587" s="33"/>
      <c r="S587" s="33"/>
      <c r="T587" s="33"/>
    </row>
    <row r="588" spans="1:20" ht="15.75">
      <c r="A588" s="13">
        <v>59779</v>
      </c>
      <c r="B588" s="41">
        <f t="shared" si="0"/>
        <v>31</v>
      </c>
      <c r="C588" s="32">
        <v>194.20500000000001</v>
      </c>
      <c r="D588" s="32">
        <v>267.46600000000001</v>
      </c>
      <c r="E588" s="38">
        <v>812.32899999999995</v>
      </c>
      <c r="F588" s="32">
        <v>1274</v>
      </c>
      <c r="G588" s="32">
        <v>50</v>
      </c>
      <c r="H588" s="40">
        <v>600</v>
      </c>
      <c r="I588" s="32">
        <v>695</v>
      </c>
      <c r="J588" s="32">
        <v>0</v>
      </c>
      <c r="K588" s="33"/>
      <c r="L588" s="33"/>
      <c r="M588" s="33"/>
      <c r="N588" s="33"/>
      <c r="O588" s="33"/>
      <c r="P588" s="33"/>
      <c r="Q588" s="33"/>
      <c r="R588" s="33"/>
      <c r="S588" s="33"/>
      <c r="T588" s="33"/>
    </row>
    <row r="589" spans="1:20" ht="15.75">
      <c r="A589" s="13">
        <v>59809</v>
      </c>
      <c r="B589" s="41">
        <f t="shared" si="0"/>
        <v>30</v>
      </c>
      <c r="C589" s="32">
        <v>194.20500000000001</v>
      </c>
      <c r="D589" s="32">
        <v>267.46600000000001</v>
      </c>
      <c r="E589" s="38">
        <v>812.32899999999995</v>
      </c>
      <c r="F589" s="32">
        <v>1274</v>
      </c>
      <c r="G589" s="32">
        <v>50</v>
      </c>
      <c r="H589" s="40">
        <v>600</v>
      </c>
      <c r="I589" s="32">
        <v>695</v>
      </c>
      <c r="J589" s="32">
        <v>0</v>
      </c>
      <c r="K589" s="33"/>
      <c r="L589" s="33"/>
      <c r="M589" s="33"/>
      <c r="N589" s="33"/>
      <c r="O589" s="33"/>
      <c r="P589" s="33"/>
      <c r="Q589" s="33"/>
      <c r="R589" s="33"/>
      <c r="S589" s="33"/>
      <c r="T589" s="33"/>
    </row>
    <row r="590" spans="1:20" ht="15.75">
      <c r="A590" s="13">
        <v>59840</v>
      </c>
      <c r="B590" s="41">
        <f t="shared" si="0"/>
        <v>31</v>
      </c>
      <c r="C590" s="32">
        <v>131.881</v>
      </c>
      <c r="D590" s="32">
        <v>277.16699999999997</v>
      </c>
      <c r="E590" s="38">
        <v>829.952</v>
      </c>
      <c r="F590" s="32">
        <v>1239</v>
      </c>
      <c r="G590" s="32">
        <v>75</v>
      </c>
      <c r="H590" s="40">
        <v>600</v>
      </c>
      <c r="I590" s="32">
        <v>695</v>
      </c>
      <c r="J590" s="32">
        <v>0</v>
      </c>
      <c r="K590" s="33"/>
      <c r="L590" s="33"/>
      <c r="M590" s="33"/>
      <c r="N590" s="33"/>
      <c r="O590" s="33"/>
      <c r="P590" s="33"/>
      <c r="Q590" s="33"/>
      <c r="R590" s="33"/>
      <c r="S590" s="33"/>
      <c r="T590" s="33"/>
    </row>
    <row r="591" spans="1:20" ht="15.75">
      <c r="A591" s="13">
        <v>59870</v>
      </c>
      <c r="B591" s="41">
        <f t="shared" si="0"/>
        <v>30</v>
      </c>
      <c r="C591" s="32">
        <v>122.58</v>
      </c>
      <c r="D591" s="32">
        <v>297.94099999999997</v>
      </c>
      <c r="E591" s="38">
        <v>729.47900000000004</v>
      </c>
      <c r="F591" s="32">
        <v>1150</v>
      </c>
      <c r="G591" s="32">
        <v>100</v>
      </c>
      <c r="H591" s="40">
        <v>600</v>
      </c>
      <c r="I591" s="32">
        <v>695</v>
      </c>
      <c r="J591" s="32">
        <v>50</v>
      </c>
      <c r="K591" s="33"/>
      <c r="L591" s="33"/>
      <c r="M591" s="33"/>
      <c r="N591" s="33"/>
      <c r="O591" s="33"/>
      <c r="P591" s="33"/>
      <c r="Q591" s="33"/>
      <c r="R591" s="33"/>
      <c r="S591" s="33"/>
      <c r="T591" s="33"/>
    </row>
    <row r="592" spans="1:20" ht="15.75">
      <c r="A592" s="13">
        <v>59901</v>
      </c>
      <c r="B592" s="41">
        <f t="shared" si="0"/>
        <v>31</v>
      </c>
      <c r="C592" s="32">
        <v>122.58</v>
      </c>
      <c r="D592" s="32">
        <v>297.94099999999997</v>
      </c>
      <c r="E592" s="38">
        <v>729.47900000000004</v>
      </c>
      <c r="F592" s="32">
        <v>1150</v>
      </c>
      <c r="G592" s="32">
        <v>100</v>
      </c>
      <c r="H592" s="40">
        <v>600</v>
      </c>
      <c r="I592" s="32">
        <v>695</v>
      </c>
      <c r="J592" s="32">
        <v>50</v>
      </c>
      <c r="K592" s="33"/>
      <c r="L592" s="33"/>
      <c r="M592" s="33"/>
      <c r="N592" s="33"/>
      <c r="O592" s="33"/>
      <c r="P592" s="33"/>
      <c r="Q592" s="33"/>
      <c r="R592" s="33"/>
      <c r="S592" s="33"/>
      <c r="T592" s="33"/>
    </row>
    <row r="593" spans="1:20" ht="15.75">
      <c r="A593" s="13">
        <v>59932</v>
      </c>
      <c r="B593" s="41">
        <f t="shared" si="0"/>
        <v>31</v>
      </c>
      <c r="C593" s="32">
        <v>122.58</v>
      </c>
      <c r="D593" s="32">
        <v>297.94099999999997</v>
      </c>
      <c r="E593" s="38">
        <v>729.47900000000004</v>
      </c>
      <c r="F593" s="32">
        <v>1150</v>
      </c>
      <c r="G593" s="32">
        <v>100</v>
      </c>
      <c r="H593" s="40">
        <v>600</v>
      </c>
      <c r="I593" s="32">
        <v>695</v>
      </c>
      <c r="J593" s="32">
        <v>50</v>
      </c>
      <c r="K593" s="33"/>
      <c r="L593" s="33"/>
      <c r="M593" s="33"/>
      <c r="N593" s="33"/>
      <c r="O593" s="33"/>
      <c r="P593" s="33"/>
      <c r="Q593" s="33"/>
      <c r="R593" s="33"/>
      <c r="S593" s="33"/>
      <c r="T593" s="33"/>
    </row>
    <row r="594" spans="1:20" ht="15.75">
      <c r="A594" s="13">
        <v>59961</v>
      </c>
      <c r="B594" s="41">
        <f t="shared" si="0"/>
        <v>29</v>
      </c>
      <c r="C594" s="32">
        <v>122.58</v>
      </c>
      <c r="D594" s="32">
        <v>297.94099999999997</v>
      </c>
      <c r="E594" s="38">
        <v>729.47900000000004</v>
      </c>
      <c r="F594" s="32">
        <v>1150</v>
      </c>
      <c r="G594" s="32">
        <v>100</v>
      </c>
      <c r="H594" s="40">
        <v>600</v>
      </c>
      <c r="I594" s="32">
        <v>695</v>
      </c>
      <c r="J594" s="32">
        <v>50</v>
      </c>
      <c r="K594" s="33"/>
      <c r="L594" s="33"/>
      <c r="M594" s="33"/>
      <c r="N594" s="33"/>
      <c r="O594" s="33"/>
      <c r="P594" s="33"/>
      <c r="Q594" s="33"/>
      <c r="R594" s="33"/>
      <c r="S594" s="33"/>
      <c r="T594" s="33"/>
    </row>
    <row r="595" spans="1:20" ht="15.75">
      <c r="A595" s="13">
        <v>59992</v>
      </c>
      <c r="B595" s="41">
        <f t="shared" si="0"/>
        <v>31</v>
      </c>
      <c r="C595" s="32">
        <v>122.58</v>
      </c>
      <c r="D595" s="32">
        <v>297.94099999999997</v>
      </c>
      <c r="E595" s="38">
        <v>729.47900000000004</v>
      </c>
      <c r="F595" s="32">
        <v>1150</v>
      </c>
      <c r="G595" s="32">
        <v>100</v>
      </c>
      <c r="H595" s="40">
        <v>600</v>
      </c>
      <c r="I595" s="32">
        <v>695</v>
      </c>
      <c r="J595" s="32">
        <v>50</v>
      </c>
      <c r="K595" s="33"/>
      <c r="L595" s="33"/>
      <c r="M595" s="33"/>
      <c r="N595" s="33"/>
      <c r="O595" s="33"/>
      <c r="P595" s="33"/>
      <c r="Q595" s="33"/>
      <c r="R595" s="33"/>
      <c r="S595" s="33"/>
      <c r="T595" s="33"/>
    </row>
    <row r="596" spans="1:20" ht="15.75">
      <c r="A596" s="13">
        <v>60022</v>
      </c>
      <c r="B596" s="41">
        <f t="shared" si="0"/>
        <v>30</v>
      </c>
      <c r="C596" s="32">
        <v>141.29300000000001</v>
      </c>
      <c r="D596" s="32">
        <v>267.99299999999999</v>
      </c>
      <c r="E596" s="38">
        <v>829.71400000000006</v>
      </c>
      <c r="F596" s="32">
        <v>1239</v>
      </c>
      <c r="G596" s="32">
        <v>100</v>
      </c>
      <c r="H596" s="40">
        <v>600</v>
      </c>
      <c r="I596" s="32">
        <v>695</v>
      </c>
      <c r="J596" s="32">
        <v>50</v>
      </c>
      <c r="K596" s="33"/>
      <c r="L596" s="33"/>
      <c r="M596" s="33"/>
      <c r="N596" s="33"/>
      <c r="O596" s="33"/>
      <c r="P596" s="33"/>
      <c r="Q596" s="33"/>
      <c r="R596" s="33"/>
      <c r="S596" s="33"/>
      <c r="T596" s="33"/>
    </row>
    <row r="597" spans="1:20" ht="15.75">
      <c r="A597" s="13">
        <v>60053</v>
      </c>
      <c r="B597" s="41">
        <f t="shared" si="0"/>
        <v>31</v>
      </c>
      <c r="C597" s="32">
        <v>194.20500000000001</v>
      </c>
      <c r="D597" s="32">
        <v>267.46600000000001</v>
      </c>
      <c r="E597" s="38">
        <v>812.32899999999995</v>
      </c>
      <c r="F597" s="32">
        <v>1274</v>
      </c>
      <c r="G597" s="32">
        <v>75</v>
      </c>
      <c r="H597" s="40">
        <v>600</v>
      </c>
      <c r="I597" s="32">
        <v>695</v>
      </c>
      <c r="J597" s="32">
        <v>50</v>
      </c>
      <c r="K597" s="33"/>
      <c r="L597" s="33"/>
      <c r="M597" s="33"/>
      <c r="N597" s="33"/>
      <c r="O597" s="33"/>
      <c r="P597" s="33"/>
      <c r="Q597" s="33"/>
      <c r="R597" s="33"/>
      <c r="S597" s="33"/>
      <c r="T597" s="33"/>
    </row>
    <row r="598" spans="1:20" ht="15.75">
      <c r="A598" s="13">
        <v>60083</v>
      </c>
      <c r="B598" s="41">
        <f t="shared" si="0"/>
        <v>30</v>
      </c>
      <c r="C598" s="32">
        <v>194.20500000000001</v>
      </c>
      <c r="D598" s="32">
        <v>267.46600000000001</v>
      </c>
      <c r="E598" s="38">
        <v>812.32899999999995</v>
      </c>
      <c r="F598" s="32">
        <v>1274</v>
      </c>
      <c r="G598" s="32">
        <v>50</v>
      </c>
      <c r="H598" s="40">
        <v>600</v>
      </c>
      <c r="I598" s="32">
        <v>695</v>
      </c>
      <c r="J598" s="32">
        <v>50</v>
      </c>
      <c r="K598" s="33"/>
      <c r="L598" s="33"/>
      <c r="M598" s="33"/>
      <c r="N598" s="33"/>
      <c r="O598" s="33"/>
      <c r="P598" s="33"/>
      <c r="Q598" s="33"/>
      <c r="R598" s="33"/>
      <c r="S598" s="33"/>
      <c r="T598" s="33"/>
    </row>
    <row r="599" spans="1:20" ht="15.75">
      <c r="A599" s="13">
        <v>60114</v>
      </c>
      <c r="B599" s="41">
        <f t="shared" si="0"/>
        <v>31</v>
      </c>
      <c r="C599" s="32">
        <v>194.20500000000001</v>
      </c>
      <c r="D599" s="32">
        <v>267.46600000000001</v>
      </c>
      <c r="E599" s="38">
        <v>812.32899999999995</v>
      </c>
      <c r="F599" s="32">
        <v>1274</v>
      </c>
      <c r="G599" s="32">
        <v>50</v>
      </c>
      <c r="H599" s="40">
        <v>600</v>
      </c>
      <c r="I599" s="32">
        <v>695</v>
      </c>
      <c r="J599" s="32">
        <v>0</v>
      </c>
      <c r="K599" s="33"/>
      <c r="L599" s="33"/>
      <c r="M599" s="33"/>
      <c r="N599" s="33"/>
      <c r="O599" s="33"/>
      <c r="P599" s="33"/>
      <c r="Q599" s="33"/>
      <c r="R599" s="33"/>
      <c r="S599" s="33"/>
      <c r="T599" s="33"/>
    </row>
    <row r="600" spans="1:20" ht="15.75">
      <c r="A600" s="13">
        <v>60145</v>
      </c>
      <c r="B600" s="41">
        <f t="shared" si="0"/>
        <v>31</v>
      </c>
      <c r="C600" s="32">
        <v>194.20500000000001</v>
      </c>
      <c r="D600" s="32">
        <v>267.46600000000001</v>
      </c>
      <c r="E600" s="38">
        <v>812.32899999999995</v>
      </c>
      <c r="F600" s="32">
        <v>1274</v>
      </c>
      <c r="G600" s="32">
        <v>50</v>
      </c>
      <c r="H600" s="40">
        <v>600</v>
      </c>
      <c r="I600" s="32">
        <v>695</v>
      </c>
      <c r="J600" s="32">
        <v>0</v>
      </c>
      <c r="K600" s="33"/>
      <c r="L600" s="33"/>
      <c r="M600" s="33"/>
      <c r="N600" s="33"/>
      <c r="O600" s="33"/>
      <c r="P600" s="33"/>
      <c r="Q600" s="33"/>
      <c r="R600" s="33"/>
      <c r="S600" s="33"/>
      <c r="T600" s="33"/>
    </row>
    <row r="601" spans="1:20" ht="15.75">
      <c r="A601" s="13">
        <v>60175</v>
      </c>
      <c r="B601" s="41">
        <f t="shared" si="0"/>
        <v>30</v>
      </c>
      <c r="C601" s="32">
        <v>194.20500000000001</v>
      </c>
      <c r="D601" s="32">
        <v>267.46600000000001</v>
      </c>
      <c r="E601" s="38">
        <v>812.32899999999995</v>
      </c>
      <c r="F601" s="32">
        <v>1274</v>
      </c>
      <c r="G601" s="32">
        <v>50</v>
      </c>
      <c r="H601" s="40">
        <v>600</v>
      </c>
      <c r="I601" s="32">
        <v>695</v>
      </c>
      <c r="J601" s="32">
        <v>0</v>
      </c>
      <c r="K601" s="33"/>
      <c r="L601" s="33"/>
      <c r="M601" s="33"/>
      <c r="N601" s="33"/>
      <c r="O601" s="33"/>
      <c r="P601" s="33"/>
      <c r="Q601" s="33"/>
      <c r="R601" s="33"/>
      <c r="S601" s="33"/>
      <c r="T601" s="33"/>
    </row>
    <row r="602" spans="1:20" ht="15.75">
      <c r="A602" s="13">
        <v>60206</v>
      </c>
      <c r="B602" s="41">
        <f t="shared" si="0"/>
        <v>31</v>
      </c>
      <c r="C602" s="32">
        <v>131.881</v>
      </c>
      <c r="D602" s="32">
        <v>277.16699999999997</v>
      </c>
      <c r="E602" s="38">
        <v>829.952</v>
      </c>
      <c r="F602" s="32">
        <v>1239</v>
      </c>
      <c r="G602" s="32">
        <v>75</v>
      </c>
      <c r="H602" s="40">
        <v>600</v>
      </c>
      <c r="I602" s="32">
        <v>695</v>
      </c>
      <c r="J602" s="32">
        <v>0</v>
      </c>
      <c r="K602" s="33"/>
      <c r="L602" s="33"/>
      <c r="M602" s="33"/>
      <c r="N602" s="33"/>
      <c r="O602" s="33"/>
      <c r="P602" s="33"/>
      <c r="Q602" s="33"/>
      <c r="R602" s="33"/>
      <c r="S602" s="33"/>
      <c r="T602" s="33"/>
    </row>
    <row r="603" spans="1:20" ht="15.75">
      <c r="A603" s="13">
        <v>60236</v>
      </c>
      <c r="B603" s="41">
        <f t="shared" si="0"/>
        <v>30</v>
      </c>
      <c r="C603" s="32">
        <v>122.58</v>
      </c>
      <c r="D603" s="32">
        <v>297.94099999999997</v>
      </c>
      <c r="E603" s="38">
        <v>729.47900000000004</v>
      </c>
      <c r="F603" s="32">
        <v>1150</v>
      </c>
      <c r="G603" s="32">
        <v>100</v>
      </c>
      <c r="H603" s="40">
        <v>600</v>
      </c>
      <c r="I603" s="32">
        <v>695</v>
      </c>
      <c r="J603" s="32">
        <v>50</v>
      </c>
      <c r="K603" s="33"/>
      <c r="L603" s="33"/>
      <c r="M603" s="33"/>
      <c r="N603" s="33"/>
      <c r="O603" s="33"/>
      <c r="P603" s="33"/>
      <c r="Q603" s="33"/>
      <c r="R603" s="33"/>
      <c r="S603" s="33"/>
      <c r="T603" s="33"/>
    </row>
    <row r="604" spans="1:20" ht="15.75">
      <c r="A604" s="13">
        <v>60267</v>
      </c>
      <c r="B604" s="41">
        <f t="shared" si="0"/>
        <v>31</v>
      </c>
      <c r="C604" s="32">
        <v>122.58</v>
      </c>
      <c r="D604" s="32">
        <v>297.94099999999997</v>
      </c>
      <c r="E604" s="38">
        <v>729.47900000000004</v>
      </c>
      <c r="F604" s="32">
        <v>1150</v>
      </c>
      <c r="G604" s="32">
        <v>100</v>
      </c>
      <c r="H604" s="40">
        <v>600</v>
      </c>
      <c r="I604" s="32">
        <v>695</v>
      </c>
      <c r="J604" s="32">
        <v>50</v>
      </c>
      <c r="K604" s="33"/>
      <c r="L604" s="33"/>
      <c r="M604" s="33"/>
      <c r="N604" s="33"/>
      <c r="O604" s="33"/>
      <c r="P604" s="33"/>
      <c r="Q604" s="33"/>
      <c r="R604" s="33"/>
      <c r="S604" s="33"/>
      <c r="T604" s="33"/>
    </row>
    <row r="605" spans="1:20" ht="15.75">
      <c r="A605" s="13">
        <v>60298</v>
      </c>
      <c r="B605" s="41">
        <f t="shared" si="0"/>
        <v>31</v>
      </c>
      <c r="C605" s="32">
        <v>122.58</v>
      </c>
      <c r="D605" s="32">
        <v>297.94099999999997</v>
      </c>
      <c r="E605" s="38">
        <v>729.47900000000004</v>
      </c>
      <c r="F605" s="32">
        <v>1150</v>
      </c>
      <c r="G605" s="32">
        <v>100</v>
      </c>
      <c r="H605" s="40">
        <v>600</v>
      </c>
      <c r="I605" s="32">
        <v>695</v>
      </c>
      <c r="J605" s="32">
        <v>50</v>
      </c>
      <c r="K605" s="33"/>
      <c r="L605" s="33"/>
      <c r="M605" s="33"/>
      <c r="N605" s="33"/>
      <c r="O605" s="33"/>
      <c r="P605" s="33"/>
      <c r="Q605" s="33"/>
      <c r="R605" s="33"/>
      <c r="S605" s="33"/>
      <c r="T605" s="33"/>
    </row>
    <row r="606" spans="1:20" ht="15.75">
      <c r="A606" s="13">
        <v>60326</v>
      </c>
      <c r="B606" s="41">
        <f t="shared" si="0"/>
        <v>28</v>
      </c>
      <c r="C606" s="32">
        <v>122.58</v>
      </c>
      <c r="D606" s="32">
        <v>297.94099999999997</v>
      </c>
      <c r="E606" s="38">
        <v>729.47900000000004</v>
      </c>
      <c r="F606" s="32">
        <v>1150</v>
      </c>
      <c r="G606" s="32">
        <v>100</v>
      </c>
      <c r="H606" s="40">
        <v>600</v>
      </c>
      <c r="I606" s="32">
        <v>695</v>
      </c>
      <c r="J606" s="32">
        <v>50</v>
      </c>
      <c r="K606" s="33"/>
      <c r="L606" s="33"/>
      <c r="M606" s="33"/>
      <c r="N606" s="33"/>
      <c r="O606" s="33"/>
      <c r="P606" s="33"/>
      <c r="Q606" s="33"/>
      <c r="R606" s="33"/>
      <c r="S606" s="33"/>
      <c r="T606" s="33"/>
    </row>
    <row r="607" spans="1:20" ht="15.75">
      <c r="A607" s="13">
        <v>60357</v>
      </c>
      <c r="B607" s="41">
        <f t="shared" si="0"/>
        <v>31</v>
      </c>
      <c r="C607" s="32">
        <v>122.58</v>
      </c>
      <c r="D607" s="32">
        <v>297.94099999999997</v>
      </c>
      <c r="E607" s="38">
        <v>729.47900000000004</v>
      </c>
      <c r="F607" s="32">
        <v>1150</v>
      </c>
      <c r="G607" s="32">
        <v>100</v>
      </c>
      <c r="H607" s="40">
        <v>600</v>
      </c>
      <c r="I607" s="32">
        <v>695</v>
      </c>
      <c r="J607" s="32">
        <v>50</v>
      </c>
      <c r="K607" s="33"/>
      <c r="L607" s="33"/>
      <c r="M607" s="33"/>
      <c r="N607" s="33"/>
      <c r="O607" s="33"/>
      <c r="P607" s="33"/>
      <c r="Q607" s="33"/>
      <c r="R607" s="33"/>
      <c r="S607" s="33"/>
      <c r="T607" s="33"/>
    </row>
    <row r="608" spans="1:20" ht="15.75">
      <c r="A608" s="13">
        <v>60387</v>
      </c>
      <c r="B608" s="41">
        <f t="shared" si="0"/>
        <v>30</v>
      </c>
      <c r="C608" s="32">
        <v>141.29300000000001</v>
      </c>
      <c r="D608" s="32">
        <v>267.99299999999999</v>
      </c>
      <c r="E608" s="38">
        <v>829.71400000000006</v>
      </c>
      <c r="F608" s="32">
        <v>1239</v>
      </c>
      <c r="G608" s="32">
        <v>100</v>
      </c>
      <c r="H608" s="40">
        <v>600</v>
      </c>
      <c r="I608" s="32">
        <v>695</v>
      </c>
      <c r="J608" s="32">
        <v>50</v>
      </c>
      <c r="K608" s="33"/>
      <c r="L608" s="33"/>
      <c r="M608" s="33"/>
      <c r="N608" s="33"/>
      <c r="O608" s="33"/>
      <c r="P608" s="33"/>
      <c r="Q608" s="33"/>
      <c r="R608" s="33"/>
      <c r="S608" s="33"/>
      <c r="T608" s="33"/>
    </row>
    <row r="609" spans="1:20" ht="15.75">
      <c r="A609" s="13">
        <v>60418</v>
      </c>
      <c r="B609" s="41">
        <f t="shared" si="0"/>
        <v>31</v>
      </c>
      <c r="C609" s="32">
        <v>194.20500000000001</v>
      </c>
      <c r="D609" s="32">
        <v>267.46600000000001</v>
      </c>
      <c r="E609" s="38">
        <v>812.32899999999995</v>
      </c>
      <c r="F609" s="32">
        <v>1274</v>
      </c>
      <c r="G609" s="32">
        <v>75</v>
      </c>
      <c r="H609" s="40">
        <v>600</v>
      </c>
      <c r="I609" s="32">
        <v>695</v>
      </c>
      <c r="J609" s="32">
        <v>50</v>
      </c>
      <c r="K609" s="33"/>
      <c r="L609" s="33"/>
      <c r="M609" s="33"/>
      <c r="N609" s="33"/>
      <c r="O609" s="33"/>
      <c r="P609" s="33"/>
      <c r="Q609" s="33"/>
      <c r="R609" s="33"/>
      <c r="S609" s="33"/>
      <c r="T609" s="33"/>
    </row>
    <row r="610" spans="1:20" ht="15.75">
      <c r="A610" s="13">
        <v>60448</v>
      </c>
      <c r="B610" s="41">
        <f t="shared" si="0"/>
        <v>30</v>
      </c>
      <c r="C610" s="32">
        <v>194.20500000000001</v>
      </c>
      <c r="D610" s="32">
        <v>267.46600000000001</v>
      </c>
      <c r="E610" s="38">
        <v>812.32899999999995</v>
      </c>
      <c r="F610" s="32">
        <v>1274</v>
      </c>
      <c r="G610" s="32">
        <v>50</v>
      </c>
      <c r="H610" s="40">
        <v>600</v>
      </c>
      <c r="I610" s="32">
        <v>695</v>
      </c>
      <c r="J610" s="32">
        <v>50</v>
      </c>
      <c r="K610" s="33"/>
      <c r="L610" s="33"/>
      <c r="M610" s="33"/>
      <c r="N610" s="33"/>
      <c r="O610" s="33"/>
      <c r="P610" s="33"/>
      <c r="Q610" s="33"/>
      <c r="R610" s="33"/>
      <c r="S610" s="33"/>
      <c r="T610" s="33"/>
    </row>
    <row r="611" spans="1:20" ht="15.75">
      <c r="A611" s="13">
        <v>60479</v>
      </c>
      <c r="B611" s="41">
        <f t="shared" si="0"/>
        <v>31</v>
      </c>
      <c r="C611" s="32">
        <v>194.20500000000001</v>
      </c>
      <c r="D611" s="32">
        <v>267.46600000000001</v>
      </c>
      <c r="E611" s="38">
        <v>812.32899999999995</v>
      </c>
      <c r="F611" s="32">
        <v>1274</v>
      </c>
      <c r="G611" s="32">
        <v>50</v>
      </c>
      <c r="H611" s="40">
        <v>600</v>
      </c>
      <c r="I611" s="32">
        <v>695</v>
      </c>
      <c r="J611" s="32">
        <v>0</v>
      </c>
      <c r="K611" s="33"/>
      <c r="L611" s="33"/>
      <c r="M611" s="33"/>
      <c r="N611" s="33"/>
      <c r="O611" s="33"/>
      <c r="P611" s="33"/>
      <c r="Q611" s="33"/>
      <c r="R611" s="33"/>
      <c r="S611" s="33"/>
      <c r="T611" s="33"/>
    </row>
    <row r="612" spans="1:20" ht="15.75">
      <c r="A612" s="13">
        <v>60510</v>
      </c>
      <c r="B612" s="41">
        <f t="shared" si="0"/>
        <v>31</v>
      </c>
      <c r="C612" s="32">
        <v>194.20500000000001</v>
      </c>
      <c r="D612" s="32">
        <v>267.46600000000001</v>
      </c>
      <c r="E612" s="38">
        <v>812.32899999999995</v>
      </c>
      <c r="F612" s="32">
        <v>1274</v>
      </c>
      <c r="G612" s="32">
        <v>50</v>
      </c>
      <c r="H612" s="40">
        <v>600</v>
      </c>
      <c r="I612" s="32">
        <v>695</v>
      </c>
      <c r="J612" s="32">
        <v>0</v>
      </c>
      <c r="K612" s="33"/>
      <c r="L612" s="33"/>
      <c r="M612" s="33"/>
      <c r="N612" s="33"/>
      <c r="O612" s="33"/>
      <c r="P612" s="33"/>
      <c r="Q612" s="33"/>
      <c r="R612" s="33"/>
      <c r="S612" s="33"/>
      <c r="T612" s="33"/>
    </row>
    <row r="613" spans="1:20" ht="15.75">
      <c r="A613" s="13">
        <v>60540</v>
      </c>
      <c r="B613" s="41">
        <f t="shared" si="0"/>
        <v>30</v>
      </c>
      <c r="C613" s="32">
        <v>194.20500000000001</v>
      </c>
      <c r="D613" s="32">
        <v>267.46600000000001</v>
      </c>
      <c r="E613" s="38">
        <v>812.32899999999995</v>
      </c>
      <c r="F613" s="32">
        <v>1274</v>
      </c>
      <c r="G613" s="32">
        <v>50</v>
      </c>
      <c r="H613" s="40">
        <v>600</v>
      </c>
      <c r="I613" s="32">
        <v>695</v>
      </c>
      <c r="J613" s="32">
        <v>0</v>
      </c>
      <c r="K613" s="33"/>
      <c r="L613" s="33"/>
      <c r="M613" s="33"/>
      <c r="N613" s="33"/>
      <c r="O613" s="33"/>
      <c r="P613" s="33"/>
      <c r="Q613" s="33"/>
      <c r="R613" s="33"/>
      <c r="S613" s="33"/>
      <c r="T613" s="33"/>
    </row>
    <row r="614" spans="1:20" ht="15.75">
      <c r="A614" s="13">
        <v>60571</v>
      </c>
      <c r="B614" s="41">
        <f t="shared" si="0"/>
        <v>31</v>
      </c>
      <c r="C614" s="32">
        <v>131.881</v>
      </c>
      <c r="D614" s="32">
        <v>277.16699999999997</v>
      </c>
      <c r="E614" s="38">
        <v>829.952</v>
      </c>
      <c r="F614" s="32">
        <v>1239</v>
      </c>
      <c r="G614" s="32">
        <v>75</v>
      </c>
      <c r="H614" s="40">
        <v>600</v>
      </c>
      <c r="I614" s="32">
        <v>695</v>
      </c>
      <c r="J614" s="32">
        <v>0</v>
      </c>
      <c r="K614" s="33"/>
      <c r="L614" s="33"/>
      <c r="M614" s="33"/>
      <c r="N614" s="33"/>
      <c r="O614" s="33"/>
      <c r="P614" s="33"/>
      <c r="Q614" s="33"/>
      <c r="R614" s="33"/>
      <c r="S614" s="33"/>
      <c r="T614" s="33"/>
    </row>
    <row r="615" spans="1:20" ht="15.75">
      <c r="A615" s="13">
        <v>60601</v>
      </c>
      <c r="B615" s="41">
        <f t="shared" si="0"/>
        <v>30</v>
      </c>
      <c r="C615" s="32">
        <v>122.58</v>
      </c>
      <c r="D615" s="32">
        <v>297.94099999999997</v>
      </c>
      <c r="E615" s="38">
        <v>729.47900000000004</v>
      </c>
      <c r="F615" s="32">
        <v>1150</v>
      </c>
      <c r="G615" s="32">
        <v>100</v>
      </c>
      <c r="H615" s="40">
        <v>600</v>
      </c>
      <c r="I615" s="32">
        <v>695</v>
      </c>
      <c r="J615" s="32">
        <v>50</v>
      </c>
      <c r="K615" s="33"/>
      <c r="L615" s="33"/>
      <c r="M615" s="33"/>
      <c r="N615" s="33"/>
      <c r="O615" s="33"/>
      <c r="P615" s="33"/>
      <c r="Q615" s="33"/>
      <c r="R615" s="33"/>
      <c r="S615" s="33"/>
      <c r="T615" s="33"/>
    </row>
    <row r="616" spans="1:20" ht="15.75">
      <c r="A616" s="13">
        <v>60632</v>
      </c>
      <c r="B616" s="41">
        <f t="shared" si="0"/>
        <v>31</v>
      </c>
      <c r="C616" s="32">
        <v>122.58</v>
      </c>
      <c r="D616" s="32">
        <v>297.94099999999997</v>
      </c>
      <c r="E616" s="38">
        <v>729.47900000000004</v>
      </c>
      <c r="F616" s="32">
        <v>1150</v>
      </c>
      <c r="G616" s="32">
        <v>100</v>
      </c>
      <c r="H616" s="40">
        <v>600</v>
      </c>
      <c r="I616" s="32">
        <v>695</v>
      </c>
      <c r="J616" s="32">
        <v>50</v>
      </c>
      <c r="K616" s="33"/>
      <c r="L616" s="33"/>
      <c r="M616" s="33"/>
      <c r="N616" s="33"/>
      <c r="O616" s="33"/>
      <c r="P616" s="33"/>
      <c r="Q616" s="33"/>
      <c r="R616" s="33"/>
      <c r="S616" s="33"/>
      <c r="T616" s="33"/>
    </row>
    <row r="617" spans="1:20" ht="15.75">
      <c r="A617" s="13">
        <v>60663</v>
      </c>
      <c r="B617" s="41">
        <f t="shared" si="0"/>
        <v>31</v>
      </c>
      <c r="C617" s="32">
        <v>122.58</v>
      </c>
      <c r="D617" s="32">
        <v>297.94099999999997</v>
      </c>
      <c r="E617" s="38">
        <v>729.47900000000004</v>
      </c>
      <c r="F617" s="32">
        <v>1150</v>
      </c>
      <c r="G617" s="32">
        <v>100</v>
      </c>
      <c r="H617" s="40">
        <v>600</v>
      </c>
      <c r="I617" s="32">
        <v>695</v>
      </c>
      <c r="J617" s="32">
        <v>50</v>
      </c>
      <c r="K617" s="33"/>
      <c r="L617" s="33"/>
      <c r="M617" s="33"/>
      <c r="N617" s="33"/>
      <c r="O617" s="33"/>
      <c r="P617" s="33"/>
      <c r="Q617" s="33"/>
      <c r="R617" s="33"/>
      <c r="S617" s="33"/>
      <c r="T617" s="33"/>
    </row>
    <row r="618" spans="1:20" ht="15.75">
      <c r="A618" s="13">
        <v>60691</v>
      </c>
      <c r="B618" s="41">
        <f t="shared" si="0"/>
        <v>28</v>
      </c>
      <c r="C618" s="32">
        <v>122.58</v>
      </c>
      <c r="D618" s="32">
        <v>297.94099999999997</v>
      </c>
      <c r="E618" s="38">
        <v>729.47900000000004</v>
      </c>
      <c r="F618" s="32">
        <v>1150</v>
      </c>
      <c r="G618" s="32">
        <v>100</v>
      </c>
      <c r="H618" s="40">
        <v>600</v>
      </c>
      <c r="I618" s="32">
        <v>695</v>
      </c>
      <c r="J618" s="32">
        <v>50</v>
      </c>
      <c r="K618" s="33"/>
      <c r="L618" s="33"/>
      <c r="M618" s="33"/>
      <c r="N618" s="33"/>
      <c r="O618" s="33"/>
      <c r="P618" s="33"/>
      <c r="Q618" s="33"/>
      <c r="R618" s="33"/>
      <c r="S618" s="33"/>
      <c r="T618" s="33"/>
    </row>
    <row r="619" spans="1:20" ht="15.75">
      <c r="A619" s="13">
        <v>60722</v>
      </c>
      <c r="B619" s="41">
        <f t="shared" si="0"/>
        <v>31</v>
      </c>
      <c r="C619" s="32">
        <v>122.58</v>
      </c>
      <c r="D619" s="32">
        <v>297.94099999999997</v>
      </c>
      <c r="E619" s="38">
        <v>729.47900000000004</v>
      </c>
      <c r="F619" s="32">
        <v>1150</v>
      </c>
      <c r="G619" s="32">
        <v>100</v>
      </c>
      <c r="H619" s="40">
        <v>600</v>
      </c>
      <c r="I619" s="32">
        <v>695</v>
      </c>
      <c r="J619" s="32">
        <v>50</v>
      </c>
      <c r="K619" s="33"/>
      <c r="L619" s="33"/>
      <c r="M619" s="33"/>
      <c r="N619" s="33"/>
      <c r="O619" s="33"/>
      <c r="P619" s="33"/>
      <c r="Q619" s="33"/>
      <c r="R619" s="33"/>
      <c r="S619" s="33"/>
      <c r="T619" s="33"/>
    </row>
    <row r="620" spans="1:20" ht="15.75">
      <c r="A620" s="13">
        <v>60752</v>
      </c>
      <c r="B620" s="41">
        <f t="shared" si="0"/>
        <v>30</v>
      </c>
      <c r="C620" s="32">
        <v>141.29300000000001</v>
      </c>
      <c r="D620" s="32">
        <v>267.99299999999999</v>
      </c>
      <c r="E620" s="38">
        <v>829.71400000000006</v>
      </c>
      <c r="F620" s="32">
        <v>1239</v>
      </c>
      <c r="G620" s="32">
        <v>100</v>
      </c>
      <c r="H620" s="40">
        <v>600</v>
      </c>
      <c r="I620" s="32">
        <v>695</v>
      </c>
      <c r="J620" s="32">
        <v>50</v>
      </c>
      <c r="K620" s="33"/>
      <c r="L620" s="33"/>
      <c r="M620" s="33"/>
      <c r="N620" s="33"/>
      <c r="O620" s="33"/>
      <c r="P620" s="33"/>
      <c r="Q620" s="33"/>
      <c r="R620" s="33"/>
      <c r="S620" s="33"/>
      <c r="T620" s="33"/>
    </row>
    <row r="621" spans="1:20" ht="15.75">
      <c r="A621" s="13">
        <v>60783</v>
      </c>
      <c r="B621" s="41">
        <f t="shared" si="0"/>
        <v>31</v>
      </c>
      <c r="C621" s="32">
        <v>194.20500000000001</v>
      </c>
      <c r="D621" s="32">
        <v>267.46600000000001</v>
      </c>
      <c r="E621" s="38">
        <v>812.32899999999995</v>
      </c>
      <c r="F621" s="32">
        <v>1274</v>
      </c>
      <c r="G621" s="32">
        <v>75</v>
      </c>
      <c r="H621" s="40">
        <v>600</v>
      </c>
      <c r="I621" s="32">
        <v>695</v>
      </c>
      <c r="J621" s="32">
        <v>50</v>
      </c>
      <c r="K621" s="33"/>
      <c r="L621" s="33"/>
      <c r="M621" s="33"/>
      <c r="N621" s="33"/>
      <c r="O621" s="33"/>
      <c r="P621" s="33"/>
      <c r="Q621" s="33"/>
      <c r="R621" s="33"/>
      <c r="S621" s="33"/>
      <c r="T621" s="33"/>
    </row>
    <row r="622" spans="1:20" ht="15.75">
      <c r="A622" s="13">
        <v>60813</v>
      </c>
      <c r="B622" s="41">
        <f t="shared" si="0"/>
        <v>30</v>
      </c>
      <c r="C622" s="32">
        <v>194.20500000000001</v>
      </c>
      <c r="D622" s="32">
        <v>267.46600000000001</v>
      </c>
      <c r="E622" s="38">
        <v>812.32899999999995</v>
      </c>
      <c r="F622" s="32">
        <v>1274</v>
      </c>
      <c r="G622" s="32">
        <v>50</v>
      </c>
      <c r="H622" s="40">
        <v>600</v>
      </c>
      <c r="I622" s="32">
        <v>695</v>
      </c>
      <c r="J622" s="32">
        <v>50</v>
      </c>
      <c r="K622" s="33"/>
      <c r="L622" s="33"/>
      <c r="M622" s="33"/>
      <c r="N622" s="33"/>
      <c r="O622" s="33"/>
      <c r="P622" s="33"/>
      <c r="Q622" s="33"/>
      <c r="R622" s="33"/>
      <c r="S622" s="33"/>
      <c r="T622" s="33"/>
    </row>
    <row r="623" spans="1:20" ht="15.75">
      <c r="A623" s="13">
        <v>60844</v>
      </c>
      <c r="B623" s="41">
        <f t="shared" si="0"/>
        <v>31</v>
      </c>
      <c r="C623" s="32">
        <v>194.20500000000001</v>
      </c>
      <c r="D623" s="32">
        <v>267.46600000000001</v>
      </c>
      <c r="E623" s="38">
        <v>812.32899999999995</v>
      </c>
      <c r="F623" s="32">
        <v>1274</v>
      </c>
      <c r="G623" s="32">
        <v>50</v>
      </c>
      <c r="H623" s="40">
        <v>600</v>
      </c>
      <c r="I623" s="32">
        <v>695</v>
      </c>
      <c r="J623" s="32">
        <v>0</v>
      </c>
      <c r="K623" s="33"/>
      <c r="L623" s="33"/>
      <c r="M623" s="33"/>
      <c r="N623" s="33"/>
      <c r="O623" s="33"/>
      <c r="P623" s="33"/>
      <c r="Q623" s="33"/>
      <c r="R623" s="33"/>
      <c r="S623" s="33"/>
      <c r="T623" s="33"/>
    </row>
    <row r="624" spans="1:20" ht="15.75">
      <c r="A624" s="13">
        <v>60875</v>
      </c>
      <c r="B624" s="41">
        <f t="shared" si="0"/>
        <v>31</v>
      </c>
      <c r="C624" s="32">
        <v>194.20500000000001</v>
      </c>
      <c r="D624" s="32">
        <v>267.46600000000001</v>
      </c>
      <c r="E624" s="38">
        <v>812.32899999999995</v>
      </c>
      <c r="F624" s="32">
        <v>1274</v>
      </c>
      <c r="G624" s="32">
        <v>50</v>
      </c>
      <c r="H624" s="40">
        <v>600</v>
      </c>
      <c r="I624" s="32">
        <v>695</v>
      </c>
      <c r="J624" s="32">
        <v>0</v>
      </c>
      <c r="K624" s="33"/>
      <c r="L624" s="33"/>
      <c r="M624" s="33"/>
      <c r="N624" s="33"/>
      <c r="O624" s="33"/>
      <c r="P624" s="33"/>
      <c r="Q624" s="33"/>
      <c r="R624" s="33"/>
      <c r="S624" s="33"/>
      <c r="T624" s="33"/>
    </row>
    <row r="625" spans="1:20" ht="15.75">
      <c r="A625" s="13">
        <v>60905</v>
      </c>
      <c r="B625" s="41">
        <f t="shared" si="0"/>
        <v>30</v>
      </c>
      <c r="C625" s="32">
        <v>194.20500000000001</v>
      </c>
      <c r="D625" s="32">
        <v>267.46600000000001</v>
      </c>
      <c r="E625" s="38">
        <v>812.32899999999995</v>
      </c>
      <c r="F625" s="32">
        <v>1274</v>
      </c>
      <c r="G625" s="32">
        <v>50</v>
      </c>
      <c r="H625" s="40">
        <v>600</v>
      </c>
      <c r="I625" s="32">
        <v>695</v>
      </c>
      <c r="J625" s="32">
        <v>0</v>
      </c>
      <c r="K625" s="33"/>
      <c r="L625" s="33"/>
      <c r="M625" s="33"/>
      <c r="N625" s="33"/>
      <c r="O625" s="33"/>
      <c r="P625" s="33"/>
      <c r="Q625" s="33"/>
      <c r="R625" s="33"/>
      <c r="S625" s="33"/>
      <c r="T625" s="33"/>
    </row>
    <row r="626" spans="1:20" ht="15.75">
      <c r="A626" s="13">
        <v>60936</v>
      </c>
      <c r="B626" s="41">
        <f t="shared" si="0"/>
        <v>31</v>
      </c>
      <c r="C626" s="32">
        <v>131.881</v>
      </c>
      <c r="D626" s="32">
        <v>277.16699999999997</v>
      </c>
      <c r="E626" s="38">
        <v>829.952</v>
      </c>
      <c r="F626" s="32">
        <v>1239</v>
      </c>
      <c r="G626" s="32">
        <v>75</v>
      </c>
      <c r="H626" s="40">
        <v>600</v>
      </c>
      <c r="I626" s="32">
        <v>695</v>
      </c>
      <c r="J626" s="32">
        <v>0</v>
      </c>
      <c r="K626" s="33"/>
      <c r="L626" s="33"/>
      <c r="M626" s="33"/>
      <c r="N626" s="33"/>
      <c r="O626" s="33"/>
      <c r="P626" s="33"/>
      <c r="Q626" s="33"/>
      <c r="R626" s="33"/>
      <c r="S626" s="33"/>
      <c r="T626" s="33"/>
    </row>
    <row r="627" spans="1:20" ht="15.75">
      <c r="A627" s="13">
        <v>60966</v>
      </c>
      <c r="B627" s="41">
        <f t="shared" si="0"/>
        <v>30</v>
      </c>
      <c r="C627" s="32">
        <v>122.58</v>
      </c>
      <c r="D627" s="32">
        <v>297.94099999999997</v>
      </c>
      <c r="E627" s="38">
        <v>729.47900000000004</v>
      </c>
      <c r="F627" s="32">
        <v>1150</v>
      </c>
      <c r="G627" s="32">
        <v>100</v>
      </c>
      <c r="H627" s="40">
        <v>600</v>
      </c>
      <c r="I627" s="32">
        <v>695</v>
      </c>
      <c r="J627" s="32">
        <v>50</v>
      </c>
      <c r="K627" s="33"/>
      <c r="L627" s="33"/>
      <c r="M627" s="33"/>
      <c r="N627" s="33"/>
      <c r="O627" s="33"/>
      <c r="P627" s="33"/>
      <c r="Q627" s="33"/>
      <c r="R627" s="33"/>
      <c r="S627" s="33"/>
      <c r="T627" s="33"/>
    </row>
    <row r="628" spans="1:20" ht="15.75">
      <c r="A628" s="13">
        <v>60997</v>
      </c>
      <c r="B628" s="41">
        <f t="shared" si="0"/>
        <v>31</v>
      </c>
      <c r="C628" s="32">
        <v>122.58</v>
      </c>
      <c r="D628" s="32">
        <v>297.94099999999997</v>
      </c>
      <c r="E628" s="38">
        <v>729.47900000000004</v>
      </c>
      <c r="F628" s="32">
        <v>1150</v>
      </c>
      <c r="G628" s="32">
        <v>100</v>
      </c>
      <c r="H628" s="40">
        <v>600</v>
      </c>
      <c r="I628" s="32">
        <v>695</v>
      </c>
      <c r="J628" s="32">
        <v>50</v>
      </c>
      <c r="K628" s="33"/>
      <c r="L628" s="33"/>
      <c r="M628" s="33"/>
      <c r="N628" s="33"/>
      <c r="O628" s="33"/>
      <c r="P628" s="33"/>
      <c r="Q628" s="33"/>
      <c r="R628" s="33"/>
      <c r="S628" s="33"/>
      <c r="T628" s="33"/>
    </row>
    <row r="629" spans="1:20" ht="15.75">
      <c r="A629" s="13">
        <v>61028</v>
      </c>
      <c r="B629" s="41">
        <f t="shared" si="0"/>
        <v>31</v>
      </c>
      <c r="C629" s="32">
        <v>122.58</v>
      </c>
      <c r="D629" s="32">
        <v>297.94099999999997</v>
      </c>
      <c r="E629" s="38">
        <v>729.47900000000004</v>
      </c>
      <c r="F629" s="32">
        <v>1150</v>
      </c>
      <c r="G629" s="32">
        <v>100</v>
      </c>
      <c r="H629" s="40">
        <v>600</v>
      </c>
      <c r="I629" s="32">
        <v>695</v>
      </c>
      <c r="J629" s="32">
        <v>50</v>
      </c>
      <c r="K629" s="33"/>
      <c r="L629" s="33"/>
      <c r="M629" s="33"/>
      <c r="N629" s="33"/>
      <c r="O629" s="33"/>
      <c r="P629" s="33"/>
      <c r="Q629" s="33"/>
      <c r="R629" s="33"/>
      <c r="S629" s="33"/>
      <c r="T629" s="33"/>
    </row>
    <row r="630" spans="1:20" ht="15.75">
      <c r="A630" s="13">
        <v>61056</v>
      </c>
      <c r="B630" s="41">
        <f t="shared" si="0"/>
        <v>28</v>
      </c>
      <c r="C630" s="32">
        <v>122.58</v>
      </c>
      <c r="D630" s="32">
        <v>297.94099999999997</v>
      </c>
      <c r="E630" s="38">
        <v>729.47900000000004</v>
      </c>
      <c r="F630" s="32">
        <v>1150</v>
      </c>
      <c r="G630" s="32">
        <v>100</v>
      </c>
      <c r="H630" s="40">
        <v>600</v>
      </c>
      <c r="I630" s="32">
        <v>695</v>
      </c>
      <c r="J630" s="32">
        <v>50</v>
      </c>
      <c r="K630" s="33"/>
      <c r="L630" s="33"/>
      <c r="M630" s="33"/>
      <c r="N630" s="33"/>
      <c r="O630" s="33"/>
      <c r="P630" s="33"/>
      <c r="Q630" s="33"/>
      <c r="R630" s="33"/>
      <c r="S630" s="33"/>
      <c r="T630" s="33"/>
    </row>
    <row r="631" spans="1:20" ht="15.75">
      <c r="A631" s="13">
        <v>61087</v>
      </c>
      <c r="B631" s="41">
        <f t="shared" si="0"/>
        <v>31</v>
      </c>
      <c r="C631" s="32">
        <v>122.58</v>
      </c>
      <c r="D631" s="32">
        <v>297.94099999999997</v>
      </c>
      <c r="E631" s="38">
        <v>729.47900000000004</v>
      </c>
      <c r="F631" s="32">
        <v>1150</v>
      </c>
      <c r="G631" s="32">
        <v>100</v>
      </c>
      <c r="H631" s="40">
        <v>600</v>
      </c>
      <c r="I631" s="32">
        <v>695</v>
      </c>
      <c r="J631" s="32">
        <v>50</v>
      </c>
      <c r="K631" s="33"/>
      <c r="L631" s="33"/>
      <c r="M631" s="33"/>
      <c r="N631" s="33"/>
      <c r="O631" s="33"/>
      <c r="P631" s="33"/>
      <c r="Q631" s="33"/>
      <c r="R631" s="33"/>
      <c r="S631" s="33"/>
      <c r="T631" s="33"/>
    </row>
    <row r="632" spans="1:20" ht="15.75">
      <c r="A632" s="13">
        <v>61117</v>
      </c>
      <c r="B632" s="41">
        <f t="shared" si="0"/>
        <v>30</v>
      </c>
      <c r="C632" s="32">
        <v>141.29300000000001</v>
      </c>
      <c r="D632" s="32">
        <v>267.99299999999999</v>
      </c>
      <c r="E632" s="38">
        <v>829.71400000000006</v>
      </c>
      <c r="F632" s="32">
        <v>1239</v>
      </c>
      <c r="G632" s="32">
        <v>100</v>
      </c>
      <c r="H632" s="40">
        <v>600</v>
      </c>
      <c r="I632" s="32">
        <v>695</v>
      </c>
      <c r="J632" s="32">
        <v>50</v>
      </c>
      <c r="K632" s="33"/>
      <c r="L632" s="33"/>
      <c r="M632" s="33"/>
      <c r="N632" s="33"/>
      <c r="O632" s="33"/>
      <c r="P632" s="33"/>
      <c r="Q632" s="33"/>
      <c r="R632" s="33"/>
      <c r="S632" s="33"/>
      <c r="T632" s="33"/>
    </row>
    <row r="633" spans="1:20" ht="15.75">
      <c r="A633" s="13">
        <v>61148</v>
      </c>
      <c r="B633" s="41">
        <f t="shared" ref="B633:B696" si="1">EOMONTH(A633,0)-EOMONTH(A633,-1)</f>
        <v>31</v>
      </c>
      <c r="C633" s="32">
        <v>194.20500000000001</v>
      </c>
      <c r="D633" s="32">
        <v>267.46600000000001</v>
      </c>
      <c r="E633" s="38">
        <v>812.32899999999995</v>
      </c>
      <c r="F633" s="32">
        <v>1274</v>
      </c>
      <c r="G633" s="32">
        <v>75</v>
      </c>
      <c r="H633" s="40">
        <v>600</v>
      </c>
      <c r="I633" s="32">
        <v>695</v>
      </c>
      <c r="J633" s="32">
        <v>50</v>
      </c>
      <c r="K633" s="33"/>
      <c r="L633" s="33"/>
      <c r="M633" s="33"/>
      <c r="N633" s="33"/>
      <c r="O633" s="33"/>
      <c r="P633" s="33"/>
      <c r="Q633" s="33"/>
      <c r="R633" s="33"/>
      <c r="S633" s="33"/>
      <c r="T633" s="33"/>
    </row>
    <row r="634" spans="1:20" ht="15.75">
      <c r="A634" s="13">
        <v>61178</v>
      </c>
      <c r="B634" s="41">
        <f t="shared" si="1"/>
        <v>30</v>
      </c>
      <c r="C634" s="32">
        <v>194.20500000000001</v>
      </c>
      <c r="D634" s="32">
        <v>267.46600000000001</v>
      </c>
      <c r="E634" s="38">
        <v>812.32899999999995</v>
      </c>
      <c r="F634" s="32">
        <v>1274</v>
      </c>
      <c r="G634" s="32">
        <v>50</v>
      </c>
      <c r="H634" s="40">
        <v>600</v>
      </c>
      <c r="I634" s="32">
        <v>695</v>
      </c>
      <c r="J634" s="32">
        <v>50</v>
      </c>
      <c r="K634" s="33"/>
      <c r="L634" s="33"/>
      <c r="M634" s="33"/>
      <c r="N634" s="33"/>
      <c r="O634" s="33"/>
      <c r="P634" s="33"/>
      <c r="Q634" s="33"/>
      <c r="R634" s="33"/>
      <c r="S634" s="33"/>
      <c r="T634" s="33"/>
    </row>
    <row r="635" spans="1:20" ht="15.75">
      <c r="A635" s="13">
        <v>61209</v>
      </c>
      <c r="B635" s="41">
        <f t="shared" si="1"/>
        <v>31</v>
      </c>
      <c r="C635" s="32">
        <v>194.20500000000001</v>
      </c>
      <c r="D635" s="32">
        <v>267.46600000000001</v>
      </c>
      <c r="E635" s="38">
        <v>812.32899999999995</v>
      </c>
      <c r="F635" s="32">
        <v>1274</v>
      </c>
      <c r="G635" s="32">
        <v>50</v>
      </c>
      <c r="H635" s="40">
        <v>600</v>
      </c>
      <c r="I635" s="32">
        <v>695</v>
      </c>
      <c r="J635" s="32">
        <v>0</v>
      </c>
      <c r="K635" s="33"/>
      <c r="L635" s="33"/>
      <c r="M635" s="33"/>
      <c r="N635" s="33"/>
      <c r="O635" s="33"/>
      <c r="P635" s="33"/>
      <c r="Q635" s="33"/>
      <c r="R635" s="33"/>
      <c r="S635" s="33"/>
      <c r="T635" s="33"/>
    </row>
    <row r="636" spans="1:20" ht="15.75">
      <c r="A636" s="13">
        <v>61240</v>
      </c>
      <c r="B636" s="41">
        <f t="shared" si="1"/>
        <v>31</v>
      </c>
      <c r="C636" s="32">
        <v>194.20500000000001</v>
      </c>
      <c r="D636" s="32">
        <v>267.46600000000001</v>
      </c>
      <c r="E636" s="38">
        <v>812.32899999999995</v>
      </c>
      <c r="F636" s="32">
        <v>1274</v>
      </c>
      <c r="G636" s="32">
        <v>50</v>
      </c>
      <c r="H636" s="40">
        <v>600</v>
      </c>
      <c r="I636" s="32">
        <v>695</v>
      </c>
      <c r="J636" s="32">
        <v>0</v>
      </c>
      <c r="K636" s="33"/>
      <c r="L636" s="33"/>
      <c r="M636" s="33"/>
      <c r="N636" s="33"/>
      <c r="O636" s="33"/>
      <c r="P636" s="33"/>
      <c r="Q636" s="33"/>
      <c r="R636" s="33"/>
      <c r="S636" s="33"/>
      <c r="T636" s="33"/>
    </row>
    <row r="637" spans="1:20" ht="15.75">
      <c r="A637" s="13">
        <v>61270</v>
      </c>
      <c r="B637" s="41">
        <f t="shared" si="1"/>
        <v>30</v>
      </c>
      <c r="C637" s="32">
        <v>194.20500000000001</v>
      </c>
      <c r="D637" s="32">
        <v>267.46600000000001</v>
      </c>
      <c r="E637" s="38">
        <v>812.32899999999995</v>
      </c>
      <c r="F637" s="32">
        <v>1274</v>
      </c>
      <c r="G637" s="32">
        <v>50</v>
      </c>
      <c r="H637" s="40">
        <v>600</v>
      </c>
      <c r="I637" s="32">
        <v>695</v>
      </c>
      <c r="J637" s="32">
        <v>0</v>
      </c>
      <c r="K637" s="33"/>
      <c r="L637" s="33"/>
      <c r="M637" s="33"/>
      <c r="N637" s="33"/>
      <c r="O637" s="33"/>
      <c r="P637" s="33"/>
      <c r="Q637" s="33"/>
      <c r="R637" s="33"/>
      <c r="S637" s="33"/>
      <c r="T637" s="33"/>
    </row>
    <row r="638" spans="1:20" ht="15.75">
      <c r="A638" s="13">
        <v>61301</v>
      </c>
      <c r="B638" s="41">
        <f t="shared" si="1"/>
        <v>31</v>
      </c>
      <c r="C638" s="32">
        <v>131.881</v>
      </c>
      <c r="D638" s="32">
        <v>277.16699999999997</v>
      </c>
      <c r="E638" s="38">
        <v>829.952</v>
      </c>
      <c r="F638" s="32">
        <v>1239</v>
      </c>
      <c r="G638" s="32">
        <v>75</v>
      </c>
      <c r="H638" s="40">
        <v>600</v>
      </c>
      <c r="I638" s="32">
        <v>695</v>
      </c>
      <c r="J638" s="32">
        <v>0</v>
      </c>
      <c r="K638" s="33"/>
      <c r="L638" s="33"/>
      <c r="M638" s="33"/>
      <c r="N638" s="33"/>
      <c r="O638" s="33"/>
      <c r="P638" s="33"/>
      <c r="Q638" s="33"/>
      <c r="R638" s="33"/>
      <c r="S638" s="33"/>
      <c r="T638" s="33"/>
    </row>
    <row r="639" spans="1:20" ht="15.75">
      <c r="A639" s="13">
        <v>61331</v>
      </c>
      <c r="B639" s="41">
        <f t="shared" si="1"/>
        <v>30</v>
      </c>
      <c r="C639" s="32">
        <v>122.58</v>
      </c>
      <c r="D639" s="32">
        <v>297.94099999999997</v>
      </c>
      <c r="E639" s="38">
        <v>729.47900000000004</v>
      </c>
      <c r="F639" s="32">
        <v>1150</v>
      </c>
      <c r="G639" s="32">
        <v>100</v>
      </c>
      <c r="H639" s="40">
        <v>600</v>
      </c>
      <c r="I639" s="32">
        <v>695</v>
      </c>
      <c r="J639" s="32">
        <v>50</v>
      </c>
      <c r="K639" s="33"/>
      <c r="L639" s="33"/>
      <c r="M639" s="33"/>
      <c r="N639" s="33"/>
      <c r="O639" s="33"/>
      <c r="P639" s="33"/>
      <c r="Q639" s="33"/>
      <c r="R639" s="33"/>
      <c r="S639" s="33"/>
      <c r="T639" s="33"/>
    </row>
    <row r="640" spans="1:20" ht="15.75">
      <c r="A640" s="13">
        <v>61362</v>
      </c>
      <c r="B640" s="41">
        <f t="shared" si="1"/>
        <v>31</v>
      </c>
      <c r="C640" s="32">
        <v>122.58</v>
      </c>
      <c r="D640" s="32">
        <v>297.94099999999997</v>
      </c>
      <c r="E640" s="38">
        <v>729.47900000000004</v>
      </c>
      <c r="F640" s="32">
        <v>1150</v>
      </c>
      <c r="G640" s="32">
        <v>100</v>
      </c>
      <c r="H640" s="40">
        <v>600</v>
      </c>
      <c r="I640" s="32">
        <v>695</v>
      </c>
      <c r="J640" s="32">
        <v>50</v>
      </c>
      <c r="K640" s="33"/>
      <c r="L640" s="33"/>
      <c r="M640" s="33"/>
      <c r="N640" s="33"/>
      <c r="O640" s="33"/>
      <c r="P640" s="33"/>
      <c r="Q640" s="33"/>
      <c r="R640" s="33"/>
      <c r="S640" s="33"/>
      <c r="T640" s="33"/>
    </row>
    <row r="641" spans="1:20" ht="15.75">
      <c r="A641" s="13">
        <v>61393</v>
      </c>
      <c r="B641" s="41">
        <f t="shared" si="1"/>
        <v>31</v>
      </c>
      <c r="C641" s="32">
        <v>122.58</v>
      </c>
      <c r="D641" s="32">
        <v>297.94099999999997</v>
      </c>
      <c r="E641" s="38">
        <v>729.47900000000004</v>
      </c>
      <c r="F641" s="32">
        <v>1150</v>
      </c>
      <c r="G641" s="32">
        <v>100</v>
      </c>
      <c r="H641" s="40">
        <v>600</v>
      </c>
      <c r="I641" s="32">
        <v>695</v>
      </c>
      <c r="J641" s="32">
        <v>50</v>
      </c>
      <c r="K641" s="33"/>
      <c r="L641" s="33"/>
      <c r="M641" s="33"/>
      <c r="N641" s="33"/>
      <c r="O641" s="33"/>
      <c r="P641" s="33"/>
      <c r="Q641" s="33"/>
      <c r="R641" s="33"/>
      <c r="S641" s="33"/>
      <c r="T641" s="33"/>
    </row>
    <row r="642" spans="1:20" ht="15.75">
      <c r="A642" s="13">
        <v>61422</v>
      </c>
      <c r="B642" s="41">
        <f t="shared" si="1"/>
        <v>29</v>
      </c>
      <c r="C642" s="32">
        <v>122.58</v>
      </c>
      <c r="D642" s="32">
        <v>297.94099999999997</v>
      </c>
      <c r="E642" s="38">
        <v>729.47900000000004</v>
      </c>
      <c r="F642" s="32">
        <v>1150</v>
      </c>
      <c r="G642" s="32">
        <v>100</v>
      </c>
      <c r="H642" s="40">
        <v>600</v>
      </c>
      <c r="I642" s="32">
        <v>695</v>
      </c>
      <c r="J642" s="32">
        <v>50</v>
      </c>
      <c r="K642" s="33"/>
      <c r="L642" s="33"/>
      <c r="M642" s="33"/>
      <c r="N642" s="33"/>
      <c r="O642" s="33"/>
      <c r="P642" s="33"/>
      <c r="Q642" s="33"/>
      <c r="R642" s="33"/>
      <c r="S642" s="33"/>
      <c r="T642" s="33"/>
    </row>
    <row r="643" spans="1:20" ht="15.75">
      <c r="A643" s="13">
        <v>61453</v>
      </c>
      <c r="B643" s="41">
        <f t="shared" si="1"/>
        <v>31</v>
      </c>
      <c r="C643" s="32">
        <v>122.58</v>
      </c>
      <c r="D643" s="32">
        <v>297.94099999999997</v>
      </c>
      <c r="E643" s="38">
        <v>729.47900000000004</v>
      </c>
      <c r="F643" s="32">
        <v>1150</v>
      </c>
      <c r="G643" s="32">
        <v>100</v>
      </c>
      <c r="H643" s="40">
        <v>600</v>
      </c>
      <c r="I643" s="32">
        <v>695</v>
      </c>
      <c r="J643" s="32">
        <v>50</v>
      </c>
      <c r="K643" s="33"/>
      <c r="L643" s="33"/>
      <c r="M643" s="33"/>
      <c r="N643" s="33"/>
      <c r="O643" s="33"/>
      <c r="P643" s="33"/>
      <c r="Q643" s="33"/>
      <c r="R643" s="33"/>
      <c r="S643" s="33"/>
      <c r="T643" s="33"/>
    </row>
    <row r="644" spans="1:20" ht="15.75">
      <c r="A644" s="13">
        <v>61483</v>
      </c>
      <c r="B644" s="41">
        <f t="shared" si="1"/>
        <v>30</v>
      </c>
      <c r="C644" s="32">
        <v>141.29300000000001</v>
      </c>
      <c r="D644" s="32">
        <v>267.99299999999999</v>
      </c>
      <c r="E644" s="38">
        <v>829.71400000000006</v>
      </c>
      <c r="F644" s="32">
        <v>1239</v>
      </c>
      <c r="G644" s="32">
        <v>100</v>
      </c>
      <c r="H644" s="40">
        <v>600</v>
      </c>
      <c r="I644" s="32">
        <v>695</v>
      </c>
      <c r="J644" s="32">
        <v>50</v>
      </c>
      <c r="K644" s="33"/>
      <c r="L644" s="33"/>
      <c r="M644" s="33"/>
      <c r="N644" s="33"/>
      <c r="O644" s="33"/>
      <c r="P644" s="33"/>
      <c r="Q644" s="33"/>
      <c r="R644" s="33"/>
      <c r="S644" s="33"/>
      <c r="T644" s="33"/>
    </row>
    <row r="645" spans="1:20" ht="15.75">
      <c r="A645" s="13">
        <v>61514</v>
      </c>
      <c r="B645" s="41">
        <f t="shared" si="1"/>
        <v>31</v>
      </c>
      <c r="C645" s="32">
        <v>194.20500000000001</v>
      </c>
      <c r="D645" s="32">
        <v>267.46600000000001</v>
      </c>
      <c r="E645" s="38">
        <v>812.32899999999995</v>
      </c>
      <c r="F645" s="32">
        <v>1274</v>
      </c>
      <c r="G645" s="32">
        <v>75</v>
      </c>
      <c r="H645" s="40">
        <v>600</v>
      </c>
      <c r="I645" s="32">
        <v>695</v>
      </c>
      <c r="J645" s="32">
        <v>50</v>
      </c>
      <c r="K645" s="33"/>
      <c r="L645" s="33"/>
      <c r="M645" s="33"/>
      <c r="N645" s="33"/>
      <c r="O645" s="33"/>
      <c r="P645" s="33"/>
      <c r="Q645" s="33"/>
      <c r="R645" s="33"/>
      <c r="S645" s="33"/>
      <c r="T645" s="33"/>
    </row>
    <row r="646" spans="1:20" ht="15.75">
      <c r="A646" s="13">
        <v>61544</v>
      </c>
      <c r="B646" s="41">
        <f t="shared" si="1"/>
        <v>30</v>
      </c>
      <c r="C646" s="32">
        <v>194.20500000000001</v>
      </c>
      <c r="D646" s="32">
        <v>267.46600000000001</v>
      </c>
      <c r="E646" s="38">
        <v>812.32899999999995</v>
      </c>
      <c r="F646" s="32">
        <v>1274</v>
      </c>
      <c r="G646" s="32">
        <v>50</v>
      </c>
      <c r="H646" s="40">
        <v>600</v>
      </c>
      <c r="I646" s="32">
        <v>695</v>
      </c>
      <c r="J646" s="32">
        <v>50</v>
      </c>
      <c r="K646" s="33"/>
      <c r="L646" s="33"/>
      <c r="M646" s="33"/>
      <c r="N646" s="33"/>
      <c r="O646" s="33"/>
      <c r="P646" s="33"/>
      <c r="Q646" s="33"/>
      <c r="R646" s="33"/>
      <c r="S646" s="33"/>
      <c r="T646" s="33"/>
    </row>
    <row r="647" spans="1:20" ht="15.75">
      <c r="A647" s="13">
        <v>61575</v>
      </c>
      <c r="B647" s="41">
        <f t="shared" si="1"/>
        <v>31</v>
      </c>
      <c r="C647" s="32">
        <v>194.20500000000001</v>
      </c>
      <c r="D647" s="32">
        <v>267.46600000000001</v>
      </c>
      <c r="E647" s="38">
        <v>812.32899999999995</v>
      </c>
      <c r="F647" s="32">
        <v>1274</v>
      </c>
      <c r="G647" s="32">
        <v>50</v>
      </c>
      <c r="H647" s="40">
        <v>600</v>
      </c>
      <c r="I647" s="32">
        <v>695</v>
      </c>
      <c r="J647" s="32">
        <v>0</v>
      </c>
      <c r="K647" s="33"/>
      <c r="L647" s="33"/>
      <c r="M647" s="33"/>
      <c r="N647" s="33"/>
      <c r="O647" s="33"/>
      <c r="P647" s="33"/>
      <c r="Q647" s="33"/>
      <c r="R647" s="33"/>
      <c r="S647" s="33"/>
      <c r="T647" s="33"/>
    </row>
    <row r="648" spans="1:20" ht="15.75">
      <c r="A648" s="13">
        <v>61606</v>
      </c>
      <c r="B648" s="41">
        <f t="shared" si="1"/>
        <v>31</v>
      </c>
      <c r="C648" s="32">
        <v>194.20500000000001</v>
      </c>
      <c r="D648" s="32">
        <v>267.46600000000001</v>
      </c>
      <c r="E648" s="38">
        <v>812.32899999999995</v>
      </c>
      <c r="F648" s="32">
        <v>1274</v>
      </c>
      <c r="G648" s="32">
        <v>50</v>
      </c>
      <c r="H648" s="40">
        <v>600</v>
      </c>
      <c r="I648" s="32">
        <v>695</v>
      </c>
      <c r="J648" s="32">
        <v>0</v>
      </c>
      <c r="K648" s="33"/>
      <c r="L648" s="33"/>
      <c r="M648" s="33"/>
      <c r="N648" s="33"/>
      <c r="O648" s="33"/>
      <c r="P648" s="33"/>
      <c r="Q648" s="33"/>
      <c r="R648" s="33"/>
      <c r="S648" s="33"/>
      <c r="T648" s="33"/>
    </row>
    <row r="649" spans="1:20" ht="15.75">
      <c r="A649" s="13">
        <v>61636</v>
      </c>
      <c r="B649" s="41">
        <f t="shared" si="1"/>
        <v>30</v>
      </c>
      <c r="C649" s="32">
        <v>194.20500000000001</v>
      </c>
      <c r="D649" s="32">
        <v>267.46600000000001</v>
      </c>
      <c r="E649" s="38">
        <v>812.32899999999995</v>
      </c>
      <c r="F649" s="32">
        <v>1274</v>
      </c>
      <c r="G649" s="32">
        <v>50</v>
      </c>
      <c r="H649" s="40">
        <v>600</v>
      </c>
      <c r="I649" s="32">
        <v>695</v>
      </c>
      <c r="J649" s="32">
        <v>0</v>
      </c>
      <c r="K649" s="33"/>
      <c r="L649" s="33"/>
      <c r="M649" s="33"/>
      <c r="N649" s="33"/>
      <c r="O649" s="33"/>
      <c r="P649" s="33"/>
      <c r="Q649" s="33"/>
      <c r="R649" s="33"/>
      <c r="S649" s="33"/>
      <c r="T649" s="33"/>
    </row>
    <row r="650" spans="1:20" ht="15.75">
      <c r="A650" s="13">
        <v>61667</v>
      </c>
      <c r="B650" s="41">
        <f t="shared" si="1"/>
        <v>31</v>
      </c>
      <c r="C650" s="32">
        <v>131.881</v>
      </c>
      <c r="D650" s="32">
        <v>277.16699999999997</v>
      </c>
      <c r="E650" s="38">
        <v>829.952</v>
      </c>
      <c r="F650" s="32">
        <v>1239</v>
      </c>
      <c r="G650" s="32">
        <v>75</v>
      </c>
      <c r="H650" s="40">
        <v>600</v>
      </c>
      <c r="I650" s="32">
        <v>695</v>
      </c>
      <c r="J650" s="32">
        <v>0</v>
      </c>
      <c r="K650" s="33"/>
      <c r="L650" s="33"/>
      <c r="M650" s="33"/>
      <c r="N650" s="33"/>
      <c r="O650" s="33"/>
      <c r="P650" s="33"/>
      <c r="Q650" s="33"/>
      <c r="R650" s="33"/>
      <c r="S650" s="33"/>
      <c r="T650" s="33"/>
    </row>
    <row r="651" spans="1:20" ht="15.75">
      <c r="A651" s="13">
        <v>61697</v>
      </c>
      <c r="B651" s="41">
        <f t="shared" si="1"/>
        <v>30</v>
      </c>
      <c r="C651" s="32">
        <v>122.58</v>
      </c>
      <c r="D651" s="32">
        <v>297.94099999999997</v>
      </c>
      <c r="E651" s="38">
        <v>729.47900000000004</v>
      </c>
      <c r="F651" s="32">
        <v>1150</v>
      </c>
      <c r="G651" s="32">
        <v>100</v>
      </c>
      <c r="H651" s="40">
        <v>600</v>
      </c>
      <c r="I651" s="32">
        <v>695</v>
      </c>
      <c r="J651" s="32">
        <v>50</v>
      </c>
      <c r="K651" s="33"/>
      <c r="L651" s="33"/>
      <c r="M651" s="33"/>
      <c r="N651" s="33"/>
      <c r="O651" s="33"/>
      <c r="P651" s="33"/>
      <c r="Q651" s="33"/>
      <c r="R651" s="33"/>
      <c r="S651" s="33"/>
      <c r="T651" s="33"/>
    </row>
    <row r="652" spans="1:20" ht="15.75">
      <c r="A652" s="13">
        <v>61728</v>
      </c>
      <c r="B652" s="41">
        <f t="shared" si="1"/>
        <v>31</v>
      </c>
      <c r="C652" s="32">
        <v>122.58</v>
      </c>
      <c r="D652" s="32">
        <v>297.94099999999997</v>
      </c>
      <c r="E652" s="38">
        <v>729.47900000000004</v>
      </c>
      <c r="F652" s="32">
        <v>1150</v>
      </c>
      <c r="G652" s="32">
        <v>100</v>
      </c>
      <c r="H652" s="40">
        <v>600</v>
      </c>
      <c r="I652" s="32">
        <v>695</v>
      </c>
      <c r="J652" s="32">
        <v>50</v>
      </c>
      <c r="K652" s="33"/>
      <c r="L652" s="33"/>
      <c r="M652" s="33"/>
      <c r="N652" s="33"/>
      <c r="O652" s="33"/>
      <c r="P652" s="33"/>
      <c r="Q652" s="33"/>
      <c r="R652" s="33"/>
      <c r="S652" s="33"/>
      <c r="T652" s="33"/>
    </row>
    <row r="653" spans="1:20" ht="15.75">
      <c r="A653" s="13">
        <v>61759</v>
      </c>
      <c r="B653" s="41">
        <f t="shared" si="1"/>
        <v>31</v>
      </c>
      <c r="C653" s="32">
        <v>122.58</v>
      </c>
      <c r="D653" s="32">
        <v>297.94099999999997</v>
      </c>
      <c r="E653" s="38">
        <v>729.47900000000004</v>
      </c>
      <c r="F653" s="32">
        <v>1150</v>
      </c>
      <c r="G653" s="32">
        <v>100</v>
      </c>
      <c r="H653" s="40">
        <v>600</v>
      </c>
      <c r="I653" s="32">
        <v>695</v>
      </c>
      <c r="J653" s="32">
        <v>50</v>
      </c>
      <c r="K653" s="33"/>
      <c r="L653" s="33"/>
      <c r="M653" s="33"/>
      <c r="N653" s="33"/>
      <c r="O653" s="33"/>
      <c r="P653" s="33"/>
      <c r="Q653" s="33"/>
      <c r="R653" s="33"/>
      <c r="S653" s="33"/>
      <c r="T653" s="33"/>
    </row>
    <row r="654" spans="1:20" ht="15.75">
      <c r="A654" s="13">
        <v>61787</v>
      </c>
      <c r="B654" s="41">
        <f t="shared" si="1"/>
        <v>28</v>
      </c>
      <c r="C654" s="32">
        <v>122.58</v>
      </c>
      <c r="D654" s="32">
        <v>297.94099999999997</v>
      </c>
      <c r="E654" s="38">
        <v>729.47900000000004</v>
      </c>
      <c r="F654" s="32">
        <v>1150</v>
      </c>
      <c r="G654" s="32">
        <v>100</v>
      </c>
      <c r="H654" s="40">
        <v>600</v>
      </c>
      <c r="I654" s="32">
        <v>695</v>
      </c>
      <c r="J654" s="32">
        <v>50</v>
      </c>
      <c r="K654" s="33"/>
      <c r="L654" s="33"/>
      <c r="M654" s="33"/>
      <c r="N654" s="33"/>
      <c r="O654" s="33"/>
      <c r="P654" s="33"/>
      <c r="Q654" s="33"/>
      <c r="R654" s="33"/>
      <c r="S654" s="33"/>
      <c r="T654" s="33"/>
    </row>
    <row r="655" spans="1:20" ht="15.75">
      <c r="A655" s="13">
        <v>61818</v>
      </c>
      <c r="B655" s="41">
        <f t="shared" si="1"/>
        <v>31</v>
      </c>
      <c r="C655" s="32">
        <v>122.58</v>
      </c>
      <c r="D655" s="32">
        <v>297.94099999999997</v>
      </c>
      <c r="E655" s="38">
        <v>729.47900000000004</v>
      </c>
      <c r="F655" s="32">
        <v>1150</v>
      </c>
      <c r="G655" s="32">
        <v>100</v>
      </c>
      <c r="H655" s="40">
        <v>600</v>
      </c>
      <c r="I655" s="32">
        <v>695</v>
      </c>
      <c r="J655" s="32">
        <v>50</v>
      </c>
      <c r="K655" s="33"/>
      <c r="L655" s="33"/>
      <c r="M655" s="33"/>
      <c r="N655" s="33"/>
      <c r="O655" s="33"/>
      <c r="P655" s="33"/>
      <c r="Q655" s="33"/>
      <c r="R655" s="33"/>
      <c r="S655" s="33"/>
      <c r="T655" s="33"/>
    </row>
    <row r="656" spans="1:20" ht="15.75">
      <c r="A656" s="13">
        <v>61848</v>
      </c>
      <c r="B656" s="41">
        <f t="shared" si="1"/>
        <v>30</v>
      </c>
      <c r="C656" s="32">
        <v>141.29300000000001</v>
      </c>
      <c r="D656" s="32">
        <v>267.99299999999999</v>
      </c>
      <c r="E656" s="38">
        <v>829.71400000000006</v>
      </c>
      <c r="F656" s="32">
        <v>1239</v>
      </c>
      <c r="G656" s="32">
        <v>100</v>
      </c>
      <c r="H656" s="40">
        <v>600</v>
      </c>
      <c r="I656" s="32">
        <v>695</v>
      </c>
      <c r="J656" s="32">
        <v>50</v>
      </c>
      <c r="K656" s="33"/>
      <c r="L656" s="33"/>
      <c r="M656" s="33"/>
      <c r="N656" s="33"/>
      <c r="O656" s="33"/>
      <c r="P656" s="33"/>
      <c r="Q656" s="33"/>
      <c r="R656" s="33"/>
      <c r="S656" s="33"/>
      <c r="T656" s="33"/>
    </row>
    <row r="657" spans="1:20" ht="15.75">
      <c r="A657" s="13">
        <v>61879</v>
      </c>
      <c r="B657" s="41">
        <f t="shared" si="1"/>
        <v>31</v>
      </c>
      <c r="C657" s="32">
        <v>194.20500000000001</v>
      </c>
      <c r="D657" s="32">
        <v>267.46600000000001</v>
      </c>
      <c r="E657" s="38">
        <v>812.32899999999995</v>
      </c>
      <c r="F657" s="32">
        <v>1274</v>
      </c>
      <c r="G657" s="32">
        <v>75</v>
      </c>
      <c r="H657" s="40">
        <v>600</v>
      </c>
      <c r="I657" s="32">
        <v>695</v>
      </c>
      <c r="J657" s="32">
        <v>50</v>
      </c>
      <c r="K657" s="33"/>
      <c r="L657" s="33"/>
      <c r="M657" s="33"/>
      <c r="N657" s="33"/>
      <c r="O657" s="33"/>
      <c r="P657" s="33"/>
      <c r="Q657" s="33"/>
      <c r="R657" s="33"/>
      <c r="S657" s="33"/>
      <c r="T657" s="33"/>
    </row>
    <row r="658" spans="1:20" ht="15.75">
      <c r="A658" s="13">
        <v>61909</v>
      </c>
      <c r="B658" s="41">
        <f t="shared" si="1"/>
        <v>30</v>
      </c>
      <c r="C658" s="32">
        <v>194.20500000000001</v>
      </c>
      <c r="D658" s="32">
        <v>267.46600000000001</v>
      </c>
      <c r="E658" s="38">
        <v>812.32899999999995</v>
      </c>
      <c r="F658" s="32">
        <v>1274</v>
      </c>
      <c r="G658" s="32">
        <v>50</v>
      </c>
      <c r="H658" s="40">
        <v>600</v>
      </c>
      <c r="I658" s="32">
        <v>695</v>
      </c>
      <c r="J658" s="32">
        <v>50</v>
      </c>
      <c r="K658" s="33"/>
      <c r="L658" s="33"/>
      <c r="M658" s="33"/>
      <c r="N658" s="33"/>
      <c r="O658" s="33"/>
      <c r="P658" s="33"/>
      <c r="Q658" s="33"/>
      <c r="R658" s="33"/>
      <c r="S658" s="33"/>
      <c r="T658" s="33"/>
    </row>
    <row r="659" spans="1:20" ht="15.75">
      <c r="A659" s="13">
        <v>61940</v>
      </c>
      <c r="B659" s="41">
        <f t="shared" si="1"/>
        <v>31</v>
      </c>
      <c r="C659" s="32">
        <v>194.20500000000001</v>
      </c>
      <c r="D659" s="32">
        <v>267.46600000000001</v>
      </c>
      <c r="E659" s="38">
        <v>812.32899999999995</v>
      </c>
      <c r="F659" s="32">
        <v>1274</v>
      </c>
      <c r="G659" s="32">
        <v>50</v>
      </c>
      <c r="H659" s="40">
        <v>600</v>
      </c>
      <c r="I659" s="32">
        <v>695</v>
      </c>
      <c r="J659" s="32">
        <v>0</v>
      </c>
      <c r="K659" s="33"/>
      <c r="L659" s="33"/>
      <c r="M659" s="33"/>
      <c r="N659" s="33"/>
      <c r="O659" s="33"/>
      <c r="P659" s="33"/>
      <c r="Q659" s="33"/>
      <c r="R659" s="33"/>
      <c r="S659" s="33"/>
      <c r="T659" s="33"/>
    </row>
    <row r="660" spans="1:20" ht="15.75">
      <c r="A660" s="13">
        <v>61971</v>
      </c>
      <c r="B660" s="41">
        <f t="shared" si="1"/>
        <v>31</v>
      </c>
      <c r="C660" s="32">
        <v>194.20500000000001</v>
      </c>
      <c r="D660" s="32">
        <v>267.46600000000001</v>
      </c>
      <c r="E660" s="38">
        <v>812.32899999999995</v>
      </c>
      <c r="F660" s="32">
        <v>1274</v>
      </c>
      <c r="G660" s="32">
        <v>50</v>
      </c>
      <c r="H660" s="40">
        <v>600</v>
      </c>
      <c r="I660" s="32">
        <v>695</v>
      </c>
      <c r="J660" s="32">
        <v>0</v>
      </c>
      <c r="K660" s="33"/>
      <c r="L660" s="33"/>
      <c r="M660" s="33"/>
      <c r="N660" s="33"/>
      <c r="O660" s="33"/>
      <c r="P660" s="33"/>
      <c r="Q660" s="33"/>
      <c r="R660" s="33"/>
      <c r="S660" s="33"/>
      <c r="T660" s="33"/>
    </row>
    <row r="661" spans="1:20" ht="15.75">
      <c r="A661" s="13">
        <v>62001</v>
      </c>
      <c r="B661" s="41">
        <f t="shared" si="1"/>
        <v>30</v>
      </c>
      <c r="C661" s="32">
        <v>194.20500000000001</v>
      </c>
      <c r="D661" s="32">
        <v>267.46600000000001</v>
      </c>
      <c r="E661" s="38">
        <v>812.32899999999995</v>
      </c>
      <c r="F661" s="32">
        <v>1274</v>
      </c>
      <c r="G661" s="32">
        <v>50</v>
      </c>
      <c r="H661" s="40">
        <v>600</v>
      </c>
      <c r="I661" s="32">
        <v>695</v>
      </c>
      <c r="J661" s="32">
        <v>0</v>
      </c>
      <c r="K661" s="33"/>
      <c r="L661" s="33"/>
      <c r="M661" s="33"/>
      <c r="N661" s="33"/>
      <c r="O661" s="33"/>
      <c r="P661" s="33"/>
      <c r="Q661" s="33"/>
      <c r="R661" s="33"/>
      <c r="S661" s="33"/>
      <c r="T661" s="33"/>
    </row>
    <row r="662" spans="1:20" ht="15.75">
      <c r="A662" s="13">
        <v>62032</v>
      </c>
      <c r="B662" s="41">
        <f t="shared" si="1"/>
        <v>31</v>
      </c>
      <c r="C662" s="32">
        <v>131.881</v>
      </c>
      <c r="D662" s="32">
        <v>277.16699999999997</v>
      </c>
      <c r="E662" s="38">
        <v>829.952</v>
      </c>
      <c r="F662" s="32">
        <v>1239</v>
      </c>
      <c r="G662" s="32">
        <v>75</v>
      </c>
      <c r="H662" s="40">
        <v>600</v>
      </c>
      <c r="I662" s="32">
        <v>695</v>
      </c>
      <c r="J662" s="32">
        <v>0</v>
      </c>
      <c r="K662" s="33"/>
      <c r="L662" s="33"/>
      <c r="M662" s="33"/>
      <c r="N662" s="33"/>
      <c r="O662" s="33"/>
      <c r="P662" s="33"/>
      <c r="Q662" s="33"/>
      <c r="R662" s="33"/>
      <c r="S662" s="33"/>
      <c r="T662" s="33"/>
    </row>
    <row r="663" spans="1:20" ht="15.75">
      <c r="A663" s="13">
        <v>62062</v>
      </c>
      <c r="B663" s="41">
        <f t="shared" si="1"/>
        <v>30</v>
      </c>
      <c r="C663" s="32">
        <v>122.58</v>
      </c>
      <c r="D663" s="32">
        <v>297.94099999999997</v>
      </c>
      <c r="E663" s="38">
        <v>729.47900000000004</v>
      </c>
      <c r="F663" s="32">
        <v>1150</v>
      </c>
      <c r="G663" s="32">
        <v>100</v>
      </c>
      <c r="H663" s="40">
        <v>600</v>
      </c>
      <c r="I663" s="32">
        <v>695</v>
      </c>
      <c r="J663" s="32">
        <v>50</v>
      </c>
      <c r="K663" s="33"/>
      <c r="L663" s="33"/>
      <c r="M663" s="33"/>
      <c r="N663" s="33"/>
      <c r="O663" s="33"/>
      <c r="P663" s="33"/>
      <c r="Q663" s="33"/>
      <c r="R663" s="33"/>
      <c r="S663" s="33"/>
      <c r="T663" s="33"/>
    </row>
    <row r="664" spans="1:20" ht="15.75">
      <c r="A664" s="13">
        <v>62093</v>
      </c>
      <c r="B664" s="41">
        <f t="shared" si="1"/>
        <v>31</v>
      </c>
      <c r="C664" s="32">
        <v>122.58</v>
      </c>
      <c r="D664" s="32">
        <v>297.94099999999997</v>
      </c>
      <c r="E664" s="38">
        <v>729.47900000000004</v>
      </c>
      <c r="F664" s="32">
        <v>1150</v>
      </c>
      <c r="G664" s="32">
        <v>100</v>
      </c>
      <c r="H664" s="40">
        <v>600</v>
      </c>
      <c r="I664" s="32">
        <v>695</v>
      </c>
      <c r="J664" s="32">
        <v>50</v>
      </c>
      <c r="K664" s="33"/>
      <c r="L664" s="33"/>
      <c r="M664" s="33"/>
      <c r="N664" s="33"/>
      <c r="O664" s="33"/>
      <c r="P664" s="33"/>
      <c r="Q664" s="33"/>
      <c r="R664" s="33"/>
      <c r="S664" s="33"/>
      <c r="T664" s="33"/>
    </row>
    <row r="665" spans="1:20" ht="15.75">
      <c r="A665" s="13">
        <v>62124</v>
      </c>
      <c r="B665" s="41">
        <f t="shared" si="1"/>
        <v>31</v>
      </c>
      <c r="C665" s="32">
        <v>122.58</v>
      </c>
      <c r="D665" s="32">
        <v>297.94099999999997</v>
      </c>
      <c r="E665" s="38">
        <v>729.47900000000004</v>
      </c>
      <c r="F665" s="32">
        <v>1150</v>
      </c>
      <c r="G665" s="32">
        <v>100</v>
      </c>
      <c r="H665" s="40">
        <v>600</v>
      </c>
      <c r="I665" s="32">
        <v>695</v>
      </c>
      <c r="J665" s="32">
        <v>50</v>
      </c>
      <c r="K665" s="33"/>
      <c r="L665" s="33"/>
      <c r="M665" s="33"/>
      <c r="N665" s="33"/>
      <c r="O665" s="33"/>
      <c r="P665" s="33"/>
      <c r="Q665" s="33"/>
      <c r="R665" s="33"/>
      <c r="S665" s="33"/>
      <c r="T665" s="33"/>
    </row>
    <row r="666" spans="1:20" ht="15.75">
      <c r="A666" s="13">
        <v>62152</v>
      </c>
      <c r="B666" s="41">
        <f t="shared" si="1"/>
        <v>28</v>
      </c>
      <c r="C666" s="32">
        <v>122.58</v>
      </c>
      <c r="D666" s="32">
        <v>297.94099999999997</v>
      </c>
      <c r="E666" s="38">
        <v>729.47900000000004</v>
      </c>
      <c r="F666" s="32">
        <v>1150</v>
      </c>
      <c r="G666" s="32">
        <v>100</v>
      </c>
      <c r="H666" s="40">
        <v>600</v>
      </c>
      <c r="I666" s="32">
        <v>695</v>
      </c>
      <c r="J666" s="32">
        <v>50</v>
      </c>
      <c r="K666" s="33"/>
      <c r="L666" s="33"/>
      <c r="M666" s="33"/>
      <c r="N666" s="33"/>
      <c r="O666" s="33"/>
      <c r="P666" s="33"/>
      <c r="Q666" s="33"/>
      <c r="R666" s="33"/>
      <c r="S666" s="33"/>
      <c r="T666" s="33"/>
    </row>
    <row r="667" spans="1:20" ht="15.75">
      <c r="A667" s="13">
        <v>62183</v>
      </c>
      <c r="B667" s="41">
        <f t="shared" si="1"/>
        <v>31</v>
      </c>
      <c r="C667" s="32">
        <v>122.58</v>
      </c>
      <c r="D667" s="32">
        <v>297.94099999999997</v>
      </c>
      <c r="E667" s="38">
        <v>729.47900000000004</v>
      </c>
      <c r="F667" s="32">
        <v>1150</v>
      </c>
      <c r="G667" s="32">
        <v>100</v>
      </c>
      <c r="H667" s="40">
        <v>600</v>
      </c>
      <c r="I667" s="32">
        <v>695</v>
      </c>
      <c r="J667" s="32">
        <v>50</v>
      </c>
      <c r="K667" s="33"/>
      <c r="L667" s="33"/>
      <c r="M667" s="33"/>
      <c r="N667" s="33"/>
      <c r="O667" s="33"/>
      <c r="P667" s="33"/>
      <c r="Q667" s="33"/>
      <c r="R667" s="33"/>
      <c r="S667" s="33"/>
      <c r="T667" s="33"/>
    </row>
    <row r="668" spans="1:20" ht="15.75">
      <c r="A668" s="13">
        <v>62213</v>
      </c>
      <c r="B668" s="41">
        <f t="shared" si="1"/>
        <v>30</v>
      </c>
      <c r="C668" s="32">
        <v>141.29300000000001</v>
      </c>
      <c r="D668" s="32">
        <v>267.99299999999999</v>
      </c>
      <c r="E668" s="38">
        <v>829.71400000000006</v>
      </c>
      <c r="F668" s="32">
        <v>1239</v>
      </c>
      <c r="G668" s="32">
        <v>100</v>
      </c>
      <c r="H668" s="40">
        <v>600</v>
      </c>
      <c r="I668" s="32">
        <v>695</v>
      </c>
      <c r="J668" s="32">
        <v>50</v>
      </c>
      <c r="K668" s="33"/>
      <c r="L668" s="33"/>
      <c r="M668" s="33"/>
      <c r="N668" s="33"/>
      <c r="O668" s="33"/>
      <c r="P668" s="33"/>
      <c r="Q668" s="33"/>
      <c r="R668" s="33"/>
      <c r="S668" s="33"/>
      <c r="T668" s="33"/>
    </row>
    <row r="669" spans="1:20" ht="15.75">
      <c r="A669" s="13">
        <v>62244</v>
      </c>
      <c r="B669" s="41">
        <f t="shared" si="1"/>
        <v>31</v>
      </c>
      <c r="C669" s="32">
        <v>194.20500000000001</v>
      </c>
      <c r="D669" s="32">
        <v>267.46600000000001</v>
      </c>
      <c r="E669" s="38">
        <v>812.32899999999995</v>
      </c>
      <c r="F669" s="32">
        <v>1274</v>
      </c>
      <c r="G669" s="32">
        <v>75</v>
      </c>
      <c r="H669" s="40">
        <v>600</v>
      </c>
      <c r="I669" s="32">
        <v>695</v>
      </c>
      <c r="J669" s="32">
        <v>50</v>
      </c>
      <c r="K669" s="33"/>
      <c r="L669" s="33"/>
      <c r="M669" s="33"/>
      <c r="N669" s="33"/>
      <c r="O669" s="33"/>
      <c r="P669" s="33"/>
      <c r="Q669" s="33"/>
      <c r="R669" s="33"/>
      <c r="S669" s="33"/>
      <c r="T669" s="33"/>
    </row>
    <row r="670" spans="1:20" ht="15.75">
      <c r="A670" s="13">
        <v>62274</v>
      </c>
      <c r="B670" s="41">
        <f t="shared" si="1"/>
        <v>30</v>
      </c>
      <c r="C670" s="32">
        <v>194.20500000000001</v>
      </c>
      <c r="D670" s="32">
        <v>267.46600000000001</v>
      </c>
      <c r="E670" s="38">
        <v>812.32899999999995</v>
      </c>
      <c r="F670" s="32">
        <v>1274</v>
      </c>
      <c r="G670" s="32">
        <v>50</v>
      </c>
      <c r="H670" s="40">
        <v>600</v>
      </c>
      <c r="I670" s="32">
        <v>695</v>
      </c>
      <c r="J670" s="32">
        <v>50</v>
      </c>
      <c r="K670" s="33"/>
      <c r="L670" s="33"/>
      <c r="M670" s="33"/>
      <c r="N670" s="33"/>
      <c r="O670" s="33"/>
      <c r="P670" s="33"/>
      <c r="Q670" s="33"/>
      <c r="R670" s="33"/>
      <c r="S670" s="33"/>
      <c r="T670" s="33"/>
    </row>
    <row r="671" spans="1:20" ht="15.75">
      <c r="A671" s="13">
        <v>62305</v>
      </c>
      <c r="B671" s="41">
        <f t="shared" si="1"/>
        <v>31</v>
      </c>
      <c r="C671" s="32">
        <v>194.20500000000001</v>
      </c>
      <c r="D671" s="32">
        <v>267.46600000000001</v>
      </c>
      <c r="E671" s="38">
        <v>812.32899999999995</v>
      </c>
      <c r="F671" s="32">
        <v>1274</v>
      </c>
      <c r="G671" s="32">
        <v>50</v>
      </c>
      <c r="H671" s="40">
        <v>600</v>
      </c>
      <c r="I671" s="32">
        <v>695</v>
      </c>
      <c r="J671" s="32">
        <v>0</v>
      </c>
      <c r="K671" s="33"/>
      <c r="L671" s="33"/>
      <c r="M671" s="33"/>
      <c r="N671" s="33"/>
      <c r="O671" s="33"/>
      <c r="P671" s="33"/>
      <c r="Q671" s="33"/>
      <c r="R671" s="33"/>
      <c r="S671" s="33"/>
      <c r="T671" s="33"/>
    </row>
    <row r="672" spans="1:20" ht="15.75">
      <c r="A672" s="13">
        <v>62336</v>
      </c>
      <c r="B672" s="41">
        <f t="shared" si="1"/>
        <v>31</v>
      </c>
      <c r="C672" s="32">
        <v>194.20500000000001</v>
      </c>
      <c r="D672" s="32">
        <v>267.46600000000001</v>
      </c>
      <c r="E672" s="38">
        <v>812.32899999999995</v>
      </c>
      <c r="F672" s="32">
        <v>1274</v>
      </c>
      <c r="G672" s="32">
        <v>50</v>
      </c>
      <c r="H672" s="40">
        <v>600</v>
      </c>
      <c r="I672" s="32">
        <v>695</v>
      </c>
      <c r="J672" s="32">
        <v>0</v>
      </c>
      <c r="K672" s="33"/>
      <c r="L672" s="33"/>
      <c r="M672" s="33"/>
      <c r="N672" s="33"/>
      <c r="O672" s="33"/>
      <c r="P672" s="33"/>
      <c r="Q672" s="33"/>
      <c r="R672" s="33"/>
      <c r="S672" s="33"/>
      <c r="T672" s="33"/>
    </row>
    <row r="673" spans="1:20" ht="15.75">
      <c r="A673" s="13">
        <v>62366</v>
      </c>
      <c r="B673" s="41">
        <f t="shared" si="1"/>
        <v>30</v>
      </c>
      <c r="C673" s="32">
        <v>194.20500000000001</v>
      </c>
      <c r="D673" s="32">
        <v>267.46600000000001</v>
      </c>
      <c r="E673" s="38">
        <v>812.32899999999995</v>
      </c>
      <c r="F673" s="32">
        <v>1274</v>
      </c>
      <c r="G673" s="32">
        <v>50</v>
      </c>
      <c r="H673" s="40">
        <v>600</v>
      </c>
      <c r="I673" s="32">
        <v>695</v>
      </c>
      <c r="J673" s="32">
        <v>0</v>
      </c>
      <c r="K673" s="33"/>
      <c r="L673" s="33"/>
      <c r="M673" s="33"/>
      <c r="N673" s="33"/>
      <c r="O673" s="33"/>
      <c r="P673" s="33"/>
      <c r="Q673" s="33"/>
      <c r="R673" s="33"/>
      <c r="S673" s="33"/>
      <c r="T673" s="33"/>
    </row>
    <row r="674" spans="1:20" ht="15.75">
      <c r="A674" s="13">
        <v>62397</v>
      </c>
      <c r="B674" s="41">
        <f t="shared" si="1"/>
        <v>31</v>
      </c>
      <c r="C674" s="32">
        <v>131.881</v>
      </c>
      <c r="D674" s="32">
        <v>277.16699999999997</v>
      </c>
      <c r="E674" s="38">
        <v>829.952</v>
      </c>
      <c r="F674" s="32">
        <v>1239</v>
      </c>
      <c r="G674" s="32">
        <v>75</v>
      </c>
      <c r="H674" s="40">
        <v>600</v>
      </c>
      <c r="I674" s="32">
        <v>695</v>
      </c>
      <c r="J674" s="32">
        <v>0</v>
      </c>
      <c r="K674" s="33"/>
      <c r="L674" s="33"/>
      <c r="M674" s="33"/>
      <c r="N674" s="33"/>
      <c r="O674" s="33"/>
      <c r="P674" s="33"/>
      <c r="Q674" s="33"/>
      <c r="R674" s="33"/>
      <c r="S674" s="33"/>
      <c r="T674" s="33"/>
    </row>
    <row r="675" spans="1:20" ht="15.75">
      <c r="A675" s="13">
        <v>62427</v>
      </c>
      <c r="B675" s="41">
        <f t="shared" si="1"/>
        <v>30</v>
      </c>
      <c r="C675" s="32">
        <v>122.58</v>
      </c>
      <c r="D675" s="32">
        <v>297.94099999999997</v>
      </c>
      <c r="E675" s="38">
        <v>729.47900000000004</v>
      </c>
      <c r="F675" s="32">
        <v>1150</v>
      </c>
      <c r="G675" s="32">
        <v>100</v>
      </c>
      <c r="H675" s="40">
        <v>600</v>
      </c>
      <c r="I675" s="32">
        <v>695</v>
      </c>
      <c r="J675" s="32">
        <v>50</v>
      </c>
      <c r="K675" s="33"/>
      <c r="L675" s="33"/>
      <c r="M675" s="33"/>
      <c r="N675" s="33"/>
      <c r="O675" s="33"/>
      <c r="P675" s="33"/>
      <c r="Q675" s="33"/>
      <c r="R675" s="33"/>
      <c r="S675" s="33"/>
      <c r="T675" s="33"/>
    </row>
    <row r="676" spans="1:20" ht="15.75">
      <c r="A676" s="13">
        <v>62458</v>
      </c>
      <c r="B676" s="41">
        <f t="shared" si="1"/>
        <v>31</v>
      </c>
      <c r="C676" s="32">
        <v>122.58</v>
      </c>
      <c r="D676" s="32">
        <v>297.94099999999997</v>
      </c>
      <c r="E676" s="38">
        <v>729.47900000000004</v>
      </c>
      <c r="F676" s="32">
        <v>1150</v>
      </c>
      <c r="G676" s="32">
        <v>100</v>
      </c>
      <c r="H676" s="40">
        <v>600</v>
      </c>
      <c r="I676" s="32">
        <v>695</v>
      </c>
      <c r="J676" s="32">
        <v>50</v>
      </c>
      <c r="K676" s="33"/>
      <c r="L676" s="33"/>
      <c r="M676" s="33"/>
      <c r="N676" s="33"/>
      <c r="O676" s="33"/>
      <c r="P676" s="33"/>
      <c r="Q676" s="33"/>
      <c r="R676" s="33"/>
      <c r="S676" s="33"/>
      <c r="T676" s="33"/>
    </row>
    <row r="677" spans="1:20" ht="15.75">
      <c r="A677" s="13">
        <v>62489</v>
      </c>
      <c r="B677" s="41">
        <f t="shared" si="1"/>
        <v>31</v>
      </c>
      <c r="C677" s="32">
        <v>122.58</v>
      </c>
      <c r="D677" s="32">
        <v>297.94099999999997</v>
      </c>
      <c r="E677" s="38">
        <v>729.47900000000004</v>
      </c>
      <c r="F677" s="32">
        <v>1150</v>
      </c>
      <c r="G677" s="32">
        <v>100</v>
      </c>
      <c r="H677" s="40">
        <v>600</v>
      </c>
      <c r="I677" s="32">
        <v>695</v>
      </c>
      <c r="J677" s="32">
        <v>50</v>
      </c>
      <c r="K677" s="33"/>
      <c r="L677" s="33"/>
      <c r="M677" s="33"/>
      <c r="N677" s="33"/>
      <c r="O677" s="33"/>
      <c r="P677" s="33"/>
      <c r="Q677" s="33"/>
      <c r="R677" s="33"/>
      <c r="S677" s="33"/>
      <c r="T677" s="33"/>
    </row>
    <row r="678" spans="1:20" ht="15.75">
      <c r="A678" s="13">
        <v>62517</v>
      </c>
      <c r="B678" s="41">
        <f t="shared" si="1"/>
        <v>28</v>
      </c>
      <c r="C678" s="32">
        <v>122.58</v>
      </c>
      <c r="D678" s="32">
        <v>297.94099999999997</v>
      </c>
      <c r="E678" s="38">
        <v>729.47900000000004</v>
      </c>
      <c r="F678" s="32">
        <v>1150</v>
      </c>
      <c r="G678" s="32">
        <v>100</v>
      </c>
      <c r="H678" s="40">
        <v>600</v>
      </c>
      <c r="I678" s="32">
        <v>695</v>
      </c>
      <c r="J678" s="32">
        <v>50</v>
      </c>
      <c r="K678" s="33"/>
      <c r="L678" s="33"/>
      <c r="M678" s="33"/>
      <c r="N678" s="33"/>
      <c r="O678" s="33"/>
      <c r="P678" s="33"/>
      <c r="Q678" s="33"/>
      <c r="R678" s="33"/>
      <c r="S678" s="33"/>
      <c r="T678" s="33"/>
    </row>
    <row r="679" spans="1:20" ht="15.75">
      <c r="A679" s="13">
        <v>62548</v>
      </c>
      <c r="B679" s="41">
        <f t="shared" si="1"/>
        <v>31</v>
      </c>
      <c r="C679" s="32">
        <v>122.58</v>
      </c>
      <c r="D679" s="32">
        <v>297.94099999999997</v>
      </c>
      <c r="E679" s="38">
        <v>729.47900000000004</v>
      </c>
      <c r="F679" s="32">
        <v>1150</v>
      </c>
      <c r="G679" s="32">
        <v>100</v>
      </c>
      <c r="H679" s="40">
        <v>600</v>
      </c>
      <c r="I679" s="32">
        <v>695</v>
      </c>
      <c r="J679" s="32">
        <v>50</v>
      </c>
      <c r="K679" s="33"/>
      <c r="L679" s="33"/>
      <c r="M679" s="33"/>
      <c r="N679" s="33"/>
      <c r="O679" s="33"/>
      <c r="P679" s="33"/>
      <c r="Q679" s="33"/>
      <c r="R679" s="33"/>
      <c r="S679" s="33"/>
      <c r="T679" s="33"/>
    </row>
    <row r="680" spans="1:20" ht="15.75">
      <c r="A680" s="13">
        <v>62578</v>
      </c>
      <c r="B680" s="41">
        <f t="shared" si="1"/>
        <v>30</v>
      </c>
      <c r="C680" s="32">
        <v>141.29300000000001</v>
      </c>
      <c r="D680" s="32">
        <v>267.99299999999999</v>
      </c>
      <c r="E680" s="38">
        <v>829.71400000000006</v>
      </c>
      <c r="F680" s="32">
        <v>1239</v>
      </c>
      <c r="G680" s="32">
        <v>100</v>
      </c>
      <c r="H680" s="40">
        <v>600</v>
      </c>
      <c r="I680" s="32">
        <v>695</v>
      </c>
      <c r="J680" s="32">
        <v>50</v>
      </c>
      <c r="K680" s="33"/>
      <c r="L680" s="33"/>
      <c r="M680" s="33"/>
      <c r="N680" s="33"/>
      <c r="O680" s="33"/>
      <c r="P680" s="33"/>
      <c r="Q680" s="33"/>
      <c r="R680" s="33"/>
      <c r="S680" s="33"/>
      <c r="T680" s="33"/>
    </row>
    <row r="681" spans="1:20" ht="15.75">
      <c r="A681" s="13">
        <v>62609</v>
      </c>
      <c r="B681" s="41">
        <f t="shared" si="1"/>
        <v>31</v>
      </c>
      <c r="C681" s="32">
        <v>194.20500000000001</v>
      </c>
      <c r="D681" s="32">
        <v>267.46600000000001</v>
      </c>
      <c r="E681" s="38">
        <v>812.32899999999995</v>
      </c>
      <c r="F681" s="32">
        <v>1274</v>
      </c>
      <c r="G681" s="32">
        <v>75</v>
      </c>
      <c r="H681" s="40">
        <v>600</v>
      </c>
      <c r="I681" s="32">
        <v>695</v>
      </c>
      <c r="J681" s="32">
        <v>50</v>
      </c>
      <c r="K681" s="33"/>
      <c r="L681" s="33"/>
      <c r="M681" s="33"/>
      <c r="N681" s="33"/>
      <c r="O681" s="33"/>
      <c r="P681" s="33"/>
      <c r="Q681" s="33"/>
      <c r="R681" s="33"/>
      <c r="S681" s="33"/>
      <c r="T681" s="33"/>
    </row>
    <row r="682" spans="1:20" ht="15.75">
      <c r="A682" s="13">
        <v>62639</v>
      </c>
      <c r="B682" s="41">
        <f t="shared" si="1"/>
        <v>30</v>
      </c>
      <c r="C682" s="32">
        <v>194.20500000000001</v>
      </c>
      <c r="D682" s="32">
        <v>267.46600000000001</v>
      </c>
      <c r="E682" s="38">
        <v>812.32899999999995</v>
      </c>
      <c r="F682" s="32">
        <v>1274</v>
      </c>
      <c r="G682" s="32">
        <v>50</v>
      </c>
      <c r="H682" s="40">
        <v>600</v>
      </c>
      <c r="I682" s="32">
        <v>695</v>
      </c>
      <c r="J682" s="32">
        <v>50</v>
      </c>
      <c r="K682" s="33"/>
      <c r="L682" s="33"/>
      <c r="M682" s="33"/>
      <c r="N682" s="33"/>
      <c r="O682" s="33"/>
      <c r="P682" s="33"/>
      <c r="Q682" s="33"/>
      <c r="R682" s="33"/>
      <c r="S682" s="33"/>
      <c r="T682" s="33"/>
    </row>
    <row r="683" spans="1:20" ht="15.75">
      <c r="A683" s="13">
        <v>62670</v>
      </c>
      <c r="B683" s="41">
        <f t="shared" si="1"/>
        <v>31</v>
      </c>
      <c r="C683" s="32">
        <v>194.20500000000001</v>
      </c>
      <c r="D683" s="32">
        <v>267.46600000000001</v>
      </c>
      <c r="E683" s="38">
        <v>812.32899999999995</v>
      </c>
      <c r="F683" s="32">
        <v>1274</v>
      </c>
      <c r="G683" s="32">
        <v>50</v>
      </c>
      <c r="H683" s="40">
        <v>600</v>
      </c>
      <c r="I683" s="32">
        <v>695</v>
      </c>
      <c r="J683" s="32">
        <v>0</v>
      </c>
      <c r="K683" s="33"/>
      <c r="L683" s="33"/>
      <c r="M683" s="33"/>
      <c r="N683" s="33"/>
      <c r="O683" s="33"/>
      <c r="P683" s="33"/>
      <c r="Q683" s="33"/>
      <c r="R683" s="33"/>
      <c r="S683" s="33"/>
      <c r="T683" s="33"/>
    </row>
    <row r="684" spans="1:20" ht="15.75">
      <c r="A684" s="13">
        <v>62701</v>
      </c>
      <c r="B684" s="41">
        <f t="shared" si="1"/>
        <v>31</v>
      </c>
      <c r="C684" s="32">
        <v>194.20500000000001</v>
      </c>
      <c r="D684" s="32">
        <v>267.46600000000001</v>
      </c>
      <c r="E684" s="38">
        <v>812.32899999999995</v>
      </c>
      <c r="F684" s="32">
        <v>1274</v>
      </c>
      <c r="G684" s="32">
        <v>50</v>
      </c>
      <c r="H684" s="40">
        <v>600</v>
      </c>
      <c r="I684" s="32">
        <v>695</v>
      </c>
      <c r="J684" s="32">
        <v>0</v>
      </c>
      <c r="K684" s="33"/>
      <c r="L684" s="33"/>
      <c r="M684" s="33"/>
      <c r="N684" s="33"/>
      <c r="O684" s="33"/>
      <c r="P684" s="33"/>
      <c r="Q684" s="33"/>
      <c r="R684" s="33"/>
      <c r="S684" s="33"/>
      <c r="T684" s="33"/>
    </row>
    <row r="685" spans="1:20" ht="15.75">
      <c r="A685" s="13">
        <v>62731</v>
      </c>
      <c r="B685" s="41">
        <f t="shared" si="1"/>
        <v>30</v>
      </c>
      <c r="C685" s="32">
        <v>194.20500000000001</v>
      </c>
      <c r="D685" s="32">
        <v>267.46600000000001</v>
      </c>
      <c r="E685" s="38">
        <v>812.32899999999995</v>
      </c>
      <c r="F685" s="32">
        <v>1274</v>
      </c>
      <c r="G685" s="32">
        <v>50</v>
      </c>
      <c r="H685" s="40">
        <v>600</v>
      </c>
      <c r="I685" s="32">
        <v>695</v>
      </c>
      <c r="J685" s="32">
        <v>0</v>
      </c>
      <c r="K685" s="33"/>
      <c r="L685" s="33"/>
      <c r="M685" s="33"/>
      <c r="N685" s="33"/>
      <c r="O685" s="33"/>
      <c r="P685" s="33"/>
      <c r="Q685" s="33"/>
      <c r="R685" s="33"/>
      <c r="S685" s="33"/>
      <c r="T685" s="33"/>
    </row>
    <row r="686" spans="1:20" ht="15.75">
      <c r="A686" s="13">
        <v>62762</v>
      </c>
      <c r="B686" s="41">
        <f t="shared" si="1"/>
        <v>31</v>
      </c>
      <c r="C686" s="32">
        <v>131.881</v>
      </c>
      <c r="D686" s="32">
        <v>277.16699999999997</v>
      </c>
      <c r="E686" s="38">
        <v>829.952</v>
      </c>
      <c r="F686" s="32">
        <v>1239</v>
      </c>
      <c r="G686" s="32">
        <v>75</v>
      </c>
      <c r="H686" s="40">
        <v>600</v>
      </c>
      <c r="I686" s="32">
        <v>695</v>
      </c>
      <c r="J686" s="32">
        <v>0</v>
      </c>
      <c r="K686" s="33"/>
      <c r="L686" s="33"/>
      <c r="M686" s="33"/>
      <c r="N686" s="33"/>
      <c r="O686" s="33"/>
      <c r="P686" s="33"/>
      <c r="Q686" s="33"/>
      <c r="R686" s="33"/>
      <c r="S686" s="33"/>
      <c r="T686" s="33"/>
    </row>
    <row r="687" spans="1:20" ht="15.75">
      <c r="A687" s="13">
        <v>62792</v>
      </c>
      <c r="B687" s="41">
        <f t="shared" si="1"/>
        <v>30</v>
      </c>
      <c r="C687" s="32">
        <v>122.58</v>
      </c>
      <c r="D687" s="32">
        <v>297.94099999999997</v>
      </c>
      <c r="E687" s="38">
        <v>729.47900000000004</v>
      </c>
      <c r="F687" s="32">
        <v>1150</v>
      </c>
      <c r="G687" s="32">
        <v>100</v>
      </c>
      <c r="H687" s="40">
        <v>600</v>
      </c>
      <c r="I687" s="32">
        <v>695</v>
      </c>
      <c r="J687" s="32">
        <v>50</v>
      </c>
      <c r="K687" s="33"/>
      <c r="L687" s="33"/>
      <c r="M687" s="33"/>
      <c r="N687" s="33"/>
      <c r="O687" s="33"/>
      <c r="P687" s="33"/>
      <c r="Q687" s="33"/>
      <c r="R687" s="33"/>
      <c r="S687" s="33"/>
      <c r="T687" s="33"/>
    </row>
    <row r="688" spans="1:20" ht="15.75">
      <c r="A688" s="13">
        <v>62823</v>
      </c>
      <c r="B688" s="41">
        <f t="shared" si="1"/>
        <v>31</v>
      </c>
      <c r="C688" s="32">
        <v>122.58</v>
      </c>
      <c r="D688" s="32">
        <v>297.94099999999997</v>
      </c>
      <c r="E688" s="38">
        <v>729.47900000000004</v>
      </c>
      <c r="F688" s="32">
        <v>1150</v>
      </c>
      <c r="G688" s="32">
        <v>100</v>
      </c>
      <c r="H688" s="40">
        <v>600</v>
      </c>
      <c r="I688" s="32">
        <v>695</v>
      </c>
      <c r="J688" s="32">
        <v>50</v>
      </c>
      <c r="K688" s="33"/>
      <c r="L688" s="33"/>
      <c r="M688" s="33"/>
      <c r="N688" s="33"/>
      <c r="O688" s="33"/>
      <c r="P688" s="33"/>
      <c r="Q688" s="33"/>
      <c r="R688" s="33"/>
      <c r="S688" s="33"/>
      <c r="T688" s="33"/>
    </row>
    <row r="689" spans="1:20" ht="15.75">
      <c r="A689" s="13">
        <v>62854</v>
      </c>
      <c r="B689" s="41">
        <f t="shared" si="1"/>
        <v>31</v>
      </c>
      <c r="C689" s="32">
        <v>122.58</v>
      </c>
      <c r="D689" s="32">
        <v>297.94099999999997</v>
      </c>
      <c r="E689" s="38">
        <v>729.47900000000004</v>
      </c>
      <c r="F689" s="32">
        <v>1150</v>
      </c>
      <c r="G689" s="32">
        <v>100</v>
      </c>
      <c r="H689" s="40">
        <v>600</v>
      </c>
      <c r="I689" s="32">
        <v>695</v>
      </c>
      <c r="J689" s="32">
        <v>50</v>
      </c>
      <c r="K689" s="33"/>
      <c r="L689" s="33"/>
      <c r="M689" s="33"/>
      <c r="N689" s="33"/>
      <c r="O689" s="33"/>
      <c r="P689" s="33"/>
      <c r="Q689" s="33"/>
      <c r="R689" s="33"/>
      <c r="S689" s="33"/>
      <c r="T689" s="33"/>
    </row>
    <row r="690" spans="1:20" ht="15.75">
      <c r="A690" s="13">
        <v>62883</v>
      </c>
      <c r="B690" s="41">
        <f t="shared" si="1"/>
        <v>29</v>
      </c>
      <c r="C690" s="32">
        <v>122.58</v>
      </c>
      <c r="D690" s="32">
        <v>297.94099999999997</v>
      </c>
      <c r="E690" s="38">
        <v>729.47900000000004</v>
      </c>
      <c r="F690" s="32">
        <v>1150</v>
      </c>
      <c r="G690" s="32">
        <v>100</v>
      </c>
      <c r="H690" s="40">
        <v>600</v>
      </c>
      <c r="I690" s="32">
        <v>695</v>
      </c>
      <c r="J690" s="32">
        <v>50</v>
      </c>
      <c r="K690" s="33"/>
      <c r="L690" s="33"/>
      <c r="M690" s="33"/>
      <c r="N690" s="33"/>
      <c r="O690" s="33"/>
      <c r="P690" s="33"/>
      <c r="Q690" s="33"/>
      <c r="R690" s="33"/>
      <c r="S690" s="33"/>
      <c r="T690" s="33"/>
    </row>
    <row r="691" spans="1:20" ht="15.75">
      <c r="A691" s="13">
        <v>62914</v>
      </c>
      <c r="B691" s="41">
        <f t="shared" si="1"/>
        <v>31</v>
      </c>
      <c r="C691" s="32">
        <v>122.58</v>
      </c>
      <c r="D691" s="32">
        <v>297.94099999999997</v>
      </c>
      <c r="E691" s="38">
        <v>729.47900000000004</v>
      </c>
      <c r="F691" s="32">
        <v>1150</v>
      </c>
      <c r="G691" s="32">
        <v>100</v>
      </c>
      <c r="H691" s="40">
        <v>600</v>
      </c>
      <c r="I691" s="32">
        <v>695</v>
      </c>
      <c r="J691" s="32">
        <v>50</v>
      </c>
      <c r="K691" s="33"/>
      <c r="L691" s="33"/>
      <c r="M691" s="33"/>
      <c r="N691" s="33"/>
      <c r="O691" s="33"/>
      <c r="P691" s="33"/>
      <c r="Q691" s="33"/>
      <c r="R691" s="33"/>
      <c r="S691" s="33"/>
      <c r="T691" s="33"/>
    </row>
    <row r="692" spans="1:20" ht="15.75">
      <c r="A692" s="13">
        <v>62944</v>
      </c>
      <c r="B692" s="41">
        <f t="shared" si="1"/>
        <v>30</v>
      </c>
      <c r="C692" s="32">
        <v>141.29300000000001</v>
      </c>
      <c r="D692" s="32">
        <v>267.99299999999999</v>
      </c>
      <c r="E692" s="38">
        <v>829.71400000000006</v>
      </c>
      <c r="F692" s="32">
        <v>1239</v>
      </c>
      <c r="G692" s="32">
        <v>100</v>
      </c>
      <c r="H692" s="40">
        <v>600</v>
      </c>
      <c r="I692" s="32">
        <v>695</v>
      </c>
      <c r="J692" s="32">
        <v>50</v>
      </c>
      <c r="K692" s="33"/>
      <c r="L692" s="33"/>
      <c r="M692" s="33"/>
      <c r="N692" s="33"/>
      <c r="O692" s="33"/>
      <c r="P692" s="33"/>
      <c r="Q692" s="33"/>
      <c r="R692" s="33"/>
      <c r="S692" s="33"/>
      <c r="T692" s="33"/>
    </row>
    <row r="693" spans="1:20" ht="15.75">
      <c r="A693" s="13">
        <v>62975</v>
      </c>
      <c r="B693" s="41">
        <f t="shared" si="1"/>
        <v>31</v>
      </c>
      <c r="C693" s="32">
        <v>194.20500000000001</v>
      </c>
      <c r="D693" s="32">
        <v>267.46600000000001</v>
      </c>
      <c r="E693" s="38">
        <v>812.32899999999995</v>
      </c>
      <c r="F693" s="32">
        <v>1274</v>
      </c>
      <c r="G693" s="32">
        <v>75</v>
      </c>
      <c r="H693" s="40">
        <v>600</v>
      </c>
      <c r="I693" s="32">
        <v>695</v>
      </c>
      <c r="J693" s="32">
        <v>50</v>
      </c>
      <c r="K693" s="33"/>
      <c r="L693" s="33"/>
      <c r="M693" s="33"/>
      <c r="N693" s="33"/>
      <c r="O693" s="33"/>
      <c r="P693" s="33"/>
      <c r="Q693" s="33"/>
      <c r="R693" s="33"/>
      <c r="S693" s="33"/>
      <c r="T693" s="33"/>
    </row>
    <row r="694" spans="1:20" ht="15.75">
      <c r="A694" s="13">
        <v>63005</v>
      </c>
      <c r="B694" s="41">
        <f t="shared" si="1"/>
        <v>30</v>
      </c>
      <c r="C694" s="32">
        <v>194.20500000000001</v>
      </c>
      <c r="D694" s="32">
        <v>267.46600000000001</v>
      </c>
      <c r="E694" s="38">
        <v>812.32899999999995</v>
      </c>
      <c r="F694" s="32">
        <v>1274</v>
      </c>
      <c r="G694" s="32">
        <v>50</v>
      </c>
      <c r="H694" s="40">
        <v>600</v>
      </c>
      <c r="I694" s="32">
        <v>695</v>
      </c>
      <c r="J694" s="32">
        <v>50</v>
      </c>
      <c r="K694" s="33"/>
      <c r="L694" s="33"/>
      <c r="M694" s="33"/>
      <c r="N694" s="33"/>
      <c r="O694" s="33"/>
      <c r="P694" s="33"/>
      <c r="Q694" s="33"/>
      <c r="R694" s="33"/>
      <c r="S694" s="33"/>
      <c r="T694" s="33"/>
    </row>
    <row r="695" spans="1:20" ht="15.75">
      <c r="A695" s="13">
        <v>63036</v>
      </c>
      <c r="B695" s="41">
        <f t="shared" si="1"/>
        <v>31</v>
      </c>
      <c r="C695" s="32">
        <v>194.20500000000001</v>
      </c>
      <c r="D695" s="32">
        <v>267.46600000000001</v>
      </c>
      <c r="E695" s="38">
        <v>812.32899999999995</v>
      </c>
      <c r="F695" s="32">
        <v>1274</v>
      </c>
      <c r="G695" s="32">
        <v>50</v>
      </c>
      <c r="H695" s="40">
        <v>600</v>
      </c>
      <c r="I695" s="32">
        <v>695</v>
      </c>
      <c r="J695" s="32">
        <v>0</v>
      </c>
      <c r="K695" s="33"/>
      <c r="L695" s="33"/>
      <c r="M695" s="33"/>
      <c r="N695" s="33"/>
      <c r="O695" s="33"/>
      <c r="P695" s="33"/>
      <c r="Q695" s="33"/>
      <c r="R695" s="33"/>
      <c r="S695" s="33"/>
      <c r="T695" s="33"/>
    </row>
    <row r="696" spans="1:20" ht="15.75">
      <c r="A696" s="13">
        <v>63067</v>
      </c>
      <c r="B696" s="41">
        <f t="shared" si="1"/>
        <v>31</v>
      </c>
      <c r="C696" s="32">
        <v>194.20500000000001</v>
      </c>
      <c r="D696" s="32">
        <v>267.46600000000001</v>
      </c>
      <c r="E696" s="38">
        <v>812.32899999999995</v>
      </c>
      <c r="F696" s="32">
        <v>1274</v>
      </c>
      <c r="G696" s="32">
        <v>50</v>
      </c>
      <c r="H696" s="40">
        <v>600</v>
      </c>
      <c r="I696" s="32">
        <v>695</v>
      </c>
      <c r="J696" s="32">
        <v>0</v>
      </c>
      <c r="K696" s="33"/>
      <c r="L696" s="33"/>
      <c r="M696" s="33"/>
      <c r="N696" s="33"/>
      <c r="O696" s="33"/>
      <c r="P696" s="33"/>
      <c r="Q696" s="33"/>
      <c r="R696" s="33"/>
      <c r="S696" s="33"/>
      <c r="T696" s="33"/>
    </row>
    <row r="697" spans="1:20" ht="15.75">
      <c r="A697" s="13">
        <v>63097</v>
      </c>
      <c r="B697" s="41">
        <f t="shared" ref="B697:B760" si="2">EOMONTH(A697,0)-EOMONTH(A697,-1)</f>
        <v>30</v>
      </c>
      <c r="C697" s="32">
        <v>194.20500000000001</v>
      </c>
      <c r="D697" s="32">
        <v>267.46600000000001</v>
      </c>
      <c r="E697" s="38">
        <v>812.32899999999995</v>
      </c>
      <c r="F697" s="32">
        <v>1274</v>
      </c>
      <c r="G697" s="32">
        <v>50</v>
      </c>
      <c r="H697" s="40">
        <v>600</v>
      </c>
      <c r="I697" s="32">
        <v>695</v>
      </c>
      <c r="J697" s="32">
        <v>0</v>
      </c>
      <c r="K697" s="33"/>
      <c r="L697" s="33"/>
      <c r="M697" s="33"/>
      <c r="N697" s="33"/>
      <c r="O697" s="33"/>
      <c r="P697" s="33"/>
      <c r="Q697" s="33"/>
      <c r="R697" s="33"/>
      <c r="S697" s="33"/>
      <c r="T697" s="33"/>
    </row>
    <row r="698" spans="1:20" ht="15.75">
      <c r="A698" s="13">
        <v>63128</v>
      </c>
      <c r="B698" s="41">
        <f t="shared" si="2"/>
        <v>31</v>
      </c>
      <c r="C698" s="32">
        <v>131.881</v>
      </c>
      <c r="D698" s="32">
        <v>277.16699999999997</v>
      </c>
      <c r="E698" s="38">
        <v>829.952</v>
      </c>
      <c r="F698" s="32">
        <v>1239</v>
      </c>
      <c r="G698" s="32">
        <v>75</v>
      </c>
      <c r="H698" s="40">
        <v>600</v>
      </c>
      <c r="I698" s="32">
        <v>695</v>
      </c>
      <c r="J698" s="32">
        <v>0</v>
      </c>
      <c r="K698" s="33"/>
      <c r="L698" s="33"/>
      <c r="M698" s="33"/>
      <c r="N698" s="33"/>
      <c r="O698" s="33"/>
      <c r="P698" s="33"/>
      <c r="Q698" s="33"/>
      <c r="R698" s="33"/>
      <c r="S698" s="33"/>
      <c r="T698" s="33"/>
    </row>
    <row r="699" spans="1:20" ht="15.75">
      <c r="A699" s="13">
        <v>63158</v>
      </c>
      <c r="B699" s="41">
        <f t="shared" si="2"/>
        <v>30</v>
      </c>
      <c r="C699" s="32">
        <v>122.58</v>
      </c>
      <c r="D699" s="32">
        <v>297.94099999999997</v>
      </c>
      <c r="E699" s="38">
        <v>729.47900000000004</v>
      </c>
      <c r="F699" s="32">
        <v>1150</v>
      </c>
      <c r="G699" s="32">
        <v>100</v>
      </c>
      <c r="H699" s="40">
        <v>600</v>
      </c>
      <c r="I699" s="32">
        <v>695</v>
      </c>
      <c r="J699" s="32">
        <v>50</v>
      </c>
      <c r="K699" s="33"/>
      <c r="L699" s="33"/>
      <c r="M699" s="33"/>
      <c r="N699" s="33"/>
      <c r="O699" s="33"/>
      <c r="P699" s="33"/>
      <c r="Q699" s="33"/>
      <c r="R699" s="33"/>
      <c r="S699" s="33"/>
      <c r="T699" s="33"/>
    </row>
    <row r="700" spans="1:20" ht="15.75">
      <c r="A700" s="13">
        <v>63189</v>
      </c>
      <c r="B700" s="41">
        <f t="shared" si="2"/>
        <v>31</v>
      </c>
      <c r="C700" s="32">
        <v>122.58</v>
      </c>
      <c r="D700" s="32">
        <v>297.94099999999997</v>
      </c>
      <c r="E700" s="38">
        <v>729.47900000000004</v>
      </c>
      <c r="F700" s="32">
        <v>1150</v>
      </c>
      <c r="G700" s="32">
        <v>100</v>
      </c>
      <c r="H700" s="40">
        <v>600</v>
      </c>
      <c r="I700" s="32">
        <v>695</v>
      </c>
      <c r="J700" s="32">
        <v>50</v>
      </c>
      <c r="K700" s="33"/>
      <c r="L700" s="33"/>
      <c r="M700" s="33"/>
      <c r="N700" s="33"/>
      <c r="O700" s="33"/>
      <c r="P700" s="33"/>
      <c r="Q700" s="33"/>
      <c r="R700" s="33"/>
      <c r="S700" s="33"/>
      <c r="T700" s="33"/>
    </row>
    <row r="701" spans="1:20" ht="15.75">
      <c r="A701" s="13">
        <v>63220</v>
      </c>
      <c r="B701" s="41">
        <f t="shared" si="2"/>
        <v>31</v>
      </c>
      <c r="C701" s="32">
        <v>122.58</v>
      </c>
      <c r="D701" s="32">
        <v>297.94099999999997</v>
      </c>
      <c r="E701" s="38">
        <v>729.47900000000004</v>
      </c>
      <c r="F701" s="32">
        <v>1150</v>
      </c>
      <c r="G701" s="32">
        <v>100</v>
      </c>
      <c r="H701" s="40">
        <v>600</v>
      </c>
      <c r="I701" s="32">
        <v>695</v>
      </c>
      <c r="J701" s="32">
        <v>50</v>
      </c>
      <c r="K701" s="33"/>
      <c r="L701" s="33"/>
      <c r="M701" s="33"/>
      <c r="N701" s="33"/>
      <c r="O701" s="33"/>
      <c r="P701" s="33"/>
      <c r="Q701" s="33"/>
      <c r="R701" s="33"/>
      <c r="S701" s="33"/>
      <c r="T701" s="33"/>
    </row>
    <row r="702" spans="1:20" ht="15.75">
      <c r="A702" s="13">
        <v>63248</v>
      </c>
      <c r="B702" s="41">
        <f t="shared" si="2"/>
        <v>28</v>
      </c>
      <c r="C702" s="32">
        <v>122.58</v>
      </c>
      <c r="D702" s="32">
        <v>297.94099999999997</v>
      </c>
      <c r="E702" s="38">
        <v>729.47900000000004</v>
      </c>
      <c r="F702" s="32">
        <v>1150</v>
      </c>
      <c r="G702" s="32">
        <v>100</v>
      </c>
      <c r="H702" s="40">
        <v>600</v>
      </c>
      <c r="I702" s="32">
        <v>695</v>
      </c>
      <c r="J702" s="32">
        <v>50</v>
      </c>
      <c r="K702" s="33"/>
      <c r="L702" s="33"/>
      <c r="M702" s="33"/>
      <c r="N702" s="33"/>
      <c r="O702" s="33"/>
      <c r="P702" s="33"/>
      <c r="Q702" s="33"/>
      <c r="R702" s="33"/>
      <c r="S702" s="33"/>
      <c r="T702" s="33"/>
    </row>
    <row r="703" spans="1:20" ht="15.75">
      <c r="A703" s="13">
        <v>63279</v>
      </c>
      <c r="B703" s="41">
        <f t="shared" si="2"/>
        <v>31</v>
      </c>
      <c r="C703" s="32">
        <v>122.58</v>
      </c>
      <c r="D703" s="32">
        <v>297.94099999999997</v>
      </c>
      <c r="E703" s="38">
        <v>729.47900000000004</v>
      </c>
      <c r="F703" s="32">
        <v>1150</v>
      </c>
      <c r="G703" s="32">
        <v>100</v>
      </c>
      <c r="H703" s="40">
        <v>600</v>
      </c>
      <c r="I703" s="32">
        <v>695</v>
      </c>
      <c r="J703" s="32">
        <v>50</v>
      </c>
      <c r="K703" s="33"/>
      <c r="L703" s="33"/>
      <c r="M703" s="33"/>
      <c r="N703" s="33"/>
      <c r="O703" s="33"/>
      <c r="P703" s="33"/>
      <c r="Q703" s="33"/>
      <c r="R703" s="33"/>
      <c r="S703" s="33"/>
      <c r="T703" s="33"/>
    </row>
    <row r="704" spans="1:20" ht="15.75">
      <c r="A704" s="13">
        <v>63309</v>
      </c>
      <c r="B704" s="41">
        <f t="shared" si="2"/>
        <v>30</v>
      </c>
      <c r="C704" s="32">
        <v>141.29300000000001</v>
      </c>
      <c r="D704" s="32">
        <v>267.99299999999999</v>
      </c>
      <c r="E704" s="38">
        <v>829.71400000000006</v>
      </c>
      <c r="F704" s="32">
        <v>1239</v>
      </c>
      <c r="G704" s="32">
        <v>100</v>
      </c>
      <c r="H704" s="40">
        <v>600</v>
      </c>
      <c r="I704" s="32">
        <v>695</v>
      </c>
      <c r="J704" s="32">
        <v>50</v>
      </c>
      <c r="K704" s="33"/>
      <c r="L704" s="33"/>
      <c r="M704" s="33"/>
      <c r="N704" s="33"/>
      <c r="O704" s="33"/>
      <c r="P704" s="33"/>
      <c r="Q704" s="33"/>
      <c r="R704" s="33"/>
      <c r="S704" s="33"/>
      <c r="T704" s="33"/>
    </row>
    <row r="705" spans="1:20" ht="15.75">
      <c r="A705" s="13">
        <v>63340</v>
      </c>
      <c r="B705" s="41">
        <f t="shared" si="2"/>
        <v>31</v>
      </c>
      <c r="C705" s="32">
        <v>194.20500000000001</v>
      </c>
      <c r="D705" s="32">
        <v>267.46600000000001</v>
      </c>
      <c r="E705" s="38">
        <v>812.32899999999995</v>
      </c>
      <c r="F705" s="32">
        <v>1274</v>
      </c>
      <c r="G705" s="32">
        <v>75</v>
      </c>
      <c r="H705" s="40">
        <v>600</v>
      </c>
      <c r="I705" s="32">
        <v>695</v>
      </c>
      <c r="J705" s="32">
        <v>50</v>
      </c>
      <c r="K705" s="33"/>
      <c r="L705" s="33"/>
      <c r="M705" s="33"/>
      <c r="N705" s="33"/>
      <c r="O705" s="33"/>
      <c r="P705" s="33"/>
      <c r="Q705" s="33"/>
      <c r="R705" s="33"/>
      <c r="S705" s="33"/>
      <c r="T705" s="33"/>
    </row>
    <row r="706" spans="1:20" ht="15.75">
      <c r="A706" s="13">
        <v>63370</v>
      </c>
      <c r="B706" s="41">
        <f t="shared" si="2"/>
        <v>30</v>
      </c>
      <c r="C706" s="32">
        <v>194.20500000000001</v>
      </c>
      <c r="D706" s="32">
        <v>267.46600000000001</v>
      </c>
      <c r="E706" s="38">
        <v>812.32899999999995</v>
      </c>
      <c r="F706" s="32">
        <v>1274</v>
      </c>
      <c r="G706" s="32">
        <v>50</v>
      </c>
      <c r="H706" s="40">
        <v>600</v>
      </c>
      <c r="I706" s="32">
        <v>695</v>
      </c>
      <c r="J706" s="32">
        <v>50</v>
      </c>
      <c r="K706" s="33"/>
      <c r="L706" s="33"/>
      <c r="M706" s="33"/>
      <c r="N706" s="33"/>
      <c r="O706" s="33"/>
      <c r="P706" s="33"/>
      <c r="Q706" s="33"/>
      <c r="R706" s="33"/>
      <c r="S706" s="33"/>
      <c r="T706" s="33"/>
    </row>
    <row r="707" spans="1:20" ht="15.75">
      <c r="A707" s="13">
        <v>63401</v>
      </c>
      <c r="B707" s="41">
        <f t="shared" si="2"/>
        <v>31</v>
      </c>
      <c r="C707" s="32">
        <v>194.20500000000001</v>
      </c>
      <c r="D707" s="32">
        <v>267.46600000000001</v>
      </c>
      <c r="E707" s="38">
        <v>812.32899999999995</v>
      </c>
      <c r="F707" s="32">
        <v>1274</v>
      </c>
      <c r="G707" s="32">
        <v>50</v>
      </c>
      <c r="H707" s="40">
        <v>600</v>
      </c>
      <c r="I707" s="32">
        <v>695</v>
      </c>
      <c r="J707" s="32">
        <v>0</v>
      </c>
      <c r="K707" s="33"/>
      <c r="L707" s="33"/>
      <c r="M707" s="33"/>
      <c r="N707" s="33"/>
      <c r="O707" s="33"/>
      <c r="P707" s="33"/>
      <c r="Q707" s="33"/>
      <c r="R707" s="33"/>
      <c r="S707" s="33"/>
      <c r="T707" s="33"/>
    </row>
    <row r="708" spans="1:20" ht="15.75">
      <c r="A708" s="13">
        <v>63432</v>
      </c>
      <c r="B708" s="41">
        <f t="shared" si="2"/>
        <v>31</v>
      </c>
      <c r="C708" s="32">
        <v>194.20500000000001</v>
      </c>
      <c r="D708" s="32">
        <v>267.46600000000001</v>
      </c>
      <c r="E708" s="38">
        <v>812.32899999999995</v>
      </c>
      <c r="F708" s="32">
        <v>1274</v>
      </c>
      <c r="G708" s="32">
        <v>50</v>
      </c>
      <c r="H708" s="40">
        <v>600</v>
      </c>
      <c r="I708" s="32">
        <v>695</v>
      </c>
      <c r="J708" s="32">
        <v>0</v>
      </c>
      <c r="K708" s="33"/>
      <c r="L708" s="33"/>
      <c r="M708" s="33"/>
      <c r="N708" s="33"/>
      <c r="O708" s="33"/>
      <c r="P708" s="33"/>
      <c r="Q708" s="33"/>
      <c r="R708" s="33"/>
      <c r="S708" s="33"/>
      <c r="T708" s="33"/>
    </row>
    <row r="709" spans="1:20" ht="15.75">
      <c r="A709" s="13">
        <v>63462</v>
      </c>
      <c r="B709" s="41">
        <f t="shared" si="2"/>
        <v>30</v>
      </c>
      <c r="C709" s="32">
        <v>194.20500000000001</v>
      </c>
      <c r="D709" s="32">
        <v>267.46600000000001</v>
      </c>
      <c r="E709" s="38">
        <v>812.32899999999995</v>
      </c>
      <c r="F709" s="32">
        <v>1274</v>
      </c>
      <c r="G709" s="32">
        <v>50</v>
      </c>
      <c r="H709" s="40">
        <v>600</v>
      </c>
      <c r="I709" s="32">
        <v>695</v>
      </c>
      <c r="J709" s="32">
        <v>0</v>
      </c>
      <c r="K709" s="33"/>
      <c r="L709" s="33"/>
      <c r="M709" s="33"/>
      <c r="N709" s="33"/>
      <c r="O709" s="33"/>
      <c r="P709" s="33"/>
      <c r="Q709" s="33"/>
      <c r="R709" s="33"/>
      <c r="S709" s="33"/>
      <c r="T709" s="33"/>
    </row>
    <row r="710" spans="1:20" ht="15.75">
      <c r="A710" s="13">
        <v>63493</v>
      </c>
      <c r="B710" s="41">
        <f t="shared" si="2"/>
        <v>31</v>
      </c>
      <c r="C710" s="32">
        <v>131.881</v>
      </c>
      <c r="D710" s="32">
        <v>277.16699999999997</v>
      </c>
      <c r="E710" s="38">
        <v>829.952</v>
      </c>
      <c r="F710" s="32">
        <v>1239</v>
      </c>
      <c r="G710" s="32">
        <v>75</v>
      </c>
      <c r="H710" s="40">
        <v>600</v>
      </c>
      <c r="I710" s="32">
        <v>695</v>
      </c>
      <c r="J710" s="32">
        <v>0</v>
      </c>
      <c r="K710" s="33"/>
      <c r="L710" s="33"/>
      <c r="M710" s="33"/>
      <c r="N710" s="33"/>
      <c r="O710" s="33"/>
      <c r="P710" s="33"/>
      <c r="Q710" s="33"/>
      <c r="R710" s="33"/>
      <c r="S710" s="33"/>
      <c r="T710" s="33"/>
    </row>
    <row r="711" spans="1:20" ht="15.75">
      <c r="A711" s="13">
        <v>63523</v>
      </c>
      <c r="B711" s="41">
        <f t="shared" si="2"/>
        <v>30</v>
      </c>
      <c r="C711" s="32">
        <v>122.58</v>
      </c>
      <c r="D711" s="32">
        <v>297.94099999999997</v>
      </c>
      <c r="E711" s="38">
        <v>729.47900000000004</v>
      </c>
      <c r="F711" s="32">
        <v>1150</v>
      </c>
      <c r="G711" s="32">
        <v>100</v>
      </c>
      <c r="H711" s="40">
        <v>600</v>
      </c>
      <c r="I711" s="32">
        <v>695</v>
      </c>
      <c r="J711" s="32">
        <v>50</v>
      </c>
      <c r="K711" s="33"/>
      <c r="L711" s="33"/>
      <c r="M711" s="33"/>
      <c r="N711" s="33"/>
      <c r="O711" s="33"/>
      <c r="P711" s="33"/>
      <c r="Q711" s="33"/>
      <c r="R711" s="33"/>
      <c r="S711" s="33"/>
      <c r="T711" s="33"/>
    </row>
    <row r="712" spans="1:20" ht="15.75">
      <c r="A712" s="13">
        <v>63554</v>
      </c>
      <c r="B712" s="41">
        <f t="shared" si="2"/>
        <v>31</v>
      </c>
      <c r="C712" s="32">
        <v>122.58</v>
      </c>
      <c r="D712" s="32">
        <v>297.94099999999997</v>
      </c>
      <c r="E712" s="38">
        <v>729.47900000000004</v>
      </c>
      <c r="F712" s="32">
        <v>1150</v>
      </c>
      <c r="G712" s="32">
        <v>100</v>
      </c>
      <c r="H712" s="40">
        <v>600</v>
      </c>
      <c r="I712" s="32">
        <v>695</v>
      </c>
      <c r="J712" s="32">
        <v>50</v>
      </c>
      <c r="K712" s="33"/>
      <c r="L712" s="33"/>
      <c r="M712" s="33"/>
      <c r="N712" s="33"/>
      <c r="O712" s="33"/>
      <c r="P712" s="33"/>
      <c r="Q712" s="33"/>
      <c r="R712" s="33"/>
      <c r="S712" s="33"/>
      <c r="T712" s="33"/>
    </row>
    <row r="713" spans="1:20" ht="15.75">
      <c r="A713" s="13">
        <v>63585</v>
      </c>
      <c r="B713" s="41">
        <f t="shared" si="2"/>
        <v>31</v>
      </c>
      <c r="C713" s="32">
        <v>122.58</v>
      </c>
      <c r="D713" s="32">
        <v>297.94099999999997</v>
      </c>
      <c r="E713" s="38">
        <v>729.47900000000004</v>
      </c>
      <c r="F713" s="32">
        <v>1150</v>
      </c>
      <c r="G713" s="32">
        <v>100</v>
      </c>
      <c r="H713" s="40">
        <v>600</v>
      </c>
      <c r="I713" s="32">
        <v>695</v>
      </c>
      <c r="J713" s="32">
        <v>50</v>
      </c>
      <c r="K713" s="33"/>
      <c r="L713" s="33"/>
      <c r="M713" s="33"/>
      <c r="N713" s="33"/>
      <c r="O713" s="33"/>
      <c r="P713" s="33"/>
      <c r="Q713" s="33"/>
      <c r="R713" s="33"/>
      <c r="S713" s="33"/>
      <c r="T713" s="33"/>
    </row>
    <row r="714" spans="1:20" ht="15.75">
      <c r="A714" s="13">
        <v>63613</v>
      </c>
      <c r="B714" s="41">
        <f t="shared" si="2"/>
        <v>28</v>
      </c>
      <c r="C714" s="32">
        <v>122.58</v>
      </c>
      <c r="D714" s="32">
        <v>297.94099999999997</v>
      </c>
      <c r="E714" s="38">
        <v>729.47900000000004</v>
      </c>
      <c r="F714" s="32">
        <v>1150</v>
      </c>
      <c r="G714" s="32">
        <v>100</v>
      </c>
      <c r="H714" s="40">
        <v>600</v>
      </c>
      <c r="I714" s="32">
        <v>695</v>
      </c>
      <c r="J714" s="32">
        <v>50</v>
      </c>
      <c r="K714" s="33"/>
      <c r="L714" s="33"/>
      <c r="M714" s="33"/>
      <c r="N714" s="33"/>
      <c r="O714" s="33"/>
      <c r="P714" s="33"/>
      <c r="Q714" s="33"/>
      <c r="R714" s="33"/>
      <c r="S714" s="33"/>
      <c r="T714" s="33"/>
    </row>
    <row r="715" spans="1:20" ht="15.75">
      <c r="A715" s="13">
        <v>63644</v>
      </c>
      <c r="B715" s="41">
        <f t="shared" si="2"/>
        <v>31</v>
      </c>
      <c r="C715" s="32">
        <v>122.58</v>
      </c>
      <c r="D715" s="32">
        <v>297.94099999999997</v>
      </c>
      <c r="E715" s="38">
        <v>729.47900000000004</v>
      </c>
      <c r="F715" s="32">
        <v>1150</v>
      </c>
      <c r="G715" s="32">
        <v>100</v>
      </c>
      <c r="H715" s="40">
        <v>600</v>
      </c>
      <c r="I715" s="32">
        <v>695</v>
      </c>
      <c r="J715" s="32">
        <v>50</v>
      </c>
      <c r="K715" s="33"/>
      <c r="L715" s="33"/>
      <c r="M715" s="33"/>
      <c r="N715" s="33"/>
      <c r="O715" s="33"/>
      <c r="P715" s="33"/>
      <c r="Q715" s="33"/>
      <c r="R715" s="33"/>
      <c r="S715" s="33"/>
      <c r="T715" s="33"/>
    </row>
    <row r="716" spans="1:20" ht="15.75">
      <c r="A716" s="13">
        <v>63674</v>
      </c>
      <c r="B716" s="41">
        <f t="shared" si="2"/>
        <v>30</v>
      </c>
      <c r="C716" s="32">
        <v>141.29300000000001</v>
      </c>
      <c r="D716" s="32">
        <v>267.99299999999999</v>
      </c>
      <c r="E716" s="38">
        <v>829.71400000000006</v>
      </c>
      <c r="F716" s="32">
        <v>1239</v>
      </c>
      <c r="G716" s="32">
        <v>100</v>
      </c>
      <c r="H716" s="40">
        <v>600</v>
      </c>
      <c r="I716" s="32">
        <v>695</v>
      </c>
      <c r="J716" s="32">
        <v>50</v>
      </c>
      <c r="K716" s="33"/>
      <c r="L716" s="33"/>
      <c r="M716" s="33"/>
      <c r="N716" s="33"/>
      <c r="O716" s="33"/>
      <c r="P716" s="33"/>
      <c r="Q716" s="33"/>
      <c r="R716" s="33"/>
      <c r="S716" s="33"/>
      <c r="T716" s="33"/>
    </row>
    <row r="717" spans="1:20" ht="15.75">
      <c r="A717" s="13">
        <v>63705</v>
      </c>
      <c r="B717" s="41">
        <f t="shared" si="2"/>
        <v>31</v>
      </c>
      <c r="C717" s="32">
        <v>194.20500000000001</v>
      </c>
      <c r="D717" s="32">
        <v>267.46600000000001</v>
      </c>
      <c r="E717" s="38">
        <v>812.32899999999995</v>
      </c>
      <c r="F717" s="32">
        <v>1274</v>
      </c>
      <c r="G717" s="32">
        <v>75</v>
      </c>
      <c r="H717" s="40">
        <v>600</v>
      </c>
      <c r="I717" s="32">
        <v>695</v>
      </c>
      <c r="J717" s="32">
        <v>50</v>
      </c>
      <c r="K717" s="33"/>
      <c r="L717" s="33"/>
      <c r="M717" s="33"/>
      <c r="N717" s="33"/>
      <c r="O717" s="33"/>
      <c r="P717" s="33"/>
      <c r="Q717" s="33"/>
      <c r="R717" s="33"/>
      <c r="S717" s="33"/>
      <c r="T717" s="33"/>
    </row>
    <row r="718" spans="1:20" ht="15.75">
      <c r="A718" s="13">
        <v>63735</v>
      </c>
      <c r="B718" s="41">
        <f t="shared" si="2"/>
        <v>30</v>
      </c>
      <c r="C718" s="32">
        <v>194.20500000000001</v>
      </c>
      <c r="D718" s="32">
        <v>267.46600000000001</v>
      </c>
      <c r="E718" s="38">
        <v>812.32899999999995</v>
      </c>
      <c r="F718" s="32">
        <v>1274</v>
      </c>
      <c r="G718" s="32">
        <v>50</v>
      </c>
      <c r="H718" s="40">
        <v>600</v>
      </c>
      <c r="I718" s="32">
        <v>695</v>
      </c>
      <c r="J718" s="32">
        <v>50</v>
      </c>
      <c r="K718" s="33"/>
      <c r="L718" s="33"/>
      <c r="M718" s="33"/>
      <c r="N718" s="33"/>
      <c r="O718" s="33"/>
      <c r="P718" s="33"/>
      <c r="Q718" s="33"/>
      <c r="R718" s="33"/>
      <c r="S718" s="33"/>
      <c r="T718" s="33"/>
    </row>
    <row r="719" spans="1:20" ht="15.75">
      <c r="A719" s="13">
        <v>63766</v>
      </c>
      <c r="B719" s="41">
        <f t="shared" si="2"/>
        <v>31</v>
      </c>
      <c r="C719" s="32">
        <v>194.20500000000001</v>
      </c>
      <c r="D719" s="32">
        <v>267.46600000000001</v>
      </c>
      <c r="E719" s="38">
        <v>812.32899999999995</v>
      </c>
      <c r="F719" s="32">
        <v>1274</v>
      </c>
      <c r="G719" s="32">
        <v>50</v>
      </c>
      <c r="H719" s="40">
        <v>600</v>
      </c>
      <c r="I719" s="32">
        <v>695</v>
      </c>
      <c r="J719" s="32">
        <v>0</v>
      </c>
      <c r="K719" s="33"/>
      <c r="L719" s="33"/>
      <c r="M719" s="33"/>
      <c r="N719" s="33"/>
      <c r="O719" s="33"/>
      <c r="P719" s="33"/>
      <c r="Q719" s="33"/>
      <c r="R719" s="33"/>
      <c r="S719" s="33"/>
      <c r="T719" s="33"/>
    </row>
    <row r="720" spans="1:20" ht="15.75">
      <c r="A720" s="13">
        <v>63797</v>
      </c>
      <c r="B720" s="41">
        <f t="shared" si="2"/>
        <v>31</v>
      </c>
      <c r="C720" s="32">
        <v>194.20500000000001</v>
      </c>
      <c r="D720" s="32">
        <v>267.46600000000001</v>
      </c>
      <c r="E720" s="38">
        <v>812.32899999999995</v>
      </c>
      <c r="F720" s="32">
        <v>1274</v>
      </c>
      <c r="G720" s="32">
        <v>50</v>
      </c>
      <c r="H720" s="40">
        <v>600</v>
      </c>
      <c r="I720" s="32">
        <v>695</v>
      </c>
      <c r="J720" s="32">
        <v>0</v>
      </c>
      <c r="K720" s="33"/>
      <c r="L720" s="33"/>
      <c r="M720" s="33"/>
      <c r="N720" s="33"/>
      <c r="O720" s="33"/>
      <c r="P720" s="33"/>
      <c r="Q720" s="33"/>
      <c r="R720" s="33"/>
      <c r="S720" s="33"/>
      <c r="T720" s="33"/>
    </row>
    <row r="721" spans="1:20" ht="15.75">
      <c r="A721" s="13">
        <v>63827</v>
      </c>
      <c r="B721" s="41">
        <f t="shared" si="2"/>
        <v>30</v>
      </c>
      <c r="C721" s="32">
        <v>194.20500000000001</v>
      </c>
      <c r="D721" s="32">
        <v>267.46600000000001</v>
      </c>
      <c r="E721" s="38">
        <v>812.32899999999995</v>
      </c>
      <c r="F721" s="32">
        <v>1274</v>
      </c>
      <c r="G721" s="32">
        <v>50</v>
      </c>
      <c r="H721" s="40">
        <v>600</v>
      </c>
      <c r="I721" s="32">
        <v>695</v>
      </c>
      <c r="J721" s="32">
        <v>0</v>
      </c>
      <c r="K721" s="33"/>
      <c r="L721" s="33"/>
      <c r="M721" s="33"/>
      <c r="N721" s="33"/>
      <c r="O721" s="33"/>
      <c r="P721" s="33"/>
      <c r="Q721" s="33"/>
      <c r="R721" s="33"/>
      <c r="S721" s="33"/>
      <c r="T721" s="33"/>
    </row>
    <row r="722" spans="1:20" ht="15.75">
      <c r="A722" s="13">
        <v>63858</v>
      </c>
      <c r="B722" s="41">
        <f t="shared" si="2"/>
        <v>31</v>
      </c>
      <c r="C722" s="32">
        <v>131.881</v>
      </c>
      <c r="D722" s="32">
        <v>277.16699999999997</v>
      </c>
      <c r="E722" s="38">
        <v>829.952</v>
      </c>
      <c r="F722" s="32">
        <v>1239</v>
      </c>
      <c r="G722" s="32">
        <v>75</v>
      </c>
      <c r="H722" s="40">
        <v>600</v>
      </c>
      <c r="I722" s="32">
        <v>695</v>
      </c>
      <c r="J722" s="32">
        <v>0</v>
      </c>
      <c r="K722" s="33"/>
      <c r="L722" s="33"/>
      <c r="M722" s="33"/>
      <c r="N722" s="33"/>
      <c r="O722" s="33"/>
      <c r="P722" s="33"/>
      <c r="Q722" s="33"/>
      <c r="R722" s="33"/>
      <c r="S722" s="33"/>
      <c r="T722" s="33"/>
    </row>
    <row r="723" spans="1:20" ht="15.75">
      <c r="A723" s="13">
        <v>63888</v>
      </c>
      <c r="B723" s="41">
        <f t="shared" si="2"/>
        <v>30</v>
      </c>
      <c r="C723" s="32">
        <v>122.58</v>
      </c>
      <c r="D723" s="32">
        <v>297.94099999999997</v>
      </c>
      <c r="E723" s="38">
        <v>729.47900000000004</v>
      </c>
      <c r="F723" s="32">
        <v>1150</v>
      </c>
      <c r="G723" s="32">
        <v>100</v>
      </c>
      <c r="H723" s="40">
        <v>600</v>
      </c>
      <c r="I723" s="32">
        <v>695</v>
      </c>
      <c r="J723" s="32">
        <v>50</v>
      </c>
      <c r="K723" s="33"/>
      <c r="L723" s="33"/>
      <c r="M723" s="33"/>
      <c r="N723" s="33"/>
      <c r="O723" s="33"/>
      <c r="P723" s="33"/>
      <c r="Q723" s="33"/>
      <c r="R723" s="33"/>
      <c r="S723" s="33"/>
      <c r="T723" s="33"/>
    </row>
    <row r="724" spans="1:20" ht="15.75">
      <c r="A724" s="13">
        <v>63919</v>
      </c>
      <c r="B724" s="41">
        <f t="shared" si="2"/>
        <v>31</v>
      </c>
      <c r="C724" s="32">
        <v>122.58</v>
      </c>
      <c r="D724" s="32">
        <v>297.94099999999997</v>
      </c>
      <c r="E724" s="38">
        <v>729.47900000000004</v>
      </c>
      <c r="F724" s="32">
        <v>1150</v>
      </c>
      <c r="G724" s="32">
        <v>100</v>
      </c>
      <c r="H724" s="40">
        <v>600</v>
      </c>
      <c r="I724" s="32">
        <v>695</v>
      </c>
      <c r="J724" s="32">
        <v>50</v>
      </c>
      <c r="K724" s="33"/>
      <c r="L724" s="33"/>
      <c r="M724" s="33"/>
      <c r="N724" s="33"/>
      <c r="O724" s="33"/>
      <c r="P724" s="33"/>
      <c r="Q724" s="33"/>
      <c r="R724" s="33"/>
      <c r="S724" s="33"/>
      <c r="T724" s="33"/>
    </row>
    <row r="725" spans="1:20" ht="15.75">
      <c r="A725" s="13">
        <v>63950</v>
      </c>
      <c r="B725" s="41">
        <f t="shared" si="2"/>
        <v>31</v>
      </c>
      <c r="C725" s="32">
        <v>122.58</v>
      </c>
      <c r="D725" s="32">
        <v>297.94099999999997</v>
      </c>
      <c r="E725" s="38">
        <v>729.47900000000004</v>
      </c>
      <c r="F725" s="32">
        <v>1150</v>
      </c>
      <c r="G725" s="32">
        <v>100</v>
      </c>
      <c r="H725" s="40">
        <v>600</v>
      </c>
      <c r="I725" s="32">
        <v>695</v>
      </c>
      <c r="J725" s="32">
        <v>50</v>
      </c>
      <c r="K725" s="33"/>
      <c r="L725" s="33"/>
      <c r="M725" s="33"/>
      <c r="N725" s="33"/>
      <c r="O725" s="33"/>
      <c r="P725" s="33"/>
      <c r="Q725" s="33"/>
      <c r="R725" s="33"/>
      <c r="S725" s="33"/>
      <c r="T725" s="33"/>
    </row>
    <row r="726" spans="1:20" ht="15.75">
      <c r="A726" s="13">
        <v>63978</v>
      </c>
      <c r="B726" s="41">
        <f t="shared" si="2"/>
        <v>28</v>
      </c>
      <c r="C726" s="32">
        <v>122.58</v>
      </c>
      <c r="D726" s="32">
        <v>297.94099999999997</v>
      </c>
      <c r="E726" s="38">
        <v>729.47900000000004</v>
      </c>
      <c r="F726" s="32">
        <v>1150</v>
      </c>
      <c r="G726" s="32">
        <v>100</v>
      </c>
      <c r="H726" s="40">
        <v>600</v>
      </c>
      <c r="I726" s="32">
        <v>695</v>
      </c>
      <c r="J726" s="32">
        <v>50</v>
      </c>
      <c r="K726" s="33"/>
      <c r="L726" s="33"/>
      <c r="M726" s="33"/>
      <c r="N726" s="33"/>
      <c r="O726" s="33"/>
      <c r="P726" s="33"/>
      <c r="Q726" s="33"/>
      <c r="R726" s="33"/>
      <c r="S726" s="33"/>
      <c r="T726" s="33"/>
    </row>
    <row r="727" spans="1:20" ht="15.75">
      <c r="A727" s="13">
        <v>64009</v>
      </c>
      <c r="B727" s="41">
        <f t="shared" si="2"/>
        <v>31</v>
      </c>
      <c r="C727" s="32">
        <v>122.58</v>
      </c>
      <c r="D727" s="32">
        <v>297.94099999999997</v>
      </c>
      <c r="E727" s="38">
        <v>729.47900000000004</v>
      </c>
      <c r="F727" s="32">
        <v>1150</v>
      </c>
      <c r="G727" s="32">
        <v>100</v>
      </c>
      <c r="H727" s="40">
        <v>600</v>
      </c>
      <c r="I727" s="32">
        <v>695</v>
      </c>
      <c r="J727" s="32">
        <v>50</v>
      </c>
      <c r="K727" s="33"/>
      <c r="L727" s="33"/>
      <c r="M727" s="33"/>
      <c r="N727" s="33"/>
      <c r="O727" s="33"/>
      <c r="P727" s="33"/>
      <c r="Q727" s="33"/>
      <c r="R727" s="33"/>
      <c r="S727" s="33"/>
      <c r="T727" s="33"/>
    </row>
    <row r="728" spans="1:20" ht="15.75">
      <c r="A728" s="13">
        <v>64039</v>
      </c>
      <c r="B728" s="41">
        <f t="shared" si="2"/>
        <v>30</v>
      </c>
      <c r="C728" s="32">
        <v>141.29300000000001</v>
      </c>
      <c r="D728" s="32">
        <v>267.99299999999999</v>
      </c>
      <c r="E728" s="38">
        <v>829.71400000000006</v>
      </c>
      <c r="F728" s="32">
        <v>1239</v>
      </c>
      <c r="G728" s="32">
        <v>100</v>
      </c>
      <c r="H728" s="40">
        <v>600</v>
      </c>
      <c r="I728" s="32">
        <v>695</v>
      </c>
      <c r="J728" s="32">
        <v>50</v>
      </c>
      <c r="K728" s="33"/>
      <c r="L728" s="33"/>
      <c r="M728" s="33"/>
      <c r="N728" s="33"/>
      <c r="O728" s="33"/>
      <c r="P728" s="33"/>
      <c r="Q728" s="33"/>
      <c r="R728" s="33"/>
      <c r="S728" s="33"/>
      <c r="T728" s="33"/>
    </row>
    <row r="729" spans="1:20" ht="15.75">
      <c r="A729" s="13">
        <v>64070</v>
      </c>
      <c r="B729" s="41">
        <f t="shared" si="2"/>
        <v>31</v>
      </c>
      <c r="C729" s="32">
        <v>194.20500000000001</v>
      </c>
      <c r="D729" s="32">
        <v>267.46600000000001</v>
      </c>
      <c r="E729" s="38">
        <v>812.32899999999995</v>
      </c>
      <c r="F729" s="32">
        <v>1274</v>
      </c>
      <c r="G729" s="32">
        <v>75</v>
      </c>
      <c r="H729" s="40">
        <v>600</v>
      </c>
      <c r="I729" s="32">
        <v>695</v>
      </c>
      <c r="J729" s="32">
        <v>50</v>
      </c>
      <c r="K729" s="33"/>
      <c r="L729" s="33"/>
      <c r="M729" s="33"/>
      <c r="N729" s="33"/>
      <c r="O729" s="33"/>
      <c r="P729" s="33"/>
      <c r="Q729" s="33"/>
      <c r="R729" s="33"/>
      <c r="S729" s="33"/>
      <c r="T729" s="33"/>
    </row>
    <row r="730" spans="1:20" ht="15.75">
      <c r="A730" s="13">
        <v>64100</v>
      </c>
      <c r="B730" s="41">
        <f t="shared" si="2"/>
        <v>30</v>
      </c>
      <c r="C730" s="32">
        <v>194.20500000000001</v>
      </c>
      <c r="D730" s="32">
        <v>267.46600000000001</v>
      </c>
      <c r="E730" s="38">
        <v>812.32899999999995</v>
      </c>
      <c r="F730" s="32">
        <v>1274</v>
      </c>
      <c r="G730" s="32">
        <v>50</v>
      </c>
      <c r="H730" s="40">
        <v>600</v>
      </c>
      <c r="I730" s="32">
        <v>695</v>
      </c>
      <c r="J730" s="32">
        <v>50</v>
      </c>
      <c r="K730" s="33"/>
      <c r="L730" s="33"/>
      <c r="M730" s="33"/>
      <c r="N730" s="33"/>
      <c r="O730" s="33"/>
      <c r="P730" s="33"/>
      <c r="Q730" s="33"/>
      <c r="R730" s="33"/>
      <c r="S730" s="33"/>
      <c r="T730" s="33"/>
    </row>
    <row r="731" spans="1:20" ht="15.75">
      <c r="A731" s="13">
        <v>64131</v>
      </c>
      <c r="B731" s="41">
        <f t="shared" si="2"/>
        <v>31</v>
      </c>
      <c r="C731" s="32">
        <v>194.20500000000001</v>
      </c>
      <c r="D731" s="32">
        <v>267.46600000000001</v>
      </c>
      <c r="E731" s="38">
        <v>812.32899999999995</v>
      </c>
      <c r="F731" s="32">
        <v>1274</v>
      </c>
      <c r="G731" s="32">
        <v>50</v>
      </c>
      <c r="H731" s="40">
        <v>600</v>
      </c>
      <c r="I731" s="32">
        <v>695</v>
      </c>
      <c r="J731" s="32">
        <v>0</v>
      </c>
      <c r="K731" s="33"/>
      <c r="L731" s="33"/>
      <c r="M731" s="33"/>
      <c r="N731" s="33"/>
      <c r="O731" s="33"/>
      <c r="P731" s="33"/>
      <c r="Q731" s="33"/>
      <c r="R731" s="33"/>
      <c r="S731" s="33"/>
      <c r="T731" s="33"/>
    </row>
    <row r="732" spans="1:20" ht="15.75">
      <c r="A732" s="13">
        <v>64162</v>
      </c>
      <c r="B732" s="41">
        <f t="shared" si="2"/>
        <v>31</v>
      </c>
      <c r="C732" s="32">
        <v>194.20500000000001</v>
      </c>
      <c r="D732" s="32">
        <v>267.46600000000001</v>
      </c>
      <c r="E732" s="38">
        <v>812.32899999999995</v>
      </c>
      <c r="F732" s="32">
        <v>1274</v>
      </c>
      <c r="G732" s="32">
        <v>50</v>
      </c>
      <c r="H732" s="40">
        <v>600</v>
      </c>
      <c r="I732" s="32">
        <v>695</v>
      </c>
      <c r="J732" s="32">
        <v>0</v>
      </c>
      <c r="K732" s="33"/>
      <c r="L732" s="33"/>
      <c r="M732" s="33"/>
      <c r="N732" s="33"/>
      <c r="O732" s="33"/>
      <c r="P732" s="33"/>
      <c r="Q732" s="33"/>
      <c r="R732" s="33"/>
      <c r="S732" s="33"/>
      <c r="T732" s="33"/>
    </row>
    <row r="733" spans="1:20" ht="15.75">
      <c r="A733" s="13">
        <v>64192</v>
      </c>
      <c r="B733" s="41">
        <f t="shared" si="2"/>
        <v>30</v>
      </c>
      <c r="C733" s="32">
        <v>194.20500000000001</v>
      </c>
      <c r="D733" s="32">
        <v>267.46600000000001</v>
      </c>
      <c r="E733" s="38">
        <v>812.32899999999995</v>
      </c>
      <c r="F733" s="32">
        <v>1274</v>
      </c>
      <c r="G733" s="32">
        <v>50</v>
      </c>
      <c r="H733" s="40">
        <v>600</v>
      </c>
      <c r="I733" s="32">
        <v>695</v>
      </c>
      <c r="J733" s="32">
        <v>0</v>
      </c>
      <c r="K733" s="33"/>
      <c r="L733" s="33"/>
      <c r="M733" s="33"/>
      <c r="N733" s="33"/>
      <c r="O733" s="33"/>
      <c r="P733" s="33"/>
      <c r="Q733" s="33"/>
      <c r="R733" s="33"/>
      <c r="S733" s="33"/>
      <c r="T733" s="33"/>
    </row>
    <row r="734" spans="1:20" ht="15.75">
      <c r="A734" s="13">
        <v>64223</v>
      </c>
      <c r="B734" s="41">
        <f t="shared" si="2"/>
        <v>31</v>
      </c>
      <c r="C734" s="32">
        <v>131.881</v>
      </c>
      <c r="D734" s="32">
        <v>277.16699999999997</v>
      </c>
      <c r="E734" s="38">
        <v>829.952</v>
      </c>
      <c r="F734" s="32">
        <v>1239</v>
      </c>
      <c r="G734" s="32">
        <v>75</v>
      </c>
      <c r="H734" s="40">
        <v>600</v>
      </c>
      <c r="I734" s="32">
        <v>695</v>
      </c>
      <c r="J734" s="32">
        <v>0</v>
      </c>
      <c r="K734" s="33"/>
      <c r="L734" s="33"/>
      <c r="M734" s="33"/>
      <c r="N734" s="33"/>
      <c r="O734" s="33"/>
      <c r="P734" s="33"/>
      <c r="Q734" s="33"/>
      <c r="R734" s="33"/>
      <c r="S734" s="33"/>
      <c r="T734" s="33"/>
    </row>
    <row r="735" spans="1:20" ht="15.75">
      <c r="A735" s="13">
        <v>64253</v>
      </c>
      <c r="B735" s="41">
        <f t="shared" si="2"/>
        <v>30</v>
      </c>
      <c r="C735" s="32">
        <v>122.58</v>
      </c>
      <c r="D735" s="32">
        <v>297.94099999999997</v>
      </c>
      <c r="E735" s="38">
        <v>729.47900000000004</v>
      </c>
      <c r="F735" s="32">
        <v>1150</v>
      </c>
      <c r="G735" s="32">
        <v>100</v>
      </c>
      <c r="H735" s="40">
        <v>600</v>
      </c>
      <c r="I735" s="32">
        <v>695</v>
      </c>
      <c r="J735" s="32">
        <v>50</v>
      </c>
      <c r="K735" s="33"/>
      <c r="L735" s="33"/>
      <c r="M735" s="33"/>
      <c r="N735" s="33"/>
      <c r="O735" s="33"/>
      <c r="P735" s="33"/>
      <c r="Q735" s="33"/>
      <c r="R735" s="33"/>
      <c r="S735" s="33"/>
      <c r="T735" s="33"/>
    </row>
    <row r="736" spans="1:20" ht="15.75">
      <c r="A736" s="13">
        <v>64284</v>
      </c>
      <c r="B736" s="41">
        <f t="shared" si="2"/>
        <v>31</v>
      </c>
      <c r="C736" s="32">
        <v>122.58</v>
      </c>
      <c r="D736" s="32">
        <v>297.94099999999997</v>
      </c>
      <c r="E736" s="38">
        <v>729.47900000000004</v>
      </c>
      <c r="F736" s="32">
        <v>1150</v>
      </c>
      <c r="G736" s="32">
        <v>100</v>
      </c>
      <c r="H736" s="40">
        <v>600</v>
      </c>
      <c r="I736" s="32">
        <v>695</v>
      </c>
      <c r="J736" s="32">
        <v>50</v>
      </c>
      <c r="K736" s="33"/>
      <c r="L736" s="33"/>
      <c r="M736" s="33"/>
      <c r="N736" s="33"/>
      <c r="O736" s="33"/>
      <c r="P736" s="33"/>
      <c r="Q736" s="33"/>
      <c r="R736" s="33"/>
      <c r="S736" s="33"/>
      <c r="T736" s="33"/>
    </row>
    <row r="737" spans="1:20" ht="15.75">
      <c r="A737" s="13">
        <v>64315</v>
      </c>
      <c r="B737" s="41">
        <f t="shared" si="2"/>
        <v>31</v>
      </c>
      <c r="C737" s="32">
        <v>122.58</v>
      </c>
      <c r="D737" s="32">
        <v>297.94099999999997</v>
      </c>
      <c r="E737" s="38">
        <v>729.47900000000004</v>
      </c>
      <c r="F737" s="32">
        <v>1150</v>
      </c>
      <c r="G737" s="32">
        <v>100</v>
      </c>
      <c r="H737" s="40">
        <v>600</v>
      </c>
      <c r="I737" s="32">
        <v>695</v>
      </c>
      <c r="J737" s="32">
        <v>50</v>
      </c>
      <c r="K737" s="33"/>
      <c r="L737" s="33"/>
      <c r="M737" s="33"/>
      <c r="N737" s="33"/>
      <c r="O737" s="33"/>
      <c r="P737" s="33"/>
      <c r="Q737" s="33"/>
      <c r="R737" s="33"/>
      <c r="S737" s="33"/>
      <c r="T737" s="33"/>
    </row>
    <row r="738" spans="1:20" ht="15.75">
      <c r="A738" s="13">
        <v>64344</v>
      </c>
      <c r="B738" s="41">
        <f t="shared" si="2"/>
        <v>29</v>
      </c>
      <c r="C738" s="32">
        <v>122.58</v>
      </c>
      <c r="D738" s="32">
        <v>297.94099999999997</v>
      </c>
      <c r="E738" s="38">
        <v>729.47900000000004</v>
      </c>
      <c r="F738" s="32">
        <v>1150</v>
      </c>
      <c r="G738" s="32">
        <v>100</v>
      </c>
      <c r="H738" s="40">
        <v>600</v>
      </c>
      <c r="I738" s="32">
        <v>695</v>
      </c>
      <c r="J738" s="32">
        <v>50</v>
      </c>
      <c r="K738" s="33"/>
      <c r="L738" s="33"/>
      <c r="M738" s="33"/>
      <c r="N738" s="33"/>
      <c r="O738" s="33"/>
      <c r="P738" s="33"/>
      <c r="Q738" s="33"/>
      <c r="R738" s="33"/>
      <c r="S738" s="33"/>
      <c r="T738" s="33"/>
    </row>
    <row r="739" spans="1:20" ht="15.75">
      <c r="A739" s="13">
        <v>64375</v>
      </c>
      <c r="B739" s="41">
        <f t="shared" si="2"/>
        <v>31</v>
      </c>
      <c r="C739" s="32">
        <v>122.58</v>
      </c>
      <c r="D739" s="32">
        <v>297.94099999999997</v>
      </c>
      <c r="E739" s="38">
        <v>729.47900000000004</v>
      </c>
      <c r="F739" s="32">
        <v>1150</v>
      </c>
      <c r="G739" s="32">
        <v>100</v>
      </c>
      <c r="H739" s="40">
        <v>600</v>
      </c>
      <c r="I739" s="32">
        <v>695</v>
      </c>
      <c r="J739" s="32">
        <v>50</v>
      </c>
      <c r="K739" s="33"/>
      <c r="L739" s="33"/>
      <c r="M739" s="33"/>
      <c r="N739" s="33"/>
      <c r="O739" s="33"/>
      <c r="P739" s="33"/>
      <c r="Q739" s="33"/>
      <c r="R739" s="33"/>
      <c r="S739" s="33"/>
      <c r="T739" s="33"/>
    </row>
    <row r="740" spans="1:20" ht="15.75">
      <c r="A740" s="13">
        <v>64405</v>
      </c>
      <c r="B740" s="41">
        <f t="shared" si="2"/>
        <v>30</v>
      </c>
      <c r="C740" s="32">
        <v>141.29300000000001</v>
      </c>
      <c r="D740" s="32">
        <v>267.99299999999999</v>
      </c>
      <c r="E740" s="38">
        <v>829.71400000000006</v>
      </c>
      <c r="F740" s="32">
        <v>1239</v>
      </c>
      <c r="G740" s="32">
        <v>100</v>
      </c>
      <c r="H740" s="40">
        <v>600</v>
      </c>
      <c r="I740" s="32">
        <v>695</v>
      </c>
      <c r="J740" s="32">
        <v>50</v>
      </c>
      <c r="K740" s="33"/>
      <c r="L740" s="33"/>
      <c r="M740" s="33"/>
      <c r="N740" s="33"/>
      <c r="O740" s="33"/>
      <c r="P740" s="33"/>
      <c r="Q740" s="33"/>
      <c r="R740" s="33"/>
      <c r="S740" s="33"/>
      <c r="T740" s="33"/>
    </row>
    <row r="741" spans="1:20" ht="15.75">
      <c r="A741" s="13">
        <v>64436</v>
      </c>
      <c r="B741" s="41">
        <f t="shared" si="2"/>
        <v>31</v>
      </c>
      <c r="C741" s="32">
        <v>194.20500000000001</v>
      </c>
      <c r="D741" s="32">
        <v>267.46600000000001</v>
      </c>
      <c r="E741" s="38">
        <v>812.32899999999995</v>
      </c>
      <c r="F741" s="32">
        <v>1274</v>
      </c>
      <c r="G741" s="32">
        <v>75</v>
      </c>
      <c r="H741" s="40">
        <v>600</v>
      </c>
      <c r="I741" s="32">
        <v>695</v>
      </c>
      <c r="J741" s="32">
        <v>50</v>
      </c>
      <c r="K741" s="33"/>
      <c r="L741" s="33"/>
      <c r="M741" s="33"/>
      <c r="N741" s="33"/>
      <c r="O741" s="33"/>
      <c r="P741" s="33"/>
      <c r="Q741" s="33"/>
      <c r="R741" s="33"/>
      <c r="S741" s="33"/>
      <c r="T741" s="33"/>
    </row>
    <row r="742" spans="1:20" ht="15.75">
      <c r="A742" s="13">
        <v>64466</v>
      </c>
      <c r="B742" s="41">
        <f t="shared" si="2"/>
        <v>30</v>
      </c>
      <c r="C742" s="32">
        <v>194.20500000000001</v>
      </c>
      <c r="D742" s="32">
        <v>267.46600000000001</v>
      </c>
      <c r="E742" s="38">
        <v>812.32899999999995</v>
      </c>
      <c r="F742" s="32">
        <v>1274</v>
      </c>
      <c r="G742" s="32">
        <v>50</v>
      </c>
      <c r="H742" s="40">
        <v>600</v>
      </c>
      <c r="I742" s="32">
        <v>695</v>
      </c>
      <c r="J742" s="32">
        <v>50</v>
      </c>
      <c r="K742" s="33"/>
      <c r="L742" s="33"/>
      <c r="M742" s="33"/>
      <c r="N742" s="33"/>
      <c r="O742" s="33"/>
      <c r="P742" s="33"/>
      <c r="Q742" s="33"/>
      <c r="R742" s="33"/>
      <c r="S742" s="33"/>
      <c r="T742" s="33"/>
    </row>
    <row r="743" spans="1:20" ht="15.75">
      <c r="A743" s="13">
        <v>64497</v>
      </c>
      <c r="B743" s="41">
        <f t="shared" si="2"/>
        <v>31</v>
      </c>
      <c r="C743" s="32">
        <v>194.20500000000001</v>
      </c>
      <c r="D743" s="32">
        <v>267.46600000000001</v>
      </c>
      <c r="E743" s="38">
        <v>812.32899999999995</v>
      </c>
      <c r="F743" s="32">
        <v>1274</v>
      </c>
      <c r="G743" s="32">
        <v>50</v>
      </c>
      <c r="H743" s="40">
        <v>600</v>
      </c>
      <c r="I743" s="32">
        <v>695</v>
      </c>
      <c r="J743" s="32">
        <v>0</v>
      </c>
      <c r="K743" s="33"/>
      <c r="L743" s="33"/>
      <c r="M743" s="33"/>
      <c r="N743" s="33"/>
      <c r="O743" s="33"/>
      <c r="P743" s="33"/>
      <c r="Q743" s="33"/>
      <c r="R743" s="33"/>
      <c r="S743" s="33"/>
      <c r="T743" s="33"/>
    </row>
    <row r="744" spans="1:20" ht="15.75">
      <c r="A744" s="13">
        <v>64528</v>
      </c>
      <c r="B744" s="41">
        <f t="shared" si="2"/>
        <v>31</v>
      </c>
      <c r="C744" s="32">
        <v>194.20500000000001</v>
      </c>
      <c r="D744" s="32">
        <v>267.46600000000001</v>
      </c>
      <c r="E744" s="38">
        <v>812.32899999999995</v>
      </c>
      <c r="F744" s="32">
        <v>1274</v>
      </c>
      <c r="G744" s="32">
        <v>50</v>
      </c>
      <c r="H744" s="40">
        <v>600</v>
      </c>
      <c r="I744" s="32">
        <v>695</v>
      </c>
      <c r="J744" s="32">
        <v>0</v>
      </c>
      <c r="K744" s="33"/>
      <c r="L744" s="33"/>
      <c r="M744" s="33"/>
      <c r="N744" s="33"/>
      <c r="O744" s="33"/>
      <c r="P744" s="33"/>
      <c r="Q744" s="33"/>
      <c r="R744" s="33"/>
      <c r="S744" s="33"/>
      <c r="T744" s="33"/>
    </row>
    <row r="745" spans="1:20" ht="15.75">
      <c r="A745" s="13">
        <v>64558</v>
      </c>
      <c r="B745" s="41">
        <f t="shared" si="2"/>
        <v>30</v>
      </c>
      <c r="C745" s="32">
        <v>194.20500000000001</v>
      </c>
      <c r="D745" s="32">
        <v>267.46600000000001</v>
      </c>
      <c r="E745" s="38">
        <v>812.32899999999995</v>
      </c>
      <c r="F745" s="32">
        <v>1274</v>
      </c>
      <c r="G745" s="32">
        <v>50</v>
      </c>
      <c r="H745" s="40">
        <v>600</v>
      </c>
      <c r="I745" s="32">
        <v>695</v>
      </c>
      <c r="J745" s="32">
        <v>0</v>
      </c>
      <c r="K745" s="33"/>
      <c r="L745" s="33"/>
      <c r="M745" s="33"/>
      <c r="N745" s="33"/>
      <c r="O745" s="33"/>
      <c r="P745" s="33"/>
      <c r="Q745" s="33"/>
      <c r="R745" s="33"/>
      <c r="S745" s="33"/>
      <c r="T745" s="33"/>
    </row>
    <row r="746" spans="1:20" ht="15.75">
      <c r="A746" s="13">
        <v>64589</v>
      </c>
      <c r="B746" s="41">
        <f t="shared" si="2"/>
        <v>31</v>
      </c>
      <c r="C746" s="32">
        <v>131.881</v>
      </c>
      <c r="D746" s="32">
        <v>277.16699999999997</v>
      </c>
      <c r="E746" s="38">
        <v>829.952</v>
      </c>
      <c r="F746" s="32">
        <v>1239</v>
      </c>
      <c r="G746" s="32">
        <v>75</v>
      </c>
      <c r="H746" s="40">
        <v>600</v>
      </c>
      <c r="I746" s="32">
        <v>695</v>
      </c>
      <c r="J746" s="32">
        <v>0</v>
      </c>
      <c r="K746" s="33"/>
      <c r="L746" s="33"/>
      <c r="M746" s="33"/>
      <c r="N746" s="33"/>
      <c r="O746" s="33"/>
      <c r="P746" s="33"/>
      <c r="Q746" s="33"/>
      <c r="R746" s="33"/>
      <c r="S746" s="33"/>
      <c r="T746" s="33"/>
    </row>
    <row r="747" spans="1:20" ht="15.75">
      <c r="A747" s="13">
        <v>64619</v>
      </c>
      <c r="B747" s="41">
        <f t="shared" si="2"/>
        <v>30</v>
      </c>
      <c r="C747" s="32">
        <v>122.58</v>
      </c>
      <c r="D747" s="32">
        <v>297.94099999999997</v>
      </c>
      <c r="E747" s="38">
        <v>729.47900000000004</v>
      </c>
      <c r="F747" s="32">
        <v>1150</v>
      </c>
      <c r="G747" s="32">
        <v>100</v>
      </c>
      <c r="H747" s="40">
        <v>600</v>
      </c>
      <c r="I747" s="32">
        <v>695</v>
      </c>
      <c r="J747" s="32">
        <v>50</v>
      </c>
      <c r="K747" s="33"/>
      <c r="L747" s="33"/>
      <c r="M747" s="33"/>
      <c r="N747" s="33"/>
      <c r="O747" s="33"/>
      <c r="P747" s="33"/>
      <c r="Q747" s="33"/>
      <c r="R747" s="33"/>
      <c r="S747" s="33"/>
      <c r="T747" s="33"/>
    </row>
    <row r="748" spans="1:20" ht="15.75">
      <c r="A748" s="13">
        <v>64650</v>
      </c>
      <c r="B748" s="41">
        <f t="shared" si="2"/>
        <v>31</v>
      </c>
      <c r="C748" s="32">
        <v>122.58</v>
      </c>
      <c r="D748" s="32">
        <v>297.94099999999997</v>
      </c>
      <c r="E748" s="38">
        <v>729.47900000000004</v>
      </c>
      <c r="F748" s="32">
        <v>1150</v>
      </c>
      <c r="G748" s="32">
        <v>100</v>
      </c>
      <c r="H748" s="40">
        <v>600</v>
      </c>
      <c r="I748" s="32">
        <v>695</v>
      </c>
      <c r="J748" s="32">
        <v>50</v>
      </c>
      <c r="K748" s="33"/>
      <c r="L748" s="33"/>
      <c r="M748" s="33"/>
      <c r="N748" s="33"/>
      <c r="O748" s="33"/>
      <c r="P748" s="33"/>
      <c r="Q748" s="33"/>
      <c r="R748" s="33"/>
      <c r="S748" s="33"/>
      <c r="T748" s="33"/>
    </row>
    <row r="749" spans="1:20" ht="15.75">
      <c r="A749" s="13">
        <v>64681</v>
      </c>
      <c r="B749" s="41">
        <f t="shared" si="2"/>
        <v>31</v>
      </c>
      <c r="C749" s="32">
        <v>122.58</v>
      </c>
      <c r="D749" s="32">
        <v>297.94099999999997</v>
      </c>
      <c r="E749" s="38">
        <v>729.47900000000004</v>
      </c>
      <c r="F749" s="32">
        <v>1150</v>
      </c>
      <c r="G749" s="32">
        <v>100</v>
      </c>
      <c r="H749" s="40">
        <v>600</v>
      </c>
      <c r="I749" s="32">
        <v>695</v>
      </c>
      <c r="J749" s="32">
        <v>50</v>
      </c>
      <c r="K749" s="33"/>
      <c r="L749" s="33"/>
      <c r="M749" s="33"/>
      <c r="N749" s="33"/>
      <c r="O749" s="33"/>
      <c r="P749" s="33"/>
      <c r="Q749" s="33"/>
      <c r="R749" s="33"/>
      <c r="S749" s="33"/>
      <c r="T749" s="33"/>
    </row>
    <row r="750" spans="1:20" ht="15.75">
      <c r="A750" s="13">
        <v>64709</v>
      </c>
      <c r="B750" s="41">
        <f t="shared" si="2"/>
        <v>28</v>
      </c>
      <c r="C750" s="32">
        <v>122.58</v>
      </c>
      <c r="D750" s="32">
        <v>297.94099999999997</v>
      </c>
      <c r="E750" s="38">
        <v>729.47900000000004</v>
      </c>
      <c r="F750" s="32">
        <v>1150</v>
      </c>
      <c r="G750" s="32">
        <v>100</v>
      </c>
      <c r="H750" s="40">
        <v>600</v>
      </c>
      <c r="I750" s="32">
        <v>695</v>
      </c>
      <c r="J750" s="32">
        <v>50</v>
      </c>
      <c r="K750" s="33"/>
      <c r="L750" s="33"/>
      <c r="M750" s="33"/>
      <c r="N750" s="33"/>
      <c r="O750" s="33"/>
      <c r="P750" s="33"/>
      <c r="Q750" s="33"/>
      <c r="R750" s="33"/>
      <c r="S750" s="33"/>
      <c r="T750" s="33"/>
    </row>
    <row r="751" spans="1:20" ht="15.75">
      <c r="A751" s="13">
        <v>64740</v>
      </c>
      <c r="B751" s="41">
        <f t="shared" si="2"/>
        <v>31</v>
      </c>
      <c r="C751" s="32">
        <v>122.58</v>
      </c>
      <c r="D751" s="32">
        <v>297.94099999999997</v>
      </c>
      <c r="E751" s="38">
        <v>729.47900000000004</v>
      </c>
      <c r="F751" s="32">
        <v>1150</v>
      </c>
      <c r="G751" s="32">
        <v>100</v>
      </c>
      <c r="H751" s="40">
        <v>600</v>
      </c>
      <c r="I751" s="32">
        <v>695</v>
      </c>
      <c r="J751" s="32">
        <v>50</v>
      </c>
      <c r="K751" s="33"/>
      <c r="L751" s="33"/>
      <c r="M751" s="33"/>
      <c r="N751" s="33"/>
      <c r="O751" s="33"/>
      <c r="P751" s="33"/>
      <c r="Q751" s="33"/>
      <c r="R751" s="33"/>
      <c r="S751" s="33"/>
      <c r="T751" s="33"/>
    </row>
    <row r="752" spans="1:20" ht="15.75">
      <c r="A752" s="13">
        <v>64770</v>
      </c>
      <c r="B752" s="41">
        <f t="shared" si="2"/>
        <v>30</v>
      </c>
      <c r="C752" s="32">
        <v>141.29300000000001</v>
      </c>
      <c r="D752" s="32">
        <v>267.99299999999999</v>
      </c>
      <c r="E752" s="38">
        <v>829.71400000000006</v>
      </c>
      <c r="F752" s="32">
        <v>1239</v>
      </c>
      <c r="G752" s="32">
        <v>100</v>
      </c>
      <c r="H752" s="40">
        <v>600</v>
      </c>
      <c r="I752" s="32">
        <v>695</v>
      </c>
      <c r="J752" s="32">
        <v>50</v>
      </c>
      <c r="K752" s="33"/>
      <c r="L752" s="33"/>
      <c r="M752" s="33"/>
      <c r="N752" s="33"/>
      <c r="O752" s="33"/>
      <c r="P752" s="33"/>
      <c r="Q752" s="33"/>
      <c r="R752" s="33"/>
      <c r="S752" s="33"/>
      <c r="T752" s="33"/>
    </row>
    <row r="753" spans="1:20" ht="15.75">
      <c r="A753" s="13">
        <v>64801</v>
      </c>
      <c r="B753" s="41">
        <f t="shared" si="2"/>
        <v>31</v>
      </c>
      <c r="C753" s="32">
        <v>194.20500000000001</v>
      </c>
      <c r="D753" s="32">
        <v>267.46600000000001</v>
      </c>
      <c r="E753" s="38">
        <v>812.32899999999995</v>
      </c>
      <c r="F753" s="32">
        <v>1274</v>
      </c>
      <c r="G753" s="32">
        <v>75</v>
      </c>
      <c r="H753" s="40">
        <v>600</v>
      </c>
      <c r="I753" s="32">
        <v>695</v>
      </c>
      <c r="J753" s="32">
        <v>50</v>
      </c>
      <c r="K753" s="33"/>
      <c r="L753" s="33"/>
      <c r="M753" s="33"/>
      <c r="N753" s="33"/>
      <c r="O753" s="33"/>
      <c r="P753" s="33"/>
      <c r="Q753" s="33"/>
      <c r="R753" s="33"/>
      <c r="S753" s="33"/>
      <c r="T753" s="33"/>
    </row>
    <row r="754" spans="1:20" ht="15.75">
      <c r="A754" s="13">
        <v>64831</v>
      </c>
      <c r="B754" s="41">
        <f t="shared" si="2"/>
        <v>30</v>
      </c>
      <c r="C754" s="32">
        <v>194.20500000000001</v>
      </c>
      <c r="D754" s="32">
        <v>267.46600000000001</v>
      </c>
      <c r="E754" s="38">
        <v>812.32899999999995</v>
      </c>
      <c r="F754" s="32">
        <v>1274</v>
      </c>
      <c r="G754" s="32">
        <v>50</v>
      </c>
      <c r="H754" s="40">
        <v>600</v>
      </c>
      <c r="I754" s="32">
        <v>695</v>
      </c>
      <c r="J754" s="32">
        <v>50</v>
      </c>
      <c r="K754" s="33"/>
      <c r="L754" s="33"/>
      <c r="M754" s="33"/>
      <c r="N754" s="33"/>
      <c r="O754" s="33"/>
      <c r="P754" s="33"/>
      <c r="Q754" s="33"/>
      <c r="R754" s="33"/>
      <c r="S754" s="33"/>
      <c r="T754" s="33"/>
    </row>
    <row r="755" spans="1:20" ht="15.75">
      <c r="A755" s="13">
        <v>64862</v>
      </c>
      <c r="B755" s="41">
        <f t="shared" si="2"/>
        <v>31</v>
      </c>
      <c r="C755" s="32">
        <v>194.20500000000001</v>
      </c>
      <c r="D755" s="32">
        <v>267.46600000000001</v>
      </c>
      <c r="E755" s="38">
        <v>812.32899999999995</v>
      </c>
      <c r="F755" s="32">
        <v>1274</v>
      </c>
      <c r="G755" s="32">
        <v>50</v>
      </c>
      <c r="H755" s="40">
        <v>600</v>
      </c>
      <c r="I755" s="32">
        <v>695</v>
      </c>
      <c r="J755" s="32">
        <v>0</v>
      </c>
      <c r="K755" s="33"/>
      <c r="L755" s="33"/>
      <c r="M755" s="33"/>
      <c r="N755" s="33"/>
      <c r="O755" s="33"/>
      <c r="P755" s="33"/>
      <c r="Q755" s="33"/>
      <c r="R755" s="33"/>
      <c r="S755" s="33"/>
      <c r="T755" s="33"/>
    </row>
    <row r="756" spans="1:20" ht="15.75">
      <c r="A756" s="13">
        <v>64893</v>
      </c>
      <c r="B756" s="41">
        <f t="shared" si="2"/>
        <v>31</v>
      </c>
      <c r="C756" s="32">
        <v>194.20500000000001</v>
      </c>
      <c r="D756" s="32">
        <v>267.46600000000001</v>
      </c>
      <c r="E756" s="38">
        <v>812.32899999999995</v>
      </c>
      <c r="F756" s="32">
        <v>1274</v>
      </c>
      <c r="G756" s="32">
        <v>50</v>
      </c>
      <c r="H756" s="40">
        <v>600</v>
      </c>
      <c r="I756" s="32">
        <v>695</v>
      </c>
      <c r="J756" s="32">
        <v>0</v>
      </c>
      <c r="K756" s="33"/>
      <c r="L756" s="33"/>
      <c r="M756" s="33"/>
      <c r="N756" s="33"/>
      <c r="O756" s="33"/>
      <c r="P756" s="33"/>
      <c r="Q756" s="33"/>
      <c r="R756" s="33"/>
      <c r="S756" s="33"/>
      <c r="T756" s="33"/>
    </row>
    <row r="757" spans="1:20" ht="15.75">
      <c r="A757" s="13">
        <v>64923</v>
      </c>
      <c r="B757" s="41">
        <f t="shared" si="2"/>
        <v>30</v>
      </c>
      <c r="C757" s="32">
        <v>194.20500000000001</v>
      </c>
      <c r="D757" s="32">
        <v>267.46600000000001</v>
      </c>
      <c r="E757" s="38">
        <v>812.32899999999995</v>
      </c>
      <c r="F757" s="32">
        <v>1274</v>
      </c>
      <c r="G757" s="32">
        <v>50</v>
      </c>
      <c r="H757" s="40">
        <v>600</v>
      </c>
      <c r="I757" s="32">
        <v>695</v>
      </c>
      <c r="J757" s="32">
        <v>0</v>
      </c>
      <c r="K757" s="33"/>
      <c r="L757" s="33"/>
      <c r="M757" s="33"/>
      <c r="N757" s="33"/>
      <c r="O757" s="33"/>
      <c r="P757" s="33"/>
      <c r="Q757" s="33"/>
      <c r="R757" s="33"/>
      <c r="S757" s="33"/>
      <c r="T757" s="33"/>
    </row>
    <row r="758" spans="1:20" ht="15.75">
      <c r="A758" s="13">
        <v>64954</v>
      </c>
      <c r="B758" s="41">
        <f t="shared" si="2"/>
        <v>31</v>
      </c>
      <c r="C758" s="32">
        <v>131.881</v>
      </c>
      <c r="D758" s="32">
        <v>277.16699999999997</v>
      </c>
      <c r="E758" s="38">
        <v>829.952</v>
      </c>
      <c r="F758" s="32">
        <v>1239</v>
      </c>
      <c r="G758" s="32">
        <v>75</v>
      </c>
      <c r="H758" s="40">
        <v>600</v>
      </c>
      <c r="I758" s="32">
        <v>695</v>
      </c>
      <c r="J758" s="32">
        <v>0</v>
      </c>
      <c r="K758" s="33"/>
      <c r="L758" s="33"/>
      <c r="M758" s="33"/>
      <c r="N758" s="33"/>
      <c r="O758" s="33"/>
      <c r="P758" s="33"/>
      <c r="Q758" s="33"/>
      <c r="R758" s="33"/>
      <c r="S758" s="33"/>
      <c r="T758" s="33"/>
    </row>
    <row r="759" spans="1:20" ht="15.75">
      <c r="A759" s="13">
        <v>64984</v>
      </c>
      <c r="B759" s="41">
        <f t="shared" si="2"/>
        <v>30</v>
      </c>
      <c r="C759" s="32">
        <v>122.58</v>
      </c>
      <c r="D759" s="32">
        <v>297.94099999999997</v>
      </c>
      <c r="E759" s="38">
        <v>729.47900000000004</v>
      </c>
      <c r="F759" s="32">
        <v>1150</v>
      </c>
      <c r="G759" s="32">
        <v>100</v>
      </c>
      <c r="H759" s="40">
        <v>600</v>
      </c>
      <c r="I759" s="32">
        <v>695</v>
      </c>
      <c r="J759" s="32">
        <v>50</v>
      </c>
      <c r="K759" s="33"/>
      <c r="L759" s="33"/>
      <c r="M759" s="33"/>
      <c r="N759" s="33"/>
      <c r="O759" s="33"/>
      <c r="P759" s="33"/>
      <c r="Q759" s="33"/>
      <c r="R759" s="33"/>
      <c r="S759" s="33"/>
      <c r="T759" s="33"/>
    </row>
    <row r="760" spans="1:20" ht="15.75">
      <c r="A760" s="13">
        <v>65015</v>
      </c>
      <c r="B760" s="41">
        <f t="shared" si="2"/>
        <v>31</v>
      </c>
      <c r="C760" s="32">
        <v>122.58</v>
      </c>
      <c r="D760" s="32">
        <v>297.94099999999997</v>
      </c>
      <c r="E760" s="38">
        <v>729.47900000000004</v>
      </c>
      <c r="F760" s="32">
        <v>1150</v>
      </c>
      <c r="G760" s="32">
        <v>100</v>
      </c>
      <c r="H760" s="40">
        <v>600</v>
      </c>
      <c r="I760" s="32">
        <v>695</v>
      </c>
      <c r="J760" s="32">
        <v>50</v>
      </c>
      <c r="K760" s="33"/>
      <c r="L760" s="33"/>
      <c r="M760" s="33"/>
      <c r="N760" s="33"/>
      <c r="O760" s="33"/>
      <c r="P760" s="33"/>
      <c r="Q760" s="33"/>
      <c r="R760" s="33"/>
      <c r="S760" s="33"/>
      <c r="T760" s="33"/>
    </row>
    <row r="761" spans="1:20" ht="15.75">
      <c r="A761" s="13">
        <v>65046</v>
      </c>
      <c r="B761" s="41">
        <f t="shared" ref="B761:B824" si="3">EOMONTH(A761,0)-EOMONTH(A761,-1)</f>
        <v>31</v>
      </c>
      <c r="C761" s="32">
        <v>122.58</v>
      </c>
      <c r="D761" s="32">
        <v>297.94099999999997</v>
      </c>
      <c r="E761" s="38">
        <v>729.47900000000004</v>
      </c>
      <c r="F761" s="32">
        <v>1150</v>
      </c>
      <c r="G761" s="32">
        <v>100</v>
      </c>
      <c r="H761" s="40">
        <v>600</v>
      </c>
      <c r="I761" s="32">
        <v>695</v>
      </c>
      <c r="J761" s="32">
        <v>50</v>
      </c>
      <c r="K761" s="33"/>
      <c r="L761" s="33"/>
      <c r="M761" s="33"/>
      <c r="N761" s="33"/>
      <c r="O761" s="33"/>
      <c r="P761" s="33"/>
      <c r="Q761" s="33"/>
      <c r="R761" s="33"/>
      <c r="S761" s="33"/>
      <c r="T761" s="33"/>
    </row>
    <row r="762" spans="1:20" ht="15.75">
      <c r="A762" s="13">
        <v>65074</v>
      </c>
      <c r="B762" s="41">
        <f t="shared" si="3"/>
        <v>28</v>
      </c>
      <c r="C762" s="32">
        <v>122.58</v>
      </c>
      <c r="D762" s="32">
        <v>297.94099999999997</v>
      </c>
      <c r="E762" s="38">
        <v>729.47900000000004</v>
      </c>
      <c r="F762" s="32">
        <v>1150</v>
      </c>
      <c r="G762" s="32">
        <v>100</v>
      </c>
      <c r="H762" s="40">
        <v>600</v>
      </c>
      <c r="I762" s="32">
        <v>695</v>
      </c>
      <c r="J762" s="32">
        <v>50</v>
      </c>
      <c r="K762" s="33"/>
      <c r="L762" s="33"/>
      <c r="M762" s="33"/>
      <c r="N762" s="33"/>
      <c r="O762" s="33"/>
      <c r="P762" s="33"/>
      <c r="Q762" s="33"/>
      <c r="R762" s="33"/>
      <c r="S762" s="33"/>
      <c r="T762" s="33"/>
    </row>
    <row r="763" spans="1:20" ht="15.75">
      <c r="A763" s="13">
        <v>65105</v>
      </c>
      <c r="B763" s="41">
        <f t="shared" si="3"/>
        <v>31</v>
      </c>
      <c r="C763" s="32">
        <v>122.58</v>
      </c>
      <c r="D763" s="32">
        <v>297.94099999999997</v>
      </c>
      <c r="E763" s="38">
        <v>729.47900000000004</v>
      </c>
      <c r="F763" s="32">
        <v>1150</v>
      </c>
      <c r="G763" s="32">
        <v>100</v>
      </c>
      <c r="H763" s="40">
        <v>600</v>
      </c>
      <c r="I763" s="32">
        <v>695</v>
      </c>
      <c r="J763" s="32">
        <v>50</v>
      </c>
      <c r="K763" s="33"/>
      <c r="L763" s="33"/>
      <c r="M763" s="33"/>
      <c r="N763" s="33"/>
      <c r="O763" s="33"/>
      <c r="P763" s="33"/>
      <c r="Q763" s="33"/>
      <c r="R763" s="33"/>
      <c r="S763" s="33"/>
      <c r="T763" s="33"/>
    </row>
    <row r="764" spans="1:20" ht="15.75">
      <c r="A764" s="13">
        <v>65135</v>
      </c>
      <c r="B764" s="41">
        <f t="shared" si="3"/>
        <v>30</v>
      </c>
      <c r="C764" s="32">
        <v>141.29300000000001</v>
      </c>
      <c r="D764" s="32">
        <v>267.99299999999999</v>
      </c>
      <c r="E764" s="38">
        <v>829.71400000000006</v>
      </c>
      <c r="F764" s="32">
        <v>1239</v>
      </c>
      <c r="G764" s="32">
        <v>100</v>
      </c>
      <c r="H764" s="40">
        <v>600</v>
      </c>
      <c r="I764" s="32">
        <v>695</v>
      </c>
      <c r="J764" s="32">
        <v>50</v>
      </c>
      <c r="K764" s="33"/>
      <c r="L764" s="33"/>
      <c r="M764" s="33"/>
      <c r="N764" s="33"/>
      <c r="O764" s="33"/>
      <c r="P764" s="33"/>
      <c r="Q764" s="33"/>
      <c r="R764" s="33"/>
      <c r="S764" s="33"/>
      <c r="T764" s="33"/>
    </row>
    <row r="765" spans="1:20" ht="15.75">
      <c r="A765" s="13">
        <v>65166</v>
      </c>
      <c r="B765" s="41">
        <f t="shared" si="3"/>
        <v>31</v>
      </c>
      <c r="C765" s="32">
        <v>194.20500000000001</v>
      </c>
      <c r="D765" s="32">
        <v>267.46600000000001</v>
      </c>
      <c r="E765" s="38">
        <v>812.32899999999995</v>
      </c>
      <c r="F765" s="32">
        <v>1274</v>
      </c>
      <c r="G765" s="32">
        <v>75</v>
      </c>
      <c r="H765" s="40">
        <v>600</v>
      </c>
      <c r="I765" s="32">
        <v>695</v>
      </c>
      <c r="J765" s="32">
        <v>50</v>
      </c>
      <c r="K765" s="33"/>
      <c r="L765" s="33"/>
      <c r="M765" s="33"/>
      <c r="N765" s="33"/>
      <c r="O765" s="33"/>
      <c r="P765" s="33"/>
      <c r="Q765" s="33"/>
      <c r="R765" s="33"/>
      <c r="S765" s="33"/>
      <c r="T765" s="33"/>
    </row>
    <row r="766" spans="1:20" ht="15.75">
      <c r="A766" s="13">
        <v>65196</v>
      </c>
      <c r="B766" s="41">
        <f t="shared" si="3"/>
        <v>30</v>
      </c>
      <c r="C766" s="32">
        <v>194.20500000000001</v>
      </c>
      <c r="D766" s="32">
        <v>267.46600000000001</v>
      </c>
      <c r="E766" s="38">
        <v>812.32899999999995</v>
      </c>
      <c r="F766" s="32">
        <v>1274</v>
      </c>
      <c r="G766" s="32">
        <v>50</v>
      </c>
      <c r="H766" s="40">
        <v>600</v>
      </c>
      <c r="I766" s="32">
        <v>695</v>
      </c>
      <c r="J766" s="32">
        <v>50</v>
      </c>
      <c r="K766" s="33"/>
      <c r="L766" s="33"/>
      <c r="M766" s="33"/>
      <c r="N766" s="33"/>
      <c r="O766" s="33"/>
      <c r="P766" s="33"/>
      <c r="Q766" s="33"/>
      <c r="R766" s="33"/>
      <c r="S766" s="33"/>
      <c r="T766" s="33"/>
    </row>
    <row r="767" spans="1:20" ht="15.75">
      <c r="A767" s="13">
        <v>65227</v>
      </c>
      <c r="B767" s="41">
        <f t="shared" si="3"/>
        <v>31</v>
      </c>
      <c r="C767" s="32">
        <v>194.20500000000001</v>
      </c>
      <c r="D767" s="32">
        <v>267.46600000000001</v>
      </c>
      <c r="E767" s="38">
        <v>812.32899999999995</v>
      </c>
      <c r="F767" s="32">
        <v>1274</v>
      </c>
      <c r="G767" s="32">
        <v>50</v>
      </c>
      <c r="H767" s="40">
        <v>600</v>
      </c>
      <c r="I767" s="32">
        <v>695</v>
      </c>
      <c r="J767" s="32">
        <v>0</v>
      </c>
      <c r="K767" s="33"/>
      <c r="L767" s="33"/>
      <c r="M767" s="33"/>
      <c r="N767" s="33"/>
      <c r="O767" s="33"/>
      <c r="P767" s="33"/>
      <c r="Q767" s="33"/>
      <c r="R767" s="33"/>
      <c r="S767" s="33"/>
      <c r="T767" s="33"/>
    </row>
    <row r="768" spans="1:20" ht="15.75">
      <c r="A768" s="13">
        <v>65258</v>
      </c>
      <c r="B768" s="41">
        <f t="shared" si="3"/>
        <v>31</v>
      </c>
      <c r="C768" s="32">
        <v>194.20500000000001</v>
      </c>
      <c r="D768" s="32">
        <v>267.46600000000001</v>
      </c>
      <c r="E768" s="38">
        <v>812.32899999999995</v>
      </c>
      <c r="F768" s="32">
        <v>1274</v>
      </c>
      <c r="G768" s="32">
        <v>50</v>
      </c>
      <c r="H768" s="40">
        <v>600</v>
      </c>
      <c r="I768" s="32">
        <v>695</v>
      </c>
      <c r="J768" s="32">
        <v>0</v>
      </c>
      <c r="K768" s="33"/>
      <c r="L768" s="33"/>
      <c r="M768" s="33"/>
      <c r="N768" s="33"/>
      <c r="O768" s="33"/>
      <c r="P768" s="33"/>
      <c r="Q768" s="33"/>
      <c r="R768" s="33"/>
      <c r="S768" s="33"/>
      <c r="T768" s="33"/>
    </row>
    <row r="769" spans="1:20" ht="15.75">
      <c r="A769" s="13">
        <v>65288</v>
      </c>
      <c r="B769" s="41">
        <f t="shared" si="3"/>
        <v>30</v>
      </c>
      <c r="C769" s="32">
        <v>194.20500000000001</v>
      </c>
      <c r="D769" s="32">
        <v>267.46600000000001</v>
      </c>
      <c r="E769" s="38">
        <v>812.32899999999995</v>
      </c>
      <c r="F769" s="32">
        <v>1274</v>
      </c>
      <c r="G769" s="32">
        <v>50</v>
      </c>
      <c r="H769" s="40">
        <v>600</v>
      </c>
      <c r="I769" s="32">
        <v>695</v>
      </c>
      <c r="J769" s="32">
        <v>0</v>
      </c>
      <c r="K769" s="33"/>
      <c r="L769" s="33"/>
      <c r="M769" s="33"/>
      <c r="N769" s="33"/>
      <c r="O769" s="33"/>
      <c r="P769" s="33"/>
      <c r="Q769" s="33"/>
      <c r="R769" s="33"/>
      <c r="S769" s="33"/>
      <c r="T769" s="33"/>
    </row>
    <row r="770" spans="1:20" ht="15.75">
      <c r="A770" s="13">
        <v>65319</v>
      </c>
      <c r="B770" s="41">
        <f t="shared" si="3"/>
        <v>31</v>
      </c>
      <c r="C770" s="32">
        <v>131.881</v>
      </c>
      <c r="D770" s="32">
        <v>277.16699999999997</v>
      </c>
      <c r="E770" s="38">
        <v>829.952</v>
      </c>
      <c r="F770" s="32">
        <v>1239</v>
      </c>
      <c r="G770" s="32">
        <v>75</v>
      </c>
      <c r="H770" s="40">
        <v>600</v>
      </c>
      <c r="I770" s="32">
        <v>695</v>
      </c>
      <c r="J770" s="32">
        <v>0</v>
      </c>
      <c r="K770" s="33"/>
      <c r="L770" s="33"/>
      <c r="M770" s="33"/>
      <c r="N770" s="33"/>
      <c r="O770" s="33"/>
      <c r="P770" s="33"/>
      <c r="Q770" s="33"/>
      <c r="R770" s="33"/>
      <c r="S770" s="33"/>
      <c r="T770" s="33"/>
    </row>
    <row r="771" spans="1:20" ht="15.75">
      <c r="A771" s="13">
        <v>65349</v>
      </c>
      <c r="B771" s="41">
        <f t="shared" si="3"/>
        <v>30</v>
      </c>
      <c r="C771" s="32">
        <v>122.58</v>
      </c>
      <c r="D771" s="32">
        <v>297.94099999999997</v>
      </c>
      <c r="E771" s="38">
        <v>729.47900000000004</v>
      </c>
      <c r="F771" s="32">
        <v>1150</v>
      </c>
      <c r="G771" s="32">
        <v>100</v>
      </c>
      <c r="H771" s="40">
        <v>600</v>
      </c>
      <c r="I771" s="32">
        <v>695</v>
      </c>
      <c r="J771" s="32">
        <v>50</v>
      </c>
      <c r="K771" s="33"/>
      <c r="L771" s="33"/>
      <c r="M771" s="33"/>
      <c r="N771" s="33"/>
      <c r="O771" s="33"/>
      <c r="P771" s="33"/>
      <c r="Q771" s="33"/>
      <c r="R771" s="33"/>
      <c r="S771" s="33"/>
      <c r="T771" s="33"/>
    </row>
    <row r="772" spans="1:20" ht="15.75">
      <c r="A772" s="13">
        <v>65380</v>
      </c>
      <c r="B772" s="41">
        <f t="shared" si="3"/>
        <v>31</v>
      </c>
      <c r="C772" s="32">
        <v>122.58</v>
      </c>
      <c r="D772" s="32">
        <v>297.94099999999997</v>
      </c>
      <c r="E772" s="38">
        <v>729.47900000000004</v>
      </c>
      <c r="F772" s="32">
        <v>1150</v>
      </c>
      <c r="G772" s="32">
        <v>100</v>
      </c>
      <c r="H772" s="40">
        <v>600</v>
      </c>
      <c r="I772" s="32">
        <v>695</v>
      </c>
      <c r="J772" s="32">
        <v>50</v>
      </c>
      <c r="K772" s="33"/>
      <c r="L772" s="33"/>
      <c r="M772" s="33"/>
      <c r="N772" s="33"/>
      <c r="O772" s="33"/>
      <c r="P772" s="33"/>
      <c r="Q772" s="33"/>
      <c r="R772" s="33"/>
      <c r="S772" s="33"/>
      <c r="T772" s="33"/>
    </row>
    <row r="773" spans="1:20" ht="15.75">
      <c r="A773" s="13">
        <v>65411</v>
      </c>
      <c r="B773" s="41">
        <f t="shared" si="3"/>
        <v>31</v>
      </c>
      <c r="C773" s="32">
        <v>122.58</v>
      </c>
      <c r="D773" s="32">
        <v>297.94099999999997</v>
      </c>
      <c r="E773" s="38">
        <v>729.47900000000004</v>
      </c>
      <c r="F773" s="32">
        <v>1150</v>
      </c>
      <c r="G773" s="32">
        <v>100</v>
      </c>
      <c r="H773" s="40">
        <v>600</v>
      </c>
      <c r="I773" s="32">
        <v>695</v>
      </c>
      <c r="J773" s="32">
        <v>50</v>
      </c>
      <c r="K773" s="33"/>
      <c r="L773" s="33"/>
      <c r="M773" s="33"/>
      <c r="N773" s="33"/>
      <c r="O773" s="33"/>
      <c r="P773" s="33"/>
      <c r="Q773" s="33"/>
      <c r="R773" s="33"/>
      <c r="S773" s="33"/>
      <c r="T773" s="33"/>
    </row>
    <row r="774" spans="1:20" ht="15.75">
      <c r="A774" s="13">
        <v>65439</v>
      </c>
      <c r="B774" s="41">
        <f t="shared" si="3"/>
        <v>28</v>
      </c>
      <c r="C774" s="32">
        <v>122.58</v>
      </c>
      <c r="D774" s="32">
        <v>297.94099999999997</v>
      </c>
      <c r="E774" s="38">
        <v>729.47900000000004</v>
      </c>
      <c r="F774" s="32">
        <v>1150</v>
      </c>
      <c r="G774" s="32">
        <v>100</v>
      </c>
      <c r="H774" s="40">
        <v>600</v>
      </c>
      <c r="I774" s="32">
        <v>695</v>
      </c>
      <c r="J774" s="32">
        <v>50</v>
      </c>
      <c r="K774" s="33"/>
      <c r="L774" s="33"/>
      <c r="M774" s="33"/>
      <c r="N774" s="33"/>
      <c r="O774" s="33"/>
      <c r="P774" s="33"/>
      <c r="Q774" s="33"/>
      <c r="R774" s="33"/>
      <c r="S774" s="33"/>
      <c r="T774" s="33"/>
    </row>
    <row r="775" spans="1:20" ht="15.75">
      <c r="A775" s="13">
        <v>65470</v>
      </c>
      <c r="B775" s="41">
        <f t="shared" si="3"/>
        <v>31</v>
      </c>
      <c r="C775" s="32">
        <v>122.58</v>
      </c>
      <c r="D775" s="32">
        <v>297.94099999999997</v>
      </c>
      <c r="E775" s="38">
        <v>729.47900000000004</v>
      </c>
      <c r="F775" s="32">
        <v>1150</v>
      </c>
      <c r="G775" s="32">
        <v>100</v>
      </c>
      <c r="H775" s="40">
        <v>600</v>
      </c>
      <c r="I775" s="32">
        <v>695</v>
      </c>
      <c r="J775" s="32">
        <v>50</v>
      </c>
      <c r="K775" s="33"/>
      <c r="L775" s="33"/>
      <c r="M775" s="33"/>
      <c r="N775" s="33"/>
      <c r="O775" s="33"/>
      <c r="P775" s="33"/>
      <c r="Q775" s="33"/>
      <c r="R775" s="33"/>
      <c r="S775" s="33"/>
      <c r="T775" s="33"/>
    </row>
    <row r="776" spans="1:20" ht="15.75">
      <c r="A776" s="13">
        <v>65500</v>
      </c>
      <c r="B776" s="41">
        <f t="shared" si="3"/>
        <v>30</v>
      </c>
      <c r="C776" s="32">
        <v>141.29300000000001</v>
      </c>
      <c r="D776" s="32">
        <v>267.99299999999999</v>
      </c>
      <c r="E776" s="38">
        <v>829.71400000000006</v>
      </c>
      <c r="F776" s="32">
        <v>1239</v>
      </c>
      <c r="G776" s="32">
        <v>100</v>
      </c>
      <c r="H776" s="40">
        <v>600</v>
      </c>
      <c r="I776" s="32">
        <v>695</v>
      </c>
      <c r="J776" s="32">
        <v>50</v>
      </c>
      <c r="K776" s="33"/>
      <c r="L776" s="33"/>
      <c r="M776" s="33"/>
      <c r="N776" s="33"/>
      <c r="O776" s="33"/>
      <c r="P776" s="33"/>
      <c r="Q776" s="33"/>
      <c r="R776" s="33"/>
      <c r="S776" s="33"/>
      <c r="T776" s="33"/>
    </row>
    <row r="777" spans="1:20" ht="15.75">
      <c r="A777" s="13">
        <v>65531</v>
      </c>
      <c r="B777" s="41">
        <f t="shared" si="3"/>
        <v>31</v>
      </c>
      <c r="C777" s="32">
        <v>194.20500000000001</v>
      </c>
      <c r="D777" s="32">
        <v>267.46600000000001</v>
      </c>
      <c r="E777" s="38">
        <v>812.32899999999995</v>
      </c>
      <c r="F777" s="32">
        <v>1274</v>
      </c>
      <c r="G777" s="32">
        <v>75</v>
      </c>
      <c r="H777" s="40">
        <v>600</v>
      </c>
      <c r="I777" s="32">
        <v>695</v>
      </c>
      <c r="J777" s="32">
        <v>50</v>
      </c>
      <c r="K777" s="33"/>
      <c r="L777" s="33"/>
      <c r="M777" s="33"/>
      <c r="N777" s="33"/>
      <c r="O777" s="33"/>
      <c r="P777" s="33"/>
      <c r="Q777" s="33"/>
      <c r="R777" s="33"/>
      <c r="S777" s="33"/>
      <c r="T777" s="33"/>
    </row>
    <row r="778" spans="1:20" ht="15.75">
      <c r="A778" s="13">
        <v>65561</v>
      </c>
      <c r="B778" s="41">
        <f t="shared" si="3"/>
        <v>30</v>
      </c>
      <c r="C778" s="32">
        <v>194.20500000000001</v>
      </c>
      <c r="D778" s="32">
        <v>267.46600000000001</v>
      </c>
      <c r="E778" s="38">
        <v>812.32899999999995</v>
      </c>
      <c r="F778" s="32">
        <v>1274</v>
      </c>
      <c r="G778" s="32">
        <v>50</v>
      </c>
      <c r="H778" s="40">
        <v>600</v>
      </c>
      <c r="I778" s="32">
        <v>695</v>
      </c>
      <c r="J778" s="32">
        <v>50</v>
      </c>
      <c r="K778" s="33"/>
      <c r="L778" s="33"/>
      <c r="M778" s="33"/>
      <c r="N778" s="33"/>
      <c r="O778" s="33"/>
      <c r="P778" s="33"/>
      <c r="Q778" s="33"/>
      <c r="R778" s="33"/>
      <c r="S778" s="33"/>
      <c r="T778" s="33"/>
    </row>
    <row r="779" spans="1:20" ht="15.75">
      <c r="A779" s="13">
        <v>65592</v>
      </c>
      <c r="B779" s="41">
        <f t="shared" si="3"/>
        <v>31</v>
      </c>
      <c r="C779" s="32">
        <v>194.20500000000001</v>
      </c>
      <c r="D779" s="32">
        <v>267.46600000000001</v>
      </c>
      <c r="E779" s="38">
        <v>812.32899999999995</v>
      </c>
      <c r="F779" s="32">
        <v>1274</v>
      </c>
      <c r="G779" s="32">
        <v>50</v>
      </c>
      <c r="H779" s="40">
        <v>600</v>
      </c>
      <c r="I779" s="32">
        <v>695</v>
      </c>
      <c r="J779" s="32">
        <v>0</v>
      </c>
      <c r="K779" s="33"/>
      <c r="L779" s="33"/>
      <c r="M779" s="33"/>
      <c r="N779" s="33"/>
      <c r="O779" s="33"/>
      <c r="P779" s="33"/>
      <c r="Q779" s="33"/>
      <c r="R779" s="33"/>
      <c r="S779" s="33"/>
      <c r="T779" s="33"/>
    </row>
    <row r="780" spans="1:20" ht="15.75">
      <c r="A780" s="13">
        <v>65623</v>
      </c>
      <c r="B780" s="41">
        <f t="shared" si="3"/>
        <v>31</v>
      </c>
      <c r="C780" s="32">
        <v>194.20500000000001</v>
      </c>
      <c r="D780" s="32">
        <v>267.46600000000001</v>
      </c>
      <c r="E780" s="38">
        <v>812.32899999999995</v>
      </c>
      <c r="F780" s="32">
        <v>1274</v>
      </c>
      <c r="G780" s="32">
        <v>50</v>
      </c>
      <c r="H780" s="40">
        <v>600</v>
      </c>
      <c r="I780" s="32">
        <v>695</v>
      </c>
      <c r="J780" s="32">
        <v>0</v>
      </c>
      <c r="K780" s="33"/>
      <c r="L780" s="33"/>
      <c r="M780" s="33"/>
      <c r="N780" s="33"/>
      <c r="O780" s="33"/>
      <c r="P780" s="33"/>
      <c r="Q780" s="33"/>
      <c r="R780" s="33"/>
      <c r="S780" s="33"/>
      <c r="T780" s="33"/>
    </row>
    <row r="781" spans="1:20" ht="15.75">
      <c r="A781" s="13">
        <v>65653</v>
      </c>
      <c r="B781" s="41">
        <f t="shared" si="3"/>
        <v>30</v>
      </c>
      <c r="C781" s="32">
        <v>194.20500000000001</v>
      </c>
      <c r="D781" s="32">
        <v>267.46600000000001</v>
      </c>
      <c r="E781" s="38">
        <v>812.32899999999995</v>
      </c>
      <c r="F781" s="32">
        <v>1274</v>
      </c>
      <c r="G781" s="32">
        <v>50</v>
      </c>
      <c r="H781" s="40">
        <v>600</v>
      </c>
      <c r="I781" s="32">
        <v>695</v>
      </c>
      <c r="J781" s="32">
        <v>0</v>
      </c>
      <c r="K781" s="33"/>
      <c r="L781" s="33"/>
      <c r="M781" s="33"/>
      <c r="N781" s="33"/>
      <c r="O781" s="33"/>
      <c r="P781" s="33"/>
      <c r="Q781" s="33"/>
      <c r="R781" s="33"/>
      <c r="S781" s="33"/>
      <c r="T781" s="33"/>
    </row>
    <row r="782" spans="1:20" ht="15.75">
      <c r="A782" s="13">
        <v>65684</v>
      </c>
      <c r="B782" s="41">
        <f t="shared" si="3"/>
        <v>31</v>
      </c>
      <c r="C782" s="32">
        <v>131.881</v>
      </c>
      <c r="D782" s="32">
        <v>277.16699999999997</v>
      </c>
      <c r="E782" s="38">
        <v>829.952</v>
      </c>
      <c r="F782" s="32">
        <v>1239</v>
      </c>
      <c r="G782" s="32">
        <v>75</v>
      </c>
      <c r="H782" s="40">
        <v>600</v>
      </c>
      <c r="I782" s="32">
        <v>695</v>
      </c>
      <c r="J782" s="32">
        <v>0</v>
      </c>
      <c r="K782" s="33"/>
      <c r="L782" s="33"/>
      <c r="M782" s="33"/>
      <c r="N782" s="33"/>
      <c r="O782" s="33"/>
      <c r="P782" s="33"/>
      <c r="Q782" s="33"/>
      <c r="R782" s="33"/>
      <c r="S782" s="33"/>
      <c r="T782" s="33"/>
    </row>
    <row r="783" spans="1:20" ht="15.75">
      <c r="A783" s="13">
        <v>65714</v>
      </c>
      <c r="B783" s="41">
        <f t="shared" si="3"/>
        <v>30</v>
      </c>
      <c r="C783" s="32">
        <v>122.58</v>
      </c>
      <c r="D783" s="32">
        <v>297.94099999999997</v>
      </c>
      <c r="E783" s="38">
        <v>729.47900000000004</v>
      </c>
      <c r="F783" s="32">
        <v>1150</v>
      </c>
      <c r="G783" s="32">
        <v>100</v>
      </c>
      <c r="H783" s="40">
        <v>600</v>
      </c>
      <c r="I783" s="32">
        <v>695</v>
      </c>
      <c r="J783" s="32">
        <v>50</v>
      </c>
      <c r="K783" s="33"/>
      <c r="L783" s="33"/>
      <c r="M783" s="33"/>
      <c r="N783" s="33"/>
      <c r="O783" s="33"/>
      <c r="P783" s="33"/>
      <c r="Q783" s="33"/>
      <c r="R783" s="33"/>
      <c r="S783" s="33"/>
      <c r="T783" s="33"/>
    </row>
    <row r="784" spans="1:20" ht="15.75">
      <c r="A784" s="13">
        <v>65745</v>
      </c>
      <c r="B784" s="41">
        <f t="shared" si="3"/>
        <v>31</v>
      </c>
      <c r="C784" s="32">
        <v>122.58</v>
      </c>
      <c r="D784" s="32">
        <v>297.94099999999997</v>
      </c>
      <c r="E784" s="38">
        <v>729.47900000000004</v>
      </c>
      <c r="F784" s="32">
        <v>1150</v>
      </c>
      <c r="G784" s="32">
        <v>100</v>
      </c>
      <c r="H784" s="40">
        <v>600</v>
      </c>
      <c r="I784" s="32">
        <v>695</v>
      </c>
      <c r="J784" s="32">
        <v>50</v>
      </c>
      <c r="K784" s="33"/>
      <c r="L784" s="33"/>
      <c r="M784" s="33"/>
      <c r="N784" s="33"/>
      <c r="O784" s="33"/>
      <c r="P784" s="33"/>
      <c r="Q784" s="33"/>
      <c r="R784" s="33"/>
      <c r="S784" s="33"/>
      <c r="T784" s="33"/>
    </row>
    <row r="785" spans="1:20" ht="15.75">
      <c r="A785" s="13">
        <v>65776</v>
      </c>
      <c r="B785" s="41">
        <f t="shared" si="3"/>
        <v>31</v>
      </c>
      <c r="C785" s="32">
        <v>122.58</v>
      </c>
      <c r="D785" s="32">
        <v>297.94099999999997</v>
      </c>
      <c r="E785" s="38">
        <v>729.47900000000004</v>
      </c>
      <c r="F785" s="32">
        <v>1150</v>
      </c>
      <c r="G785" s="32">
        <v>100</v>
      </c>
      <c r="H785" s="40">
        <v>600</v>
      </c>
      <c r="I785" s="32">
        <v>695</v>
      </c>
      <c r="J785" s="32">
        <v>50</v>
      </c>
      <c r="K785" s="33"/>
      <c r="L785" s="33"/>
      <c r="M785" s="33"/>
      <c r="N785" s="33"/>
      <c r="O785" s="33"/>
      <c r="P785" s="33"/>
      <c r="Q785" s="33"/>
      <c r="R785" s="33"/>
      <c r="S785" s="33"/>
      <c r="T785" s="33"/>
    </row>
    <row r="786" spans="1:20" ht="15.75">
      <c r="A786" s="13">
        <v>65805</v>
      </c>
      <c r="B786" s="41">
        <f t="shared" si="3"/>
        <v>29</v>
      </c>
      <c r="C786" s="32">
        <v>122.58</v>
      </c>
      <c r="D786" s="32">
        <v>297.94099999999997</v>
      </c>
      <c r="E786" s="38">
        <v>729.47900000000004</v>
      </c>
      <c r="F786" s="32">
        <v>1150</v>
      </c>
      <c r="G786" s="32">
        <v>100</v>
      </c>
      <c r="H786" s="40">
        <v>600</v>
      </c>
      <c r="I786" s="32">
        <v>695</v>
      </c>
      <c r="J786" s="32">
        <v>50</v>
      </c>
      <c r="K786" s="33"/>
      <c r="L786" s="33"/>
      <c r="M786" s="33"/>
      <c r="N786" s="33"/>
      <c r="O786" s="33"/>
      <c r="P786" s="33"/>
      <c r="Q786" s="33"/>
      <c r="R786" s="33"/>
      <c r="S786" s="33"/>
      <c r="T786" s="33"/>
    </row>
    <row r="787" spans="1:20" ht="15.75">
      <c r="A787" s="13">
        <v>65836</v>
      </c>
      <c r="B787" s="41">
        <f t="shared" si="3"/>
        <v>31</v>
      </c>
      <c r="C787" s="32">
        <v>122.58</v>
      </c>
      <c r="D787" s="32">
        <v>297.94099999999997</v>
      </c>
      <c r="E787" s="38">
        <v>729.47900000000004</v>
      </c>
      <c r="F787" s="32">
        <v>1150</v>
      </c>
      <c r="G787" s="32">
        <v>100</v>
      </c>
      <c r="H787" s="40">
        <v>600</v>
      </c>
      <c r="I787" s="32">
        <v>695</v>
      </c>
      <c r="J787" s="32">
        <v>50</v>
      </c>
      <c r="K787" s="33"/>
      <c r="L787" s="33"/>
      <c r="M787" s="33"/>
      <c r="N787" s="33"/>
      <c r="O787" s="33"/>
      <c r="P787" s="33"/>
      <c r="Q787" s="33"/>
      <c r="R787" s="33"/>
      <c r="S787" s="33"/>
      <c r="T787" s="33"/>
    </row>
    <row r="788" spans="1:20" ht="15.75">
      <c r="A788" s="13">
        <v>65866</v>
      </c>
      <c r="B788" s="41">
        <f t="shared" si="3"/>
        <v>30</v>
      </c>
      <c r="C788" s="32">
        <v>141.29300000000001</v>
      </c>
      <c r="D788" s="32">
        <v>267.99299999999999</v>
      </c>
      <c r="E788" s="38">
        <v>829.71400000000006</v>
      </c>
      <c r="F788" s="32">
        <v>1239</v>
      </c>
      <c r="G788" s="32">
        <v>100</v>
      </c>
      <c r="H788" s="40">
        <v>600</v>
      </c>
      <c r="I788" s="32">
        <v>695</v>
      </c>
      <c r="J788" s="32">
        <v>50</v>
      </c>
      <c r="K788" s="33"/>
      <c r="L788" s="33"/>
      <c r="M788" s="33"/>
      <c r="N788" s="33"/>
      <c r="O788" s="33"/>
      <c r="P788" s="33"/>
      <c r="Q788" s="33"/>
      <c r="R788" s="33"/>
      <c r="S788" s="33"/>
      <c r="T788" s="33"/>
    </row>
    <row r="789" spans="1:20" ht="15.75">
      <c r="A789" s="13">
        <v>65897</v>
      </c>
      <c r="B789" s="41">
        <f t="shared" si="3"/>
        <v>31</v>
      </c>
      <c r="C789" s="32">
        <v>194.20500000000001</v>
      </c>
      <c r="D789" s="32">
        <v>267.46600000000001</v>
      </c>
      <c r="E789" s="38">
        <v>812.32899999999995</v>
      </c>
      <c r="F789" s="32">
        <v>1274</v>
      </c>
      <c r="G789" s="32">
        <v>75</v>
      </c>
      <c r="H789" s="40">
        <v>600</v>
      </c>
      <c r="I789" s="32">
        <v>695</v>
      </c>
      <c r="J789" s="32">
        <v>50</v>
      </c>
      <c r="K789" s="33"/>
      <c r="L789" s="33"/>
      <c r="M789" s="33"/>
      <c r="N789" s="33"/>
      <c r="O789" s="33"/>
      <c r="P789" s="33"/>
      <c r="Q789" s="33"/>
      <c r="R789" s="33"/>
      <c r="S789" s="33"/>
      <c r="T789" s="33"/>
    </row>
    <row r="790" spans="1:20" ht="15.75">
      <c r="A790" s="13">
        <v>65927</v>
      </c>
      <c r="B790" s="41">
        <f t="shared" si="3"/>
        <v>30</v>
      </c>
      <c r="C790" s="32">
        <v>194.20500000000001</v>
      </c>
      <c r="D790" s="32">
        <v>267.46600000000001</v>
      </c>
      <c r="E790" s="38">
        <v>812.32899999999995</v>
      </c>
      <c r="F790" s="32">
        <v>1274</v>
      </c>
      <c r="G790" s="32">
        <v>50</v>
      </c>
      <c r="H790" s="40">
        <v>600</v>
      </c>
      <c r="I790" s="32">
        <v>695</v>
      </c>
      <c r="J790" s="32">
        <v>50</v>
      </c>
      <c r="K790" s="33"/>
      <c r="L790" s="33"/>
      <c r="M790" s="33"/>
      <c r="N790" s="33"/>
      <c r="O790" s="33"/>
      <c r="P790" s="33"/>
      <c r="Q790" s="33"/>
      <c r="R790" s="33"/>
      <c r="S790" s="33"/>
      <c r="T790" s="33"/>
    </row>
    <row r="791" spans="1:20" ht="15.75">
      <c r="A791" s="13">
        <v>65958</v>
      </c>
      <c r="B791" s="41">
        <f t="shared" si="3"/>
        <v>31</v>
      </c>
      <c r="C791" s="32">
        <v>194.20500000000001</v>
      </c>
      <c r="D791" s="32">
        <v>267.46600000000001</v>
      </c>
      <c r="E791" s="38">
        <v>812.32899999999995</v>
      </c>
      <c r="F791" s="32">
        <v>1274</v>
      </c>
      <c r="G791" s="32">
        <v>50</v>
      </c>
      <c r="H791" s="40">
        <v>600</v>
      </c>
      <c r="I791" s="32">
        <v>695</v>
      </c>
      <c r="J791" s="32">
        <v>0</v>
      </c>
      <c r="K791" s="33"/>
      <c r="L791" s="33"/>
      <c r="M791" s="33"/>
      <c r="N791" s="33"/>
      <c r="O791" s="33"/>
      <c r="P791" s="33"/>
      <c r="Q791" s="33"/>
      <c r="R791" s="33"/>
      <c r="S791" s="33"/>
      <c r="T791" s="33"/>
    </row>
    <row r="792" spans="1:20" ht="15.75">
      <c r="A792" s="13">
        <v>65989</v>
      </c>
      <c r="B792" s="41">
        <f t="shared" si="3"/>
        <v>31</v>
      </c>
      <c r="C792" s="32">
        <v>194.20500000000001</v>
      </c>
      <c r="D792" s="32">
        <v>267.46600000000001</v>
      </c>
      <c r="E792" s="38">
        <v>812.32899999999995</v>
      </c>
      <c r="F792" s="32">
        <v>1274</v>
      </c>
      <c r="G792" s="32">
        <v>50</v>
      </c>
      <c r="H792" s="40">
        <v>600</v>
      </c>
      <c r="I792" s="32">
        <v>695</v>
      </c>
      <c r="J792" s="32">
        <v>0</v>
      </c>
      <c r="K792" s="33"/>
      <c r="L792" s="33"/>
      <c r="M792" s="33"/>
      <c r="N792" s="33"/>
      <c r="O792" s="33"/>
      <c r="P792" s="33"/>
      <c r="Q792" s="33"/>
      <c r="R792" s="33"/>
      <c r="S792" s="33"/>
      <c r="T792" s="33"/>
    </row>
    <row r="793" spans="1:20" ht="15.75">
      <c r="A793" s="13">
        <v>66019</v>
      </c>
      <c r="B793" s="41">
        <f t="shared" si="3"/>
        <v>30</v>
      </c>
      <c r="C793" s="32">
        <v>194.20500000000001</v>
      </c>
      <c r="D793" s="32">
        <v>267.46600000000001</v>
      </c>
      <c r="E793" s="38">
        <v>812.32899999999995</v>
      </c>
      <c r="F793" s="32">
        <v>1274</v>
      </c>
      <c r="G793" s="32">
        <v>50</v>
      </c>
      <c r="H793" s="40">
        <v>600</v>
      </c>
      <c r="I793" s="32">
        <v>695</v>
      </c>
      <c r="J793" s="32">
        <v>0</v>
      </c>
      <c r="K793" s="33"/>
      <c r="L793" s="33"/>
      <c r="M793" s="33"/>
      <c r="N793" s="33"/>
      <c r="O793" s="33"/>
      <c r="P793" s="33"/>
      <c r="Q793" s="33"/>
      <c r="R793" s="33"/>
      <c r="S793" s="33"/>
      <c r="T793" s="33"/>
    </row>
    <row r="794" spans="1:20" ht="15.75">
      <c r="A794" s="13">
        <v>66050</v>
      </c>
      <c r="B794" s="41">
        <f t="shared" si="3"/>
        <v>31</v>
      </c>
      <c r="C794" s="32">
        <v>131.881</v>
      </c>
      <c r="D794" s="32">
        <v>277.16699999999997</v>
      </c>
      <c r="E794" s="38">
        <v>829.952</v>
      </c>
      <c r="F794" s="32">
        <v>1239</v>
      </c>
      <c r="G794" s="32">
        <v>75</v>
      </c>
      <c r="H794" s="40">
        <v>600</v>
      </c>
      <c r="I794" s="32">
        <v>695</v>
      </c>
      <c r="J794" s="32">
        <v>0</v>
      </c>
      <c r="K794" s="33"/>
      <c r="L794" s="33"/>
      <c r="M794" s="33"/>
      <c r="N794" s="33"/>
      <c r="O794" s="33"/>
      <c r="P794" s="33"/>
      <c r="Q794" s="33"/>
      <c r="R794" s="33"/>
      <c r="S794" s="33"/>
      <c r="T794" s="33"/>
    </row>
    <row r="795" spans="1:20" ht="15.75">
      <c r="A795" s="13">
        <v>66080</v>
      </c>
      <c r="B795" s="41">
        <f t="shared" si="3"/>
        <v>30</v>
      </c>
      <c r="C795" s="32">
        <v>122.58</v>
      </c>
      <c r="D795" s="32">
        <v>297.94099999999997</v>
      </c>
      <c r="E795" s="38">
        <v>729.47900000000004</v>
      </c>
      <c r="F795" s="32">
        <v>1150</v>
      </c>
      <c r="G795" s="32">
        <v>100</v>
      </c>
      <c r="H795" s="40">
        <v>600</v>
      </c>
      <c r="I795" s="32">
        <v>695</v>
      </c>
      <c r="J795" s="32">
        <v>50</v>
      </c>
      <c r="K795" s="33"/>
      <c r="L795" s="33"/>
      <c r="M795" s="33"/>
      <c r="N795" s="33"/>
      <c r="O795" s="33"/>
      <c r="P795" s="33"/>
      <c r="Q795" s="33"/>
      <c r="R795" s="33"/>
      <c r="S795" s="33"/>
      <c r="T795" s="33"/>
    </row>
    <row r="796" spans="1:20" ht="15.75">
      <c r="A796" s="13">
        <v>66111</v>
      </c>
      <c r="B796" s="41">
        <f t="shared" si="3"/>
        <v>31</v>
      </c>
      <c r="C796" s="32">
        <v>122.58</v>
      </c>
      <c r="D796" s="32">
        <v>297.94099999999997</v>
      </c>
      <c r="E796" s="38">
        <v>729.47900000000004</v>
      </c>
      <c r="F796" s="32">
        <v>1150</v>
      </c>
      <c r="G796" s="32">
        <v>100</v>
      </c>
      <c r="H796" s="40">
        <v>600</v>
      </c>
      <c r="I796" s="32">
        <v>695</v>
      </c>
      <c r="J796" s="32">
        <v>50</v>
      </c>
      <c r="K796" s="33"/>
      <c r="L796" s="33"/>
      <c r="M796" s="33"/>
      <c r="N796" s="33"/>
      <c r="O796" s="33"/>
      <c r="P796" s="33"/>
      <c r="Q796" s="33"/>
      <c r="R796" s="33"/>
      <c r="S796" s="33"/>
      <c r="T796" s="33"/>
    </row>
    <row r="797" spans="1:20" ht="15.75">
      <c r="A797" s="13">
        <v>66142</v>
      </c>
      <c r="B797" s="41">
        <f t="shared" si="3"/>
        <v>31</v>
      </c>
      <c r="C797" s="32">
        <v>122.58</v>
      </c>
      <c r="D797" s="32">
        <v>297.94099999999997</v>
      </c>
      <c r="E797" s="38">
        <v>729.47900000000004</v>
      </c>
      <c r="F797" s="32">
        <v>1150</v>
      </c>
      <c r="G797" s="32">
        <v>100</v>
      </c>
      <c r="H797" s="40">
        <v>600</v>
      </c>
      <c r="I797" s="32">
        <v>695</v>
      </c>
      <c r="J797" s="32">
        <v>50</v>
      </c>
      <c r="K797" s="33"/>
      <c r="L797" s="33"/>
      <c r="M797" s="33"/>
      <c r="N797" s="33"/>
      <c r="O797" s="33"/>
      <c r="P797" s="33"/>
      <c r="Q797" s="33"/>
      <c r="R797" s="33"/>
      <c r="S797" s="33"/>
      <c r="T797" s="33"/>
    </row>
    <row r="798" spans="1:20" ht="15.75">
      <c r="A798" s="13">
        <v>66170</v>
      </c>
      <c r="B798" s="41">
        <f t="shared" si="3"/>
        <v>28</v>
      </c>
      <c r="C798" s="32">
        <v>122.58</v>
      </c>
      <c r="D798" s="32">
        <v>297.94099999999997</v>
      </c>
      <c r="E798" s="38">
        <v>729.47900000000004</v>
      </c>
      <c r="F798" s="32">
        <v>1150</v>
      </c>
      <c r="G798" s="32">
        <v>100</v>
      </c>
      <c r="H798" s="40">
        <v>600</v>
      </c>
      <c r="I798" s="32">
        <v>695</v>
      </c>
      <c r="J798" s="32">
        <v>50</v>
      </c>
      <c r="K798" s="33"/>
      <c r="L798" s="33"/>
      <c r="M798" s="33"/>
      <c r="N798" s="33"/>
      <c r="O798" s="33"/>
      <c r="P798" s="33"/>
      <c r="Q798" s="33"/>
      <c r="R798" s="33"/>
      <c r="S798" s="33"/>
      <c r="T798" s="33"/>
    </row>
    <row r="799" spans="1:20" ht="15.75">
      <c r="A799" s="13">
        <v>66201</v>
      </c>
      <c r="B799" s="41">
        <f t="shared" si="3"/>
        <v>31</v>
      </c>
      <c r="C799" s="32">
        <v>122.58</v>
      </c>
      <c r="D799" s="32">
        <v>297.94099999999997</v>
      </c>
      <c r="E799" s="38">
        <v>729.47900000000004</v>
      </c>
      <c r="F799" s="32">
        <v>1150</v>
      </c>
      <c r="G799" s="32">
        <v>100</v>
      </c>
      <c r="H799" s="40">
        <v>600</v>
      </c>
      <c r="I799" s="32">
        <v>695</v>
      </c>
      <c r="J799" s="32">
        <v>50</v>
      </c>
      <c r="K799" s="33"/>
      <c r="L799" s="33"/>
      <c r="M799" s="33"/>
      <c r="N799" s="33"/>
      <c r="O799" s="33"/>
      <c r="P799" s="33"/>
      <c r="Q799" s="33"/>
      <c r="R799" s="33"/>
      <c r="S799" s="33"/>
      <c r="T799" s="33"/>
    </row>
    <row r="800" spans="1:20" ht="15.75">
      <c r="A800" s="13">
        <v>66231</v>
      </c>
      <c r="B800" s="41">
        <f t="shared" si="3"/>
        <v>30</v>
      </c>
      <c r="C800" s="32">
        <v>141.29300000000001</v>
      </c>
      <c r="D800" s="32">
        <v>267.99299999999999</v>
      </c>
      <c r="E800" s="38">
        <v>829.71400000000006</v>
      </c>
      <c r="F800" s="32">
        <v>1239</v>
      </c>
      <c r="G800" s="32">
        <v>100</v>
      </c>
      <c r="H800" s="40">
        <v>600</v>
      </c>
      <c r="I800" s="32">
        <v>695</v>
      </c>
      <c r="J800" s="32">
        <v>50</v>
      </c>
      <c r="K800" s="33"/>
      <c r="L800" s="33"/>
      <c r="M800" s="33"/>
      <c r="N800" s="33"/>
      <c r="O800" s="33"/>
      <c r="P800" s="33"/>
      <c r="Q800" s="33"/>
      <c r="R800" s="33"/>
      <c r="S800" s="33"/>
      <c r="T800" s="33"/>
    </row>
    <row r="801" spans="1:20" ht="15.75">
      <c r="A801" s="13">
        <v>66262</v>
      </c>
      <c r="B801" s="41">
        <f t="shared" si="3"/>
        <v>31</v>
      </c>
      <c r="C801" s="32">
        <v>194.20500000000001</v>
      </c>
      <c r="D801" s="32">
        <v>267.46600000000001</v>
      </c>
      <c r="E801" s="38">
        <v>812.32899999999995</v>
      </c>
      <c r="F801" s="32">
        <v>1274</v>
      </c>
      <c r="G801" s="32">
        <v>75</v>
      </c>
      <c r="H801" s="40">
        <v>600</v>
      </c>
      <c r="I801" s="32">
        <v>695</v>
      </c>
      <c r="J801" s="32">
        <v>50</v>
      </c>
      <c r="K801" s="33"/>
      <c r="L801" s="33"/>
      <c r="M801" s="33"/>
      <c r="N801" s="33"/>
      <c r="O801" s="33"/>
      <c r="P801" s="33"/>
      <c r="Q801" s="33"/>
      <c r="R801" s="33"/>
      <c r="S801" s="33"/>
      <c r="T801" s="33"/>
    </row>
    <row r="802" spans="1:20" ht="15.75">
      <c r="A802" s="13">
        <v>66292</v>
      </c>
      <c r="B802" s="41">
        <f t="shared" si="3"/>
        <v>30</v>
      </c>
      <c r="C802" s="32">
        <v>194.20500000000001</v>
      </c>
      <c r="D802" s="32">
        <v>267.46600000000001</v>
      </c>
      <c r="E802" s="38">
        <v>812.32899999999995</v>
      </c>
      <c r="F802" s="32">
        <v>1274</v>
      </c>
      <c r="G802" s="32">
        <v>50</v>
      </c>
      <c r="H802" s="40">
        <v>600</v>
      </c>
      <c r="I802" s="32">
        <v>695</v>
      </c>
      <c r="J802" s="32">
        <v>50</v>
      </c>
      <c r="K802" s="33"/>
      <c r="L802" s="33"/>
      <c r="M802" s="33"/>
      <c r="N802" s="33"/>
      <c r="O802" s="33"/>
      <c r="P802" s="33"/>
      <c r="Q802" s="33"/>
      <c r="R802" s="33"/>
      <c r="S802" s="33"/>
      <c r="T802" s="33"/>
    </row>
    <row r="803" spans="1:20" ht="15.75">
      <c r="A803" s="13">
        <v>66323</v>
      </c>
      <c r="B803" s="41">
        <f t="shared" si="3"/>
        <v>31</v>
      </c>
      <c r="C803" s="32">
        <v>194.20500000000001</v>
      </c>
      <c r="D803" s="32">
        <v>267.46600000000001</v>
      </c>
      <c r="E803" s="38">
        <v>812.32899999999995</v>
      </c>
      <c r="F803" s="32">
        <v>1274</v>
      </c>
      <c r="G803" s="32">
        <v>50</v>
      </c>
      <c r="H803" s="40">
        <v>600</v>
      </c>
      <c r="I803" s="32">
        <v>695</v>
      </c>
      <c r="J803" s="32">
        <v>0</v>
      </c>
      <c r="K803" s="33"/>
      <c r="L803" s="33"/>
      <c r="M803" s="33"/>
      <c r="N803" s="33"/>
      <c r="O803" s="33"/>
      <c r="P803" s="33"/>
      <c r="Q803" s="33"/>
      <c r="R803" s="33"/>
      <c r="S803" s="33"/>
      <c r="T803" s="33"/>
    </row>
    <row r="804" spans="1:20" ht="15.75">
      <c r="A804" s="13">
        <v>66354</v>
      </c>
      <c r="B804" s="41">
        <f t="shared" si="3"/>
        <v>31</v>
      </c>
      <c r="C804" s="32">
        <v>194.20500000000001</v>
      </c>
      <c r="D804" s="32">
        <v>267.46600000000001</v>
      </c>
      <c r="E804" s="38">
        <v>812.32899999999995</v>
      </c>
      <c r="F804" s="32">
        <v>1274</v>
      </c>
      <c r="G804" s="32">
        <v>50</v>
      </c>
      <c r="H804" s="40">
        <v>600</v>
      </c>
      <c r="I804" s="32">
        <v>695</v>
      </c>
      <c r="J804" s="32">
        <v>0</v>
      </c>
      <c r="K804" s="33"/>
      <c r="L804" s="33"/>
      <c r="M804" s="33"/>
      <c r="N804" s="33"/>
      <c r="O804" s="33"/>
      <c r="P804" s="33"/>
      <c r="Q804" s="33"/>
      <c r="R804" s="33"/>
      <c r="S804" s="33"/>
      <c r="T804" s="33"/>
    </row>
    <row r="805" spans="1:20" ht="15.75">
      <c r="A805" s="13">
        <v>66384</v>
      </c>
      <c r="B805" s="41">
        <f t="shared" si="3"/>
        <v>30</v>
      </c>
      <c r="C805" s="32">
        <v>194.20500000000001</v>
      </c>
      <c r="D805" s="32">
        <v>267.46600000000001</v>
      </c>
      <c r="E805" s="38">
        <v>812.32899999999995</v>
      </c>
      <c r="F805" s="32">
        <v>1274</v>
      </c>
      <c r="G805" s="32">
        <v>50</v>
      </c>
      <c r="H805" s="40">
        <v>600</v>
      </c>
      <c r="I805" s="32">
        <v>695</v>
      </c>
      <c r="J805" s="32">
        <v>0</v>
      </c>
      <c r="K805" s="33"/>
      <c r="L805" s="33"/>
      <c r="M805" s="33"/>
      <c r="N805" s="33"/>
      <c r="O805" s="33"/>
      <c r="P805" s="33"/>
      <c r="Q805" s="33"/>
      <c r="R805" s="33"/>
      <c r="S805" s="33"/>
      <c r="T805" s="33"/>
    </row>
    <row r="806" spans="1:20" ht="15.75">
      <c r="A806" s="13">
        <v>66415</v>
      </c>
      <c r="B806" s="41">
        <f t="shared" si="3"/>
        <v>31</v>
      </c>
      <c r="C806" s="32">
        <v>131.881</v>
      </c>
      <c r="D806" s="32">
        <v>277.16699999999997</v>
      </c>
      <c r="E806" s="38">
        <v>829.952</v>
      </c>
      <c r="F806" s="32">
        <v>1239</v>
      </c>
      <c r="G806" s="32">
        <v>75</v>
      </c>
      <c r="H806" s="40">
        <v>600</v>
      </c>
      <c r="I806" s="32">
        <v>695</v>
      </c>
      <c r="J806" s="32">
        <v>0</v>
      </c>
      <c r="K806" s="33"/>
      <c r="L806" s="33"/>
      <c r="M806" s="33"/>
      <c r="N806" s="33"/>
      <c r="O806" s="33"/>
      <c r="P806" s="33"/>
      <c r="Q806" s="33"/>
      <c r="R806" s="33"/>
      <c r="S806" s="33"/>
      <c r="T806" s="33"/>
    </row>
    <row r="807" spans="1:20" ht="15.75">
      <c r="A807" s="13">
        <v>66445</v>
      </c>
      <c r="B807" s="41">
        <f t="shared" si="3"/>
        <v>30</v>
      </c>
      <c r="C807" s="32">
        <v>122.58</v>
      </c>
      <c r="D807" s="32">
        <v>297.94099999999997</v>
      </c>
      <c r="E807" s="38">
        <v>729.47900000000004</v>
      </c>
      <c r="F807" s="32">
        <v>1150</v>
      </c>
      <c r="G807" s="32">
        <v>100</v>
      </c>
      <c r="H807" s="40">
        <v>600</v>
      </c>
      <c r="I807" s="32">
        <v>695</v>
      </c>
      <c r="J807" s="32">
        <v>50</v>
      </c>
      <c r="K807" s="33"/>
      <c r="L807" s="33"/>
      <c r="M807" s="33"/>
      <c r="N807" s="33"/>
      <c r="O807" s="33"/>
      <c r="P807" s="33"/>
      <c r="Q807" s="33"/>
      <c r="R807" s="33"/>
      <c r="S807" s="33"/>
      <c r="T807" s="33"/>
    </row>
    <row r="808" spans="1:20" ht="15.75">
      <c r="A808" s="13">
        <v>66476</v>
      </c>
      <c r="B808" s="41">
        <f t="shared" si="3"/>
        <v>31</v>
      </c>
      <c r="C808" s="32">
        <v>122.58</v>
      </c>
      <c r="D808" s="32">
        <v>297.94099999999997</v>
      </c>
      <c r="E808" s="38">
        <v>729.47900000000004</v>
      </c>
      <c r="F808" s="32">
        <v>1150</v>
      </c>
      <c r="G808" s="32">
        <v>100</v>
      </c>
      <c r="H808" s="40">
        <v>600</v>
      </c>
      <c r="I808" s="32">
        <v>695</v>
      </c>
      <c r="J808" s="32">
        <v>50</v>
      </c>
      <c r="K808" s="33"/>
      <c r="L808" s="33"/>
      <c r="M808" s="33"/>
      <c r="N808" s="33"/>
      <c r="O808" s="33"/>
      <c r="P808" s="33"/>
      <c r="Q808" s="33"/>
      <c r="R808" s="33"/>
      <c r="S808" s="33"/>
      <c r="T808" s="33"/>
    </row>
    <row r="809" spans="1:20" ht="15.75">
      <c r="A809" s="13">
        <v>66507</v>
      </c>
      <c r="B809" s="41">
        <f t="shared" si="3"/>
        <v>31</v>
      </c>
      <c r="C809" s="32">
        <v>122.58</v>
      </c>
      <c r="D809" s="32">
        <v>297.94099999999997</v>
      </c>
      <c r="E809" s="38">
        <v>729.47900000000004</v>
      </c>
      <c r="F809" s="32">
        <v>1150</v>
      </c>
      <c r="G809" s="32">
        <v>100</v>
      </c>
      <c r="H809" s="40">
        <v>600</v>
      </c>
      <c r="I809" s="32">
        <v>695</v>
      </c>
      <c r="J809" s="32">
        <v>50</v>
      </c>
      <c r="K809" s="33"/>
      <c r="L809" s="33"/>
      <c r="M809" s="33"/>
      <c r="N809" s="33"/>
      <c r="O809" s="33"/>
      <c r="P809" s="33"/>
      <c r="Q809" s="33"/>
      <c r="R809" s="33"/>
      <c r="S809" s="33"/>
      <c r="T809" s="33"/>
    </row>
    <row r="810" spans="1:20" ht="15.75">
      <c r="A810" s="13">
        <v>66535</v>
      </c>
      <c r="B810" s="41">
        <f t="shared" si="3"/>
        <v>28</v>
      </c>
      <c r="C810" s="32">
        <v>122.58</v>
      </c>
      <c r="D810" s="32">
        <v>297.94099999999997</v>
      </c>
      <c r="E810" s="38">
        <v>729.47900000000004</v>
      </c>
      <c r="F810" s="32">
        <v>1150</v>
      </c>
      <c r="G810" s="32">
        <v>100</v>
      </c>
      <c r="H810" s="40">
        <v>600</v>
      </c>
      <c r="I810" s="32">
        <v>695</v>
      </c>
      <c r="J810" s="32">
        <v>50</v>
      </c>
      <c r="K810" s="33"/>
      <c r="L810" s="33"/>
      <c r="M810" s="33"/>
      <c r="N810" s="33"/>
      <c r="O810" s="33"/>
      <c r="P810" s="33"/>
      <c r="Q810" s="33"/>
      <c r="R810" s="33"/>
      <c r="S810" s="33"/>
      <c r="T810" s="33"/>
    </row>
    <row r="811" spans="1:20" ht="15.75">
      <c r="A811" s="13">
        <v>66566</v>
      </c>
      <c r="B811" s="41">
        <f t="shared" si="3"/>
        <v>31</v>
      </c>
      <c r="C811" s="32">
        <v>122.58</v>
      </c>
      <c r="D811" s="32">
        <v>297.94099999999997</v>
      </c>
      <c r="E811" s="38">
        <v>729.47900000000004</v>
      </c>
      <c r="F811" s="32">
        <v>1150</v>
      </c>
      <c r="G811" s="32">
        <v>100</v>
      </c>
      <c r="H811" s="40">
        <v>600</v>
      </c>
      <c r="I811" s="32">
        <v>695</v>
      </c>
      <c r="J811" s="32">
        <v>50</v>
      </c>
      <c r="K811" s="33"/>
      <c r="L811" s="33"/>
      <c r="M811" s="33"/>
      <c r="N811" s="33"/>
      <c r="O811" s="33"/>
      <c r="P811" s="33"/>
      <c r="Q811" s="33"/>
      <c r="R811" s="33"/>
      <c r="S811" s="33"/>
      <c r="T811" s="33"/>
    </row>
    <row r="812" spans="1:20" ht="15.75">
      <c r="A812" s="13">
        <v>66596</v>
      </c>
      <c r="B812" s="41">
        <f t="shared" si="3"/>
        <v>30</v>
      </c>
      <c r="C812" s="32">
        <v>141.29300000000001</v>
      </c>
      <c r="D812" s="32">
        <v>267.99299999999999</v>
      </c>
      <c r="E812" s="38">
        <v>829.71400000000006</v>
      </c>
      <c r="F812" s="32">
        <v>1239</v>
      </c>
      <c r="G812" s="32">
        <v>100</v>
      </c>
      <c r="H812" s="40">
        <v>600</v>
      </c>
      <c r="I812" s="32">
        <v>695</v>
      </c>
      <c r="J812" s="32">
        <v>50</v>
      </c>
      <c r="K812" s="33"/>
      <c r="L812" s="33"/>
      <c r="M812" s="33"/>
      <c r="N812" s="33"/>
      <c r="O812" s="33"/>
      <c r="P812" s="33"/>
      <c r="Q812" s="33"/>
      <c r="R812" s="33"/>
      <c r="S812" s="33"/>
      <c r="T812" s="33"/>
    </row>
    <row r="813" spans="1:20" ht="15.75">
      <c r="A813" s="13">
        <v>66627</v>
      </c>
      <c r="B813" s="41">
        <f t="shared" si="3"/>
        <v>31</v>
      </c>
      <c r="C813" s="32">
        <v>194.20500000000001</v>
      </c>
      <c r="D813" s="32">
        <v>267.46600000000001</v>
      </c>
      <c r="E813" s="38">
        <v>812.32899999999995</v>
      </c>
      <c r="F813" s="32">
        <v>1274</v>
      </c>
      <c r="G813" s="32">
        <v>75</v>
      </c>
      <c r="H813" s="40">
        <v>600</v>
      </c>
      <c r="I813" s="32">
        <v>695</v>
      </c>
      <c r="J813" s="32">
        <v>50</v>
      </c>
      <c r="K813" s="33"/>
      <c r="L813" s="33"/>
      <c r="M813" s="33"/>
      <c r="N813" s="33"/>
      <c r="O813" s="33"/>
      <c r="P813" s="33"/>
      <c r="Q813" s="33"/>
      <c r="R813" s="33"/>
      <c r="S813" s="33"/>
      <c r="T813" s="33"/>
    </row>
    <row r="814" spans="1:20" ht="15.75">
      <c r="A814" s="13">
        <v>66657</v>
      </c>
      <c r="B814" s="41">
        <f t="shared" si="3"/>
        <v>30</v>
      </c>
      <c r="C814" s="32">
        <v>194.20500000000001</v>
      </c>
      <c r="D814" s="32">
        <v>267.46600000000001</v>
      </c>
      <c r="E814" s="38">
        <v>812.32899999999995</v>
      </c>
      <c r="F814" s="32">
        <v>1274</v>
      </c>
      <c r="G814" s="32">
        <v>50</v>
      </c>
      <c r="H814" s="40">
        <v>600</v>
      </c>
      <c r="I814" s="32">
        <v>695</v>
      </c>
      <c r="J814" s="32">
        <v>50</v>
      </c>
      <c r="K814" s="33"/>
      <c r="L814" s="33"/>
      <c r="M814" s="33"/>
      <c r="N814" s="33"/>
      <c r="O814" s="33"/>
      <c r="P814" s="33"/>
      <c r="Q814" s="33"/>
      <c r="R814" s="33"/>
      <c r="S814" s="33"/>
      <c r="T814" s="33"/>
    </row>
    <row r="815" spans="1:20" ht="15.75">
      <c r="A815" s="13">
        <v>66688</v>
      </c>
      <c r="B815" s="41">
        <f t="shared" si="3"/>
        <v>31</v>
      </c>
      <c r="C815" s="32">
        <v>194.20500000000001</v>
      </c>
      <c r="D815" s="32">
        <v>267.46600000000001</v>
      </c>
      <c r="E815" s="38">
        <v>812.32899999999995</v>
      </c>
      <c r="F815" s="32">
        <v>1274</v>
      </c>
      <c r="G815" s="32">
        <v>50</v>
      </c>
      <c r="H815" s="40">
        <v>600</v>
      </c>
      <c r="I815" s="32">
        <v>695</v>
      </c>
      <c r="J815" s="32">
        <v>0</v>
      </c>
      <c r="K815" s="33"/>
      <c r="L815" s="33"/>
      <c r="M815" s="33"/>
      <c r="N815" s="33"/>
      <c r="O815" s="33"/>
      <c r="P815" s="33"/>
      <c r="Q815" s="33"/>
      <c r="R815" s="33"/>
      <c r="S815" s="33"/>
      <c r="T815" s="33"/>
    </row>
    <row r="816" spans="1:20" ht="15.75">
      <c r="A816" s="13">
        <v>66719</v>
      </c>
      <c r="B816" s="41">
        <f t="shared" si="3"/>
        <v>31</v>
      </c>
      <c r="C816" s="32">
        <v>194.20500000000001</v>
      </c>
      <c r="D816" s="32">
        <v>267.46600000000001</v>
      </c>
      <c r="E816" s="38">
        <v>812.32899999999995</v>
      </c>
      <c r="F816" s="32">
        <v>1274</v>
      </c>
      <c r="G816" s="32">
        <v>50</v>
      </c>
      <c r="H816" s="40">
        <v>600</v>
      </c>
      <c r="I816" s="32">
        <v>695</v>
      </c>
      <c r="J816" s="32">
        <v>0</v>
      </c>
      <c r="K816" s="33"/>
      <c r="L816" s="33"/>
      <c r="M816" s="33"/>
      <c r="N816" s="33"/>
      <c r="O816" s="33"/>
      <c r="P816" s="33"/>
      <c r="Q816" s="33"/>
      <c r="R816" s="33"/>
      <c r="S816" s="33"/>
      <c r="T816" s="33"/>
    </row>
    <row r="817" spans="1:20" ht="15.75">
      <c r="A817" s="13">
        <v>66749</v>
      </c>
      <c r="B817" s="41">
        <f t="shared" si="3"/>
        <v>30</v>
      </c>
      <c r="C817" s="32">
        <v>194.20500000000001</v>
      </c>
      <c r="D817" s="32">
        <v>267.46600000000001</v>
      </c>
      <c r="E817" s="38">
        <v>812.32899999999995</v>
      </c>
      <c r="F817" s="32">
        <v>1274</v>
      </c>
      <c r="G817" s="32">
        <v>50</v>
      </c>
      <c r="H817" s="40">
        <v>600</v>
      </c>
      <c r="I817" s="32">
        <v>695</v>
      </c>
      <c r="J817" s="32">
        <v>0</v>
      </c>
      <c r="K817" s="33"/>
      <c r="L817" s="33"/>
      <c r="M817" s="33"/>
      <c r="N817" s="33"/>
      <c r="O817" s="33"/>
      <c r="P817" s="33"/>
      <c r="Q817" s="33"/>
      <c r="R817" s="33"/>
      <c r="S817" s="33"/>
      <c r="T817" s="33"/>
    </row>
    <row r="818" spans="1:20" ht="15.75">
      <c r="A818" s="13">
        <v>66780</v>
      </c>
      <c r="B818" s="41">
        <f t="shared" si="3"/>
        <v>31</v>
      </c>
      <c r="C818" s="32">
        <v>131.881</v>
      </c>
      <c r="D818" s="32">
        <v>277.16699999999997</v>
      </c>
      <c r="E818" s="38">
        <v>829.952</v>
      </c>
      <c r="F818" s="32">
        <v>1239</v>
      </c>
      <c r="G818" s="32">
        <v>75</v>
      </c>
      <c r="H818" s="40">
        <v>600</v>
      </c>
      <c r="I818" s="32">
        <v>695</v>
      </c>
      <c r="J818" s="32">
        <v>0</v>
      </c>
      <c r="K818" s="33"/>
      <c r="L818" s="33"/>
      <c r="M818" s="33"/>
      <c r="N818" s="33"/>
      <c r="O818" s="33"/>
      <c r="P818" s="33"/>
      <c r="Q818" s="33"/>
      <c r="R818" s="33"/>
      <c r="S818" s="33"/>
      <c r="T818" s="33"/>
    </row>
    <row r="819" spans="1:20" ht="15.75">
      <c r="A819" s="13">
        <v>66810</v>
      </c>
      <c r="B819" s="41">
        <f t="shared" si="3"/>
        <v>30</v>
      </c>
      <c r="C819" s="32">
        <v>122.58</v>
      </c>
      <c r="D819" s="32">
        <v>297.94099999999997</v>
      </c>
      <c r="E819" s="38">
        <v>729.47900000000004</v>
      </c>
      <c r="F819" s="32">
        <v>1150</v>
      </c>
      <c r="G819" s="32">
        <v>100</v>
      </c>
      <c r="H819" s="40">
        <v>600</v>
      </c>
      <c r="I819" s="32">
        <v>695</v>
      </c>
      <c r="J819" s="32">
        <v>50</v>
      </c>
      <c r="K819" s="33"/>
      <c r="L819" s="33"/>
      <c r="M819" s="33"/>
      <c r="N819" s="33"/>
      <c r="O819" s="33"/>
      <c r="P819" s="33"/>
      <c r="Q819" s="33"/>
      <c r="R819" s="33"/>
      <c r="S819" s="33"/>
      <c r="T819" s="33"/>
    </row>
    <row r="820" spans="1:20" ht="15.75">
      <c r="A820" s="13">
        <v>66841</v>
      </c>
      <c r="B820" s="41">
        <f t="shared" si="3"/>
        <v>31</v>
      </c>
      <c r="C820" s="32">
        <v>122.58</v>
      </c>
      <c r="D820" s="32">
        <v>297.94099999999997</v>
      </c>
      <c r="E820" s="38">
        <v>729.47900000000004</v>
      </c>
      <c r="F820" s="32">
        <v>1150</v>
      </c>
      <c r="G820" s="32">
        <v>100</v>
      </c>
      <c r="H820" s="40">
        <v>600</v>
      </c>
      <c r="I820" s="32">
        <v>695</v>
      </c>
      <c r="J820" s="32">
        <v>50</v>
      </c>
      <c r="K820" s="33"/>
      <c r="L820" s="33"/>
      <c r="M820" s="33"/>
      <c r="N820" s="33"/>
      <c r="O820" s="33"/>
      <c r="P820" s="33"/>
      <c r="Q820" s="33"/>
      <c r="R820" s="33"/>
      <c r="S820" s="33"/>
      <c r="T820" s="33"/>
    </row>
    <row r="821" spans="1:20" ht="15.75">
      <c r="A821" s="13">
        <v>66872</v>
      </c>
      <c r="B821" s="41">
        <f t="shared" si="3"/>
        <v>31</v>
      </c>
      <c r="C821" s="32">
        <v>122.58</v>
      </c>
      <c r="D821" s="32">
        <v>297.94099999999997</v>
      </c>
      <c r="E821" s="38">
        <v>729.47900000000004</v>
      </c>
      <c r="F821" s="32">
        <v>1150</v>
      </c>
      <c r="G821" s="32">
        <v>100</v>
      </c>
      <c r="H821" s="40">
        <v>600</v>
      </c>
      <c r="I821" s="32">
        <v>695</v>
      </c>
      <c r="J821" s="32">
        <v>50</v>
      </c>
      <c r="K821" s="33"/>
      <c r="L821" s="33"/>
      <c r="M821" s="33"/>
      <c r="N821" s="33"/>
      <c r="O821" s="33"/>
      <c r="P821" s="33"/>
      <c r="Q821" s="33"/>
      <c r="R821" s="33"/>
      <c r="S821" s="33"/>
      <c r="T821" s="33"/>
    </row>
    <row r="822" spans="1:20" ht="15.75">
      <c r="A822" s="13">
        <v>66900</v>
      </c>
      <c r="B822" s="41">
        <f t="shared" si="3"/>
        <v>28</v>
      </c>
      <c r="C822" s="32">
        <v>122.58</v>
      </c>
      <c r="D822" s="32">
        <v>297.94099999999997</v>
      </c>
      <c r="E822" s="38">
        <v>729.47900000000004</v>
      </c>
      <c r="F822" s="32">
        <v>1150</v>
      </c>
      <c r="G822" s="32">
        <v>100</v>
      </c>
      <c r="H822" s="40">
        <v>600</v>
      </c>
      <c r="I822" s="32">
        <v>695</v>
      </c>
      <c r="J822" s="32">
        <v>50</v>
      </c>
      <c r="K822" s="33"/>
      <c r="L822" s="33"/>
      <c r="M822" s="33"/>
      <c r="N822" s="33"/>
      <c r="O822" s="33"/>
      <c r="P822" s="33"/>
      <c r="Q822" s="33"/>
      <c r="R822" s="33"/>
      <c r="S822" s="33"/>
      <c r="T822" s="33"/>
    </row>
    <row r="823" spans="1:20" ht="15.75">
      <c r="A823" s="13">
        <v>66931</v>
      </c>
      <c r="B823" s="41">
        <f t="shared" si="3"/>
        <v>31</v>
      </c>
      <c r="C823" s="32">
        <v>122.58</v>
      </c>
      <c r="D823" s="32">
        <v>297.94099999999997</v>
      </c>
      <c r="E823" s="38">
        <v>729.47900000000004</v>
      </c>
      <c r="F823" s="32">
        <v>1150</v>
      </c>
      <c r="G823" s="32">
        <v>100</v>
      </c>
      <c r="H823" s="40">
        <v>600</v>
      </c>
      <c r="I823" s="32">
        <v>695</v>
      </c>
      <c r="J823" s="32">
        <v>50</v>
      </c>
      <c r="K823" s="33"/>
      <c r="L823" s="33"/>
      <c r="M823" s="33"/>
      <c r="N823" s="33"/>
      <c r="O823" s="33"/>
      <c r="P823" s="33"/>
      <c r="Q823" s="33"/>
      <c r="R823" s="33"/>
      <c r="S823" s="33"/>
      <c r="T823" s="33"/>
    </row>
    <row r="824" spans="1:20" ht="15.75">
      <c r="A824" s="13">
        <v>66961</v>
      </c>
      <c r="B824" s="41">
        <f t="shared" si="3"/>
        <v>30</v>
      </c>
      <c r="C824" s="32">
        <v>141.29300000000001</v>
      </c>
      <c r="D824" s="32">
        <v>267.99299999999999</v>
      </c>
      <c r="E824" s="38">
        <v>829.71400000000006</v>
      </c>
      <c r="F824" s="32">
        <v>1239</v>
      </c>
      <c r="G824" s="32">
        <v>100</v>
      </c>
      <c r="H824" s="40">
        <v>600</v>
      </c>
      <c r="I824" s="32">
        <v>695</v>
      </c>
      <c r="J824" s="32">
        <v>50</v>
      </c>
      <c r="K824" s="33"/>
      <c r="L824" s="33"/>
      <c r="M824" s="33"/>
      <c r="N824" s="33"/>
      <c r="O824" s="33"/>
      <c r="P824" s="33"/>
      <c r="Q824" s="33"/>
      <c r="R824" s="33"/>
      <c r="S824" s="33"/>
      <c r="T824" s="33"/>
    </row>
    <row r="825" spans="1:20" ht="15.75">
      <c r="A825" s="13">
        <v>66992</v>
      </c>
      <c r="B825" s="41">
        <f t="shared" ref="B825:B888" si="4">EOMONTH(A825,0)-EOMONTH(A825,-1)</f>
        <v>31</v>
      </c>
      <c r="C825" s="32">
        <v>194.20500000000001</v>
      </c>
      <c r="D825" s="32">
        <v>267.46600000000001</v>
      </c>
      <c r="E825" s="38">
        <v>812.32899999999995</v>
      </c>
      <c r="F825" s="32">
        <v>1274</v>
      </c>
      <c r="G825" s="32">
        <v>75</v>
      </c>
      <c r="H825" s="40">
        <v>600</v>
      </c>
      <c r="I825" s="32">
        <v>695</v>
      </c>
      <c r="J825" s="32">
        <v>50</v>
      </c>
      <c r="K825" s="33"/>
      <c r="L825" s="33"/>
      <c r="M825" s="33"/>
      <c r="N825" s="33"/>
      <c r="O825" s="33"/>
      <c r="P825" s="33"/>
      <c r="Q825" s="33"/>
      <c r="R825" s="33"/>
      <c r="S825" s="33"/>
      <c r="T825" s="33"/>
    </row>
    <row r="826" spans="1:20" ht="15.75">
      <c r="A826" s="13">
        <v>67022</v>
      </c>
      <c r="B826" s="41">
        <f t="shared" si="4"/>
        <v>30</v>
      </c>
      <c r="C826" s="32">
        <v>194.20500000000001</v>
      </c>
      <c r="D826" s="32">
        <v>267.46600000000001</v>
      </c>
      <c r="E826" s="38">
        <v>812.32899999999995</v>
      </c>
      <c r="F826" s="32">
        <v>1274</v>
      </c>
      <c r="G826" s="32">
        <v>50</v>
      </c>
      <c r="H826" s="40">
        <v>600</v>
      </c>
      <c r="I826" s="32">
        <v>695</v>
      </c>
      <c r="J826" s="32">
        <v>50</v>
      </c>
      <c r="K826" s="33"/>
      <c r="L826" s="33"/>
      <c r="M826" s="33"/>
      <c r="N826" s="33"/>
      <c r="O826" s="33"/>
      <c r="P826" s="33"/>
      <c r="Q826" s="33"/>
      <c r="R826" s="33"/>
      <c r="S826" s="33"/>
      <c r="T826" s="33"/>
    </row>
    <row r="827" spans="1:20" ht="15.75">
      <c r="A827" s="13">
        <v>67053</v>
      </c>
      <c r="B827" s="41">
        <f t="shared" si="4"/>
        <v>31</v>
      </c>
      <c r="C827" s="32">
        <v>194.20500000000001</v>
      </c>
      <c r="D827" s="32">
        <v>267.46600000000001</v>
      </c>
      <c r="E827" s="38">
        <v>812.32899999999995</v>
      </c>
      <c r="F827" s="32">
        <v>1274</v>
      </c>
      <c r="G827" s="32">
        <v>50</v>
      </c>
      <c r="H827" s="40">
        <v>600</v>
      </c>
      <c r="I827" s="32">
        <v>695</v>
      </c>
      <c r="J827" s="32">
        <v>0</v>
      </c>
      <c r="K827" s="33"/>
      <c r="L827" s="33"/>
      <c r="M827" s="33"/>
      <c r="N827" s="33"/>
      <c r="O827" s="33"/>
      <c r="P827" s="33"/>
      <c r="Q827" s="33"/>
      <c r="R827" s="33"/>
      <c r="S827" s="33"/>
      <c r="T827" s="33"/>
    </row>
    <row r="828" spans="1:20" ht="15.75">
      <c r="A828" s="13">
        <v>67084</v>
      </c>
      <c r="B828" s="41">
        <f t="shared" si="4"/>
        <v>31</v>
      </c>
      <c r="C828" s="32">
        <v>194.20500000000001</v>
      </c>
      <c r="D828" s="32">
        <v>267.46600000000001</v>
      </c>
      <c r="E828" s="38">
        <v>812.32899999999995</v>
      </c>
      <c r="F828" s="32">
        <v>1274</v>
      </c>
      <c r="G828" s="32">
        <v>50</v>
      </c>
      <c r="H828" s="40">
        <v>600</v>
      </c>
      <c r="I828" s="32">
        <v>695</v>
      </c>
      <c r="J828" s="32">
        <v>0</v>
      </c>
      <c r="K828" s="33"/>
      <c r="L828" s="33"/>
      <c r="M828" s="33"/>
      <c r="N828" s="33"/>
      <c r="O828" s="33"/>
      <c r="P828" s="33"/>
      <c r="Q828" s="33"/>
      <c r="R828" s="33"/>
      <c r="S828" s="33"/>
      <c r="T828" s="33"/>
    </row>
    <row r="829" spans="1:20" ht="15.75">
      <c r="A829" s="13">
        <v>67114</v>
      </c>
      <c r="B829" s="41">
        <f t="shared" si="4"/>
        <v>30</v>
      </c>
      <c r="C829" s="32">
        <v>194.20500000000001</v>
      </c>
      <c r="D829" s="32">
        <v>267.46600000000001</v>
      </c>
      <c r="E829" s="38">
        <v>812.32899999999995</v>
      </c>
      <c r="F829" s="32">
        <v>1274</v>
      </c>
      <c r="G829" s="32">
        <v>50</v>
      </c>
      <c r="H829" s="40">
        <v>600</v>
      </c>
      <c r="I829" s="32">
        <v>695</v>
      </c>
      <c r="J829" s="32">
        <v>0</v>
      </c>
      <c r="K829" s="33"/>
      <c r="L829" s="33"/>
      <c r="M829" s="33"/>
      <c r="N829" s="33"/>
      <c r="O829" s="33"/>
      <c r="P829" s="33"/>
      <c r="Q829" s="33"/>
      <c r="R829" s="33"/>
      <c r="S829" s="33"/>
      <c r="T829" s="33"/>
    </row>
    <row r="830" spans="1:20" ht="15.75">
      <c r="A830" s="13">
        <v>67145</v>
      </c>
      <c r="B830" s="41">
        <f t="shared" si="4"/>
        <v>31</v>
      </c>
      <c r="C830" s="32">
        <v>131.881</v>
      </c>
      <c r="D830" s="32">
        <v>277.16699999999997</v>
      </c>
      <c r="E830" s="38">
        <v>829.952</v>
      </c>
      <c r="F830" s="32">
        <v>1239</v>
      </c>
      <c r="G830" s="32">
        <v>75</v>
      </c>
      <c r="H830" s="40">
        <v>600</v>
      </c>
      <c r="I830" s="32">
        <v>695</v>
      </c>
      <c r="J830" s="32">
        <v>0</v>
      </c>
      <c r="K830" s="33"/>
      <c r="L830" s="33"/>
      <c r="M830" s="33"/>
      <c r="N830" s="33"/>
      <c r="O830" s="33"/>
      <c r="P830" s="33"/>
      <c r="Q830" s="33"/>
      <c r="R830" s="33"/>
      <c r="S830" s="33"/>
      <c r="T830" s="33"/>
    </row>
    <row r="831" spans="1:20" ht="15.75">
      <c r="A831" s="13">
        <v>67175</v>
      </c>
      <c r="B831" s="41">
        <f t="shared" si="4"/>
        <v>30</v>
      </c>
      <c r="C831" s="32">
        <v>122.58</v>
      </c>
      <c r="D831" s="32">
        <v>297.94099999999997</v>
      </c>
      <c r="E831" s="38">
        <v>729.47900000000004</v>
      </c>
      <c r="F831" s="32">
        <v>1150</v>
      </c>
      <c r="G831" s="32">
        <v>100</v>
      </c>
      <c r="H831" s="40">
        <v>600</v>
      </c>
      <c r="I831" s="32">
        <v>695</v>
      </c>
      <c r="J831" s="32">
        <v>50</v>
      </c>
      <c r="K831" s="33"/>
      <c r="L831" s="33"/>
      <c r="M831" s="33"/>
      <c r="N831" s="33"/>
      <c r="O831" s="33"/>
      <c r="P831" s="33"/>
      <c r="Q831" s="33"/>
      <c r="R831" s="33"/>
      <c r="S831" s="33"/>
      <c r="T831" s="33"/>
    </row>
    <row r="832" spans="1:20" ht="15.75">
      <c r="A832" s="13">
        <v>67206</v>
      </c>
      <c r="B832" s="41">
        <f t="shared" si="4"/>
        <v>31</v>
      </c>
      <c r="C832" s="32">
        <v>122.58</v>
      </c>
      <c r="D832" s="32">
        <v>297.94099999999997</v>
      </c>
      <c r="E832" s="38">
        <v>729.47900000000004</v>
      </c>
      <c r="F832" s="32">
        <v>1150</v>
      </c>
      <c r="G832" s="32">
        <v>100</v>
      </c>
      <c r="H832" s="40">
        <v>600</v>
      </c>
      <c r="I832" s="32">
        <v>695</v>
      </c>
      <c r="J832" s="32">
        <v>50</v>
      </c>
      <c r="K832" s="33"/>
      <c r="L832" s="33"/>
      <c r="M832" s="33"/>
      <c r="N832" s="33"/>
      <c r="O832" s="33"/>
      <c r="P832" s="33"/>
      <c r="Q832" s="33"/>
      <c r="R832" s="33"/>
      <c r="S832" s="33"/>
      <c r="T832" s="33"/>
    </row>
    <row r="833" spans="1:20" ht="15.75">
      <c r="A833" s="13">
        <v>67237</v>
      </c>
      <c r="B833" s="41">
        <f t="shared" si="4"/>
        <v>31</v>
      </c>
      <c r="C833" s="32">
        <v>122.58</v>
      </c>
      <c r="D833" s="32">
        <v>297.94099999999997</v>
      </c>
      <c r="E833" s="38">
        <v>729.47900000000004</v>
      </c>
      <c r="F833" s="32">
        <v>1150</v>
      </c>
      <c r="G833" s="32">
        <v>100</v>
      </c>
      <c r="H833" s="40">
        <v>600</v>
      </c>
      <c r="I833" s="32">
        <v>695</v>
      </c>
      <c r="J833" s="32">
        <v>50</v>
      </c>
      <c r="K833" s="33"/>
      <c r="L833" s="33"/>
      <c r="M833" s="33"/>
      <c r="N833" s="33"/>
      <c r="O833" s="33"/>
      <c r="P833" s="33"/>
      <c r="Q833" s="33"/>
      <c r="R833" s="33"/>
      <c r="S833" s="33"/>
      <c r="T833" s="33"/>
    </row>
    <row r="834" spans="1:20" ht="15.75">
      <c r="A834" s="13">
        <v>67266</v>
      </c>
      <c r="B834" s="41">
        <f t="shared" si="4"/>
        <v>29</v>
      </c>
      <c r="C834" s="32">
        <v>122.58</v>
      </c>
      <c r="D834" s="32">
        <v>297.94099999999997</v>
      </c>
      <c r="E834" s="38">
        <v>729.47900000000004</v>
      </c>
      <c r="F834" s="32">
        <v>1150</v>
      </c>
      <c r="G834" s="32">
        <v>100</v>
      </c>
      <c r="H834" s="40">
        <v>600</v>
      </c>
      <c r="I834" s="32">
        <v>695</v>
      </c>
      <c r="J834" s="32">
        <v>50</v>
      </c>
      <c r="K834" s="33"/>
      <c r="L834" s="33"/>
      <c r="M834" s="33"/>
      <c r="N834" s="33"/>
      <c r="O834" s="33"/>
      <c r="P834" s="33"/>
      <c r="Q834" s="33"/>
      <c r="R834" s="33"/>
      <c r="S834" s="33"/>
      <c r="T834" s="33"/>
    </row>
    <row r="835" spans="1:20" ht="15.75">
      <c r="A835" s="13">
        <v>67297</v>
      </c>
      <c r="B835" s="41">
        <f t="shared" si="4"/>
        <v>31</v>
      </c>
      <c r="C835" s="32">
        <v>122.58</v>
      </c>
      <c r="D835" s="32">
        <v>297.94099999999997</v>
      </c>
      <c r="E835" s="38">
        <v>729.47900000000004</v>
      </c>
      <c r="F835" s="32">
        <v>1150</v>
      </c>
      <c r="G835" s="32">
        <v>100</v>
      </c>
      <c r="H835" s="40">
        <v>600</v>
      </c>
      <c r="I835" s="32">
        <v>695</v>
      </c>
      <c r="J835" s="32">
        <v>50</v>
      </c>
      <c r="K835" s="33"/>
      <c r="L835" s="33"/>
      <c r="M835" s="33"/>
      <c r="N835" s="33"/>
      <c r="O835" s="33"/>
      <c r="P835" s="33"/>
      <c r="Q835" s="33"/>
      <c r="R835" s="33"/>
      <c r="S835" s="33"/>
      <c r="T835" s="33"/>
    </row>
    <row r="836" spans="1:20" ht="15.75">
      <c r="A836" s="13">
        <v>67327</v>
      </c>
      <c r="B836" s="41">
        <f t="shared" si="4"/>
        <v>30</v>
      </c>
      <c r="C836" s="32">
        <v>141.29300000000001</v>
      </c>
      <c r="D836" s="32">
        <v>267.99299999999999</v>
      </c>
      <c r="E836" s="38">
        <v>829.71400000000006</v>
      </c>
      <c r="F836" s="32">
        <v>1239</v>
      </c>
      <c r="G836" s="32">
        <v>100</v>
      </c>
      <c r="H836" s="40">
        <v>600</v>
      </c>
      <c r="I836" s="32">
        <v>695</v>
      </c>
      <c r="J836" s="32">
        <v>50</v>
      </c>
      <c r="K836" s="33"/>
      <c r="L836" s="33"/>
      <c r="M836" s="33"/>
      <c r="N836" s="33"/>
      <c r="O836" s="33"/>
      <c r="P836" s="33"/>
      <c r="Q836" s="33"/>
      <c r="R836" s="33"/>
      <c r="S836" s="33"/>
      <c r="T836" s="33"/>
    </row>
    <row r="837" spans="1:20" ht="15.75">
      <c r="A837" s="13">
        <v>67358</v>
      </c>
      <c r="B837" s="41">
        <f t="shared" si="4"/>
        <v>31</v>
      </c>
      <c r="C837" s="32">
        <v>194.20500000000001</v>
      </c>
      <c r="D837" s="32">
        <v>267.46600000000001</v>
      </c>
      <c r="E837" s="38">
        <v>812.32899999999995</v>
      </c>
      <c r="F837" s="32">
        <v>1274</v>
      </c>
      <c r="G837" s="32">
        <v>75</v>
      </c>
      <c r="H837" s="40">
        <v>600</v>
      </c>
      <c r="I837" s="32">
        <v>695</v>
      </c>
      <c r="J837" s="32">
        <v>50</v>
      </c>
      <c r="K837" s="33"/>
      <c r="L837" s="33"/>
      <c r="M837" s="33"/>
      <c r="N837" s="33"/>
      <c r="O837" s="33"/>
      <c r="P837" s="33"/>
      <c r="Q837" s="33"/>
      <c r="R837" s="33"/>
      <c r="S837" s="33"/>
      <c r="T837" s="33"/>
    </row>
    <row r="838" spans="1:20" ht="15.75">
      <c r="A838" s="13">
        <v>67388</v>
      </c>
      <c r="B838" s="41">
        <f t="shared" si="4"/>
        <v>30</v>
      </c>
      <c r="C838" s="32">
        <v>194.20500000000001</v>
      </c>
      <c r="D838" s="32">
        <v>267.46600000000001</v>
      </c>
      <c r="E838" s="38">
        <v>812.32899999999995</v>
      </c>
      <c r="F838" s="32">
        <v>1274</v>
      </c>
      <c r="G838" s="32">
        <v>50</v>
      </c>
      <c r="H838" s="40">
        <v>600</v>
      </c>
      <c r="I838" s="32">
        <v>695</v>
      </c>
      <c r="J838" s="32">
        <v>50</v>
      </c>
      <c r="K838" s="33"/>
      <c r="L838" s="33"/>
      <c r="M838" s="33"/>
      <c r="N838" s="33"/>
      <c r="O838" s="33"/>
      <c r="P838" s="33"/>
      <c r="Q838" s="33"/>
      <c r="R838" s="33"/>
      <c r="S838" s="33"/>
      <c r="T838" s="33"/>
    </row>
    <row r="839" spans="1:20" ht="15.75">
      <c r="A839" s="13">
        <v>67419</v>
      </c>
      <c r="B839" s="41">
        <f t="shared" si="4"/>
        <v>31</v>
      </c>
      <c r="C839" s="32">
        <v>194.20500000000001</v>
      </c>
      <c r="D839" s="32">
        <v>267.46600000000001</v>
      </c>
      <c r="E839" s="38">
        <v>812.32899999999995</v>
      </c>
      <c r="F839" s="32">
        <v>1274</v>
      </c>
      <c r="G839" s="32">
        <v>50</v>
      </c>
      <c r="H839" s="40">
        <v>600</v>
      </c>
      <c r="I839" s="32">
        <v>695</v>
      </c>
      <c r="J839" s="32">
        <v>0</v>
      </c>
      <c r="K839" s="33"/>
      <c r="L839" s="33"/>
      <c r="M839" s="33"/>
      <c r="N839" s="33"/>
      <c r="O839" s="33"/>
      <c r="P839" s="33"/>
      <c r="Q839" s="33"/>
      <c r="R839" s="33"/>
      <c r="S839" s="33"/>
      <c r="T839" s="33"/>
    </row>
    <row r="840" spans="1:20" ht="15.75">
      <c r="A840" s="13">
        <v>67450</v>
      </c>
      <c r="B840" s="41">
        <f t="shared" si="4"/>
        <v>31</v>
      </c>
      <c r="C840" s="32">
        <v>194.20500000000001</v>
      </c>
      <c r="D840" s="32">
        <v>267.46600000000001</v>
      </c>
      <c r="E840" s="38">
        <v>812.32899999999995</v>
      </c>
      <c r="F840" s="32">
        <v>1274</v>
      </c>
      <c r="G840" s="32">
        <v>50</v>
      </c>
      <c r="H840" s="40">
        <v>600</v>
      </c>
      <c r="I840" s="32">
        <v>695</v>
      </c>
      <c r="J840" s="32">
        <v>0</v>
      </c>
      <c r="K840" s="33"/>
      <c r="L840" s="33"/>
      <c r="M840" s="33"/>
      <c r="N840" s="33"/>
      <c r="O840" s="33"/>
      <c r="P840" s="33"/>
      <c r="Q840" s="33"/>
      <c r="R840" s="33"/>
      <c r="S840" s="33"/>
      <c r="T840" s="33"/>
    </row>
    <row r="841" spans="1:20" ht="15.75">
      <c r="A841" s="13">
        <v>67480</v>
      </c>
      <c r="B841" s="41">
        <f t="shared" si="4"/>
        <v>30</v>
      </c>
      <c r="C841" s="32">
        <v>194.20500000000001</v>
      </c>
      <c r="D841" s="32">
        <v>267.46600000000001</v>
      </c>
      <c r="E841" s="38">
        <v>812.32899999999995</v>
      </c>
      <c r="F841" s="32">
        <v>1274</v>
      </c>
      <c r="G841" s="32">
        <v>50</v>
      </c>
      <c r="H841" s="40">
        <v>600</v>
      </c>
      <c r="I841" s="32">
        <v>695</v>
      </c>
      <c r="J841" s="32">
        <v>0</v>
      </c>
      <c r="K841" s="33"/>
      <c r="L841" s="33"/>
      <c r="M841" s="33"/>
      <c r="N841" s="33"/>
      <c r="O841" s="33"/>
      <c r="P841" s="33"/>
      <c r="Q841" s="33"/>
      <c r="R841" s="33"/>
      <c r="S841" s="33"/>
      <c r="T841" s="33"/>
    </row>
    <row r="842" spans="1:20" ht="15.75">
      <c r="A842" s="13">
        <v>67511</v>
      </c>
      <c r="B842" s="41">
        <f t="shared" si="4"/>
        <v>31</v>
      </c>
      <c r="C842" s="32">
        <v>131.881</v>
      </c>
      <c r="D842" s="32">
        <v>277.16699999999997</v>
      </c>
      <c r="E842" s="38">
        <v>829.952</v>
      </c>
      <c r="F842" s="32">
        <v>1239</v>
      </c>
      <c r="G842" s="32">
        <v>75</v>
      </c>
      <c r="H842" s="40">
        <v>600</v>
      </c>
      <c r="I842" s="32">
        <v>695</v>
      </c>
      <c r="J842" s="32">
        <v>0</v>
      </c>
      <c r="K842" s="33"/>
      <c r="L842" s="33"/>
      <c r="M842" s="33"/>
      <c r="N842" s="33"/>
      <c r="O842" s="33"/>
      <c r="P842" s="33"/>
      <c r="Q842" s="33"/>
      <c r="R842" s="33"/>
      <c r="S842" s="33"/>
      <c r="T842" s="33"/>
    </row>
    <row r="843" spans="1:20" ht="15.75">
      <c r="A843" s="13">
        <v>67541</v>
      </c>
      <c r="B843" s="41">
        <f t="shared" si="4"/>
        <v>30</v>
      </c>
      <c r="C843" s="32">
        <v>122.58</v>
      </c>
      <c r="D843" s="32">
        <v>297.94099999999997</v>
      </c>
      <c r="E843" s="38">
        <v>729.47900000000004</v>
      </c>
      <c r="F843" s="32">
        <v>1150</v>
      </c>
      <c r="G843" s="32">
        <v>100</v>
      </c>
      <c r="H843" s="40">
        <v>600</v>
      </c>
      <c r="I843" s="32">
        <v>695</v>
      </c>
      <c r="J843" s="32">
        <v>50</v>
      </c>
      <c r="K843" s="33"/>
      <c r="L843" s="33"/>
      <c r="M843" s="33"/>
      <c r="N843" s="33"/>
      <c r="O843" s="33"/>
      <c r="P843" s="33"/>
      <c r="Q843" s="33"/>
      <c r="R843" s="33"/>
      <c r="S843" s="33"/>
      <c r="T843" s="33"/>
    </row>
    <row r="844" spans="1:20" ht="15.75">
      <c r="A844" s="13">
        <v>67572</v>
      </c>
      <c r="B844" s="41">
        <f t="shared" si="4"/>
        <v>31</v>
      </c>
      <c r="C844" s="32">
        <v>122.58</v>
      </c>
      <c r="D844" s="32">
        <v>297.94099999999997</v>
      </c>
      <c r="E844" s="38">
        <v>729.47900000000004</v>
      </c>
      <c r="F844" s="32">
        <v>1150</v>
      </c>
      <c r="G844" s="32">
        <v>100</v>
      </c>
      <c r="H844" s="40">
        <v>600</v>
      </c>
      <c r="I844" s="32">
        <v>695</v>
      </c>
      <c r="J844" s="32">
        <v>50</v>
      </c>
      <c r="K844" s="33"/>
      <c r="L844" s="33"/>
      <c r="M844" s="33"/>
      <c r="N844" s="33"/>
      <c r="O844" s="33"/>
      <c r="P844" s="33"/>
      <c r="Q844" s="33"/>
      <c r="R844" s="33"/>
      <c r="S844" s="33"/>
      <c r="T844" s="33"/>
    </row>
    <row r="845" spans="1:20" ht="15.75">
      <c r="A845" s="13">
        <v>67603</v>
      </c>
      <c r="B845" s="41">
        <f t="shared" si="4"/>
        <v>31</v>
      </c>
      <c r="C845" s="32">
        <v>122.58</v>
      </c>
      <c r="D845" s="32">
        <v>297.94099999999997</v>
      </c>
      <c r="E845" s="38">
        <v>729.47900000000004</v>
      </c>
      <c r="F845" s="32">
        <v>1150</v>
      </c>
      <c r="G845" s="32">
        <v>100</v>
      </c>
      <c r="H845" s="40">
        <v>600</v>
      </c>
      <c r="I845" s="32">
        <v>695</v>
      </c>
      <c r="J845" s="32">
        <v>50</v>
      </c>
      <c r="K845" s="33"/>
      <c r="L845" s="33"/>
      <c r="M845" s="33"/>
      <c r="N845" s="33"/>
      <c r="O845" s="33"/>
      <c r="P845" s="33"/>
      <c r="Q845" s="33"/>
      <c r="R845" s="33"/>
      <c r="S845" s="33"/>
      <c r="T845" s="33"/>
    </row>
    <row r="846" spans="1:20" ht="15.75">
      <c r="A846" s="13">
        <v>67631</v>
      </c>
      <c r="B846" s="41">
        <f t="shared" si="4"/>
        <v>28</v>
      </c>
      <c r="C846" s="32">
        <v>122.58</v>
      </c>
      <c r="D846" s="32">
        <v>297.94099999999997</v>
      </c>
      <c r="E846" s="38">
        <v>729.47900000000004</v>
      </c>
      <c r="F846" s="32">
        <v>1150</v>
      </c>
      <c r="G846" s="32">
        <v>100</v>
      </c>
      <c r="H846" s="40">
        <v>600</v>
      </c>
      <c r="I846" s="32">
        <v>695</v>
      </c>
      <c r="J846" s="32">
        <v>50</v>
      </c>
      <c r="K846" s="33"/>
      <c r="L846" s="33"/>
      <c r="M846" s="33"/>
      <c r="N846" s="33"/>
      <c r="O846" s="33"/>
      <c r="P846" s="33"/>
      <c r="Q846" s="33"/>
      <c r="R846" s="33"/>
      <c r="S846" s="33"/>
      <c r="T846" s="33"/>
    </row>
    <row r="847" spans="1:20" ht="15.75">
      <c r="A847" s="13">
        <v>67662</v>
      </c>
      <c r="B847" s="41">
        <f t="shared" si="4"/>
        <v>31</v>
      </c>
      <c r="C847" s="32">
        <v>122.58</v>
      </c>
      <c r="D847" s="32">
        <v>297.94099999999997</v>
      </c>
      <c r="E847" s="38">
        <v>729.47900000000004</v>
      </c>
      <c r="F847" s="32">
        <v>1150</v>
      </c>
      <c r="G847" s="32">
        <v>100</v>
      </c>
      <c r="H847" s="40">
        <v>600</v>
      </c>
      <c r="I847" s="32">
        <v>695</v>
      </c>
      <c r="J847" s="32">
        <v>50</v>
      </c>
      <c r="K847" s="33"/>
      <c r="L847" s="33"/>
      <c r="M847" s="33"/>
      <c r="N847" s="33"/>
      <c r="O847" s="33"/>
      <c r="P847" s="33"/>
      <c r="Q847" s="33"/>
      <c r="R847" s="33"/>
      <c r="S847" s="33"/>
      <c r="T847" s="33"/>
    </row>
    <row r="848" spans="1:20" ht="15.75">
      <c r="A848" s="13">
        <v>67692</v>
      </c>
      <c r="B848" s="41">
        <f t="shared" si="4"/>
        <v>30</v>
      </c>
      <c r="C848" s="32">
        <v>141.29300000000001</v>
      </c>
      <c r="D848" s="32">
        <v>267.99299999999999</v>
      </c>
      <c r="E848" s="38">
        <v>829.71400000000006</v>
      </c>
      <c r="F848" s="32">
        <v>1239</v>
      </c>
      <c r="G848" s="32">
        <v>100</v>
      </c>
      <c r="H848" s="40">
        <v>600</v>
      </c>
      <c r="I848" s="32">
        <v>695</v>
      </c>
      <c r="J848" s="32">
        <v>50</v>
      </c>
      <c r="K848" s="33"/>
      <c r="L848" s="33"/>
      <c r="M848" s="33"/>
      <c r="N848" s="33"/>
      <c r="O848" s="33"/>
      <c r="P848" s="33"/>
      <c r="Q848" s="33"/>
      <c r="R848" s="33"/>
      <c r="S848" s="33"/>
      <c r="T848" s="33"/>
    </row>
    <row r="849" spans="1:20" ht="15.75">
      <c r="A849" s="13">
        <v>67723</v>
      </c>
      <c r="B849" s="41">
        <f t="shared" si="4"/>
        <v>31</v>
      </c>
      <c r="C849" s="32">
        <v>194.20500000000001</v>
      </c>
      <c r="D849" s="32">
        <v>267.46600000000001</v>
      </c>
      <c r="E849" s="38">
        <v>812.32899999999995</v>
      </c>
      <c r="F849" s="32">
        <v>1274</v>
      </c>
      <c r="G849" s="32">
        <v>75</v>
      </c>
      <c r="H849" s="40">
        <v>600</v>
      </c>
      <c r="I849" s="32">
        <v>695</v>
      </c>
      <c r="J849" s="32">
        <v>50</v>
      </c>
      <c r="K849" s="33"/>
      <c r="L849" s="33"/>
      <c r="M849" s="33"/>
      <c r="N849" s="33"/>
      <c r="O849" s="33"/>
      <c r="P849" s="33"/>
      <c r="Q849" s="33"/>
      <c r="R849" s="33"/>
      <c r="S849" s="33"/>
      <c r="T849" s="33"/>
    </row>
    <row r="850" spans="1:20" ht="15.75">
      <c r="A850" s="13">
        <v>67753</v>
      </c>
      <c r="B850" s="41">
        <f t="shared" si="4"/>
        <v>30</v>
      </c>
      <c r="C850" s="32">
        <v>194.20500000000001</v>
      </c>
      <c r="D850" s="32">
        <v>267.46600000000001</v>
      </c>
      <c r="E850" s="38">
        <v>812.32899999999995</v>
      </c>
      <c r="F850" s="32">
        <v>1274</v>
      </c>
      <c r="G850" s="32">
        <v>50</v>
      </c>
      <c r="H850" s="40">
        <v>600</v>
      </c>
      <c r="I850" s="32">
        <v>695</v>
      </c>
      <c r="J850" s="32">
        <v>50</v>
      </c>
      <c r="K850" s="33"/>
      <c r="L850" s="33"/>
      <c r="M850" s="33"/>
      <c r="N850" s="33"/>
      <c r="O850" s="33"/>
      <c r="P850" s="33"/>
      <c r="Q850" s="33"/>
      <c r="R850" s="33"/>
      <c r="S850" s="33"/>
      <c r="T850" s="33"/>
    </row>
    <row r="851" spans="1:20" ht="15.75">
      <c r="A851" s="13">
        <v>67784</v>
      </c>
      <c r="B851" s="41">
        <f t="shared" si="4"/>
        <v>31</v>
      </c>
      <c r="C851" s="32">
        <v>194.20500000000001</v>
      </c>
      <c r="D851" s="32">
        <v>267.46600000000001</v>
      </c>
      <c r="E851" s="38">
        <v>812.32899999999995</v>
      </c>
      <c r="F851" s="32">
        <v>1274</v>
      </c>
      <c r="G851" s="32">
        <v>50</v>
      </c>
      <c r="H851" s="40">
        <v>600</v>
      </c>
      <c r="I851" s="32">
        <v>695</v>
      </c>
      <c r="J851" s="32">
        <v>0</v>
      </c>
      <c r="K851" s="33"/>
      <c r="L851" s="33"/>
      <c r="M851" s="33"/>
      <c r="N851" s="33"/>
      <c r="O851" s="33"/>
      <c r="P851" s="33"/>
      <c r="Q851" s="33"/>
      <c r="R851" s="33"/>
      <c r="S851" s="33"/>
      <c r="T851" s="33"/>
    </row>
    <row r="852" spans="1:20" ht="15.75">
      <c r="A852" s="13">
        <v>67815</v>
      </c>
      <c r="B852" s="41">
        <f t="shared" si="4"/>
        <v>31</v>
      </c>
      <c r="C852" s="32">
        <v>194.20500000000001</v>
      </c>
      <c r="D852" s="32">
        <v>267.46600000000001</v>
      </c>
      <c r="E852" s="38">
        <v>812.32899999999995</v>
      </c>
      <c r="F852" s="32">
        <v>1274</v>
      </c>
      <c r="G852" s="32">
        <v>50</v>
      </c>
      <c r="H852" s="40">
        <v>600</v>
      </c>
      <c r="I852" s="32">
        <v>695</v>
      </c>
      <c r="J852" s="32">
        <v>0</v>
      </c>
      <c r="K852" s="33"/>
      <c r="L852" s="33"/>
      <c r="M852" s="33"/>
      <c r="N852" s="33"/>
      <c r="O852" s="33"/>
      <c r="P852" s="33"/>
      <c r="Q852" s="33"/>
      <c r="R852" s="33"/>
      <c r="S852" s="33"/>
      <c r="T852" s="33"/>
    </row>
    <row r="853" spans="1:20" ht="15.75">
      <c r="A853" s="13">
        <v>67845</v>
      </c>
      <c r="B853" s="41">
        <f t="shared" si="4"/>
        <v>30</v>
      </c>
      <c r="C853" s="32">
        <v>194.20500000000001</v>
      </c>
      <c r="D853" s="32">
        <v>267.46600000000001</v>
      </c>
      <c r="E853" s="38">
        <v>812.32899999999995</v>
      </c>
      <c r="F853" s="32">
        <v>1274</v>
      </c>
      <c r="G853" s="32">
        <v>50</v>
      </c>
      <c r="H853" s="40">
        <v>600</v>
      </c>
      <c r="I853" s="32">
        <v>695</v>
      </c>
      <c r="J853" s="32">
        <v>0</v>
      </c>
      <c r="K853" s="33"/>
      <c r="L853" s="33"/>
      <c r="M853" s="33"/>
      <c r="N853" s="33"/>
      <c r="O853" s="33"/>
      <c r="P853" s="33"/>
      <c r="Q853" s="33"/>
      <c r="R853" s="33"/>
      <c r="S853" s="33"/>
      <c r="T853" s="33"/>
    </row>
    <row r="854" spans="1:20" ht="15.75">
      <c r="A854" s="13">
        <v>67876</v>
      </c>
      <c r="B854" s="41">
        <f t="shared" si="4"/>
        <v>31</v>
      </c>
      <c r="C854" s="32">
        <v>131.881</v>
      </c>
      <c r="D854" s="32">
        <v>277.16699999999997</v>
      </c>
      <c r="E854" s="38">
        <v>829.952</v>
      </c>
      <c r="F854" s="32">
        <v>1239</v>
      </c>
      <c r="G854" s="32">
        <v>75</v>
      </c>
      <c r="H854" s="40">
        <v>600</v>
      </c>
      <c r="I854" s="32">
        <v>695</v>
      </c>
      <c r="J854" s="32">
        <v>0</v>
      </c>
      <c r="K854" s="33"/>
      <c r="L854" s="33"/>
      <c r="M854" s="33"/>
      <c r="N854" s="33"/>
      <c r="O854" s="33"/>
      <c r="P854" s="33"/>
      <c r="Q854" s="33"/>
      <c r="R854" s="33"/>
      <c r="S854" s="33"/>
      <c r="T854" s="33"/>
    </row>
    <row r="855" spans="1:20" ht="15.75">
      <c r="A855" s="13">
        <v>67906</v>
      </c>
      <c r="B855" s="41">
        <f t="shared" si="4"/>
        <v>30</v>
      </c>
      <c r="C855" s="32">
        <v>122.58</v>
      </c>
      <c r="D855" s="32">
        <v>297.94099999999997</v>
      </c>
      <c r="E855" s="38">
        <v>729.47900000000004</v>
      </c>
      <c r="F855" s="32">
        <v>1150</v>
      </c>
      <c r="G855" s="32">
        <v>100</v>
      </c>
      <c r="H855" s="40">
        <v>600</v>
      </c>
      <c r="I855" s="32">
        <v>695</v>
      </c>
      <c r="J855" s="32">
        <v>50</v>
      </c>
      <c r="K855" s="33"/>
      <c r="L855" s="33"/>
      <c r="M855" s="33"/>
      <c r="N855" s="33"/>
      <c r="O855" s="33"/>
      <c r="P855" s="33"/>
      <c r="Q855" s="33"/>
      <c r="R855" s="33"/>
      <c r="S855" s="33"/>
      <c r="T855" s="33"/>
    </row>
    <row r="856" spans="1:20" ht="15.75">
      <c r="A856" s="13">
        <v>67937</v>
      </c>
      <c r="B856" s="41">
        <f t="shared" si="4"/>
        <v>31</v>
      </c>
      <c r="C856" s="32">
        <v>122.58</v>
      </c>
      <c r="D856" s="32">
        <v>297.94099999999997</v>
      </c>
      <c r="E856" s="38">
        <v>729.47900000000004</v>
      </c>
      <c r="F856" s="32">
        <v>1150</v>
      </c>
      <c r="G856" s="32">
        <v>100</v>
      </c>
      <c r="H856" s="40">
        <v>600</v>
      </c>
      <c r="I856" s="32">
        <v>695</v>
      </c>
      <c r="J856" s="32">
        <v>50</v>
      </c>
      <c r="K856" s="33"/>
      <c r="L856" s="33"/>
      <c r="M856" s="33"/>
      <c r="N856" s="33"/>
      <c r="O856" s="33"/>
      <c r="P856" s="33"/>
      <c r="Q856" s="33"/>
      <c r="R856" s="33"/>
      <c r="S856" s="33"/>
      <c r="T856" s="33"/>
    </row>
    <row r="857" spans="1:20" ht="15.75">
      <c r="A857" s="13">
        <v>67968</v>
      </c>
      <c r="B857" s="41">
        <f t="shared" si="4"/>
        <v>31</v>
      </c>
      <c r="C857" s="32">
        <v>122.58</v>
      </c>
      <c r="D857" s="32">
        <v>297.94099999999997</v>
      </c>
      <c r="E857" s="38">
        <v>729.47900000000004</v>
      </c>
      <c r="F857" s="32">
        <v>1150</v>
      </c>
      <c r="G857" s="32">
        <v>100</v>
      </c>
      <c r="H857" s="40">
        <v>600</v>
      </c>
      <c r="I857" s="32">
        <v>695</v>
      </c>
      <c r="J857" s="32">
        <v>50</v>
      </c>
      <c r="K857" s="33"/>
      <c r="L857" s="33"/>
      <c r="M857" s="33"/>
      <c r="N857" s="33"/>
      <c r="O857" s="33"/>
      <c r="P857" s="33"/>
      <c r="Q857" s="33"/>
      <c r="R857" s="33"/>
      <c r="S857" s="33"/>
      <c r="T857" s="33"/>
    </row>
    <row r="858" spans="1:20" ht="15.75">
      <c r="A858" s="13">
        <v>67996</v>
      </c>
      <c r="B858" s="41">
        <f t="shared" si="4"/>
        <v>28</v>
      </c>
      <c r="C858" s="32">
        <v>122.58</v>
      </c>
      <c r="D858" s="32">
        <v>297.94099999999997</v>
      </c>
      <c r="E858" s="38">
        <v>729.47900000000004</v>
      </c>
      <c r="F858" s="32">
        <v>1150</v>
      </c>
      <c r="G858" s="32">
        <v>100</v>
      </c>
      <c r="H858" s="40">
        <v>600</v>
      </c>
      <c r="I858" s="32">
        <v>695</v>
      </c>
      <c r="J858" s="32">
        <v>50</v>
      </c>
      <c r="K858" s="33"/>
      <c r="L858" s="33"/>
      <c r="M858" s="33"/>
      <c r="N858" s="33"/>
      <c r="O858" s="33"/>
      <c r="P858" s="33"/>
      <c r="Q858" s="33"/>
      <c r="R858" s="33"/>
      <c r="S858" s="33"/>
      <c r="T858" s="33"/>
    </row>
    <row r="859" spans="1:20" ht="15.75">
      <c r="A859" s="13">
        <v>68027</v>
      </c>
      <c r="B859" s="41">
        <f t="shared" si="4"/>
        <v>31</v>
      </c>
      <c r="C859" s="32">
        <v>122.58</v>
      </c>
      <c r="D859" s="32">
        <v>297.94099999999997</v>
      </c>
      <c r="E859" s="38">
        <v>729.47900000000004</v>
      </c>
      <c r="F859" s="32">
        <v>1150</v>
      </c>
      <c r="G859" s="32">
        <v>100</v>
      </c>
      <c r="H859" s="40">
        <v>600</v>
      </c>
      <c r="I859" s="32">
        <v>695</v>
      </c>
      <c r="J859" s="32">
        <v>50</v>
      </c>
      <c r="K859" s="33"/>
      <c r="L859" s="33"/>
      <c r="M859" s="33"/>
      <c r="N859" s="33"/>
      <c r="O859" s="33"/>
      <c r="P859" s="33"/>
      <c r="Q859" s="33"/>
      <c r="R859" s="33"/>
      <c r="S859" s="33"/>
      <c r="T859" s="33"/>
    </row>
    <row r="860" spans="1:20" ht="15.75">
      <c r="A860" s="13">
        <v>68057</v>
      </c>
      <c r="B860" s="41">
        <f t="shared" si="4"/>
        <v>30</v>
      </c>
      <c r="C860" s="32">
        <v>141.29300000000001</v>
      </c>
      <c r="D860" s="32">
        <v>267.99299999999999</v>
      </c>
      <c r="E860" s="38">
        <v>829.71400000000006</v>
      </c>
      <c r="F860" s="32">
        <v>1239</v>
      </c>
      <c r="G860" s="32">
        <v>100</v>
      </c>
      <c r="H860" s="40">
        <v>600</v>
      </c>
      <c r="I860" s="32">
        <v>695</v>
      </c>
      <c r="J860" s="32">
        <v>50</v>
      </c>
      <c r="K860" s="33"/>
      <c r="L860" s="33"/>
      <c r="M860" s="33"/>
      <c r="N860" s="33"/>
      <c r="O860" s="33"/>
      <c r="P860" s="33"/>
      <c r="Q860" s="33"/>
      <c r="R860" s="33"/>
      <c r="S860" s="33"/>
      <c r="T860" s="33"/>
    </row>
    <row r="861" spans="1:20" ht="15.75">
      <c r="A861" s="13">
        <v>68088</v>
      </c>
      <c r="B861" s="41">
        <f t="shared" si="4"/>
        <v>31</v>
      </c>
      <c r="C861" s="32">
        <v>194.20500000000001</v>
      </c>
      <c r="D861" s="32">
        <v>267.46600000000001</v>
      </c>
      <c r="E861" s="38">
        <v>812.32899999999995</v>
      </c>
      <c r="F861" s="32">
        <v>1274</v>
      </c>
      <c r="G861" s="32">
        <v>75</v>
      </c>
      <c r="H861" s="40">
        <v>600</v>
      </c>
      <c r="I861" s="32">
        <v>695</v>
      </c>
      <c r="J861" s="32">
        <v>50</v>
      </c>
      <c r="K861" s="33"/>
      <c r="L861" s="33"/>
      <c r="M861" s="33"/>
      <c r="N861" s="33"/>
      <c r="O861" s="33"/>
      <c r="P861" s="33"/>
      <c r="Q861" s="33"/>
      <c r="R861" s="33"/>
      <c r="S861" s="33"/>
      <c r="T861" s="33"/>
    </row>
    <row r="862" spans="1:20" ht="15.75">
      <c r="A862" s="13">
        <v>68118</v>
      </c>
      <c r="B862" s="41">
        <f t="shared" si="4"/>
        <v>30</v>
      </c>
      <c r="C862" s="32">
        <v>194.20500000000001</v>
      </c>
      <c r="D862" s="32">
        <v>267.46600000000001</v>
      </c>
      <c r="E862" s="38">
        <v>812.32899999999995</v>
      </c>
      <c r="F862" s="32">
        <v>1274</v>
      </c>
      <c r="G862" s="32">
        <v>50</v>
      </c>
      <c r="H862" s="40">
        <v>600</v>
      </c>
      <c r="I862" s="32">
        <v>695</v>
      </c>
      <c r="J862" s="32">
        <v>50</v>
      </c>
      <c r="K862" s="33"/>
      <c r="L862" s="33"/>
      <c r="M862" s="33"/>
      <c r="N862" s="33"/>
      <c r="O862" s="33"/>
      <c r="P862" s="33"/>
      <c r="Q862" s="33"/>
      <c r="R862" s="33"/>
      <c r="S862" s="33"/>
      <c r="T862" s="33"/>
    </row>
    <row r="863" spans="1:20" ht="15.75">
      <c r="A863" s="13">
        <v>68149</v>
      </c>
      <c r="B863" s="41">
        <f t="shared" si="4"/>
        <v>31</v>
      </c>
      <c r="C863" s="32">
        <v>194.20500000000001</v>
      </c>
      <c r="D863" s="32">
        <v>267.46600000000001</v>
      </c>
      <c r="E863" s="38">
        <v>812.32899999999995</v>
      </c>
      <c r="F863" s="32">
        <v>1274</v>
      </c>
      <c r="G863" s="32">
        <v>50</v>
      </c>
      <c r="H863" s="40">
        <v>600</v>
      </c>
      <c r="I863" s="32">
        <v>695</v>
      </c>
      <c r="J863" s="32">
        <v>0</v>
      </c>
      <c r="K863" s="33"/>
      <c r="L863" s="33"/>
      <c r="M863" s="33"/>
      <c r="N863" s="33"/>
      <c r="O863" s="33"/>
      <c r="P863" s="33"/>
      <c r="Q863" s="33"/>
      <c r="R863" s="33"/>
      <c r="S863" s="33"/>
      <c r="T863" s="33"/>
    </row>
    <row r="864" spans="1:20" ht="15.75">
      <c r="A864" s="13">
        <v>68180</v>
      </c>
      <c r="B864" s="41">
        <f t="shared" si="4"/>
        <v>31</v>
      </c>
      <c r="C864" s="32">
        <v>194.20500000000001</v>
      </c>
      <c r="D864" s="32">
        <v>267.46600000000001</v>
      </c>
      <c r="E864" s="38">
        <v>812.32899999999995</v>
      </c>
      <c r="F864" s="32">
        <v>1274</v>
      </c>
      <c r="G864" s="32">
        <v>50</v>
      </c>
      <c r="H864" s="40">
        <v>600</v>
      </c>
      <c r="I864" s="32">
        <v>695</v>
      </c>
      <c r="J864" s="32">
        <v>0</v>
      </c>
      <c r="K864" s="33"/>
      <c r="L864" s="33"/>
      <c r="M864" s="33"/>
      <c r="N864" s="33"/>
      <c r="O864" s="33"/>
      <c r="P864" s="33"/>
      <c r="Q864" s="33"/>
      <c r="R864" s="33"/>
      <c r="S864" s="33"/>
      <c r="T864" s="33"/>
    </row>
    <row r="865" spans="1:20" ht="15.75">
      <c r="A865" s="13">
        <v>68210</v>
      </c>
      <c r="B865" s="41">
        <f t="shared" si="4"/>
        <v>30</v>
      </c>
      <c r="C865" s="32">
        <v>194.20500000000001</v>
      </c>
      <c r="D865" s="32">
        <v>267.46600000000001</v>
      </c>
      <c r="E865" s="38">
        <v>812.32899999999995</v>
      </c>
      <c r="F865" s="32">
        <v>1274</v>
      </c>
      <c r="G865" s="32">
        <v>50</v>
      </c>
      <c r="H865" s="40">
        <v>600</v>
      </c>
      <c r="I865" s="32">
        <v>695</v>
      </c>
      <c r="J865" s="32">
        <v>0</v>
      </c>
      <c r="K865" s="33"/>
      <c r="L865" s="33"/>
      <c r="M865" s="33"/>
      <c r="N865" s="33"/>
      <c r="O865" s="33"/>
      <c r="P865" s="33"/>
      <c r="Q865" s="33"/>
      <c r="R865" s="33"/>
      <c r="S865" s="33"/>
      <c r="T865" s="33"/>
    </row>
    <row r="866" spans="1:20" ht="15.75">
      <c r="A866" s="13">
        <v>68241</v>
      </c>
      <c r="B866" s="41">
        <f t="shared" si="4"/>
        <v>31</v>
      </c>
      <c r="C866" s="32">
        <v>131.881</v>
      </c>
      <c r="D866" s="32">
        <v>277.16699999999997</v>
      </c>
      <c r="E866" s="38">
        <v>829.952</v>
      </c>
      <c r="F866" s="32">
        <v>1239</v>
      </c>
      <c r="G866" s="32">
        <v>75</v>
      </c>
      <c r="H866" s="40">
        <v>600</v>
      </c>
      <c r="I866" s="32">
        <v>695</v>
      </c>
      <c r="J866" s="32">
        <v>0</v>
      </c>
      <c r="K866" s="33"/>
      <c r="L866" s="33"/>
      <c r="M866" s="33"/>
      <c r="N866" s="33"/>
      <c r="O866" s="33"/>
      <c r="P866" s="33"/>
      <c r="Q866" s="33"/>
      <c r="R866" s="33"/>
      <c r="S866" s="33"/>
      <c r="T866" s="33"/>
    </row>
    <row r="867" spans="1:20" ht="15.75">
      <c r="A867" s="13">
        <v>68271</v>
      </c>
      <c r="B867" s="41">
        <f t="shared" si="4"/>
        <v>30</v>
      </c>
      <c r="C867" s="32">
        <v>122.58</v>
      </c>
      <c r="D867" s="32">
        <v>297.94099999999997</v>
      </c>
      <c r="E867" s="38">
        <v>729.47900000000004</v>
      </c>
      <c r="F867" s="32">
        <v>1150</v>
      </c>
      <c r="G867" s="32">
        <v>100</v>
      </c>
      <c r="H867" s="40">
        <v>600</v>
      </c>
      <c r="I867" s="32">
        <v>695</v>
      </c>
      <c r="J867" s="32">
        <v>50</v>
      </c>
      <c r="K867" s="33"/>
      <c r="L867" s="33"/>
      <c r="M867" s="33"/>
      <c r="N867" s="33"/>
      <c r="O867" s="33"/>
      <c r="P867" s="33"/>
      <c r="Q867" s="33"/>
      <c r="R867" s="33"/>
      <c r="S867" s="33"/>
      <c r="T867" s="33"/>
    </row>
    <row r="868" spans="1:20" ht="15.75">
      <c r="A868" s="13">
        <v>68302</v>
      </c>
      <c r="B868" s="41">
        <f t="shared" si="4"/>
        <v>31</v>
      </c>
      <c r="C868" s="32">
        <v>122.58</v>
      </c>
      <c r="D868" s="32">
        <v>297.94099999999997</v>
      </c>
      <c r="E868" s="38">
        <v>729.47900000000004</v>
      </c>
      <c r="F868" s="32">
        <v>1150</v>
      </c>
      <c r="G868" s="32">
        <v>100</v>
      </c>
      <c r="H868" s="40">
        <v>600</v>
      </c>
      <c r="I868" s="32">
        <v>695</v>
      </c>
      <c r="J868" s="32">
        <v>50</v>
      </c>
      <c r="K868" s="33"/>
      <c r="L868" s="33"/>
      <c r="M868" s="33"/>
      <c r="N868" s="33"/>
      <c r="O868" s="33"/>
      <c r="P868" s="33"/>
      <c r="Q868" s="33"/>
      <c r="R868" s="33"/>
      <c r="S868" s="33"/>
      <c r="T868" s="33"/>
    </row>
    <row r="869" spans="1:20" ht="15.75">
      <c r="A869" s="13">
        <v>68333</v>
      </c>
      <c r="B869" s="41">
        <f t="shared" si="4"/>
        <v>31</v>
      </c>
      <c r="C869" s="32">
        <v>122.58</v>
      </c>
      <c r="D869" s="32">
        <v>297.94099999999997</v>
      </c>
      <c r="E869" s="38">
        <v>729.47900000000004</v>
      </c>
      <c r="F869" s="32">
        <v>1150</v>
      </c>
      <c r="G869" s="32">
        <v>100</v>
      </c>
      <c r="H869" s="40">
        <v>600</v>
      </c>
      <c r="I869" s="32">
        <v>695</v>
      </c>
      <c r="J869" s="32">
        <v>50</v>
      </c>
      <c r="K869" s="33"/>
      <c r="L869" s="33"/>
      <c r="M869" s="33"/>
      <c r="N869" s="33"/>
      <c r="O869" s="33"/>
      <c r="P869" s="33"/>
      <c r="Q869" s="33"/>
      <c r="R869" s="33"/>
      <c r="S869" s="33"/>
      <c r="T869" s="33"/>
    </row>
    <row r="870" spans="1:20" ht="15.75">
      <c r="A870" s="13">
        <v>68361</v>
      </c>
      <c r="B870" s="41">
        <f t="shared" si="4"/>
        <v>28</v>
      </c>
      <c r="C870" s="32">
        <v>122.58</v>
      </c>
      <c r="D870" s="32">
        <v>297.94099999999997</v>
      </c>
      <c r="E870" s="38">
        <v>729.47900000000004</v>
      </c>
      <c r="F870" s="32">
        <v>1150</v>
      </c>
      <c r="G870" s="32">
        <v>100</v>
      </c>
      <c r="H870" s="40">
        <v>600</v>
      </c>
      <c r="I870" s="32">
        <v>695</v>
      </c>
      <c r="J870" s="32">
        <v>50</v>
      </c>
      <c r="K870" s="33"/>
      <c r="L870" s="33"/>
      <c r="M870" s="33"/>
      <c r="N870" s="33"/>
      <c r="O870" s="33"/>
      <c r="P870" s="33"/>
      <c r="Q870" s="33"/>
      <c r="R870" s="33"/>
      <c r="S870" s="33"/>
      <c r="T870" s="33"/>
    </row>
    <row r="871" spans="1:20" ht="15.75">
      <c r="A871" s="13">
        <v>68392</v>
      </c>
      <c r="B871" s="41">
        <f t="shared" si="4"/>
        <v>31</v>
      </c>
      <c r="C871" s="32">
        <v>122.58</v>
      </c>
      <c r="D871" s="32">
        <v>297.94099999999997</v>
      </c>
      <c r="E871" s="38">
        <v>729.47900000000004</v>
      </c>
      <c r="F871" s="32">
        <v>1150</v>
      </c>
      <c r="G871" s="32">
        <v>100</v>
      </c>
      <c r="H871" s="40">
        <v>600</v>
      </c>
      <c r="I871" s="32">
        <v>695</v>
      </c>
      <c r="J871" s="32">
        <v>50</v>
      </c>
      <c r="K871" s="33"/>
      <c r="L871" s="33"/>
      <c r="M871" s="33"/>
      <c r="N871" s="33"/>
      <c r="O871" s="33"/>
      <c r="P871" s="33"/>
      <c r="Q871" s="33"/>
      <c r="R871" s="33"/>
      <c r="S871" s="33"/>
      <c r="T871" s="33"/>
    </row>
    <row r="872" spans="1:20" ht="15.75">
      <c r="A872" s="13">
        <v>68422</v>
      </c>
      <c r="B872" s="41">
        <f t="shared" si="4"/>
        <v>30</v>
      </c>
      <c r="C872" s="32">
        <v>141.29300000000001</v>
      </c>
      <c r="D872" s="32">
        <v>267.99299999999999</v>
      </c>
      <c r="E872" s="38">
        <v>829.71400000000006</v>
      </c>
      <c r="F872" s="32">
        <v>1239</v>
      </c>
      <c r="G872" s="32">
        <v>100</v>
      </c>
      <c r="H872" s="40">
        <v>600</v>
      </c>
      <c r="I872" s="32">
        <v>695</v>
      </c>
      <c r="J872" s="32">
        <v>50</v>
      </c>
      <c r="K872" s="33"/>
      <c r="L872" s="33"/>
      <c r="M872" s="33"/>
      <c r="N872" s="33"/>
      <c r="O872" s="33"/>
      <c r="P872" s="33"/>
      <c r="Q872" s="33"/>
      <c r="R872" s="33"/>
      <c r="S872" s="33"/>
      <c r="T872" s="33"/>
    </row>
    <row r="873" spans="1:20" ht="15.75">
      <c r="A873" s="13">
        <v>68453</v>
      </c>
      <c r="B873" s="41">
        <f t="shared" si="4"/>
        <v>31</v>
      </c>
      <c r="C873" s="32">
        <v>194.20500000000001</v>
      </c>
      <c r="D873" s="32">
        <v>267.46600000000001</v>
      </c>
      <c r="E873" s="38">
        <v>812.32899999999995</v>
      </c>
      <c r="F873" s="32">
        <v>1274</v>
      </c>
      <c r="G873" s="32">
        <v>75</v>
      </c>
      <c r="H873" s="40">
        <v>600</v>
      </c>
      <c r="I873" s="32">
        <v>695</v>
      </c>
      <c r="J873" s="32">
        <v>50</v>
      </c>
      <c r="K873" s="33"/>
      <c r="L873" s="33"/>
      <c r="M873" s="33"/>
      <c r="N873" s="33"/>
      <c r="O873" s="33"/>
      <c r="P873" s="33"/>
      <c r="Q873" s="33"/>
      <c r="R873" s="33"/>
      <c r="S873" s="33"/>
      <c r="T873" s="33"/>
    </row>
    <row r="874" spans="1:20" ht="15.75">
      <c r="A874" s="13">
        <v>68483</v>
      </c>
      <c r="B874" s="41">
        <f t="shared" si="4"/>
        <v>30</v>
      </c>
      <c r="C874" s="32">
        <v>194.20500000000001</v>
      </c>
      <c r="D874" s="32">
        <v>267.46600000000001</v>
      </c>
      <c r="E874" s="38">
        <v>812.32899999999995</v>
      </c>
      <c r="F874" s="32">
        <v>1274</v>
      </c>
      <c r="G874" s="32">
        <v>50</v>
      </c>
      <c r="H874" s="40">
        <v>600</v>
      </c>
      <c r="I874" s="32">
        <v>695</v>
      </c>
      <c r="J874" s="32">
        <v>50</v>
      </c>
      <c r="K874" s="33"/>
      <c r="L874" s="33"/>
      <c r="M874" s="33"/>
      <c r="N874" s="33"/>
      <c r="O874" s="33"/>
      <c r="P874" s="33"/>
      <c r="Q874" s="33"/>
      <c r="R874" s="33"/>
      <c r="S874" s="33"/>
      <c r="T874" s="33"/>
    </row>
    <row r="875" spans="1:20" ht="15.75">
      <c r="A875" s="13">
        <v>68514</v>
      </c>
      <c r="B875" s="41">
        <f t="shared" si="4"/>
        <v>31</v>
      </c>
      <c r="C875" s="32">
        <v>194.20500000000001</v>
      </c>
      <c r="D875" s="32">
        <v>267.46600000000001</v>
      </c>
      <c r="E875" s="38">
        <v>812.32899999999995</v>
      </c>
      <c r="F875" s="32">
        <v>1274</v>
      </c>
      <c r="G875" s="32">
        <v>50</v>
      </c>
      <c r="H875" s="40">
        <v>600</v>
      </c>
      <c r="I875" s="32">
        <v>695</v>
      </c>
      <c r="J875" s="32">
        <v>0</v>
      </c>
      <c r="K875" s="33"/>
      <c r="L875" s="33"/>
      <c r="M875" s="33"/>
      <c r="N875" s="33"/>
      <c r="O875" s="33"/>
      <c r="P875" s="33"/>
      <c r="Q875" s="33"/>
      <c r="R875" s="33"/>
      <c r="S875" s="33"/>
      <c r="T875" s="33"/>
    </row>
    <row r="876" spans="1:20" ht="15.75">
      <c r="A876" s="13">
        <v>68545</v>
      </c>
      <c r="B876" s="41">
        <f t="shared" si="4"/>
        <v>31</v>
      </c>
      <c r="C876" s="32">
        <v>194.20500000000001</v>
      </c>
      <c r="D876" s="32">
        <v>267.46600000000001</v>
      </c>
      <c r="E876" s="38">
        <v>812.32899999999995</v>
      </c>
      <c r="F876" s="32">
        <v>1274</v>
      </c>
      <c r="G876" s="32">
        <v>50</v>
      </c>
      <c r="H876" s="40">
        <v>600</v>
      </c>
      <c r="I876" s="32">
        <v>695</v>
      </c>
      <c r="J876" s="32">
        <v>0</v>
      </c>
      <c r="K876" s="33"/>
      <c r="L876" s="33"/>
      <c r="M876" s="33"/>
      <c r="N876" s="33"/>
      <c r="O876" s="33"/>
      <c r="P876" s="33"/>
      <c r="Q876" s="33"/>
      <c r="R876" s="33"/>
      <c r="S876" s="33"/>
      <c r="T876" s="33"/>
    </row>
    <row r="877" spans="1:20" ht="15.75">
      <c r="A877" s="13">
        <v>68575</v>
      </c>
      <c r="B877" s="41">
        <f t="shared" si="4"/>
        <v>30</v>
      </c>
      <c r="C877" s="32">
        <v>194.20500000000001</v>
      </c>
      <c r="D877" s="32">
        <v>267.46600000000001</v>
      </c>
      <c r="E877" s="38">
        <v>812.32899999999995</v>
      </c>
      <c r="F877" s="32">
        <v>1274</v>
      </c>
      <c r="G877" s="32">
        <v>50</v>
      </c>
      <c r="H877" s="40">
        <v>600</v>
      </c>
      <c r="I877" s="32">
        <v>695</v>
      </c>
      <c r="J877" s="32">
        <v>0</v>
      </c>
      <c r="K877" s="33"/>
      <c r="L877" s="33"/>
      <c r="M877" s="33"/>
      <c r="N877" s="33"/>
      <c r="O877" s="33"/>
      <c r="P877" s="33"/>
      <c r="Q877" s="33"/>
      <c r="R877" s="33"/>
      <c r="S877" s="33"/>
      <c r="T877" s="33"/>
    </row>
    <row r="878" spans="1:20" ht="15.75">
      <c r="A878" s="13">
        <v>68606</v>
      </c>
      <c r="B878" s="41">
        <f t="shared" si="4"/>
        <v>31</v>
      </c>
      <c r="C878" s="32">
        <v>131.881</v>
      </c>
      <c r="D878" s="32">
        <v>277.16699999999997</v>
      </c>
      <c r="E878" s="38">
        <v>829.952</v>
      </c>
      <c r="F878" s="32">
        <v>1239</v>
      </c>
      <c r="G878" s="32">
        <v>75</v>
      </c>
      <c r="H878" s="40">
        <v>600</v>
      </c>
      <c r="I878" s="32">
        <v>695</v>
      </c>
      <c r="J878" s="32">
        <v>0</v>
      </c>
      <c r="K878" s="33"/>
      <c r="L878" s="33"/>
      <c r="M878" s="33"/>
      <c r="N878" s="33"/>
      <c r="O878" s="33"/>
      <c r="P878" s="33"/>
      <c r="Q878" s="33"/>
      <c r="R878" s="33"/>
      <c r="S878" s="33"/>
      <c r="T878" s="33"/>
    </row>
    <row r="879" spans="1:20" ht="15.75">
      <c r="A879" s="13">
        <v>68636</v>
      </c>
      <c r="B879" s="41">
        <f t="shared" si="4"/>
        <v>30</v>
      </c>
      <c r="C879" s="32">
        <v>122.58</v>
      </c>
      <c r="D879" s="32">
        <v>297.94099999999997</v>
      </c>
      <c r="E879" s="38">
        <v>729.47900000000004</v>
      </c>
      <c r="F879" s="32">
        <v>1150</v>
      </c>
      <c r="G879" s="32">
        <v>100</v>
      </c>
      <c r="H879" s="40">
        <v>600</v>
      </c>
      <c r="I879" s="32">
        <v>695</v>
      </c>
      <c r="J879" s="32">
        <v>50</v>
      </c>
      <c r="K879" s="33"/>
      <c r="L879" s="33"/>
      <c r="M879" s="33"/>
      <c r="N879" s="33"/>
      <c r="O879" s="33"/>
      <c r="P879" s="33"/>
      <c r="Q879" s="33"/>
      <c r="R879" s="33"/>
      <c r="S879" s="33"/>
      <c r="T879" s="33"/>
    </row>
    <row r="880" spans="1:20" ht="15.75">
      <c r="A880" s="13">
        <v>68667</v>
      </c>
      <c r="B880" s="41">
        <f t="shared" si="4"/>
        <v>31</v>
      </c>
      <c r="C880" s="32">
        <v>122.58</v>
      </c>
      <c r="D880" s="32">
        <v>297.94099999999997</v>
      </c>
      <c r="E880" s="38">
        <v>729.47900000000004</v>
      </c>
      <c r="F880" s="32">
        <v>1150</v>
      </c>
      <c r="G880" s="32">
        <v>100</v>
      </c>
      <c r="H880" s="40">
        <v>600</v>
      </c>
      <c r="I880" s="32">
        <v>695</v>
      </c>
      <c r="J880" s="32">
        <v>50</v>
      </c>
      <c r="K880" s="33"/>
      <c r="L880" s="33"/>
      <c r="M880" s="33"/>
      <c r="N880" s="33"/>
      <c r="O880" s="33"/>
      <c r="P880" s="33"/>
      <c r="Q880" s="33"/>
      <c r="R880" s="33"/>
      <c r="S880" s="33"/>
      <c r="T880" s="33"/>
    </row>
    <row r="881" spans="1:20" ht="15.75">
      <c r="A881" s="13">
        <v>68698</v>
      </c>
      <c r="B881" s="41">
        <f t="shared" si="4"/>
        <v>31</v>
      </c>
      <c r="C881" s="32">
        <v>122.58</v>
      </c>
      <c r="D881" s="32">
        <v>297.94099999999997</v>
      </c>
      <c r="E881" s="38">
        <v>729.47900000000004</v>
      </c>
      <c r="F881" s="32">
        <v>1150</v>
      </c>
      <c r="G881" s="32">
        <v>100</v>
      </c>
      <c r="H881" s="40">
        <v>600</v>
      </c>
      <c r="I881" s="32">
        <v>695</v>
      </c>
      <c r="J881" s="32">
        <v>50</v>
      </c>
      <c r="K881" s="33"/>
      <c r="L881" s="33"/>
      <c r="M881" s="33"/>
      <c r="N881" s="33"/>
      <c r="O881" s="33"/>
      <c r="P881" s="33"/>
      <c r="Q881" s="33"/>
      <c r="R881" s="33"/>
      <c r="S881" s="33"/>
      <c r="T881" s="33"/>
    </row>
    <row r="882" spans="1:20" ht="15.75">
      <c r="A882" s="13">
        <v>68727</v>
      </c>
      <c r="B882" s="41">
        <f t="shared" si="4"/>
        <v>29</v>
      </c>
      <c r="C882" s="32">
        <v>122.58</v>
      </c>
      <c r="D882" s="32">
        <v>297.94099999999997</v>
      </c>
      <c r="E882" s="38">
        <v>729.47900000000004</v>
      </c>
      <c r="F882" s="32">
        <v>1150</v>
      </c>
      <c r="G882" s="32">
        <v>100</v>
      </c>
      <c r="H882" s="40">
        <v>600</v>
      </c>
      <c r="I882" s="32">
        <v>695</v>
      </c>
      <c r="J882" s="32">
        <v>50</v>
      </c>
      <c r="K882" s="33"/>
      <c r="L882" s="33"/>
      <c r="M882" s="33"/>
      <c r="N882" s="33"/>
      <c r="O882" s="33"/>
      <c r="P882" s="33"/>
      <c r="Q882" s="33"/>
      <c r="R882" s="33"/>
      <c r="S882" s="33"/>
      <c r="T882" s="33"/>
    </row>
    <row r="883" spans="1:20" ht="15.75">
      <c r="A883" s="13">
        <v>68758</v>
      </c>
      <c r="B883" s="41">
        <f t="shared" si="4"/>
        <v>31</v>
      </c>
      <c r="C883" s="32">
        <v>122.58</v>
      </c>
      <c r="D883" s="32">
        <v>297.94099999999997</v>
      </c>
      <c r="E883" s="38">
        <v>729.47900000000004</v>
      </c>
      <c r="F883" s="32">
        <v>1150</v>
      </c>
      <c r="G883" s="32">
        <v>100</v>
      </c>
      <c r="H883" s="40">
        <v>600</v>
      </c>
      <c r="I883" s="32">
        <v>695</v>
      </c>
      <c r="J883" s="32">
        <v>50</v>
      </c>
      <c r="K883" s="33"/>
      <c r="L883" s="33"/>
      <c r="M883" s="33"/>
      <c r="N883" s="33"/>
      <c r="O883" s="33"/>
      <c r="P883" s="33"/>
      <c r="Q883" s="33"/>
      <c r="R883" s="33"/>
      <c r="S883" s="33"/>
      <c r="T883" s="33"/>
    </row>
    <row r="884" spans="1:20" ht="15.75">
      <c r="A884" s="13">
        <v>68788</v>
      </c>
      <c r="B884" s="41">
        <f t="shared" si="4"/>
        <v>30</v>
      </c>
      <c r="C884" s="32">
        <v>141.29300000000001</v>
      </c>
      <c r="D884" s="32">
        <v>267.99299999999999</v>
      </c>
      <c r="E884" s="38">
        <v>829.71400000000006</v>
      </c>
      <c r="F884" s="32">
        <v>1239</v>
      </c>
      <c r="G884" s="32">
        <v>100</v>
      </c>
      <c r="H884" s="40">
        <v>600</v>
      </c>
      <c r="I884" s="32">
        <v>695</v>
      </c>
      <c r="J884" s="32">
        <v>50</v>
      </c>
      <c r="K884" s="33"/>
      <c r="L884" s="33"/>
      <c r="M884" s="33"/>
      <c r="N884" s="33"/>
      <c r="O884" s="33"/>
      <c r="P884" s="33"/>
      <c r="Q884" s="33"/>
      <c r="R884" s="33"/>
      <c r="S884" s="33"/>
      <c r="T884" s="33"/>
    </row>
    <row r="885" spans="1:20" ht="15.75">
      <c r="A885" s="13">
        <v>68819</v>
      </c>
      <c r="B885" s="41">
        <f t="shared" si="4"/>
        <v>31</v>
      </c>
      <c r="C885" s="32">
        <v>194.20500000000001</v>
      </c>
      <c r="D885" s="32">
        <v>267.46600000000001</v>
      </c>
      <c r="E885" s="38">
        <v>812.32899999999995</v>
      </c>
      <c r="F885" s="32">
        <v>1274</v>
      </c>
      <c r="G885" s="32">
        <v>75</v>
      </c>
      <c r="H885" s="40">
        <v>600</v>
      </c>
      <c r="I885" s="32">
        <v>695</v>
      </c>
      <c r="J885" s="32">
        <v>50</v>
      </c>
      <c r="K885" s="33"/>
      <c r="L885" s="33"/>
      <c r="M885" s="33"/>
      <c r="N885" s="33"/>
      <c r="O885" s="33"/>
      <c r="P885" s="33"/>
      <c r="Q885" s="33"/>
      <c r="R885" s="33"/>
      <c r="S885" s="33"/>
      <c r="T885" s="33"/>
    </row>
    <row r="886" spans="1:20" ht="15.75">
      <c r="A886" s="13">
        <v>68849</v>
      </c>
      <c r="B886" s="41">
        <f t="shared" si="4"/>
        <v>30</v>
      </c>
      <c r="C886" s="32">
        <v>194.20500000000001</v>
      </c>
      <c r="D886" s="32">
        <v>267.46600000000001</v>
      </c>
      <c r="E886" s="38">
        <v>812.32899999999995</v>
      </c>
      <c r="F886" s="32">
        <v>1274</v>
      </c>
      <c r="G886" s="32">
        <v>50</v>
      </c>
      <c r="H886" s="40">
        <v>600</v>
      </c>
      <c r="I886" s="32">
        <v>695</v>
      </c>
      <c r="J886" s="32">
        <v>50</v>
      </c>
      <c r="K886" s="33"/>
      <c r="L886" s="33"/>
      <c r="M886" s="33"/>
      <c r="N886" s="33"/>
      <c r="O886" s="33"/>
      <c r="P886" s="33"/>
      <c r="Q886" s="33"/>
      <c r="R886" s="33"/>
      <c r="S886" s="33"/>
      <c r="T886" s="33"/>
    </row>
    <row r="887" spans="1:20" ht="15.75">
      <c r="A887" s="13">
        <v>68880</v>
      </c>
      <c r="B887" s="41">
        <f t="shared" si="4"/>
        <v>31</v>
      </c>
      <c r="C887" s="32">
        <v>194.20500000000001</v>
      </c>
      <c r="D887" s="32">
        <v>267.46600000000001</v>
      </c>
      <c r="E887" s="38">
        <v>812.32899999999995</v>
      </c>
      <c r="F887" s="32">
        <v>1274</v>
      </c>
      <c r="G887" s="32">
        <v>50</v>
      </c>
      <c r="H887" s="40">
        <v>600</v>
      </c>
      <c r="I887" s="32">
        <v>695</v>
      </c>
      <c r="J887" s="32">
        <v>0</v>
      </c>
      <c r="K887" s="33"/>
      <c r="L887" s="33"/>
      <c r="M887" s="33"/>
      <c r="N887" s="33"/>
      <c r="O887" s="33"/>
      <c r="P887" s="33"/>
      <c r="Q887" s="33"/>
      <c r="R887" s="33"/>
      <c r="S887" s="33"/>
      <c r="T887" s="33"/>
    </row>
    <row r="888" spans="1:20" ht="15.75">
      <c r="A888" s="13">
        <v>68911</v>
      </c>
      <c r="B888" s="41">
        <f t="shared" si="4"/>
        <v>31</v>
      </c>
      <c r="C888" s="32">
        <v>194.20500000000001</v>
      </c>
      <c r="D888" s="32">
        <v>267.46600000000001</v>
      </c>
      <c r="E888" s="38">
        <v>812.32899999999995</v>
      </c>
      <c r="F888" s="32">
        <v>1274</v>
      </c>
      <c r="G888" s="32">
        <v>50</v>
      </c>
      <c r="H888" s="40">
        <v>600</v>
      </c>
      <c r="I888" s="32">
        <v>695</v>
      </c>
      <c r="J888" s="32">
        <v>0</v>
      </c>
      <c r="K888" s="33"/>
      <c r="L888" s="33"/>
      <c r="M888" s="33"/>
      <c r="N888" s="33"/>
      <c r="O888" s="33"/>
      <c r="P888" s="33"/>
      <c r="Q888" s="33"/>
      <c r="R888" s="33"/>
      <c r="S888" s="33"/>
      <c r="T888" s="33"/>
    </row>
    <row r="889" spans="1:20" ht="15.75">
      <c r="A889" s="13">
        <v>68941</v>
      </c>
      <c r="B889" s="41">
        <f t="shared" ref="B889:B952" si="5">EOMONTH(A889,0)-EOMONTH(A889,-1)</f>
        <v>30</v>
      </c>
      <c r="C889" s="32">
        <v>194.20500000000001</v>
      </c>
      <c r="D889" s="32">
        <v>267.46600000000001</v>
      </c>
      <c r="E889" s="38">
        <v>812.32899999999995</v>
      </c>
      <c r="F889" s="32">
        <v>1274</v>
      </c>
      <c r="G889" s="32">
        <v>50</v>
      </c>
      <c r="H889" s="40">
        <v>600</v>
      </c>
      <c r="I889" s="32">
        <v>695</v>
      </c>
      <c r="J889" s="32">
        <v>0</v>
      </c>
      <c r="K889" s="33"/>
      <c r="L889" s="33"/>
      <c r="M889" s="33"/>
      <c r="N889" s="33"/>
      <c r="O889" s="33"/>
      <c r="P889" s="33"/>
      <c r="Q889" s="33"/>
      <c r="R889" s="33"/>
      <c r="S889" s="33"/>
      <c r="T889" s="33"/>
    </row>
    <row r="890" spans="1:20" ht="15.75">
      <c r="A890" s="13">
        <v>68972</v>
      </c>
      <c r="B890" s="41">
        <f t="shared" si="5"/>
        <v>31</v>
      </c>
      <c r="C890" s="32">
        <v>131.881</v>
      </c>
      <c r="D890" s="32">
        <v>277.16699999999997</v>
      </c>
      <c r="E890" s="38">
        <v>829.952</v>
      </c>
      <c r="F890" s="32">
        <v>1239</v>
      </c>
      <c r="G890" s="32">
        <v>75</v>
      </c>
      <c r="H890" s="40">
        <v>600</v>
      </c>
      <c r="I890" s="32">
        <v>695</v>
      </c>
      <c r="J890" s="32">
        <v>0</v>
      </c>
      <c r="K890" s="33"/>
      <c r="L890" s="33"/>
      <c r="M890" s="33"/>
      <c r="N890" s="33"/>
      <c r="O890" s="33"/>
      <c r="P890" s="33"/>
      <c r="Q890" s="33"/>
      <c r="R890" s="33"/>
      <c r="S890" s="33"/>
      <c r="T890" s="33"/>
    </row>
    <row r="891" spans="1:20" ht="15.75">
      <c r="A891" s="13">
        <v>69002</v>
      </c>
      <c r="B891" s="41">
        <f t="shared" si="5"/>
        <v>30</v>
      </c>
      <c r="C891" s="32">
        <v>122.58</v>
      </c>
      <c r="D891" s="32">
        <v>297.94099999999997</v>
      </c>
      <c r="E891" s="38">
        <v>729.47900000000004</v>
      </c>
      <c r="F891" s="32">
        <v>1150</v>
      </c>
      <c r="G891" s="32">
        <v>100</v>
      </c>
      <c r="H891" s="40">
        <v>600</v>
      </c>
      <c r="I891" s="32">
        <v>695</v>
      </c>
      <c r="J891" s="32">
        <v>50</v>
      </c>
      <c r="K891" s="33"/>
      <c r="L891" s="33"/>
      <c r="M891" s="33"/>
      <c r="N891" s="33"/>
      <c r="O891" s="33"/>
      <c r="P891" s="33"/>
      <c r="Q891" s="33"/>
      <c r="R891" s="33"/>
      <c r="S891" s="33"/>
      <c r="T891" s="33"/>
    </row>
    <row r="892" spans="1:20" ht="15.75">
      <c r="A892" s="13">
        <v>69033</v>
      </c>
      <c r="B892" s="41">
        <f t="shared" si="5"/>
        <v>31</v>
      </c>
      <c r="C892" s="32">
        <v>122.58</v>
      </c>
      <c r="D892" s="32">
        <v>297.94099999999997</v>
      </c>
      <c r="E892" s="38">
        <v>729.47900000000004</v>
      </c>
      <c r="F892" s="32">
        <v>1150</v>
      </c>
      <c r="G892" s="32">
        <v>100</v>
      </c>
      <c r="H892" s="40">
        <v>600</v>
      </c>
      <c r="I892" s="32">
        <v>695</v>
      </c>
      <c r="J892" s="32">
        <v>50</v>
      </c>
      <c r="K892" s="33"/>
      <c r="L892" s="33"/>
      <c r="M892" s="33"/>
      <c r="N892" s="33"/>
      <c r="O892" s="33"/>
      <c r="P892" s="33"/>
      <c r="Q892" s="33"/>
      <c r="R892" s="33"/>
      <c r="S892" s="33"/>
      <c r="T892" s="33"/>
    </row>
    <row r="893" spans="1:20" ht="15.75">
      <c r="A893" s="13">
        <v>69064</v>
      </c>
      <c r="B893" s="41">
        <f t="shared" si="5"/>
        <v>31</v>
      </c>
      <c r="C893" s="32">
        <v>122.58</v>
      </c>
      <c r="D893" s="32">
        <v>297.94099999999997</v>
      </c>
      <c r="E893" s="38">
        <v>729.47900000000004</v>
      </c>
      <c r="F893" s="32">
        <v>1150</v>
      </c>
      <c r="G893" s="32">
        <v>100</v>
      </c>
      <c r="H893" s="40">
        <v>600</v>
      </c>
      <c r="I893" s="32">
        <v>695</v>
      </c>
      <c r="J893" s="32">
        <v>50</v>
      </c>
      <c r="K893" s="33"/>
      <c r="L893" s="33"/>
      <c r="M893" s="33"/>
      <c r="N893" s="33"/>
      <c r="O893" s="33"/>
      <c r="P893" s="33"/>
      <c r="Q893" s="33"/>
      <c r="R893" s="33"/>
      <c r="S893" s="33"/>
      <c r="T893" s="33"/>
    </row>
    <row r="894" spans="1:20" ht="15.75">
      <c r="A894" s="13">
        <v>69092</v>
      </c>
      <c r="B894" s="41">
        <f t="shared" si="5"/>
        <v>28</v>
      </c>
      <c r="C894" s="32">
        <v>122.58</v>
      </c>
      <c r="D894" s="32">
        <v>297.94099999999997</v>
      </c>
      <c r="E894" s="38">
        <v>729.47900000000004</v>
      </c>
      <c r="F894" s="32">
        <v>1150</v>
      </c>
      <c r="G894" s="32">
        <v>100</v>
      </c>
      <c r="H894" s="40">
        <v>600</v>
      </c>
      <c r="I894" s="32">
        <v>695</v>
      </c>
      <c r="J894" s="32">
        <v>50</v>
      </c>
      <c r="K894" s="33"/>
      <c r="L894" s="33"/>
      <c r="M894" s="33"/>
      <c r="N894" s="33"/>
      <c r="O894" s="33"/>
      <c r="P894" s="33"/>
      <c r="Q894" s="33"/>
      <c r="R894" s="33"/>
      <c r="S894" s="33"/>
      <c r="T894" s="33"/>
    </row>
    <row r="895" spans="1:20" ht="15.75">
      <c r="A895" s="13">
        <v>69123</v>
      </c>
      <c r="B895" s="41">
        <f t="shared" si="5"/>
        <v>31</v>
      </c>
      <c r="C895" s="32">
        <v>122.58</v>
      </c>
      <c r="D895" s="32">
        <v>297.94099999999997</v>
      </c>
      <c r="E895" s="38">
        <v>729.47900000000004</v>
      </c>
      <c r="F895" s="32">
        <v>1150</v>
      </c>
      <c r="G895" s="32">
        <v>100</v>
      </c>
      <c r="H895" s="40">
        <v>600</v>
      </c>
      <c r="I895" s="32">
        <v>695</v>
      </c>
      <c r="J895" s="32">
        <v>50</v>
      </c>
      <c r="K895" s="33"/>
      <c r="L895" s="33"/>
      <c r="M895" s="33"/>
      <c r="N895" s="33"/>
      <c r="O895" s="33"/>
      <c r="P895" s="33"/>
      <c r="Q895" s="33"/>
      <c r="R895" s="33"/>
      <c r="S895" s="33"/>
      <c r="T895" s="33"/>
    </row>
    <row r="896" spans="1:20" ht="15.75">
      <c r="A896" s="13">
        <v>69153</v>
      </c>
      <c r="B896" s="41">
        <f t="shared" si="5"/>
        <v>30</v>
      </c>
      <c r="C896" s="32">
        <v>141.29300000000001</v>
      </c>
      <c r="D896" s="32">
        <v>267.99299999999999</v>
      </c>
      <c r="E896" s="38">
        <v>829.71400000000006</v>
      </c>
      <c r="F896" s="32">
        <v>1239</v>
      </c>
      <c r="G896" s="32">
        <v>100</v>
      </c>
      <c r="H896" s="40">
        <v>600</v>
      </c>
      <c r="I896" s="32">
        <v>695</v>
      </c>
      <c r="J896" s="32">
        <v>50</v>
      </c>
      <c r="K896" s="33"/>
      <c r="L896" s="33"/>
      <c r="M896" s="33"/>
      <c r="N896" s="33"/>
      <c r="O896" s="33"/>
      <c r="P896" s="33"/>
      <c r="Q896" s="33"/>
      <c r="R896" s="33"/>
      <c r="S896" s="33"/>
      <c r="T896" s="33"/>
    </row>
    <row r="897" spans="1:20" ht="15.75">
      <c r="A897" s="13">
        <v>69184</v>
      </c>
      <c r="B897" s="41">
        <f t="shared" si="5"/>
        <v>31</v>
      </c>
      <c r="C897" s="32">
        <v>194.20500000000001</v>
      </c>
      <c r="D897" s="32">
        <v>267.46600000000001</v>
      </c>
      <c r="E897" s="38">
        <v>812.32899999999995</v>
      </c>
      <c r="F897" s="32">
        <v>1274</v>
      </c>
      <c r="G897" s="32">
        <v>75</v>
      </c>
      <c r="H897" s="40">
        <v>600</v>
      </c>
      <c r="I897" s="32">
        <v>695</v>
      </c>
      <c r="J897" s="32">
        <v>50</v>
      </c>
      <c r="K897" s="33"/>
      <c r="L897" s="33"/>
      <c r="M897" s="33"/>
      <c r="N897" s="33"/>
      <c r="O897" s="33"/>
      <c r="P897" s="33"/>
      <c r="Q897" s="33"/>
      <c r="R897" s="33"/>
      <c r="S897" s="33"/>
      <c r="T897" s="33"/>
    </row>
    <row r="898" spans="1:20" ht="15.75">
      <c r="A898" s="13">
        <v>69214</v>
      </c>
      <c r="B898" s="41">
        <f t="shared" si="5"/>
        <v>30</v>
      </c>
      <c r="C898" s="32">
        <v>194.20500000000001</v>
      </c>
      <c r="D898" s="32">
        <v>267.46600000000001</v>
      </c>
      <c r="E898" s="38">
        <v>812.32899999999995</v>
      </c>
      <c r="F898" s="32">
        <v>1274</v>
      </c>
      <c r="G898" s="32">
        <v>50</v>
      </c>
      <c r="H898" s="40">
        <v>600</v>
      </c>
      <c r="I898" s="32">
        <v>695</v>
      </c>
      <c r="J898" s="32">
        <v>50</v>
      </c>
      <c r="K898" s="33"/>
      <c r="L898" s="33"/>
      <c r="M898" s="33"/>
      <c r="N898" s="33"/>
      <c r="O898" s="33"/>
      <c r="P898" s="33"/>
      <c r="Q898" s="33"/>
      <c r="R898" s="33"/>
      <c r="S898" s="33"/>
      <c r="T898" s="33"/>
    </row>
    <row r="899" spans="1:20" ht="15.75">
      <c r="A899" s="13">
        <v>69245</v>
      </c>
      <c r="B899" s="41">
        <f t="shared" si="5"/>
        <v>31</v>
      </c>
      <c r="C899" s="32">
        <v>194.20500000000001</v>
      </c>
      <c r="D899" s="32">
        <v>267.46600000000001</v>
      </c>
      <c r="E899" s="38">
        <v>812.32899999999995</v>
      </c>
      <c r="F899" s="32">
        <v>1274</v>
      </c>
      <c r="G899" s="32">
        <v>50</v>
      </c>
      <c r="H899" s="40">
        <v>600</v>
      </c>
      <c r="I899" s="32">
        <v>695</v>
      </c>
      <c r="J899" s="32">
        <v>0</v>
      </c>
      <c r="K899" s="33"/>
      <c r="L899" s="33"/>
      <c r="M899" s="33"/>
      <c r="N899" s="33"/>
      <c r="O899" s="33"/>
      <c r="P899" s="33"/>
      <c r="Q899" s="33"/>
      <c r="R899" s="33"/>
      <c r="S899" s="33"/>
      <c r="T899" s="33"/>
    </row>
    <row r="900" spans="1:20" ht="15.75">
      <c r="A900" s="13">
        <v>69276</v>
      </c>
      <c r="B900" s="41">
        <f t="shared" si="5"/>
        <v>31</v>
      </c>
      <c r="C900" s="32">
        <v>194.20500000000001</v>
      </c>
      <c r="D900" s="32">
        <v>267.46600000000001</v>
      </c>
      <c r="E900" s="38">
        <v>812.32899999999995</v>
      </c>
      <c r="F900" s="32">
        <v>1274</v>
      </c>
      <c r="G900" s="32">
        <v>50</v>
      </c>
      <c r="H900" s="40">
        <v>600</v>
      </c>
      <c r="I900" s="32">
        <v>695</v>
      </c>
      <c r="J900" s="32">
        <v>0</v>
      </c>
      <c r="K900" s="33"/>
      <c r="L900" s="33"/>
      <c r="M900" s="33"/>
      <c r="N900" s="33"/>
      <c r="O900" s="33"/>
      <c r="P900" s="33"/>
      <c r="Q900" s="33"/>
      <c r="R900" s="33"/>
      <c r="S900" s="33"/>
      <c r="T900" s="33"/>
    </row>
    <row r="901" spans="1:20" ht="15.75">
      <c r="A901" s="13">
        <v>69306</v>
      </c>
      <c r="B901" s="41">
        <f t="shared" si="5"/>
        <v>30</v>
      </c>
      <c r="C901" s="32">
        <v>194.20500000000001</v>
      </c>
      <c r="D901" s="32">
        <v>267.46600000000001</v>
      </c>
      <c r="E901" s="38">
        <v>812.32899999999995</v>
      </c>
      <c r="F901" s="32">
        <v>1274</v>
      </c>
      <c r="G901" s="32">
        <v>50</v>
      </c>
      <c r="H901" s="40">
        <v>600</v>
      </c>
      <c r="I901" s="32">
        <v>695</v>
      </c>
      <c r="J901" s="32">
        <v>0</v>
      </c>
      <c r="K901" s="33"/>
      <c r="L901" s="33"/>
      <c r="M901" s="33"/>
      <c r="N901" s="33"/>
      <c r="O901" s="33"/>
      <c r="P901" s="33"/>
      <c r="Q901" s="33"/>
      <c r="R901" s="33"/>
      <c r="S901" s="33"/>
      <c r="T901" s="33"/>
    </row>
    <row r="902" spans="1:20" ht="15.75">
      <c r="A902" s="13">
        <v>69337</v>
      </c>
      <c r="B902" s="41">
        <f t="shared" si="5"/>
        <v>31</v>
      </c>
      <c r="C902" s="32">
        <v>131.881</v>
      </c>
      <c r="D902" s="32">
        <v>277.16699999999997</v>
      </c>
      <c r="E902" s="38">
        <v>829.952</v>
      </c>
      <c r="F902" s="32">
        <v>1239</v>
      </c>
      <c r="G902" s="32">
        <v>75</v>
      </c>
      <c r="H902" s="40">
        <v>600</v>
      </c>
      <c r="I902" s="32">
        <v>695</v>
      </c>
      <c r="J902" s="32">
        <v>0</v>
      </c>
      <c r="K902" s="33"/>
      <c r="L902" s="33"/>
      <c r="M902" s="33"/>
      <c r="N902" s="33"/>
      <c r="O902" s="33"/>
      <c r="P902" s="33"/>
      <c r="Q902" s="33"/>
      <c r="R902" s="33"/>
      <c r="S902" s="33"/>
      <c r="T902" s="33"/>
    </row>
    <row r="903" spans="1:20" ht="15.75">
      <c r="A903" s="13">
        <v>69367</v>
      </c>
      <c r="B903" s="41">
        <f t="shared" si="5"/>
        <v>30</v>
      </c>
      <c r="C903" s="32">
        <v>122.58</v>
      </c>
      <c r="D903" s="32">
        <v>297.94099999999997</v>
      </c>
      <c r="E903" s="38">
        <v>729.47900000000004</v>
      </c>
      <c r="F903" s="32">
        <v>1150</v>
      </c>
      <c r="G903" s="32">
        <v>100</v>
      </c>
      <c r="H903" s="40">
        <v>600</v>
      </c>
      <c r="I903" s="32">
        <v>695</v>
      </c>
      <c r="J903" s="32">
        <v>50</v>
      </c>
      <c r="K903" s="33"/>
      <c r="L903" s="33"/>
      <c r="M903" s="33"/>
      <c r="N903" s="33"/>
      <c r="O903" s="33"/>
      <c r="P903" s="33"/>
      <c r="Q903" s="33"/>
      <c r="R903" s="33"/>
      <c r="S903" s="33"/>
      <c r="T903" s="33"/>
    </row>
    <row r="904" spans="1:20" ht="15.75">
      <c r="A904" s="13">
        <v>69398</v>
      </c>
      <c r="B904" s="41">
        <f t="shared" si="5"/>
        <v>31</v>
      </c>
      <c r="C904" s="32">
        <v>122.58</v>
      </c>
      <c r="D904" s="32">
        <v>297.94099999999997</v>
      </c>
      <c r="E904" s="38">
        <v>729.47900000000004</v>
      </c>
      <c r="F904" s="32">
        <v>1150</v>
      </c>
      <c r="G904" s="32">
        <v>100</v>
      </c>
      <c r="H904" s="40">
        <v>600</v>
      </c>
      <c r="I904" s="32">
        <v>695</v>
      </c>
      <c r="J904" s="32">
        <v>50</v>
      </c>
      <c r="K904" s="33"/>
      <c r="L904" s="33"/>
      <c r="M904" s="33"/>
      <c r="N904" s="33"/>
      <c r="O904" s="33"/>
      <c r="P904" s="33"/>
      <c r="Q904" s="33"/>
      <c r="R904" s="33"/>
      <c r="S904" s="33"/>
      <c r="T904" s="33"/>
    </row>
    <row r="905" spans="1:20" ht="15.75">
      <c r="A905" s="13">
        <v>69429</v>
      </c>
      <c r="B905" s="41">
        <f t="shared" si="5"/>
        <v>31</v>
      </c>
      <c r="C905" s="32">
        <v>122.58</v>
      </c>
      <c r="D905" s="32">
        <v>297.94099999999997</v>
      </c>
      <c r="E905" s="38">
        <v>729.47900000000004</v>
      </c>
      <c r="F905" s="32">
        <v>1150</v>
      </c>
      <c r="G905" s="32">
        <v>100</v>
      </c>
      <c r="H905" s="40">
        <v>600</v>
      </c>
      <c r="I905" s="32">
        <v>695</v>
      </c>
      <c r="J905" s="32">
        <v>50</v>
      </c>
      <c r="K905" s="33"/>
      <c r="L905" s="33"/>
      <c r="M905" s="33"/>
      <c r="N905" s="33"/>
      <c r="O905" s="33"/>
      <c r="P905" s="33"/>
      <c r="Q905" s="33"/>
      <c r="R905" s="33"/>
      <c r="S905" s="33"/>
      <c r="T905" s="33"/>
    </row>
    <row r="906" spans="1:20" ht="15.75">
      <c r="A906" s="13">
        <v>69457</v>
      </c>
      <c r="B906" s="41">
        <f t="shared" si="5"/>
        <v>28</v>
      </c>
      <c r="C906" s="32">
        <v>122.58</v>
      </c>
      <c r="D906" s="32">
        <v>297.94099999999997</v>
      </c>
      <c r="E906" s="38">
        <v>729.47900000000004</v>
      </c>
      <c r="F906" s="32">
        <v>1150</v>
      </c>
      <c r="G906" s="32">
        <v>100</v>
      </c>
      <c r="H906" s="40">
        <v>600</v>
      </c>
      <c r="I906" s="32">
        <v>695</v>
      </c>
      <c r="J906" s="32">
        <v>50</v>
      </c>
      <c r="K906" s="33"/>
      <c r="L906" s="33"/>
      <c r="M906" s="33"/>
      <c r="N906" s="33"/>
      <c r="O906" s="33"/>
      <c r="P906" s="33"/>
      <c r="Q906" s="33"/>
      <c r="R906" s="33"/>
      <c r="S906" s="33"/>
      <c r="T906" s="33"/>
    </row>
    <row r="907" spans="1:20" ht="15.75">
      <c r="A907" s="13">
        <v>69488</v>
      </c>
      <c r="B907" s="41">
        <f t="shared" si="5"/>
        <v>31</v>
      </c>
      <c r="C907" s="32">
        <v>122.58</v>
      </c>
      <c r="D907" s="32">
        <v>297.94099999999997</v>
      </c>
      <c r="E907" s="38">
        <v>729.47900000000004</v>
      </c>
      <c r="F907" s="32">
        <v>1150</v>
      </c>
      <c r="G907" s="32">
        <v>100</v>
      </c>
      <c r="H907" s="40">
        <v>600</v>
      </c>
      <c r="I907" s="32">
        <v>695</v>
      </c>
      <c r="J907" s="32">
        <v>50</v>
      </c>
      <c r="K907" s="33"/>
      <c r="L907" s="33"/>
      <c r="M907" s="33"/>
      <c r="N907" s="33"/>
      <c r="O907" s="33"/>
      <c r="P907" s="33"/>
      <c r="Q907" s="33"/>
      <c r="R907" s="33"/>
      <c r="S907" s="33"/>
      <c r="T907" s="33"/>
    </row>
    <row r="908" spans="1:20" ht="15.75">
      <c r="A908" s="13">
        <v>69518</v>
      </c>
      <c r="B908" s="41">
        <f t="shared" si="5"/>
        <v>30</v>
      </c>
      <c r="C908" s="32">
        <v>141.29300000000001</v>
      </c>
      <c r="D908" s="32">
        <v>267.99299999999999</v>
      </c>
      <c r="E908" s="38">
        <v>829.71400000000006</v>
      </c>
      <c r="F908" s="32">
        <v>1239</v>
      </c>
      <c r="G908" s="32">
        <v>100</v>
      </c>
      <c r="H908" s="40">
        <v>600</v>
      </c>
      <c r="I908" s="32">
        <v>695</v>
      </c>
      <c r="J908" s="32">
        <v>50</v>
      </c>
      <c r="K908" s="33"/>
      <c r="L908" s="33"/>
      <c r="M908" s="33"/>
      <c r="N908" s="33"/>
      <c r="O908" s="33"/>
      <c r="P908" s="33"/>
      <c r="Q908" s="33"/>
      <c r="R908" s="33"/>
      <c r="S908" s="33"/>
      <c r="T908" s="33"/>
    </row>
    <row r="909" spans="1:20" ht="15.75">
      <c r="A909" s="13">
        <v>69549</v>
      </c>
      <c r="B909" s="41">
        <f t="shared" si="5"/>
        <v>31</v>
      </c>
      <c r="C909" s="32">
        <v>194.20500000000001</v>
      </c>
      <c r="D909" s="32">
        <v>267.46600000000001</v>
      </c>
      <c r="E909" s="38">
        <v>812.32899999999995</v>
      </c>
      <c r="F909" s="32">
        <v>1274</v>
      </c>
      <c r="G909" s="32">
        <v>75</v>
      </c>
      <c r="H909" s="40">
        <v>600</v>
      </c>
      <c r="I909" s="32">
        <v>695</v>
      </c>
      <c r="J909" s="32">
        <v>50</v>
      </c>
      <c r="K909" s="33"/>
      <c r="L909" s="33"/>
      <c r="M909" s="33"/>
      <c r="N909" s="33"/>
      <c r="O909" s="33"/>
      <c r="P909" s="33"/>
      <c r="Q909" s="33"/>
      <c r="R909" s="33"/>
      <c r="S909" s="33"/>
      <c r="T909" s="33"/>
    </row>
    <row r="910" spans="1:20" ht="15.75">
      <c r="A910" s="13">
        <v>69579</v>
      </c>
      <c r="B910" s="41">
        <f t="shared" si="5"/>
        <v>30</v>
      </c>
      <c r="C910" s="32">
        <v>194.20500000000001</v>
      </c>
      <c r="D910" s="32">
        <v>267.46600000000001</v>
      </c>
      <c r="E910" s="38">
        <v>812.32899999999995</v>
      </c>
      <c r="F910" s="32">
        <v>1274</v>
      </c>
      <c r="G910" s="32">
        <v>50</v>
      </c>
      <c r="H910" s="40">
        <v>600</v>
      </c>
      <c r="I910" s="32">
        <v>695</v>
      </c>
      <c r="J910" s="32">
        <v>50</v>
      </c>
      <c r="K910" s="33"/>
      <c r="L910" s="33"/>
      <c r="M910" s="33"/>
      <c r="N910" s="33"/>
      <c r="O910" s="33"/>
      <c r="P910" s="33"/>
      <c r="Q910" s="33"/>
      <c r="R910" s="33"/>
      <c r="S910" s="33"/>
      <c r="T910" s="33"/>
    </row>
    <row r="911" spans="1:20" ht="15.75">
      <c r="A911" s="13">
        <v>69610</v>
      </c>
      <c r="B911" s="41">
        <f t="shared" si="5"/>
        <v>31</v>
      </c>
      <c r="C911" s="32">
        <v>194.20500000000001</v>
      </c>
      <c r="D911" s="32">
        <v>267.46600000000001</v>
      </c>
      <c r="E911" s="38">
        <v>812.32899999999995</v>
      </c>
      <c r="F911" s="32">
        <v>1274</v>
      </c>
      <c r="G911" s="32">
        <v>50</v>
      </c>
      <c r="H911" s="40">
        <v>600</v>
      </c>
      <c r="I911" s="32">
        <v>695</v>
      </c>
      <c r="J911" s="32">
        <v>0</v>
      </c>
      <c r="K911" s="33"/>
      <c r="L911" s="33"/>
      <c r="M911" s="33"/>
      <c r="N911" s="33"/>
      <c r="O911" s="33"/>
      <c r="P911" s="33"/>
      <c r="Q911" s="33"/>
      <c r="R911" s="33"/>
      <c r="S911" s="33"/>
      <c r="T911" s="33"/>
    </row>
    <row r="912" spans="1:20" ht="15.75">
      <c r="A912" s="13">
        <v>69641</v>
      </c>
      <c r="B912" s="41">
        <f t="shared" si="5"/>
        <v>31</v>
      </c>
      <c r="C912" s="32">
        <v>194.20500000000001</v>
      </c>
      <c r="D912" s="32">
        <v>267.46600000000001</v>
      </c>
      <c r="E912" s="38">
        <v>812.32899999999995</v>
      </c>
      <c r="F912" s="32">
        <v>1274</v>
      </c>
      <c r="G912" s="32">
        <v>50</v>
      </c>
      <c r="H912" s="40">
        <v>600</v>
      </c>
      <c r="I912" s="32">
        <v>695</v>
      </c>
      <c r="J912" s="32">
        <v>0</v>
      </c>
      <c r="K912" s="33"/>
      <c r="L912" s="33"/>
      <c r="M912" s="33"/>
      <c r="N912" s="33"/>
      <c r="O912" s="33"/>
      <c r="P912" s="33"/>
      <c r="Q912" s="33"/>
      <c r="R912" s="33"/>
      <c r="S912" s="33"/>
      <c r="T912" s="33"/>
    </row>
    <row r="913" spans="1:20" ht="15.75">
      <c r="A913" s="13">
        <v>69671</v>
      </c>
      <c r="B913" s="41">
        <f t="shared" si="5"/>
        <v>30</v>
      </c>
      <c r="C913" s="32">
        <v>194.20500000000001</v>
      </c>
      <c r="D913" s="32">
        <v>267.46600000000001</v>
      </c>
      <c r="E913" s="38">
        <v>812.32899999999995</v>
      </c>
      <c r="F913" s="32">
        <v>1274</v>
      </c>
      <c r="G913" s="32">
        <v>50</v>
      </c>
      <c r="H913" s="40">
        <v>600</v>
      </c>
      <c r="I913" s="32">
        <v>695</v>
      </c>
      <c r="J913" s="32">
        <v>0</v>
      </c>
      <c r="K913" s="33"/>
      <c r="L913" s="33"/>
      <c r="M913" s="33"/>
      <c r="N913" s="33"/>
      <c r="O913" s="33"/>
      <c r="P913" s="33"/>
      <c r="Q913" s="33"/>
      <c r="R913" s="33"/>
      <c r="S913" s="33"/>
      <c r="T913" s="33"/>
    </row>
    <row r="914" spans="1:20" ht="15.75">
      <c r="A914" s="13">
        <v>69702</v>
      </c>
      <c r="B914" s="41">
        <f t="shared" si="5"/>
        <v>31</v>
      </c>
      <c r="C914" s="32">
        <v>131.881</v>
      </c>
      <c r="D914" s="32">
        <v>277.16699999999997</v>
      </c>
      <c r="E914" s="38">
        <v>829.952</v>
      </c>
      <c r="F914" s="32">
        <v>1239</v>
      </c>
      <c r="G914" s="32">
        <v>75</v>
      </c>
      <c r="H914" s="40">
        <v>600</v>
      </c>
      <c r="I914" s="32">
        <v>695</v>
      </c>
      <c r="J914" s="32">
        <v>0</v>
      </c>
      <c r="K914" s="33"/>
      <c r="L914" s="33"/>
      <c r="M914" s="33"/>
      <c r="N914" s="33"/>
      <c r="O914" s="33"/>
      <c r="P914" s="33"/>
      <c r="Q914" s="33"/>
      <c r="R914" s="33"/>
      <c r="S914" s="33"/>
      <c r="T914" s="33"/>
    </row>
    <row r="915" spans="1:20" ht="15.75">
      <c r="A915" s="13">
        <v>69732</v>
      </c>
      <c r="B915" s="41">
        <f t="shared" si="5"/>
        <v>30</v>
      </c>
      <c r="C915" s="32">
        <v>122.58</v>
      </c>
      <c r="D915" s="32">
        <v>297.94099999999997</v>
      </c>
      <c r="E915" s="38">
        <v>729.47900000000004</v>
      </c>
      <c r="F915" s="32">
        <v>1150</v>
      </c>
      <c r="G915" s="32">
        <v>100</v>
      </c>
      <c r="H915" s="40">
        <v>600</v>
      </c>
      <c r="I915" s="32">
        <v>695</v>
      </c>
      <c r="J915" s="32">
        <v>50</v>
      </c>
      <c r="K915" s="33"/>
      <c r="L915" s="33"/>
      <c r="M915" s="33"/>
      <c r="N915" s="33"/>
      <c r="O915" s="33"/>
      <c r="P915" s="33"/>
      <c r="Q915" s="33"/>
      <c r="R915" s="33"/>
      <c r="S915" s="33"/>
      <c r="T915" s="33"/>
    </row>
    <row r="916" spans="1:20" ht="15.75">
      <c r="A916" s="13">
        <v>69763</v>
      </c>
      <c r="B916" s="41">
        <f t="shared" si="5"/>
        <v>31</v>
      </c>
      <c r="C916" s="32">
        <v>122.58</v>
      </c>
      <c r="D916" s="32">
        <v>297.94099999999997</v>
      </c>
      <c r="E916" s="38">
        <v>729.47900000000004</v>
      </c>
      <c r="F916" s="32">
        <v>1150</v>
      </c>
      <c r="G916" s="32">
        <v>100</v>
      </c>
      <c r="H916" s="40">
        <v>600</v>
      </c>
      <c r="I916" s="32">
        <v>695</v>
      </c>
      <c r="J916" s="32">
        <v>50</v>
      </c>
      <c r="K916" s="33"/>
      <c r="L916" s="33"/>
      <c r="M916" s="33"/>
      <c r="N916" s="33"/>
      <c r="O916" s="33"/>
      <c r="P916" s="33"/>
      <c r="Q916" s="33"/>
      <c r="R916" s="33"/>
      <c r="S916" s="33"/>
      <c r="T916" s="33"/>
    </row>
    <row r="917" spans="1:20" ht="15.75">
      <c r="A917" s="13">
        <v>69794</v>
      </c>
      <c r="B917" s="41">
        <f t="shared" si="5"/>
        <v>31</v>
      </c>
      <c r="C917" s="32">
        <v>122.58</v>
      </c>
      <c r="D917" s="32">
        <v>297.94099999999997</v>
      </c>
      <c r="E917" s="38">
        <v>729.47900000000004</v>
      </c>
      <c r="F917" s="32">
        <v>1150</v>
      </c>
      <c r="G917" s="32">
        <v>100</v>
      </c>
      <c r="H917" s="40">
        <v>600</v>
      </c>
      <c r="I917" s="32">
        <v>695</v>
      </c>
      <c r="J917" s="32">
        <v>50</v>
      </c>
      <c r="K917" s="33"/>
      <c r="L917" s="33"/>
      <c r="M917" s="33"/>
      <c r="N917" s="33"/>
      <c r="O917" s="33"/>
      <c r="P917" s="33"/>
      <c r="Q917" s="33"/>
      <c r="R917" s="33"/>
      <c r="S917" s="33"/>
      <c r="T917" s="33"/>
    </row>
    <row r="918" spans="1:20" ht="15.75">
      <c r="A918" s="13">
        <v>69822</v>
      </c>
      <c r="B918" s="41">
        <f t="shared" si="5"/>
        <v>28</v>
      </c>
      <c r="C918" s="32">
        <v>122.58</v>
      </c>
      <c r="D918" s="32">
        <v>297.94099999999997</v>
      </c>
      <c r="E918" s="38">
        <v>729.47900000000004</v>
      </c>
      <c r="F918" s="32">
        <v>1150</v>
      </c>
      <c r="G918" s="32">
        <v>100</v>
      </c>
      <c r="H918" s="40">
        <v>600</v>
      </c>
      <c r="I918" s="32">
        <v>695</v>
      </c>
      <c r="J918" s="32">
        <v>50</v>
      </c>
      <c r="K918" s="33"/>
      <c r="L918" s="33"/>
      <c r="M918" s="33"/>
      <c r="N918" s="33"/>
      <c r="O918" s="33"/>
      <c r="P918" s="33"/>
      <c r="Q918" s="33"/>
      <c r="R918" s="33"/>
      <c r="S918" s="33"/>
      <c r="T918" s="33"/>
    </row>
    <row r="919" spans="1:20" ht="15.75">
      <c r="A919" s="13">
        <v>69853</v>
      </c>
      <c r="B919" s="41">
        <f t="shared" si="5"/>
        <v>31</v>
      </c>
      <c r="C919" s="32">
        <v>122.58</v>
      </c>
      <c r="D919" s="32">
        <v>297.94099999999997</v>
      </c>
      <c r="E919" s="38">
        <v>729.47900000000004</v>
      </c>
      <c r="F919" s="32">
        <v>1150</v>
      </c>
      <c r="G919" s="32">
        <v>100</v>
      </c>
      <c r="H919" s="40">
        <v>600</v>
      </c>
      <c r="I919" s="32">
        <v>695</v>
      </c>
      <c r="J919" s="32">
        <v>50</v>
      </c>
      <c r="K919" s="33"/>
      <c r="L919" s="33"/>
      <c r="M919" s="33"/>
      <c r="N919" s="33"/>
      <c r="O919" s="33"/>
      <c r="P919" s="33"/>
      <c r="Q919" s="33"/>
      <c r="R919" s="33"/>
      <c r="S919" s="33"/>
      <c r="T919" s="33"/>
    </row>
    <row r="920" spans="1:20" ht="15.75">
      <c r="A920" s="13">
        <v>69883</v>
      </c>
      <c r="B920" s="41">
        <f t="shared" si="5"/>
        <v>30</v>
      </c>
      <c r="C920" s="32">
        <v>141.29300000000001</v>
      </c>
      <c r="D920" s="32">
        <v>267.99299999999999</v>
      </c>
      <c r="E920" s="38">
        <v>829.71400000000006</v>
      </c>
      <c r="F920" s="32">
        <v>1239</v>
      </c>
      <c r="G920" s="32">
        <v>100</v>
      </c>
      <c r="H920" s="40">
        <v>600</v>
      </c>
      <c r="I920" s="32">
        <v>695</v>
      </c>
      <c r="J920" s="32">
        <v>50</v>
      </c>
      <c r="K920" s="33"/>
      <c r="L920" s="33"/>
      <c r="M920" s="33"/>
      <c r="N920" s="33"/>
      <c r="O920" s="33"/>
      <c r="P920" s="33"/>
      <c r="Q920" s="33"/>
      <c r="R920" s="33"/>
      <c r="S920" s="33"/>
      <c r="T920" s="33"/>
    </row>
    <row r="921" spans="1:20" ht="15.75">
      <c r="A921" s="13">
        <v>69914</v>
      </c>
      <c r="B921" s="41">
        <f t="shared" si="5"/>
        <v>31</v>
      </c>
      <c r="C921" s="32">
        <v>194.20500000000001</v>
      </c>
      <c r="D921" s="32">
        <v>267.46600000000001</v>
      </c>
      <c r="E921" s="38">
        <v>812.32899999999995</v>
      </c>
      <c r="F921" s="32">
        <v>1274</v>
      </c>
      <c r="G921" s="32">
        <v>75</v>
      </c>
      <c r="H921" s="40">
        <v>600</v>
      </c>
      <c r="I921" s="32">
        <v>695</v>
      </c>
      <c r="J921" s="32">
        <v>50</v>
      </c>
      <c r="K921" s="33"/>
      <c r="L921" s="33"/>
      <c r="M921" s="33"/>
      <c r="N921" s="33"/>
      <c r="O921" s="33"/>
      <c r="P921" s="33"/>
      <c r="Q921" s="33"/>
      <c r="R921" s="33"/>
      <c r="S921" s="33"/>
      <c r="T921" s="33"/>
    </row>
    <row r="922" spans="1:20" ht="15.75">
      <c r="A922" s="13">
        <v>69944</v>
      </c>
      <c r="B922" s="41">
        <f t="shared" si="5"/>
        <v>30</v>
      </c>
      <c r="C922" s="32">
        <v>194.20500000000001</v>
      </c>
      <c r="D922" s="32">
        <v>267.46600000000001</v>
      </c>
      <c r="E922" s="38">
        <v>812.32899999999995</v>
      </c>
      <c r="F922" s="32">
        <v>1274</v>
      </c>
      <c r="G922" s="32">
        <v>50</v>
      </c>
      <c r="H922" s="40">
        <v>600</v>
      </c>
      <c r="I922" s="32">
        <v>695</v>
      </c>
      <c r="J922" s="32">
        <v>50</v>
      </c>
      <c r="K922" s="33"/>
      <c r="L922" s="33"/>
      <c r="M922" s="33"/>
      <c r="N922" s="33"/>
      <c r="O922" s="33"/>
      <c r="P922" s="33"/>
      <c r="Q922" s="33"/>
      <c r="R922" s="33"/>
      <c r="S922" s="33"/>
      <c r="T922" s="33"/>
    </row>
    <row r="923" spans="1:20" ht="15.75">
      <c r="A923" s="13">
        <v>69975</v>
      </c>
      <c r="B923" s="41">
        <f t="shared" si="5"/>
        <v>31</v>
      </c>
      <c r="C923" s="32">
        <v>194.20500000000001</v>
      </c>
      <c r="D923" s="32">
        <v>267.46600000000001</v>
      </c>
      <c r="E923" s="38">
        <v>812.32899999999995</v>
      </c>
      <c r="F923" s="32">
        <v>1274</v>
      </c>
      <c r="G923" s="32">
        <v>50</v>
      </c>
      <c r="H923" s="40">
        <v>600</v>
      </c>
      <c r="I923" s="32">
        <v>695</v>
      </c>
      <c r="J923" s="32">
        <v>0</v>
      </c>
      <c r="K923" s="33"/>
      <c r="L923" s="33"/>
      <c r="M923" s="33"/>
      <c r="N923" s="33"/>
      <c r="O923" s="33"/>
      <c r="P923" s="33"/>
      <c r="Q923" s="33"/>
      <c r="R923" s="33"/>
      <c r="S923" s="33"/>
      <c r="T923" s="33"/>
    </row>
    <row r="924" spans="1:20" ht="15.75">
      <c r="A924" s="13">
        <v>70006</v>
      </c>
      <c r="B924" s="41">
        <f t="shared" si="5"/>
        <v>31</v>
      </c>
      <c r="C924" s="32">
        <v>194.20500000000001</v>
      </c>
      <c r="D924" s="32">
        <v>267.46600000000001</v>
      </c>
      <c r="E924" s="38">
        <v>812.32899999999995</v>
      </c>
      <c r="F924" s="32">
        <v>1274</v>
      </c>
      <c r="G924" s="32">
        <v>50</v>
      </c>
      <c r="H924" s="40">
        <v>600</v>
      </c>
      <c r="I924" s="32">
        <v>695</v>
      </c>
      <c r="J924" s="32">
        <v>0</v>
      </c>
      <c r="K924" s="33"/>
      <c r="L924" s="33"/>
      <c r="M924" s="33"/>
      <c r="N924" s="33"/>
      <c r="O924" s="33"/>
      <c r="P924" s="33"/>
      <c r="Q924" s="33"/>
      <c r="R924" s="33"/>
      <c r="S924" s="33"/>
      <c r="T924" s="33"/>
    </row>
    <row r="925" spans="1:20" ht="15.75">
      <c r="A925" s="13">
        <v>70036</v>
      </c>
      <c r="B925" s="41">
        <f t="shared" si="5"/>
        <v>30</v>
      </c>
      <c r="C925" s="32">
        <v>194.20500000000001</v>
      </c>
      <c r="D925" s="32">
        <v>267.46600000000001</v>
      </c>
      <c r="E925" s="38">
        <v>812.32899999999995</v>
      </c>
      <c r="F925" s="32">
        <v>1274</v>
      </c>
      <c r="G925" s="32">
        <v>50</v>
      </c>
      <c r="H925" s="40">
        <v>600</v>
      </c>
      <c r="I925" s="32">
        <v>695</v>
      </c>
      <c r="J925" s="32">
        <v>0</v>
      </c>
      <c r="K925" s="33"/>
      <c r="L925" s="33"/>
      <c r="M925" s="33"/>
      <c r="N925" s="33"/>
      <c r="O925" s="33"/>
      <c r="P925" s="33"/>
      <c r="Q925" s="33"/>
      <c r="R925" s="33"/>
      <c r="S925" s="33"/>
      <c r="T925" s="33"/>
    </row>
    <row r="926" spans="1:20" ht="15.75">
      <c r="A926" s="13">
        <v>70067</v>
      </c>
      <c r="B926" s="41">
        <f t="shared" si="5"/>
        <v>31</v>
      </c>
      <c r="C926" s="32">
        <v>131.881</v>
      </c>
      <c r="D926" s="32">
        <v>277.16699999999997</v>
      </c>
      <c r="E926" s="38">
        <v>829.952</v>
      </c>
      <c r="F926" s="32">
        <v>1239</v>
      </c>
      <c r="G926" s="32">
        <v>75</v>
      </c>
      <c r="H926" s="40">
        <v>600</v>
      </c>
      <c r="I926" s="32">
        <v>695</v>
      </c>
      <c r="J926" s="32">
        <v>0</v>
      </c>
      <c r="K926" s="33"/>
      <c r="L926" s="33"/>
      <c r="M926" s="33"/>
      <c r="N926" s="33"/>
      <c r="O926" s="33"/>
      <c r="P926" s="33"/>
      <c r="Q926" s="33"/>
      <c r="R926" s="33"/>
      <c r="S926" s="33"/>
      <c r="T926" s="33"/>
    </row>
    <row r="927" spans="1:20" ht="15.75">
      <c r="A927" s="13">
        <v>70097</v>
      </c>
      <c r="B927" s="41">
        <f t="shared" si="5"/>
        <v>30</v>
      </c>
      <c r="C927" s="32">
        <v>122.58</v>
      </c>
      <c r="D927" s="32">
        <v>297.94099999999997</v>
      </c>
      <c r="E927" s="38">
        <v>729.47900000000004</v>
      </c>
      <c r="F927" s="32">
        <v>1150</v>
      </c>
      <c r="G927" s="32">
        <v>100</v>
      </c>
      <c r="H927" s="40">
        <v>600</v>
      </c>
      <c r="I927" s="32">
        <v>695</v>
      </c>
      <c r="J927" s="32">
        <v>50</v>
      </c>
      <c r="K927" s="33"/>
      <c r="L927" s="33"/>
      <c r="M927" s="33"/>
      <c r="N927" s="33"/>
      <c r="O927" s="33"/>
      <c r="P927" s="33"/>
      <c r="Q927" s="33"/>
      <c r="R927" s="33"/>
      <c r="S927" s="33"/>
      <c r="T927" s="33"/>
    </row>
    <row r="928" spans="1:20" ht="15.75">
      <c r="A928" s="13">
        <v>70128</v>
      </c>
      <c r="B928" s="41">
        <f t="shared" si="5"/>
        <v>31</v>
      </c>
      <c r="C928" s="32">
        <v>122.58</v>
      </c>
      <c r="D928" s="32">
        <v>297.94099999999997</v>
      </c>
      <c r="E928" s="38">
        <v>729.47900000000004</v>
      </c>
      <c r="F928" s="32">
        <v>1150</v>
      </c>
      <c r="G928" s="32">
        <v>100</v>
      </c>
      <c r="H928" s="40">
        <v>600</v>
      </c>
      <c r="I928" s="32">
        <v>695</v>
      </c>
      <c r="J928" s="32">
        <v>50</v>
      </c>
      <c r="K928" s="33"/>
      <c r="L928" s="33"/>
      <c r="M928" s="33"/>
      <c r="N928" s="33"/>
      <c r="O928" s="33"/>
      <c r="P928" s="33"/>
      <c r="Q928" s="33"/>
      <c r="R928" s="33"/>
      <c r="S928" s="33"/>
      <c r="T928" s="33"/>
    </row>
    <row r="929" spans="1:20" ht="15.75">
      <c r="A929" s="13">
        <v>70159</v>
      </c>
      <c r="B929" s="41">
        <f t="shared" si="5"/>
        <v>31</v>
      </c>
      <c r="C929" s="32">
        <v>122.58</v>
      </c>
      <c r="D929" s="32">
        <v>297.94099999999997</v>
      </c>
      <c r="E929" s="38">
        <v>729.47900000000004</v>
      </c>
      <c r="F929" s="32">
        <v>1150</v>
      </c>
      <c r="G929" s="32">
        <v>100</v>
      </c>
      <c r="H929" s="40">
        <v>600</v>
      </c>
      <c r="I929" s="32">
        <v>695</v>
      </c>
      <c r="J929" s="32">
        <v>50</v>
      </c>
      <c r="K929" s="33"/>
      <c r="L929" s="33"/>
      <c r="M929" s="33"/>
      <c r="N929" s="33"/>
      <c r="O929" s="33"/>
      <c r="P929" s="33"/>
      <c r="Q929" s="33"/>
      <c r="R929" s="33"/>
      <c r="S929" s="33"/>
      <c r="T929" s="33"/>
    </row>
    <row r="930" spans="1:20" ht="15.75">
      <c r="A930" s="13">
        <v>70188</v>
      </c>
      <c r="B930" s="41">
        <f t="shared" si="5"/>
        <v>29</v>
      </c>
      <c r="C930" s="32">
        <v>122.58</v>
      </c>
      <c r="D930" s="32">
        <v>297.94099999999997</v>
      </c>
      <c r="E930" s="38">
        <v>729.47900000000004</v>
      </c>
      <c r="F930" s="32">
        <v>1150</v>
      </c>
      <c r="G930" s="32">
        <v>100</v>
      </c>
      <c r="H930" s="40">
        <v>600</v>
      </c>
      <c r="I930" s="32">
        <v>695</v>
      </c>
      <c r="J930" s="32">
        <v>50</v>
      </c>
      <c r="K930" s="33"/>
      <c r="L930" s="33"/>
      <c r="M930" s="33"/>
      <c r="N930" s="33"/>
      <c r="O930" s="33"/>
      <c r="P930" s="33"/>
      <c r="Q930" s="33"/>
      <c r="R930" s="33"/>
      <c r="S930" s="33"/>
      <c r="T930" s="33"/>
    </row>
    <row r="931" spans="1:20" ht="15.75">
      <c r="A931" s="13">
        <v>70219</v>
      </c>
      <c r="B931" s="41">
        <f t="shared" si="5"/>
        <v>31</v>
      </c>
      <c r="C931" s="32">
        <v>122.58</v>
      </c>
      <c r="D931" s="32">
        <v>297.94099999999997</v>
      </c>
      <c r="E931" s="38">
        <v>729.47900000000004</v>
      </c>
      <c r="F931" s="32">
        <v>1150</v>
      </c>
      <c r="G931" s="32">
        <v>100</v>
      </c>
      <c r="H931" s="40">
        <v>600</v>
      </c>
      <c r="I931" s="32">
        <v>695</v>
      </c>
      <c r="J931" s="32">
        <v>50</v>
      </c>
      <c r="K931" s="33"/>
      <c r="L931" s="33"/>
      <c r="M931" s="33"/>
      <c r="N931" s="33"/>
      <c r="O931" s="33"/>
      <c r="P931" s="33"/>
      <c r="Q931" s="33"/>
      <c r="R931" s="33"/>
      <c r="S931" s="33"/>
      <c r="T931" s="33"/>
    </row>
    <row r="932" spans="1:20" ht="15.75">
      <c r="A932" s="13">
        <v>70249</v>
      </c>
      <c r="B932" s="41">
        <f t="shared" si="5"/>
        <v>30</v>
      </c>
      <c r="C932" s="32">
        <v>141.29300000000001</v>
      </c>
      <c r="D932" s="32">
        <v>267.99299999999999</v>
      </c>
      <c r="E932" s="38">
        <v>829.71400000000006</v>
      </c>
      <c r="F932" s="32">
        <v>1239</v>
      </c>
      <c r="G932" s="32">
        <v>100</v>
      </c>
      <c r="H932" s="40">
        <v>600</v>
      </c>
      <c r="I932" s="32">
        <v>695</v>
      </c>
      <c r="J932" s="32">
        <v>50</v>
      </c>
      <c r="K932" s="33"/>
      <c r="L932" s="33"/>
      <c r="M932" s="33"/>
      <c r="N932" s="33"/>
      <c r="O932" s="33"/>
      <c r="P932" s="33"/>
      <c r="Q932" s="33"/>
      <c r="R932" s="33"/>
      <c r="S932" s="33"/>
      <c r="T932" s="33"/>
    </row>
    <row r="933" spans="1:20" ht="15.75">
      <c r="A933" s="13">
        <v>70280</v>
      </c>
      <c r="B933" s="41">
        <f t="shared" si="5"/>
        <v>31</v>
      </c>
      <c r="C933" s="32">
        <v>194.20500000000001</v>
      </c>
      <c r="D933" s="32">
        <v>267.46600000000001</v>
      </c>
      <c r="E933" s="38">
        <v>812.32899999999995</v>
      </c>
      <c r="F933" s="32">
        <v>1274</v>
      </c>
      <c r="G933" s="32">
        <v>75</v>
      </c>
      <c r="H933" s="40">
        <v>600</v>
      </c>
      <c r="I933" s="32">
        <v>695</v>
      </c>
      <c r="J933" s="32">
        <v>50</v>
      </c>
      <c r="K933" s="33"/>
      <c r="L933" s="33"/>
      <c r="M933" s="33"/>
      <c r="N933" s="33"/>
      <c r="O933" s="33"/>
      <c r="P933" s="33"/>
      <c r="Q933" s="33"/>
      <c r="R933" s="33"/>
      <c r="S933" s="33"/>
      <c r="T933" s="33"/>
    </row>
    <row r="934" spans="1:20" ht="15.75">
      <c r="A934" s="13">
        <v>70310</v>
      </c>
      <c r="B934" s="41">
        <f t="shared" si="5"/>
        <v>30</v>
      </c>
      <c r="C934" s="32">
        <v>194.20500000000001</v>
      </c>
      <c r="D934" s="32">
        <v>267.46600000000001</v>
      </c>
      <c r="E934" s="38">
        <v>812.32899999999995</v>
      </c>
      <c r="F934" s="32">
        <v>1274</v>
      </c>
      <c r="G934" s="32">
        <v>50</v>
      </c>
      <c r="H934" s="40">
        <v>600</v>
      </c>
      <c r="I934" s="32">
        <v>695</v>
      </c>
      <c r="J934" s="32">
        <v>50</v>
      </c>
      <c r="K934" s="33"/>
      <c r="L934" s="33"/>
      <c r="M934" s="33"/>
      <c r="N934" s="33"/>
      <c r="O934" s="33"/>
      <c r="P934" s="33"/>
      <c r="Q934" s="33"/>
      <c r="R934" s="33"/>
      <c r="S934" s="33"/>
      <c r="T934" s="33"/>
    </row>
    <row r="935" spans="1:20" ht="15.75">
      <c r="A935" s="13">
        <v>70341</v>
      </c>
      <c r="B935" s="41">
        <f t="shared" si="5"/>
        <v>31</v>
      </c>
      <c r="C935" s="32">
        <v>194.20500000000001</v>
      </c>
      <c r="D935" s="32">
        <v>267.46600000000001</v>
      </c>
      <c r="E935" s="38">
        <v>812.32899999999995</v>
      </c>
      <c r="F935" s="32">
        <v>1274</v>
      </c>
      <c r="G935" s="32">
        <v>50</v>
      </c>
      <c r="H935" s="40">
        <v>600</v>
      </c>
      <c r="I935" s="32">
        <v>695</v>
      </c>
      <c r="J935" s="32">
        <v>0</v>
      </c>
      <c r="K935" s="33"/>
      <c r="L935" s="33"/>
      <c r="M935" s="33"/>
      <c r="N935" s="33"/>
      <c r="O935" s="33"/>
      <c r="P935" s="33"/>
      <c r="Q935" s="33"/>
      <c r="R935" s="33"/>
      <c r="S935" s="33"/>
      <c r="T935" s="33"/>
    </row>
    <row r="936" spans="1:20" ht="15.75">
      <c r="A936" s="13">
        <v>70372</v>
      </c>
      <c r="B936" s="41">
        <f t="shared" si="5"/>
        <v>31</v>
      </c>
      <c r="C936" s="32">
        <v>194.20500000000001</v>
      </c>
      <c r="D936" s="32">
        <v>267.46600000000001</v>
      </c>
      <c r="E936" s="38">
        <v>812.32899999999995</v>
      </c>
      <c r="F936" s="32">
        <v>1274</v>
      </c>
      <c r="G936" s="32">
        <v>50</v>
      </c>
      <c r="H936" s="40">
        <v>600</v>
      </c>
      <c r="I936" s="32">
        <v>695</v>
      </c>
      <c r="J936" s="32">
        <v>0</v>
      </c>
      <c r="K936" s="33"/>
      <c r="L936" s="33"/>
      <c r="M936" s="33"/>
      <c r="N936" s="33"/>
      <c r="O936" s="33"/>
      <c r="P936" s="33"/>
      <c r="Q936" s="33"/>
      <c r="R936" s="33"/>
      <c r="S936" s="33"/>
      <c r="T936" s="33"/>
    </row>
    <row r="937" spans="1:20" ht="15.75">
      <c r="A937" s="13">
        <v>70402</v>
      </c>
      <c r="B937" s="41">
        <f t="shared" si="5"/>
        <v>30</v>
      </c>
      <c r="C937" s="32">
        <v>194.20500000000001</v>
      </c>
      <c r="D937" s="32">
        <v>267.46600000000001</v>
      </c>
      <c r="E937" s="38">
        <v>812.32899999999995</v>
      </c>
      <c r="F937" s="32">
        <v>1274</v>
      </c>
      <c r="G937" s="32">
        <v>50</v>
      </c>
      <c r="H937" s="40">
        <v>600</v>
      </c>
      <c r="I937" s="32">
        <v>695</v>
      </c>
      <c r="J937" s="32">
        <v>0</v>
      </c>
      <c r="K937" s="33"/>
      <c r="L937" s="33"/>
      <c r="M937" s="33"/>
      <c r="N937" s="33"/>
      <c r="O937" s="33"/>
      <c r="P937" s="33"/>
      <c r="Q937" s="33"/>
      <c r="R937" s="33"/>
      <c r="S937" s="33"/>
      <c r="T937" s="33"/>
    </row>
    <row r="938" spans="1:20" ht="15.75">
      <c r="A938" s="13">
        <v>70433</v>
      </c>
      <c r="B938" s="41">
        <f t="shared" si="5"/>
        <v>31</v>
      </c>
      <c r="C938" s="32">
        <v>131.881</v>
      </c>
      <c r="D938" s="32">
        <v>277.16699999999997</v>
      </c>
      <c r="E938" s="38">
        <v>829.952</v>
      </c>
      <c r="F938" s="32">
        <v>1239</v>
      </c>
      <c r="G938" s="32">
        <v>75</v>
      </c>
      <c r="H938" s="40">
        <v>600</v>
      </c>
      <c r="I938" s="32">
        <v>695</v>
      </c>
      <c r="J938" s="32">
        <v>0</v>
      </c>
      <c r="K938" s="33"/>
      <c r="L938" s="33"/>
      <c r="M938" s="33"/>
      <c r="N938" s="33"/>
      <c r="O938" s="33"/>
      <c r="P938" s="33"/>
      <c r="Q938" s="33"/>
      <c r="R938" s="33"/>
      <c r="S938" s="33"/>
      <c r="T938" s="33"/>
    </row>
    <row r="939" spans="1:20" ht="15.75">
      <c r="A939" s="13">
        <v>70463</v>
      </c>
      <c r="B939" s="41">
        <f t="shared" si="5"/>
        <v>30</v>
      </c>
      <c r="C939" s="32">
        <v>122.58</v>
      </c>
      <c r="D939" s="32">
        <v>297.94099999999997</v>
      </c>
      <c r="E939" s="38">
        <v>729.47900000000004</v>
      </c>
      <c r="F939" s="32">
        <v>1150</v>
      </c>
      <c r="G939" s="32">
        <v>100</v>
      </c>
      <c r="H939" s="40">
        <v>600</v>
      </c>
      <c r="I939" s="32">
        <v>695</v>
      </c>
      <c r="J939" s="32">
        <v>50</v>
      </c>
      <c r="K939" s="33"/>
      <c r="L939" s="33"/>
      <c r="M939" s="33"/>
      <c r="N939" s="33"/>
      <c r="O939" s="33"/>
      <c r="P939" s="33"/>
      <c r="Q939" s="33"/>
      <c r="R939" s="33"/>
      <c r="S939" s="33"/>
      <c r="T939" s="33"/>
    </row>
    <row r="940" spans="1:20" ht="15.75">
      <c r="A940" s="13">
        <v>70494</v>
      </c>
      <c r="B940" s="41">
        <f t="shared" si="5"/>
        <v>31</v>
      </c>
      <c r="C940" s="32">
        <v>122.58</v>
      </c>
      <c r="D940" s="32">
        <v>297.94099999999997</v>
      </c>
      <c r="E940" s="38">
        <v>729.47900000000004</v>
      </c>
      <c r="F940" s="32">
        <v>1150</v>
      </c>
      <c r="G940" s="32">
        <v>100</v>
      </c>
      <c r="H940" s="40">
        <v>600</v>
      </c>
      <c r="I940" s="32">
        <v>695</v>
      </c>
      <c r="J940" s="32">
        <v>50</v>
      </c>
      <c r="K940" s="33"/>
      <c r="L940" s="33"/>
      <c r="M940" s="33"/>
      <c r="N940" s="33"/>
      <c r="O940" s="33"/>
      <c r="P940" s="33"/>
      <c r="Q940" s="33"/>
      <c r="R940" s="33"/>
      <c r="S940" s="33"/>
      <c r="T940" s="33"/>
    </row>
    <row r="941" spans="1:20" ht="15.75">
      <c r="A941" s="13">
        <v>70525</v>
      </c>
      <c r="B941" s="41">
        <f t="shared" si="5"/>
        <v>31</v>
      </c>
      <c r="C941" s="32">
        <v>122.58</v>
      </c>
      <c r="D941" s="32">
        <v>297.94099999999997</v>
      </c>
      <c r="E941" s="38">
        <v>729.47900000000004</v>
      </c>
      <c r="F941" s="32">
        <v>1150</v>
      </c>
      <c r="G941" s="32">
        <v>100</v>
      </c>
      <c r="H941" s="40">
        <v>600</v>
      </c>
      <c r="I941" s="32">
        <v>695</v>
      </c>
      <c r="J941" s="32">
        <v>50</v>
      </c>
      <c r="K941" s="33"/>
      <c r="L941" s="33"/>
      <c r="M941" s="33"/>
      <c r="N941" s="33"/>
      <c r="O941" s="33"/>
      <c r="P941" s="33"/>
      <c r="Q941" s="33"/>
      <c r="R941" s="33"/>
      <c r="S941" s="33"/>
      <c r="T941" s="33"/>
    </row>
    <row r="942" spans="1:20" ht="15.75">
      <c r="A942" s="13">
        <v>70553</v>
      </c>
      <c r="B942" s="41">
        <f t="shared" si="5"/>
        <v>28</v>
      </c>
      <c r="C942" s="32">
        <v>122.58</v>
      </c>
      <c r="D942" s="32">
        <v>297.94099999999997</v>
      </c>
      <c r="E942" s="38">
        <v>729.47900000000004</v>
      </c>
      <c r="F942" s="32">
        <v>1150</v>
      </c>
      <c r="G942" s="32">
        <v>100</v>
      </c>
      <c r="H942" s="40">
        <v>600</v>
      </c>
      <c r="I942" s="32">
        <v>695</v>
      </c>
      <c r="J942" s="32">
        <v>50</v>
      </c>
      <c r="K942" s="33"/>
      <c r="L942" s="33"/>
      <c r="M942" s="33"/>
      <c r="N942" s="33"/>
      <c r="O942" s="33"/>
      <c r="P942" s="33"/>
      <c r="Q942" s="33"/>
      <c r="R942" s="33"/>
      <c r="S942" s="33"/>
      <c r="T942" s="33"/>
    </row>
    <row r="943" spans="1:20" ht="15.75">
      <c r="A943" s="13">
        <v>70584</v>
      </c>
      <c r="B943" s="41">
        <f t="shared" si="5"/>
        <v>31</v>
      </c>
      <c r="C943" s="32">
        <v>122.58</v>
      </c>
      <c r="D943" s="32">
        <v>297.94099999999997</v>
      </c>
      <c r="E943" s="38">
        <v>729.47900000000004</v>
      </c>
      <c r="F943" s="32">
        <v>1150</v>
      </c>
      <c r="G943" s="32">
        <v>100</v>
      </c>
      <c r="H943" s="40">
        <v>600</v>
      </c>
      <c r="I943" s="32">
        <v>695</v>
      </c>
      <c r="J943" s="32">
        <v>50</v>
      </c>
      <c r="K943" s="33"/>
      <c r="L943" s="33"/>
      <c r="M943" s="33"/>
      <c r="N943" s="33"/>
      <c r="O943" s="33"/>
      <c r="P943" s="33"/>
      <c r="Q943" s="33"/>
      <c r="R943" s="33"/>
      <c r="S943" s="33"/>
      <c r="T943" s="33"/>
    </row>
    <row r="944" spans="1:20" ht="15.75">
      <c r="A944" s="13">
        <v>70614</v>
      </c>
      <c r="B944" s="41">
        <f t="shared" si="5"/>
        <v>30</v>
      </c>
      <c r="C944" s="32">
        <v>141.29300000000001</v>
      </c>
      <c r="D944" s="32">
        <v>267.99299999999999</v>
      </c>
      <c r="E944" s="38">
        <v>829.71400000000006</v>
      </c>
      <c r="F944" s="32">
        <v>1239</v>
      </c>
      <c r="G944" s="32">
        <v>100</v>
      </c>
      <c r="H944" s="40">
        <v>600</v>
      </c>
      <c r="I944" s="32">
        <v>695</v>
      </c>
      <c r="J944" s="32">
        <v>50</v>
      </c>
      <c r="K944" s="33"/>
      <c r="L944" s="33"/>
      <c r="M944" s="33"/>
      <c r="N944" s="33"/>
      <c r="O944" s="33"/>
      <c r="P944" s="33"/>
      <c r="Q944" s="33"/>
      <c r="R944" s="33"/>
      <c r="S944" s="33"/>
      <c r="T944" s="33"/>
    </row>
    <row r="945" spans="1:20" ht="15.75">
      <c r="A945" s="13">
        <v>70645</v>
      </c>
      <c r="B945" s="41">
        <f t="shared" si="5"/>
        <v>31</v>
      </c>
      <c r="C945" s="32">
        <v>194.20500000000001</v>
      </c>
      <c r="D945" s="32">
        <v>267.46600000000001</v>
      </c>
      <c r="E945" s="38">
        <v>812.32899999999995</v>
      </c>
      <c r="F945" s="32">
        <v>1274</v>
      </c>
      <c r="G945" s="32">
        <v>75</v>
      </c>
      <c r="H945" s="40">
        <v>600</v>
      </c>
      <c r="I945" s="32">
        <v>695</v>
      </c>
      <c r="J945" s="32">
        <v>50</v>
      </c>
      <c r="K945" s="33"/>
      <c r="L945" s="33"/>
      <c r="M945" s="33"/>
      <c r="N945" s="33"/>
      <c r="O945" s="33"/>
      <c r="P945" s="33"/>
      <c r="Q945" s="33"/>
      <c r="R945" s="33"/>
      <c r="S945" s="33"/>
      <c r="T945" s="33"/>
    </row>
    <row r="946" spans="1:20" ht="15.75">
      <c r="A946" s="13">
        <v>70675</v>
      </c>
      <c r="B946" s="41">
        <f t="shared" si="5"/>
        <v>30</v>
      </c>
      <c r="C946" s="32">
        <v>194.20500000000001</v>
      </c>
      <c r="D946" s="32">
        <v>267.46600000000001</v>
      </c>
      <c r="E946" s="38">
        <v>812.32899999999995</v>
      </c>
      <c r="F946" s="32">
        <v>1274</v>
      </c>
      <c r="G946" s="32">
        <v>50</v>
      </c>
      <c r="H946" s="40">
        <v>600</v>
      </c>
      <c r="I946" s="32">
        <v>695</v>
      </c>
      <c r="J946" s="32">
        <v>50</v>
      </c>
      <c r="K946" s="33"/>
      <c r="L946" s="33"/>
      <c r="M946" s="33"/>
      <c r="N946" s="33"/>
      <c r="O946" s="33"/>
      <c r="P946" s="33"/>
      <c r="Q946" s="33"/>
      <c r="R946" s="33"/>
      <c r="S946" s="33"/>
      <c r="T946" s="33"/>
    </row>
    <row r="947" spans="1:20" ht="15.75">
      <c r="A947" s="13">
        <v>70706</v>
      </c>
      <c r="B947" s="41">
        <f t="shared" si="5"/>
        <v>31</v>
      </c>
      <c r="C947" s="32">
        <v>194.20500000000001</v>
      </c>
      <c r="D947" s="32">
        <v>267.46600000000001</v>
      </c>
      <c r="E947" s="38">
        <v>812.32899999999995</v>
      </c>
      <c r="F947" s="32">
        <v>1274</v>
      </c>
      <c r="G947" s="32">
        <v>50</v>
      </c>
      <c r="H947" s="40">
        <v>600</v>
      </c>
      <c r="I947" s="32">
        <v>695</v>
      </c>
      <c r="J947" s="32">
        <v>0</v>
      </c>
      <c r="K947" s="33"/>
      <c r="L947" s="33"/>
      <c r="M947" s="33"/>
      <c r="N947" s="33"/>
      <c r="O947" s="33"/>
      <c r="P947" s="33"/>
      <c r="Q947" s="33"/>
      <c r="R947" s="33"/>
      <c r="S947" s="33"/>
      <c r="T947" s="33"/>
    </row>
    <row r="948" spans="1:20" ht="15.75">
      <c r="A948" s="13">
        <v>70737</v>
      </c>
      <c r="B948" s="41">
        <f t="shared" si="5"/>
        <v>31</v>
      </c>
      <c r="C948" s="32">
        <v>194.20500000000001</v>
      </c>
      <c r="D948" s="32">
        <v>267.46600000000001</v>
      </c>
      <c r="E948" s="38">
        <v>812.32899999999995</v>
      </c>
      <c r="F948" s="32">
        <v>1274</v>
      </c>
      <c r="G948" s="32">
        <v>50</v>
      </c>
      <c r="H948" s="40">
        <v>600</v>
      </c>
      <c r="I948" s="32">
        <v>695</v>
      </c>
      <c r="J948" s="32">
        <v>0</v>
      </c>
      <c r="K948" s="33"/>
      <c r="L948" s="33"/>
      <c r="M948" s="33"/>
      <c r="N948" s="33"/>
      <c r="O948" s="33"/>
      <c r="P948" s="33"/>
      <c r="Q948" s="33"/>
      <c r="R948" s="33"/>
      <c r="S948" s="33"/>
      <c r="T948" s="33"/>
    </row>
    <row r="949" spans="1:20" ht="15.75">
      <c r="A949" s="13">
        <v>70767</v>
      </c>
      <c r="B949" s="41">
        <f t="shared" si="5"/>
        <v>30</v>
      </c>
      <c r="C949" s="32">
        <v>194.20500000000001</v>
      </c>
      <c r="D949" s="32">
        <v>267.46600000000001</v>
      </c>
      <c r="E949" s="38">
        <v>812.32899999999995</v>
      </c>
      <c r="F949" s="32">
        <v>1274</v>
      </c>
      <c r="G949" s="32">
        <v>50</v>
      </c>
      <c r="H949" s="40">
        <v>600</v>
      </c>
      <c r="I949" s="32">
        <v>695</v>
      </c>
      <c r="J949" s="32">
        <v>0</v>
      </c>
      <c r="K949" s="33"/>
      <c r="L949" s="33"/>
      <c r="M949" s="33"/>
      <c r="N949" s="33"/>
      <c r="O949" s="33"/>
      <c r="P949" s="33"/>
      <c r="Q949" s="33"/>
      <c r="R949" s="33"/>
      <c r="S949" s="33"/>
      <c r="T949" s="33"/>
    </row>
    <row r="950" spans="1:20" ht="15.75">
      <c r="A950" s="13">
        <v>70798</v>
      </c>
      <c r="B950" s="41">
        <f t="shared" si="5"/>
        <v>31</v>
      </c>
      <c r="C950" s="32">
        <v>131.881</v>
      </c>
      <c r="D950" s="32">
        <v>277.16699999999997</v>
      </c>
      <c r="E950" s="38">
        <v>829.952</v>
      </c>
      <c r="F950" s="32">
        <v>1239</v>
      </c>
      <c r="G950" s="32">
        <v>75</v>
      </c>
      <c r="H950" s="40">
        <v>600</v>
      </c>
      <c r="I950" s="32">
        <v>695</v>
      </c>
      <c r="J950" s="32">
        <v>0</v>
      </c>
      <c r="K950" s="33"/>
      <c r="L950" s="33"/>
      <c r="M950" s="33"/>
      <c r="N950" s="33"/>
      <c r="O950" s="33"/>
      <c r="P950" s="33"/>
      <c r="Q950" s="33"/>
      <c r="R950" s="33"/>
      <c r="S950" s="33"/>
      <c r="T950" s="33"/>
    </row>
    <row r="951" spans="1:20" ht="15.75">
      <c r="A951" s="13">
        <v>70828</v>
      </c>
      <c r="B951" s="41">
        <f t="shared" si="5"/>
        <v>30</v>
      </c>
      <c r="C951" s="32">
        <v>122.58</v>
      </c>
      <c r="D951" s="32">
        <v>297.94099999999997</v>
      </c>
      <c r="E951" s="38">
        <v>729.47900000000004</v>
      </c>
      <c r="F951" s="32">
        <v>1150</v>
      </c>
      <c r="G951" s="32">
        <v>100</v>
      </c>
      <c r="H951" s="40">
        <v>600</v>
      </c>
      <c r="I951" s="32">
        <v>695</v>
      </c>
      <c r="J951" s="32">
        <v>50</v>
      </c>
      <c r="K951" s="33"/>
      <c r="L951" s="33"/>
      <c r="M951" s="33"/>
      <c r="N951" s="33"/>
      <c r="O951" s="33"/>
      <c r="P951" s="33"/>
      <c r="Q951" s="33"/>
      <c r="R951" s="33"/>
      <c r="S951" s="33"/>
      <c r="T951" s="33"/>
    </row>
    <row r="952" spans="1:20" ht="15.75">
      <c r="A952" s="13">
        <v>70859</v>
      </c>
      <c r="B952" s="41">
        <f t="shared" si="5"/>
        <v>31</v>
      </c>
      <c r="C952" s="32">
        <v>122.58</v>
      </c>
      <c r="D952" s="32">
        <v>297.94099999999997</v>
      </c>
      <c r="E952" s="38">
        <v>729.47900000000004</v>
      </c>
      <c r="F952" s="32">
        <v>1150</v>
      </c>
      <c r="G952" s="32">
        <v>100</v>
      </c>
      <c r="H952" s="40">
        <v>600</v>
      </c>
      <c r="I952" s="32">
        <v>695</v>
      </c>
      <c r="J952" s="32">
        <v>50</v>
      </c>
      <c r="K952" s="33"/>
      <c r="L952" s="33"/>
      <c r="M952" s="33"/>
      <c r="N952" s="33"/>
      <c r="O952" s="33"/>
      <c r="P952" s="33"/>
      <c r="Q952" s="33"/>
      <c r="R952" s="33"/>
      <c r="S952" s="33"/>
      <c r="T952" s="33"/>
    </row>
    <row r="953" spans="1:20" ht="15.75">
      <c r="A953" s="13">
        <v>70890</v>
      </c>
      <c r="B953" s="41">
        <f t="shared" ref="B953:B1016" si="6">EOMONTH(A953,0)-EOMONTH(A953,-1)</f>
        <v>31</v>
      </c>
      <c r="C953" s="32">
        <v>122.58</v>
      </c>
      <c r="D953" s="32">
        <v>297.94099999999997</v>
      </c>
      <c r="E953" s="38">
        <v>729.47900000000004</v>
      </c>
      <c r="F953" s="32">
        <v>1150</v>
      </c>
      <c r="G953" s="32">
        <v>100</v>
      </c>
      <c r="H953" s="40">
        <v>600</v>
      </c>
      <c r="I953" s="32">
        <v>695</v>
      </c>
      <c r="J953" s="32">
        <v>50</v>
      </c>
      <c r="K953" s="33"/>
      <c r="L953" s="33"/>
      <c r="M953" s="33"/>
      <c r="N953" s="33"/>
      <c r="O953" s="33"/>
      <c r="P953" s="33"/>
      <c r="Q953" s="33"/>
      <c r="R953" s="33"/>
      <c r="S953" s="33"/>
      <c r="T953" s="33"/>
    </row>
    <row r="954" spans="1:20" ht="15.75">
      <c r="A954" s="13">
        <v>70918</v>
      </c>
      <c r="B954" s="41">
        <f t="shared" si="6"/>
        <v>28</v>
      </c>
      <c r="C954" s="32">
        <v>122.58</v>
      </c>
      <c r="D954" s="32">
        <v>297.94099999999997</v>
      </c>
      <c r="E954" s="38">
        <v>729.47900000000004</v>
      </c>
      <c r="F954" s="32">
        <v>1150</v>
      </c>
      <c r="G954" s="32">
        <v>100</v>
      </c>
      <c r="H954" s="40">
        <v>600</v>
      </c>
      <c r="I954" s="32">
        <v>695</v>
      </c>
      <c r="J954" s="32">
        <v>50</v>
      </c>
      <c r="K954" s="33"/>
      <c r="L954" s="33"/>
      <c r="M954" s="33"/>
      <c r="N954" s="33"/>
      <c r="O954" s="33"/>
      <c r="P954" s="33"/>
      <c r="Q954" s="33"/>
      <c r="R954" s="33"/>
      <c r="S954" s="33"/>
      <c r="T954" s="33"/>
    </row>
    <row r="955" spans="1:20" ht="15.75">
      <c r="A955" s="13">
        <v>70949</v>
      </c>
      <c r="B955" s="41">
        <f t="shared" si="6"/>
        <v>31</v>
      </c>
      <c r="C955" s="32">
        <v>122.58</v>
      </c>
      <c r="D955" s="32">
        <v>297.94099999999997</v>
      </c>
      <c r="E955" s="38">
        <v>729.47900000000004</v>
      </c>
      <c r="F955" s="32">
        <v>1150</v>
      </c>
      <c r="G955" s="32">
        <v>100</v>
      </c>
      <c r="H955" s="40">
        <v>600</v>
      </c>
      <c r="I955" s="32">
        <v>695</v>
      </c>
      <c r="J955" s="32">
        <v>50</v>
      </c>
      <c r="K955" s="33"/>
      <c r="L955" s="33"/>
      <c r="M955" s="33"/>
      <c r="N955" s="33"/>
      <c r="O955" s="33"/>
      <c r="P955" s="33"/>
      <c r="Q955" s="33"/>
      <c r="R955" s="33"/>
      <c r="S955" s="33"/>
      <c r="T955" s="33"/>
    </row>
    <row r="956" spans="1:20" ht="15.75">
      <c r="A956" s="13">
        <v>70979</v>
      </c>
      <c r="B956" s="41">
        <f t="shared" si="6"/>
        <v>30</v>
      </c>
      <c r="C956" s="32">
        <v>141.29300000000001</v>
      </c>
      <c r="D956" s="32">
        <v>267.99299999999999</v>
      </c>
      <c r="E956" s="38">
        <v>829.71400000000006</v>
      </c>
      <c r="F956" s="32">
        <v>1239</v>
      </c>
      <c r="G956" s="32">
        <v>100</v>
      </c>
      <c r="H956" s="40">
        <v>600</v>
      </c>
      <c r="I956" s="32">
        <v>695</v>
      </c>
      <c r="J956" s="32">
        <v>50</v>
      </c>
      <c r="K956" s="33"/>
      <c r="L956" s="33"/>
      <c r="M956" s="33"/>
      <c r="N956" s="33"/>
      <c r="O956" s="33"/>
      <c r="P956" s="33"/>
      <c r="Q956" s="33"/>
      <c r="R956" s="33"/>
      <c r="S956" s="33"/>
      <c r="T956" s="33"/>
    </row>
    <row r="957" spans="1:20" ht="15.75">
      <c r="A957" s="13">
        <v>71010</v>
      </c>
      <c r="B957" s="41">
        <f t="shared" si="6"/>
        <v>31</v>
      </c>
      <c r="C957" s="32">
        <v>194.20500000000001</v>
      </c>
      <c r="D957" s="32">
        <v>267.46600000000001</v>
      </c>
      <c r="E957" s="38">
        <v>812.32899999999995</v>
      </c>
      <c r="F957" s="32">
        <v>1274</v>
      </c>
      <c r="G957" s="32">
        <v>75</v>
      </c>
      <c r="H957" s="40">
        <v>600</v>
      </c>
      <c r="I957" s="32">
        <v>695</v>
      </c>
      <c r="J957" s="32">
        <v>50</v>
      </c>
      <c r="K957" s="33"/>
      <c r="L957" s="33"/>
      <c r="M957" s="33"/>
      <c r="N957" s="33"/>
      <c r="O957" s="33"/>
      <c r="P957" s="33"/>
      <c r="Q957" s="33"/>
      <c r="R957" s="33"/>
      <c r="S957" s="33"/>
      <c r="T957" s="33"/>
    </row>
    <row r="958" spans="1:20" ht="15.75">
      <c r="A958" s="13">
        <v>71040</v>
      </c>
      <c r="B958" s="41">
        <f t="shared" si="6"/>
        <v>30</v>
      </c>
      <c r="C958" s="32">
        <v>194.20500000000001</v>
      </c>
      <c r="D958" s="32">
        <v>267.46600000000001</v>
      </c>
      <c r="E958" s="38">
        <v>812.32899999999995</v>
      </c>
      <c r="F958" s="32">
        <v>1274</v>
      </c>
      <c r="G958" s="32">
        <v>50</v>
      </c>
      <c r="H958" s="40">
        <v>600</v>
      </c>
      <c r="I958" s="32">
        <v>695</v>
      </c>
      <c r="J958" s="32">
        <v>50</v>
      </c>
      <c r="K958" s="33"/>
      <c r="L958" s="33"/>
      <c r="M958" s="33"/>
      <c r="N958" s="33"/>
      <c r="O958" s="33"/>
      <c r="P958" s="33"/>
      <c r="Q958" s="33"/>
      <c r="R958" s="33"/>
      <c r="S958" s="33"/>
      <c r="T958" s="33"/>
    </row>
    <row r="959" spans="1:20" ht="15.75">
      <c r="A959" s="13">
        <v>71071</v>
      </c>
      <c r="B959" s="41">
        <f t="shared" si="6"/>
        <v>31</v>
      </c>
      <c r="C959" s="32">
        <v>194.20500000000001</v>
      </c>
      <c r="D959" s="32">
        <v>267.46600000000001</v>
      </c>
      <c r="E959" s="38">
        <v>812.32899999999995</v>
      </c>
      <c r="F959" s="32">
        <v>1274</v>
      </c>
      <c r="G959" s="32">
        <v>50</v>
      </c>
      <c r="H959" s="40">
        <v>600</v>
      </c>
      <c r="I959" s="32">
        <v>695</v>
      </c>
      <c r="J959" s="32">
        <v>0</v>
      </c>
      <c r="K959" s="33"/>
      <c r="L959" s="33"/>
      <c r="M959" s="33"/>
      <c r="N959" s="33"/>
      <c r="O959" s="33"/>
      <c r="P959" s="33"/>
      <c r="Q959" s="33"/>
      <c r="R959" s="33"/>
      <c r="S959" s="33"/>
      <c r="T959" s="33"/>
    </row>
    <row r="960" spans="1:20" ht="15.75">
      <c r="A960" s="13">
        <v>71102</v>
      </c>
      <c r="B960" s="41">
        <f t="shared" si="6"/>
        <v>31</v>
      </c>
      <c r="C960" s="32">
        <v>194.20500000000001</v>
      </c>
      <c r="D960" s="32">
        <v>267.46600000000001</v>
      </c>
      <c r="E960" s="38">
        <v>812.32899999999995</v>
      </c>
      <c r="F960" s="32">
        <v>1274</v>
      </c>
      <c r="G960" s="32">
        <v>50</v>
      </c>
      <c r="H960" s="40">
        <v>600</v>
      </c>
      <c r="I960" s="32">
        <v>695</v>
      </c>
      <c r="J960" s="32">
        <v>0</v>
      </c>
      <c r="K960" s="33"/>
      <c r="L960" s="33"/>
      <c r="M960" s="33"/>
      <c r="N960" s="33"/>
      <c r="O960" s="33"/>
      <c r="P960" s="33"/>
      <c r="Q960" s="33"/>
      <c r="R960" s="33"/>
      <c r="S960" s="33"/>
      <c r="T960" s="33"/>
    </row>
    <row r="961" spans="1:20" ht="15.75">
      <c r="A961" s="13">
        <v>71132</v>
      </c>
      <c r="B961" s="41">
        <f t="shared" si="6"/>
        <v>30</v>
      </c>
      <c r="C961" s="32">
        <v>194.20500000000001</v>
      </c>
      <c r="D961" s="32">
        <v>267.46600000000001</v>
      </c>
      <c r="E961" s="38">
        <v>812.32899999999995</v>
      </c>
      <c r="F961" s="32">
        <v>1274</v>
      </c>
      <c r="G961" s="32">
        <v>50</v>
      </c>
      <c r="H961" s="40">
        <v>600</v>
      </c>
      <c r="I961" s="32">
        <v>695</v>
      </c>
      <c r="J961" s="32">
        <v>0</v>
      </c>
      <c r="K961" s="33"/>
      <c r="L961" s="33"/>
      <c r="M961" s="33"/>
      <c r="N961" s="33"/>
      <c r="O961" s="33"/>
      <c r="P961" s="33"/>
      <c r="Q961" s="33"/>
      <c r="R961" s="33"/>
      <c r="S961" s="33"/>
      <c r="T961" s="33"/>
    </row>
    <row r="962" spans="1:20" ht="15.75">
      <c r="A962" s="13">
        <v>71163</v>
      </c>
      <c r="B962" s="41">
        <f t="shared" si="6"/>
        <v>31</v>
      </c>
      <c r="C962" s="32">
        <v>131.881</v>
      </c>
      <c r="D962" s="32">
        <v>277.16699999999997</v>
      </c>
      <c r="E962" s="38">
        <v>829.952</v>
      </c>
      <c r="F962" s="32">
        <v>1239</v>
      </c>
      <c r="G962" s="32">
        <v>75</v>
      </c>
      <c r="H962" s="40">
        <v>600</v>
      </c>
      <c r="I962" s="32">
        <v>695</v>
      </c>
      <c r="J962" s="32">
        <v>0</v>
      </c>
      <c r="K962" s="33"/>
      <c r="L962" s="33"/>
      <c r="M962" s="33"/>
      <c r="N962" s="33"/>
      <c r="O962" s="33"/>
      <c r="P962" s="33"/>
      <c r="Q962" s="33"/>
      <c r="R962" s="33"/>
      <c r="S962" s="33"/>
      <c r="T962" s="33"/>
    </row>
    <row r="963" spans="1:20" ht="15.75">
      <c r="A963" s="13">
        <v>71193</v>
      </c>
      <c r="B963" s="41">
        <f t="shared" si="6"/>
        <v>30</v>
      </c>
      <c r="C963" s="32">
        <v>122.58</v>
      </c>
      <c r="D963" s="32">
        <v>297.94099999999997</v>
      </c>
      <c r="E963" s="38">
        <v>729.47900000000004</v>
      </c>
      <c r="F963" s="32">
        <v>1150</v>
      </c>
      <c r="G963" s="32">
        <v>100</v>
      </c>
      <c r="H963" s="40">
        <v>600</v>
      </c>
      <c r="I963" s="32">
        <v>695</v>
      </c>
      <c r="J963" s="32">
        <v>50</v>
      </c>
      <c r="K963" s="33"/>
      <c r="L963" s="33"/>
      <c r="M963" s="33"/>
      <c r="N963" s="33"/>
      <c r="O963" s="33"/>
      <c r="P963" s="33"/>
      <c r="Q963" s="33"/>
      <c r="R963" s="33"/>
      <c r="S963" s="33"/>
      <c r="T963" s="33"/>
    </row>
    <row r="964" spans="1:20" ht="15.75">
      <c r="A964" s="13">
        <v>71224</v>
      </c>
      <c r="B964" s="41">
        <f t="shared" si="6"/>
        <v>31</v>
      </c>
      <c r="C964" s="32">
        <v>122.58</v>
      </c>
      <c r="D964" s="32">
        <v>297.94099999999997</v>
      </c>
      <c r="E964" s="38">
        <v>729.47900000000004</v>
      </c>
      <c r="F964" s="32">
        <v>1150</v>
      </c>
      <c r="G964" s="32">
        <v>100</v>
      </c>
      <c r="H964" s="40">
        <v>600</v>
      </c>
      <c r="I964" s="32">
        <v>695</v>
      </c>
      <c r="J964" s="32">
        <v>50</v>
      </c>
      <c r="K964" s="33"/>
      <c r="L964" s="33"/>
      <c r="M964" s="33"/>
      <c r="N964" s="33"/>
      <c r="O964" s="33"/>
      <c r="P964" s="33"/>
      <c r="Q964" s="33"/>
      <c r="R964" s="33"/>
      <c r="S964" s="33"/>
      <c r="T964" s="33"/>
    </row>
    <row r="965" spans="1:20" ht="15.75">
      <c r="A965" s="13">
        <v>71255</v>
      </c>
      <c r="B965" s="41">
        <f t="shared" si="6"/>
        <v>31</v>
      </c>
      <c r="C965" s="32">
        <v>122.58</v>
      </c>
      <c r="D965" s="32">
        <v>297.94099999999997</v>
      </c>
      <c r="E965" s="38">
        <v>729.47900000000004</v>
      </c>
      <c r="F965" s="32">
        <v>1150</v>
      </c>
      <c r="G965" s="32">
        <v>100</v>
      </c>
      <c r="H965" s="40">
        <v>600</v>
      </c>
      <c r="I965" s="32">
        <v>695</v>
      </c>
      <c r="J965" s="32">
        <v>50</v>
      </c>
      <c r="K965" s="33"/>
      <c r="L965" s="33"/>
      <c r="M965" s="33"/>
      <c r="N965" s="33"/>
      <c r="O965" s="33"/>
      <c r="P965" s="33"/>
      <c r="Q965" s="33"/>
      <c r="R965" s="33"/>
      <c r="S965" s="33"/>
      <c r="T965" s="33"/>
    </row>
    <row r="966" spans="1:20" ht="15.75">
      <c r="A966" s="13">
        <v>71283</v>
      </c>
      <c r="B966" s="41">
        <f t="shared" si="6"/>
        <v>28</v>
      </c>
      <c r="C966" s="32">
        <v>122.58</v>
      </c>
      <c r="D966" s="32">
        <v>297.94099999999997</v>
      </c>
      <c r="E966" s="38">
        <v>729.47900000000004</v>
      </c>
      <c r="F966" s="32">
        <v>1150</v>
      </c>
      <c r="G966" s="32">
        <v>100</v>
      </c>
      <c r="H966" s="40">
        <v>600</v>
      </c>
      <c r="I966" s="32">
        <v>695</v>
      </c>
      <c r="J966" s="32">
        <v>50</v>
      </c>
      <c r="K966" s="33"/>
      <c r="L966" s="33"/>
      <c r="M966" s="33"/>
      <c r="N966" s="33"/>
      <c r="O966" s="33"/>
      <c r="P966" s="33"/>
      <c r="Q966" s="33"/>
      <c r="R966" s="33"/>
      <c r="S966" s="33"/>
      <c r="T966" s="33"/>
    </row>
    <row r="967" spans="1:20" ht="15.75">
      <c r="A967" s="13">
        <v>71314</v>
      </c>
      <c r="B967" s="41">
        <f t="shared" si="6"/>
        <v>31</v>
      </c>
      <c r="C967" s="32">
        <v>122.58</v>
      </c>
      <c r="D967" s="32">
        <v>297.94099999999997</v>
      </c>
      <c r="E967" s="38">
        <v>729.47900000000004</v>
      </c>
      <c r="F967" s="32">
        <v>1150</v>
      </c>
      <c r="G967" s="32">
        <v>100</v>
      </c>
      <c r="H967" s="40">
        <v>600</v>
      </c>
      <c r="I967" s="32">
        <v>695</v>
      </c>
      <c r="J967" s="32">
        <v>50</v>
      </c>
      <c r="K967" s="33"/>
      <c r="L967" s="33"/>
      <c r="M967" s="33"/>
      <c r="N967" s="33"/>
      <c r="O967" s="33"/>
      <c r="P967" s="33"/>
      <c r="Q967" s="33"/>
      <c r="R967" s="33"/>
      <c r="S967" s="33"/>
      <c r="T967" s="33"/>
    </row>
    <row r="968" spans="1:20" ht="15.75">
      <c r="A968" s="13">
        <v>71344</v>
      </c>
      <c r="B968" s="41">
        <f t="shared" si="6"/>
        <v>30</v>
      </c>
      <c r="C968" s="32">
        <v>141.29300000000001</v>
      </c>
      <c r="D968" s="32">
        <v>267.99299999999999</v>
      </c>
      <c r="E968" s="38">
        <v>829.71400000000006</v>
      </c>
      <c r="F968" s="32">
        <v>1239</v>
      </c>
      <c r="G968" s="32">
        <v>100</v>
      </c>
      <c r="H968" s="40">
        <v>600</v>
      </c>
      <c r="I968" s="32">
        <v>695</v>
      </c>
      <c r="J968" s="32">
        <v>50</v>
      </c>
      <c r="K968" s="33"/>
      <c r="L968" s="33"/>
      <c r="M968" s="33"/>
      <c r="N968" s="33"/>
      <c r="O968" s="33"/>
      <c r="P968" s="33"/>
      <c r="Q968" s="33"/>
      <c r="R968" s="33"/>
      <c r="S968" s="33"/>
      <c r="T968" s="33"/>
    </row>
    <row r="969" spans="1:20" ht="15.75">
      <c r="A969" s="13">
        <v>71375</v>
      </c>
      <c r="B969" s="41">
        <f t="shared" si="6"/>
        <v>31</v>
      </c>
      <c r="C969" s="32">
        <v>194.20500000000001</v>
      </c>
      <c r="D969" s="32">
        <v>267.46600000000001</v>
      </c>
      <c r="E969" s="38">
        <v>812.32899999999995</v>
      </c>
      <c r="F969" s="32">
        <v>1274</v>
      </c>
      <c r="G969" s="32">
        <v>75</v>
      </c>
      <c r="H969" s="40">
        <v>600</v>
      </c>
      <c r="I969" s="32">
        <v>695</v>
      </c>
      <c r="J969" s="32">
        <v>50</v>
      </c>
      <c r="K969" s="33"/>
      <c r="L969" s="33"/>
      <c r="M969" s="33"/>
      <c r="N969" s="33"/>
      <c r="O969" s="33"/>
      <c r="P969" s="33"/>
      <c r="Q969" s="33"/>
      <c r="R969" s="33"/>
      <c r="S969" s="33"/>
      <c r="T969" s="33"/>
    </row>
    <row r="970" spans="1:20" ht="15.75">
      <c r="A970" s="13">
        <v>71405</v>
      </c>
      <c r="B970" s="41">
        <f t="shared" si="6"/>
        <v>30</v>
      </c>
      <c r="C970" s="32">
        <v>194.20500000000001</v>
      </c>
      <c r="D970" s="32">
        <v>267.46600000000001</v>
      </c>
      <c r="E970" s="38">
        <v>812.32899999999995</v>
      </c>
      <c r="F970" s="32">
        <v>1274</v>
      </c>
      <c r="G970" s="32">
        <v>50</v>
      </c>
      <c r="H970" s="40">
        <v>600</v>
      </c>
      <c r="I970" s="32">
        <v>695</v>
      </c>
      <c r="J970" s="32">
        <v>50</v>
      </c>
      <c r="K970" s="33"/>
      <c r="L970" s="33"/>
      <c r="M970" s="33"/>
      <c r="N970" s="33"/>
      <c r="O970" s="33"/>
      <c r="P970" s="33"/>
      <c r="Q970" s="33"/>
      <c r="R970" s="33"/>
      <c r="S970" s="33"/>
      <c r="T970" s="33"/>
    </row>
    <row r="971" spans="1:20" ht="15.75">
      <c r="A971" s="13">
        <v>71436</v>
      </c>
      <c r="B971" s="41">
        <f t="shared" si="6"/>
        <v>31</v>
      </c>
      <c r="C971" s="32">
        <v>194.20500000000001</v>
      </c>
      <c r="D971" s="32">
        <v>267.46600000000001</v>
      </c>
      <c r="E971" s="38">
        <v>812.32899999999995</v>
      </c>
      <c r="F971" s="32">
        <v>1274</v>
      </c>
      <c r="G971" s="32">
        <v>50</v>
      </c>
      <c r="H971" s="40">
        <v>600</v>
      </c>
      <c r="I971" s="32">
        <v>695</v>
      </c>
      <c r="J971" s="32">
        <v>0</v>
      </c>
      <c r="K971" s="33"/>
      <c r="L971" s="33"/>
      <c r="M971" s="33"/>
      <c r="N971" s="33"/>
      <c r="O971" s="33"/>
      <c r="P971" s="33"/>
      <c r="Q971" s="33"/>
      <c r="R971" s="33"/>
      <c r="S971" s="33"/>
      <c r="T971" s="33"/>
    </row>
    <row r="972" spans="1:20" ht="15.75">
      <c r="A972" s="13">
        <v>71467</v>
      </c>
      <c r="B972" s="41">
        <f t="shared" si="6"/>
        <v>31</v>
      </c>
      <c r="C972" s="32">
        <v>194.20500000000001</v>
      </c>
      <c r="D972" s="32">
        <v>267.46600000000001</v>
      </c>
      <c r="E972" s="38">
        <v>812.32899999999995</v>
      </c>
      <c r="F972" s="32">
        <v>1274</v>
      </c>
      <c r="G972" s="32">
        <v>50</v>
      </c>
      <c r="H972" s="40">
        <v>600</v>
      </c>
      <c r="I972" s="32">
        <v>695</v>
      </c>
      <c r="J972" s="32">
        <v>0</v>
      </c>
      <c r="K972" s="33"/>
      <c r="L972" s="33"/>
      <c r="M972" s="33"/>
      <c r="N972" s="33"/>
      <c r="O972" s="33"/>
      <c r="P972" s="33"/>
      <c r="Q972" s="33"/>
      <c r="R972" s="33"/>
      <c r="S972" s="33"/>
      <c r="T972" s="33"/>
    </row>
    <row r="973" spans="1:20" ht="15.75">
      <c r="A973" s="13">
        <v>71497</v>
      </c>
      <c r="B973" s="41">
        <f t="shared" si="6"/>
        <v>30</v>
      </c>
      <c r="C973" s="32">
        <v>194.20500000000001</v>
      </c>
      <c r="D973" s="32">
        <v>267.46600000000001</v>
      </c>
      <c r="E973" s="38">
        <v>812.32899999999995</v>
      </c>
      <c r="F973" s="32">
        <v>1274</v>
      </c>
      <c r="G973" s="32">
        <v>50</v>
      </c>
      <c r="H973" s="40">
        <v>600</v>
      </c>
      <c r="I973" s="32">
        <v>695</v>
      </c>
      <c r="J973" s="32">
        <v>0</v>
      </c>
      <c r="K973" s="33"/>
      <c r="L973" s="33"/>
      <c r="M973" s="33"/>
      <c r="N973" s="33"/>
      <c r="O973" s="33"/>
      <c r="P973" s="33"/>
      <c r="Q973" s="33"/>
      <c r="R973" s="33"/>
      <c r="S973" s="33"/>
      <c r="T973" s="33"/>
    </row>
    <row r="974" spans="1:20" ht="15.75">
      <c r="A974" s="13">
        <v>71528</v>
      </c>
      <c r="B974" s="41">
        <f t="shared" si="6"/>
        <v>31</v>
      </c>
      <c r="C974" s="32">
        <v>131.881</v>
      </c>
      <c r="D974" s="32">
        <v>277.16699999999997</v>
      </c>
      <c r="E974" s="38">
        <v>829.952</v>
      </c>
      <c r="F974" s="32">
        <v>1239</v>
      </c>
      <c r="G974" s="32">
        <v>75</v>
      </c>
      <c r="H974" s="40">
        <v>600</v>
      </c>
      <c r="I974" s="32">
        <v>695</v>
      </c>
      <c r="J974" s="32">
        <v>0</v>
      </c>
      <c r="K974" s="33"/>
      <c r="L974" s="33"/>
      <c r="M974" s="33"/>
      <c r="N974" s="33"/>
      <c r="O974" s="33"/>
      <c r="P974" s="33"/>
      <c r="Q974" s="33"/>
      <c r="R974" s="33"/>
      <c r="S974" s="33"/>
      <c r="T974" s="33"/>
    </row>
    <row r="975" spans="1:20" ht="15.75">
      <c r="A975" s="13">
        <v>71558</v>
      </c>
      <c r="B975" s="41">
        <f t="shared" si="6"/>
        <v>30</v>
      </c>
      <c r="C975" s="32">
        <v>122.58</v>
      </c>
      <c r="D975" s="32">
        <v>297.94099999999997</v>
      </c>
      <c r="E975" s="38">
        <v>729.47900000000004</v>
      </c>
      <c r="F975" s="32">
        <v>1150</v>
      </c>
      <c r="G975" s="32">
        <v>100</v>
      </c>
      <c r="H975" s="40">
        <v>600</v>
      </c>
      <c r="I975" s="32">
        <v>695</v>
      </c>
      <c r="J975" s="32">
        <v>50</v>
      </c>
      <c r="K975" s="33"/>
      <c r="L975" s="33"/>
      <c r="M975" s="33"/>
      <c r="N975" s="33"/>
      <c r="O975" s="33"/>
      <c r="P975" s="33"/>
      <c r="Q975" s="33"/>
      <c r="R975" s="33"/>
      <c r="S975" s="33"/>
      <c r="T975" s="33"/>
    </row>
    <row r="976" spans="1:20" ht="15.75">
      <c r="A976" s="13">
        <v>71589</v>
      </c>
      <c r="B976" s="41">
        <f t="shared" si="6"/>
        <v>31</v>
      </c>
      <c r="C976" s="32">
        <v>122.58</v>
      </c>
      <c r="D976" s="32">
        <v>297.94099999999997</v>
      </c>
      <c r="E976" s="38">
        <v>729.47900000000004</v>
      </c>
      <c r="F976" s="32">
        <v>1150</v>
      </c>
      <c r="G976" s="32">
        <v>100</v>
      </c>
      <c r="H976" s="40">
        <v>600</v>
      </c>
      <c r="I976" s="32">
        <v>695</v>
      </c>
      <c r="J976" s="32">
        <v>50</v>
      </c>
      <c r="K976" s="33"/>
      <c r="L976" s="33"/>
      <c r="M976" s="33"/>
      <c r="N976" s="33"/>
      <c r="O976" s="33"/>
      <c r="P976" s="33"/>
      <c r="Q976" s="33"/>
      <c r="R976" s="33"/>
      <c r="S976" s="33"/>
      <c r="T976" s="33"/>
    </row>
    <row r="977" spans="1:20" ht="15.75">
      <c r="A977" s="13">
        <v>71620</v>
      </c>
      <c r="B977" s="41">
        <f t="shared" si="6"/>
        <v>31</v>
      </c>
      <c r="C977" s="32">
        <v>122.58</v>
      </c>
      <c r="D977" s="32">
        <v>297.94099999999997</v>
      </c>
      <c r="E977" s="38">
        <v>729.47900000000004</v>
      </c>
      <c r="F977" s="32">
        <v>1150</v>
      </c>
      <c r="G977" s="32">
        <v>100</v>
      </c>
      <c r="H977" s="40">
        <v>600</v>
      </c>
      <c r="I977" s="32">
        <v>695</v>
      </c>
      <c r="J977" s="32">
        <v>50</v>
      </c>
      <c r="K977" s="33"/>
      <c r="L977" s="33"/>
      <c r="M977" s="33"/>
      <c r="N977" s="33"/>
      <c r="O977" s="33"/>
      <c r="P977" s="33"/>
      <c r="Q977" s="33"/>
      <c r="R977" s="33"/>
      <c r="S977" s="33"/>
      <c r="T977" s="33"/>
    </row>
    <row r="978" spans="1:20" ht="15.75">
      <c r="A978" s="13">
        <v>71649</v>
      </c>
      <c r="B978" s="41">
        <f t="shared" si="6"/>
        <v>29</v>
      </c>
      <c r="C978" s="32">
        <v>122.58</v>
      </c>
      <c r="D978" s="32">
        <v>297.94099999999997</v>
      </c>
      <c r="E978" s="38">
        <v>729.47900000000004</v>
      </c>
      <c r="F978" s="32">
        <v>1150</v>
      </c>
      <c r="G978" s="32">
        <v>100</v>
      </c>
      <c r="H978" s="40">
        <v>600</v>
      </c>
      <c r="I978" s="32">
        <v>695</v>
      </c>
      <c r="J978" s="32">
        <v>50</v>
      </c>
      <c r="K978" s="33"/>
      <c r="L978" s="33"/>
      <c r="M978" s="33"/>
      <c r="N978" s="33"/>
      <c r="O978" s="33"/>
      <c r="P978" s="33"/>
      <c r="Q978" s="33"/>
      <c r="R978" s="33"/>
      <c r="S978" s="33"/>
      <c r="T978" s="33"/>
    </row>
    <row r="979" spans="1:20" ht="15.75">
      <c r="A979" s="13">
        <v>71680</v>
      </c>
      <c r="B979" s="41">
        <f t="shared" si="6"/>
        <v>31</v>
      </c>
      <c r="C979" s="32">
        <v>122.58</v>
      </c>
      <c r="D979" s="32">
        <v>297.94099999999997</v>
      </c>
      <c r="E979" s="38">
        <v>729.47900000000004</v>
      </c>
      <c r="F979" s="32">
        <v>1150</v>
      </c>
      <c r="G979" s="32">
        <v>100</v>
      </c>
      <c r="H979" s="40">
        <v>600</v>
      </c>
      <c r="I979" s="32">
        <v>695</v>
      </c>
      <c r="J979" s="32">
        <v>50</v>
      </c>
      <c r="K979" s="33"/>
      <c r="L979" s="33"/>
      <c r="M979" s="33"/>
      <c r="N979" s="33"/>
      <c r="O979" s="33"/>
      <c r="P979" s="33"/>
      <c r="Q979" s="33"/>
      <c r="R979" s="33"/>
      <c r="S979" s="33"/>
      <c r="T979" s="33"/>
    </row>
    <row r="980" spans="1:20" ht="15.75">
      <c r="A980" s="13">
        <v>71710</v>
      </c>
      <c r="B980" s="41">
        <f t="shared" si="6"/>
        <v>30</v>
      </c>
      <c r="C980" s="32">
        <v>141.29300000000001</v>
      </c>
      <c r="D980" s="32">
        <v>267.99299999999999</v>
      </c>
      <c r="E980" s="38">
        <v>829.71400000000006</v>
      </c>
      <c r="F980" s="32">
        <v>1239</v>
      </c>
      <c r="G980" s="32">
        <v>100</v>
      </c>
      <c r="H980" s="40">
        <v>600</v>
      </c>
      <c r="I980" s="32">
        <v>695</v>
      </c>
      <c r="J980" s="32">
        <v>50</v>
      </c>
      <c r="K980" s="33"/>
      <c r="L980" s="33"/>
      <c r="M980" s="33"/>
      <c r="N980" s="33"/>
      <c r="O980" s="33"/>
      <c r="P980" s="33"/>
      <c r="Q980" s="33"/>
      <c r="R980" s="33"/>
      <c r="S980" s="33"/>
      <c r="T980" s="33"/>
    </row>
    <row r="981" spans="1:20" ht="15.75">
      <c r="A981" s="13">
        <v>71741</v>
      </c>
      <c r="B981" s="41">
        <f t="shared" si="6"/>
        <v>31</v>
      </c>
      <c r="C981" s="32">
        <v>194.20500000000001</v>
      </c>
      <c r="D981" s="32">
        <v>267.46600000000001</v>
      </c>
      <c r="E981" s="38">
        <v>812.32899999999995</v>
      </c>
      <c r="F981" s="32">
        <v>1274</v>
      </c>
      <c r="G981" s="32">
        <v>75</v>
      </c>
      <c r="H981" s="40">
        <v>600</v>
      </c>
      <c r="I981" s="32">
        <v>695</v>
      </c>
      <c r="J981" s="32">
        <v>50</v>
      </c>
      <c r="K981" s="33"/>
      <c r="L981" s="33"/>
      <c r="M981" s="33"/>
      <c r="N981" s="33"/>
      <c r="O981" s="33"/>
      <c r="P981" s="33"/>
      <c r="Q981" s="33"/>
      <c r="R981" s="33"/>
      <c r="S981" s="33"/>
      <c r="T981" s="33"/>
    </row>
    <row r="982" spans="1:20" ht="15.75">
      <c r="A982" s="13">
        <v>71771</v>
      </c>
      <c r="B982" s="41">
        <f t="shared" si="6"/>
        <v>30</v>
      </c>
      <c r="C982" s="32">
        <v>194.20500000000001</v>
      </c>
      <c r="D982" s="32">
        <v>267.46600000000001</v>
      </c>
      <c r="E982" s="38">
        <v>812.32899999999995</v>
      </c>
      <c r="F982" s="32">
        <v>1274</v>
      </c>
      <c r="G982" s="32">
        <v>50</v>
      </c>
      <c r="H982" s="40">
        <v>600</v>
      </c>
      <c r="I982" s="32">
        <v>695</v>
      </c>
      <c r="J982" s="32">
        <v>50</v>
      </c>
      <c r="K982" s="33"/>
      <c r="L982" s="33"/>
      <c r="M982" s="33"/>
      <c r="N982" s="33"/>
      <c r="O982" s="33"/>
      <c r="P982" s="33"/>
      <c r="Q982" s="33"/>
      <c r="R982" s="33"/>
      <c r="S982" s="33"/>
      <c r="T982" s="33"/>
    </row>
    <row r="983" spans="1:20" ht="15.75">
      <c r="A983" s="13">
        <v>71802</v>
      </c>
      <c r="B983" s="41">
        <f t="shared" si="6"/>
        <v>31</v>
      </c>
      <c r="C983" s="32">
        <v>194.20500000000001</v>
      </c>
      <c r="D983" s="32">
        <v>267.46600000000001</v>
      </c>
      <c r="E983" s="38">
        <v>812.32899999999995</v>
      </c>
      <c r="F983" s="32">
        <v>1274</v>
      </c>
      <c r="G983" s="32">
        <v>50</v>
      </c>
      <c r="H983" s="40">
        <v>600</v>
      </c>
      <c r="I983" s="32">
        <v>695</v>
      </c>
      <c r="J983" s="32">
        <v>0</v>
      </c>
      <c r="K983" s="33"/>
      <c r="L983" s="33"/>
      <c r="M983" s="33"/>
      <c r="N983" s="33"/>
      <c r="O983" s="33"/>
      <c r="P983" s="33"/>
      <c r="Q983" s="33"/>
      <c r="R983" s="33"/>
      <c r="S983" s="33"/>
      <c r="T983" s="33"/>
    </row>
    <row r="984" spans="1:20" ht="15.75">
      <c r="A984" s="13">
        <v>71833</v>
      </c>
      <c r="B984" s="41">
        <f t="shared" si="6"/>
        <v>31</v>
      </c>
      <c r="C984" s="32">
        <v>194.20500000000001</v>
      </c>
      <c r="D984" s="32">
        <v>267.46600000000001</v>
      </c>
      <c r="E984" s="38">
        <v>812.32899999999995</v>
      </c>
      <c r="F984" s="32">
        <v>1274</v>
      </c>
      <c r="G984" s="32">
        <v>50</v>
      </c>
      <c r="H984" s="40">
        <v>600</v>
      </c>
      <c r="I984" s="32">
        <v>695</v>
      </c>
      <c r="J984" s="32">
        <v>0</v>
      </c>
      <c r="K984" s="33"/>
      <c r="L984" s="33"/>
      <c r="M984" s="33"/>
      <c r="N984" s="33"/>
      <c r="O984" s="33"/>
      <c r="P984" s="33"/>
      <c r="Q984" s="33"/>
      <c r="R984" s="33"/>
      <c r="S984" s="33"/>
      <c r="T984" s="33"/>
    </row>
    <row r="985" spans="1:20" ht="15.75">
      <c r="A985" s="13">
        <v>71863</v>
      </c>
      <c r="B985" s="41">
        <f t="shared" si="6"/>
        <v>30</v>
      </c>
      <c r="C985" s="32">
        <v>194.20500000000001</v>
      </c>
      <c r="D985" s="32">
        <v>267.46600000000001</v>
      </c>
      <c r="E985" s="38">
        <v>812.32899999999995</v>
      </c>
      <c r="F985" s="32">
        <v>1274</v>
      </c>
      <c r="G985" s="32">
        <v>50</v>
      </c>
      <c r="H985" s="40">
        <v>600</v>
      </c>
      <c r="I985" s="32">
        <v>695</v>
      </c>
      <c r="J985" s="32">
        <v>0</v>
      </c>
      <c r="K985" s="33"/>
      <c r="L985" s="33"/>
      <c r="M985" s="33"/>
      <c r="N985" s="33"/>
      <c r="O985" s="33"/>
      <c r="P985" s="33"/>
      <c r="Q985" s="33"/>
      <c r="R985" s="33"/>
      <c r="S985" s="33"/>
      <c r="T985" s="33"/>
    </row>
    <row r="986" spans="1:20" ht="15.75">
      <c r="A986" s="13">
        <v>71894</v>
      </c>
      <c r="B986" s="41">
        <f t="shared" si="6"/>
        <v>31</v>
      </c>
      <c r="C986" s="32">
        <v>131.881</v>
      </c>
      <c r="D986" s="32">
        <v>277.16699999999997</v>
      </c>
      <c r="E986" s="38">
        <v>829.952</v>
      </c>
      <c r="F986" s="32">
        <v>1239</v>
      </c>
      <c r="G986" s="32">
        <v>75</v>
      </c>
      <c r="H986" s="40">
        <v>600</v>
      </c>
      <c r="I986" s="32">
        <v>695</v>
      </c>
      <c r="J986" s="32">
        <v>0</v>
      </c>
      <c r="K986" s="33"/>
      <c r="L986" s="33"/>
      <c r="M986" s="33"/>
      <c r="N986" s="33"/>
      <c r="O986" s="33"/>
      <c r="P986" s="33"/>
      <c r="Q986" s="33"/>
      <c r="R986" s="33"/>
      <c r="S986" s="33"/>
      <c r="T986" s="33"/>
    </row>
    <row r="987" spans="1:20" ht="15.75">
      <c r="A987" s="13">
        <v>71924</v>
      </c>
      <c r="B987" s="41">
        <f t="shared" si="6"/>
        <v>30</v>
      </c>
      <c r="C987" s="32">
        <v>122.58</v>
      </c>
      <c r="D987" s="32">
        <v>297.94099999999997</v>
      </c>
      <c r="E987" s="38">
        <v>729.47900000000004</v>
      </c>
      <c r="F987" s="32">
        <v>1150</v>
      </c>
      <c r="G987" s="32">
        <v>100</v>
      </c>
      <c r="H987" s="40">
        <v>600</v>
      </c>
      <c r="I987" s="32">
        <v>695</v>
      </c>
      <c r="J987" s="32">
        <v>50</v>
      </c>
      <c r="K987" s="33"/>
      <c r="L987" s="33"/>
      <c r="M987" s="33"/>
      <c r="N987" s="33"/>
      <c r="O987" s="33"/>
      <c r="P987" s="33"/>
      <c r="Q987" s="33"/>
      <c r="R987" s="33"/>
      <c r="S987" s="33"/>
      <c r="T987" s="33"/>
    </row>
    <row r="988" spans="1:20" ht="15.75">
      <c r="A988" s="13">
        <v>71955</v>
      </c>
      <c r="B988" s="41">
        <f t="shared" si="6"/>
        <v>31</v>
      </c>
      <c r="C988" s="32">
        <v>122.58</v>
      </c>
      <c r="D988" s="32">
        <v>297.94099999999997</v>
      </c>
      <c r="E988" s="38">
        <v>729.47900000000004</v>
      </c>
      <c r="F988" s="32">
        <v>1150</v>
      </c>
      <c r="G988" s="32">
        <v>100</v>
      </c>
      <c r="H988" s="40">
        <v>600</v>
      </c>
      <c r="I988" s="32">
        <v>695</v>
      </c>
      <c r="J988" s="32">
        <v>50</v>
      </c>
      <c r="K988" s="33"/>
      <c r="L988" s="33"/>
      <c r="M988" s="33"/>
      <c r="N988" s="33"/>
      <c r="O988" s="33"/>
      <c r="P988" s="33"/>
      <c r="Q988" s="33"/>
      <c r="R988" s="33"/>
      <c r="S988" s="33"/>
      <c r="T988" s="33"/>
    </row>
    <row r="989" spans="1:20" ht="15.75">
      <c r="A989" s="13">
        <v>71986</v>
      </c>
      <c r="B989" s="41">
        <f t="shared" si="6"/>
        <v>31</v>
      </c>
      <c r="C989" s="32">
        <v>122.58</v>
      </c>
      <c r="D989" s="32">
        <v>297.94099999999997</v>
      </c>
      <c r="E989" s="38">
        <v>729.47900000000004</v>
      </c>
      <c r="F989" s="32">
        <v>1150</v>
      </c>
      <c r="G989" s="32">
        <v>100</v>
      </c>
      <c r="H989" s="40">
        <v>600</v>
      </c>
      <c r="I989" s="32">
        <v>695</v>
      </c>
      <c r="J989" s="32">
        <v>50</v>
      </c>
      <c r="K989" s="33"/>
      <c r="L989" s="33"/>
      <c r="M989" s="33"/>
      <c r="N989" s="33"/>
      <c r="O989" s="33"/>
      <c r="P989" s="33"/>
      <c r="Q989" s="33"/>
      <c r="R989" s="33"/>
      <c r="S989" s="33"/>
      <c r="T989" s="33"/>
    </row>
    <row r="990" spans="1:20" ht="15.75">
      <c r="A990" s="13">
        <v>72014</v>
      </c>
      <c r="B990" s="41">
        <f t="shared" si="6"/>
        <v>28</v>
      </c>
      <c r="C990" s="32">
        <v>122.58</v>
      </c>
      <c r="D990" s="32">
        <v>297.94099999999997</v>
      </c>
      <c r="E990" s="38">
        <v>729.47900000000004</v>
      </c>
      <c r="F990" s="32">
        <v>1150</v>
      </c>
      <c r="G990" s="32">
        <v>100</v>
      </c>
      <c r="H990" s="40">
        <v>600</v>
      </c>
      <c r="I990" s="32">
        <v>695</v>
      </c>
      <c r="J990" s="32">
        <v>50</v>
      </c>
      <c r="K990" s="33"/>
      <c r="L990" s="33"/>
      <c r="M990" s="33"/>
      <c r="N990" s="33"/>
      <c r="O990" s="33"/>
      <c r="P990" s="33"/>
      <c r="Q990" s="33"/>
      <c r="R990" s="33"/>
      <c r="S990" s="33"/>
      <c r="T990" s="33"/>
    </row>
    <row r="991" spans="1:20" ht="15.75">
      <c r="A991" s="13">
        <v>72045</v>
      </c>
      <c r="B991" s="41">
        <f t="shared" si="6"/>
        <v>31</v>
      </c>
      <c r="C991" s="32">
        <v>122.58</v>
      </c>
      <c r="D991" s="32">
        <v>297.94099999999997</v>
      </c>
      <c r="E991" s="38">
        <v>729.47900000000004</v>
      </c>
      <c r="F991" s="32">
        <v>1150</v>
      </c>
      <c r="G991" s="32">
        <v>100</v>
      </c>
      <c r="H991" s="40">
        <v>600</v>
      </c>
      <c r="I991" s="32">
        <v>695</v>
      </c>
      <c r="J991" s="32">
        <v>50</v>
      </c>
      <c r="K991" s="33"/>
      <c r="L991" s="33"/>
      <c r="M991" s="33"/>
      <c r="N991" s="33"/>
      <c r="O991" s="33"/>
      <c r="P991" s="33"/>
      <c r="Q991" s="33"/>
      <c r="R991" s="33"/>
      <c r="S991" s="33"/>
      <c r="T991" s="33"/>
    </row>
    <row r="992" spans="1:20" ht="15.75">
      <c r="A992" s="13">
        <v>72075</v>
      </c>
      <c r="B992" s="41">
        <f t="shared" si="6"/>
        <v>30</v>
      </c>
      <c r="C992" s="32">
        <v>141.29300000000001</v>
      </c>
      <c r="D992" s="32">
        <v>267.99299999999999</v>
      </c>
      <c r="E992" s="38">
        <v>829.71400000000006</v>
      </c>
      <c r="F992" s="32">
        <v>1239</v>
      </c>
      <c r="G992" s="32">
        <v>100</v>
      </c>
      <c r="H992" s="40">
        <v>600</v>
      </c>
      <c r="I992" s="32">
        <v>695</v>
      </c>
      <c r="J992" s="32">
        <v>50</v>
      </c>
      <c r="K992" s="33"/>
      <c r="L992" s="33"/>
      <c r="M992" s="33"/>
      <c r="N992" s="33"/>
      <c r="O992" s="33"/>
      <c r="P992" s="33"/>
      <c r="Q992" s="33"/>
      <c r="R992" s="33"/>
      <c r="S992" s="33"/>
      <c r="T992" s="33"/>
    </row>
    <row r="993" spans="1:20" ht="15.75">
      <c r="A993" s="13">
        <v>72106</v>
      </c>
      <c r="B993" s="41">
        <f t="shared" si="6"/>
        <v>31</v>
      </c>
      <c r="C993" s="32">
        <v>194.20500000000001</v>
      </c>
      <c r="D993" s="32">
        <v>267.46600000000001</v>
      </c>
      <c r="E993" s="38">
        <v>812.32899999999995</v>
      </c>
      <c r="F993" s="32">
        <v>1274</v>
      </c>
      <c r="G993" s="32">
        <v>75</v>
      </c>
      <c r="H993" s="40">
        <v>600</v>
      </c>
      <c r="I993" s="32">
        <v>695</v>
      </c>
      <c r="J993" s="32">
        <v>50</v>
      </c>
      <c r="K993" s="33"/>
      <c r="L993" s="33"/>
      <c r="M993" s="33"/>
      <c r="N993" s="33"/>
      <c r="O993" s="33"/>
      <c r="P993" s="33"/>
      <c r="Q993" s="33"/>
      <c r="R993" s="33"/>
      <c r="S993" s="33"/>
      <c r="T993" s="33"/>
    </row>
    <row r="994" spans="1:20" ht="15.75">
      <c r="A994" s="13">
        <v>72136</v>
      </c>
      <c r="B994" s="41">
        <f t="shared" si="6"/>
        <v>30</v>
      </c>
      <c r="C994" s="32">
        <v>194.20500000000001</v>
      </c>
      <c r="D994" s="32">
        <v>267.46600000000001</v>
      </c>
      <c r="E994" s="38">
        <v>812.32899999999995</v>
      </c>
      <c r="F994" s="32">
        <v>1274</v>
      </c>
      <c r="G994" s="32">
        <v>50</v>
      </c>
      <c r="H994" s="40">
        <v>600</v>
      </c>
      <c r="I994" s="32">
        <v>695</v>
      </c>
      <c r="J994" s="32">
        <v>50</v>
      </c>
      <c r="K994" s="33"/>
      <c r="L994" s="33"/>
      <c r="M994" s="33"/>
      <c r="N994" s="33"/>
      <c r="O994" s="33"/>
      <c r="P994" s="33"/>
      <c r="Q994" s="33"/>
      <c r="R994" s="33"/>
      <c r="S994" s="33"/>
      <c r="T994" s="33"/>
    </row>
    <row r="995" spans="1:20" ht="15.75">
      <c r="A995" s="13">
        <v>72167</v>
      </c>
      <c r="B995" s="41">
        <f t="shared" si="6"/>
        <v>31</v>
      </c>
      <c r="C995" s="32">
        <v>194.20500000000001</v>
      </c>
      <c r="D995" s="32">
        <v>267.46600000000001</v>
      </c>
      <c r="E995" s="38">
        <v>812.32899999999995</v>
      </c>
      <c r="F995" s="32">
        <v>1274</v>
      </c>
      <c r="G995" s="32">
        <v>50</v>
      </c>
      <c r="H995" s="40">
        <v>600</v>
      </c>
      <c r="I995" s="32">
        <v>695</v>
      </c>
      <c r="J995" s="32">
        <v>0</v>
      </c>
      <c r="K995" s="33"/>
      <c r="L995" s="33"/>
      <c r="M995" s="33"/>
      <c r="N995" s="33"/>
      <c r="O995" s="33"/>
      <c r="P995" s="33"/>
      <c r="Q995" s="33"/>
      <c r="R995" s="33"/>
      <c r="S995" s="33"/>
      <c r="T995" s="33"/>
    </row>
    <row r="996" spans="1:20" ht="15.75">
      <c r="A996" s="13">
        <v>72198</v>
      </c>
      <c r="B996" s="41">
        <f t="shared" si="6"/>
        <v>31</v>
      </c>
      <c r="C996" s="32">
        <v>194.20500000000001</v>
      </c>
      <c r="D996" s="32">
        <v>267.46600000000001</v>
      </c>
      <c r="E996" s="38">
        <v>812.32899999999995</v>
      </c>
      <c r="F996" s="32">
        <v>1274</v>
      </c>
      <c r="G996" s="32">
        <v>50</v>
      </c>
      <c r="H996" s="40">
        <v>600</v>
      </c>
      <c r="I996" s="32">
        <v>695</v>
      </c>
      <c r="J996" s="32">
        <v>0</v>
      </c>
      <c r="K996" s="33"/>
      <c r="L996" s="33"/>
      <c r="M996" s="33"/>
      <c r="N996" s="33"/>
      <c r="O996" s="33"/>
      <c r="P996" s="33"/>
      <c r="Q996" s="33"/>
      <c r="R996" s="33"/>
      <c r="S996" s="33"/>
      <c r="T996" s="33"/>
    </row>
    <row r="997" spans="1:20" ht="15.75">
      <c r="A997" s="13">
        <v>72228</v>
      </c>
      <c r="B997" s="41">
        <f t="shared" si="6"/>
        <v>30</v>
      </c>
      <c r="C997" s="32">
        <v>194.20500000000001</v>
      </c>
      <c r="D997" s="32">
        <v>267.46600000000001</v>
      </c>
      <c r="E997" s="38">
        <v>812.32899999999995</v>
      </c>
      <c r="F997" s="32">
        <v>1274</v>
      </c>
      <c r="G997" s="32">
        <v>50</v>
      </c>
      <c r="H997" s="40">
        <v>600</v>
      </c>
      <c r="I997" s="32">
        <v>695</v>
      </c>
      <c r="J997" s="32">
        <v>0</v>
      </c>
      <c r="K997" s="33"/>
      <c r="L997" s="33"/>
      <c r="M997" s="33"/>
      <c r="N997" s="33"/>
      <c r="O997" s="33"/>
      <c r="P997" s="33"/>
      <c r="Q997" s="33"/>
      <c r="R997" s="33"/>
      <c r="S997" s="33"/>
      <c r="T997" s="33"/>
    </row>
    <row r="998" spans="1:20" ht="15.75">
      <c r="A998" s="13">
        <v>72259</v>
      </c>
      <c r="B998" s="41">
        <f t="shared" si="6"/>
        <v>31</v>
      </c>
      <c r="C998" s="32">
        <v>131.881</v>
      </c>
      <c r="D998" s="32">
        <v>277.16699999999997</v>
      </c>
      <c r="E998" s="38">
        <v>829.952</v>
      </c>
      <c r="F998" s="32">
        <v>1239</v>
      </c>
      <c r="G998" s="32">
        <v>75</v>
      </c>
      <c r="H998" s="40">
        <v>600</v>
      </c>
      <c r="I998" s="32">
        <v>695</v>
      </c>
      <c r="J998" s="32">
        <v>0</v>
      </c>
      <c r="K998" s="33"/>
      <c r="L998" s="33"/>
      <c r="M998" s="33"/>
      <c r="N998" s="33"/>
      <c r="O998" s="33"/>
      <c r="P998" s="33"/>
      <c r="Q998" s="33"/>
      <c r="R998" s="33"/>
      <c r="S998" s="33"/>
      <c r="T998" s="33"/>
    </row>
    <row r="999" spans="1:20" ht="15.75">
      <c r="A999" s="13">
        <v>72289</v>
      </c>
      <c r="B999" s="41">
        <f t="shared" si="6"/>
        <v>30</v>
      </c>
      <c r="C999" s="32">
        <v>122.58</v>
      </c>
      <c r="D999" s="32">
        <v>297.94099999999997</v>
      </c>
      <c r="E999" s="38">
        <v>729.47900000000004</v>
      </c>
      <c r="F999" s="32">
        <v>1150</v>
      </c>
      <c r="G999" s="32">
        <v>100</v>
      </c>
      <c r="H999" s="40">
        <v>600</v>
      </c>
      <c r="I999" s="32">
        <v>695</v>
      </c>
      <c r="J999" s="32">
        <v>50</v>
      </c>
      <c r="K999" s="33"/>
      <c r="L999" s="33"/>
      <c r="M999" s="33"/>
      <c r="N999" s="33"/>
      <c r="O999" s="33"/>
      <c r="P999" s="33"/>
      <c r="Q999" s="33"/>
      <c r="R999" s="33"/>
      <c r="S999" s="33"/>
      <c r="T999" s="33"/>
    </row>
    <row r="1000" spans="1:20" ht="15.75">
      <c r="A1000" s="13">
        <v>72320</v>
      </c>
      <c r="B1000" s="41">
        <f t="shared" si="6"/>
        <v>31</v>
      </c>
      <c r="C1000" s="32">
        <v>122.58</v>
      </c>
      <c r="D1000" s="32">
        <v>297.94099999999997</v>
      </c>
      <c r="E1000" s="38">
        <v>729.47900000000004</v>
      </c>
      <c r="F1000" s="32">
        <v>1150</v>
      </c>
      <c r="G1000" s="32">
        <v>100</v>
      </c>
      <c r="H1000" s="40">
        <v>600</v>
      </c>
      <c r="I1000" s="32">
        <v>695</v>
      </c>
      <c r="J1000" s="32">
        <v>50</v>
      </c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</row>
    <row r="1001" spans="1:20" ht="15.75">
      <c r="A1001" s="13">
        <v>72351</v>
      </c>
      <c r="B1001" s="41">
        <f t="shared" si="6"/>
        <v>31</v>
      </c>
      <c r="C1001" s="32">
        <v>122.58</v>
      </c>
      <c r="D1001" s="32">
        <v>297.94099999999997</v>
      </c>
      <c r="E1001" s="38">
        <v>729.47900000000004</v>
      </c>
      <c r="F1001" s="32">
        <v>1150</v>
      </c>
      <c r="G1001" s="32">
        <v>100</v>
      </c>
      <c r="H1001" s="40">
        <v>600</v>
      </c>
      <c r="I1001" s="32">
        <v>695</v>
      </c>
      <c r="J1001" s="32">
        <v>50</v>
      </c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</row>
    <row r="1002" spans="1:20" ht="15.75">
      <c r="A1002" s="13">
        <v>72379</v>
      </c>
      <c r="B1002" s="41">
        <f t="shared" si="6"/>
        <v>28</v>
      </c>
      <c r="C1002" s="32">
        <v>122.58</v>
      </c>
      <c r="D1002" s="32">
        <v>297.94099999999997</v>
      </c>
      <c r="E1002" s="38">
        <v>729.47900000000004</v>
      </c>
      <c r="F1002" s="32">
        <v>1150</v>
      </c>
      <c r="G1002" s="32">
        <v>100</v>
      </c>
      <c r="H1002" s="40">
        <v>600</v>
      </c>
      <c r="I1002" s="32">
        <v>695</v>
      </c>
      <c r="J1002" s="32">
        <v>50</v>
      </c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</row>
    <row r="1003" spans="1:20" ht="15.75">
      <c r="A1003" s="13">
        <v>72410</v>
      </c>
      <c r="B1003" s="41">
        <f t="shared" si="6"/>
        <v>31</v>
      </c>
      <c r="C1003" s="32">
        <v>122.58</v>
      </c>
      <c r="D1003" s="32">
        <v>297.94099999999997</v>
      </c>
      <c r="E1003" s="38">
        <v>729.47900000000004</v>
      </c>
      <c r="F1003" s="32">
        <v>1150</v>
      </c>
      <c r="G1003" s="32">
        <v>100</v>
      </c>
      <c r="H1003" s="40">
        <v>600</v>
      </c>
      <c r="I1003" s="32">
        <v>695</v>
      </c>
      <c r="J1003" s="32">
        <v>50</v>
      </c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</row>
    <row r="1004" spans="1:20" ht="15.75">
      <c r="A1004" s="13">
        <v>72440</v>
      </c>
      <c r="B1004" s="41">
        <f t="shared" si="6"/>
        <v>30</v>
      </c>
      <c r="C1004" s="32">
        <v>141.29300000000001</v>
      </c>
      <c r="D1004" s="32">
        <v>267.99299999999999</v>
      </c>
      <c r="E1004" s="38">
        <v>829.71400000000006</v>
      </c>
      <c r="F1004" s="32">
        <v>1239</v>
      </c>
      <c r="G1004" s="32">
        <v>100</v>
      </c>
      <c r="H1004" s="40">
        <v>600</v>
      </c>
      <c r="I1004" s="32">
        <v>695</v>
      </c>
      <c r="J1004" s="32">
        <v>50</v>
      </c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</row>
    <row r="1005" spans="1:20" ht="15.75">
      <c r="A1005" s="13">
        <v>72471</v>
      </c>
      <c r="B1005" s="41">
        <f t="shared" si="6"/>
        <v>31</v>
      </c>
      <c r="C1005" s="32">
        <v>194.20500000000001</v>
      </c>
      <c r="D1005" s="32">
        <v>267.46600000000001</v>
      </c>
      <c r="E1005" s="38">
        <v>812.32899999999995</v>
      </c>
      <c r="F1005" s="32">
        <v>1274</v>
      </c>
      <c r="G1005" s="32">
        <v>75</v>
      </c>
      <c r="H1005" s="40">
        <v>600</v>
      </c>
      <c r="I1005" s="32">
        <v>695</v>
      </c>
      <c r="J1005" s="32">
        <v>50</v>
      </c>
      <c r="K1005" s="33"/>
      <c r="L1005" s="33"/>
      <c r="M1005" s="33"/>
      <c r="N1005" s="33"/>
      <c r="O1005" s="33"/>
      <c r="P1005" s="33"/>
      <c r="Q1005" s="33"/>
      <c r="R1005" s="33"/>
      <c r="S1005" s="33"/>
      <c r="T1005" s="33"/>
    </row>
    <row r="1006" spans="1:20" ht="15.75">
      <c r="A1006" s="13">
        <v>72501</v>
      </c>
      <c r="B1006" s="41">
        <f t="shared" si="6"/>
        <v>30</v>
      </c>
      <c r="C1006" s="32">
        <v>194.20500000000001</v>
      </c>
      <c r="D1006" s="32">
        <v>267.46600000000001</v>
      </c>
      <c r="E1006" s="38">
        <v>812.32899999999995</v>
      </c>
      <c r="F1006" s="32">
        <v>1274</v>
      </c>
      <c r="G1006" s="32">
        <v>50</v>
      </c>
      <c r="H1006" s="40">
        <v>600</v>
      </c>
      <c r="I1006" s="32">
        <v>695</v>
      </c>
      <c r="J1006" s="32">
        <v>50</v>
      </c>
      <c r="K1006" s="33"/>
      <c r="L1006" s="33"/>
      <c r="M1006" s="33"/>
      <c r="N1006" s="33"/>
      <c r="O1006" s="33"/>
      <c r="P1006" s="33"/>
      <c r="Q1006" s="33"/>
      <c r="R1006" s="33"/>
      <c r="S1006" s="33"/>
      <c r="T1006" s="33"/>
    </row>
    <row r="1007" spans="1:20" ht="15.75">
      <c r="A1007" s="13">
        <v>72532</v>
      </c>
      <c r="B1007" s="41">
        <f t="shared" si="6"/>
        <v>31</v>
      </c>
      <c r="C1007" s="32">
        <v>194.20500000000001</v>
      </c>
      <c r="D1007" s="32">
        <v>267.46600000000001</v>
      </c>
      <c r="E1007" s="38">
        <v>812.32899999999995</v>
      </c>
      <c r="F1007" s="32">
        <v>1274</v>
      </c>
      <c r="G1007" s="32">
        <v>50</v>
      </c>
      <c r="H1007" s="40">
        <v>600</v>
      </c>
      <c r="I1007" s="32">
        <v>695</v>
      </c>
      <c r="J1007" s="32">
        <v>0</v>
      </c>
      <c r="K1007" s="33"/>
      <c r="L1007" s="33"/>
      <c r="M1007" s="33"/>
      <c r="N1007" s="33"/>
      <c r="O1007" s="33"/>
      <c r="P1007" s="33"/>
      <c r="Q1007" s="33"/>
      <c r="R1007" s="33"/>
      <c r="S1007" s="33"/>
      <c r="T1007" s="33"/>
    </row>
    <row r="1008" spans="1:20" ht="15.75">
      <c r="A1008" s="13">
        <v>72563</v>
      </c>
      <c r="B1008" s="41">
        <f t="shared" si="6"/>
        <v>31</v>
      </c>
      <c r="C1008" s="32">
        <v>194.20500000000001</v>
      </c>
      <c r="D1008" s="32">
        <v>267.46600000000001</v>
      </c>
      <c r="E1008" s="38">
        <v>812.32899999999995</v>
      </c>
      <c r="F1008" s="32">
        <v>1274</v>
      </c>
      <c r="G1008" s="32">
        <v>50</v>
      </c>
      <c r="H1008" s="40">
        <v>600</v>
      </c>
      <c r="I1008" s="32">
        <v>695</v>
      </c>
      <c r="J1008" s="32">
        <v>0</v>
      </c>
      <c r="K1008" s="33"/>
      <c r="L1008" s="33"/>
      <c r="M1008" s="33"/>
      <c r="N1008" s="33"/>
      <c r="O1008" s="33"/>
      <c r="P1008" s="33"/>
      <c r="Q1008" s="33"/>
      <c r="R1008" s="33"/>
      <c r="S1008" s="33"/>
      <c r="T1008" s="33"/>
    </row>
    <row r="1009" spans="1:20" ht="15.75">
      <c r="A1009" s="13">
        <v>72593</v>
      </c>
      <c r="B1009" s="41">
        <f t="shared" si="6"/>
        <v>30</v>
      </c>
      <c r="C1009" s="32">
        <v>194.20500000000001</v>
      </c>
      <c r="D1009" s="32">
        <v>267.46600000000001</v>
      </c>
      <c r="E1009" s="38">
        <v>812.32899999999995</v>
      </c>
      <c r="F1009" s="32">
        <v>1274</v>
      </c>
      <c r="G1009" s="32">
        <v>50</v>
      </c>
      <c r="H1009" s="40">
        <v>600</v>
      </c>
      <c r="I1009" s="32">
        <v>695</v>
      </c>
      <c r="J1009" s="32">
        <v>0</v>
      </c>
      <c r="K1009" s="33"/>
      <c r="L1009" s="33"/>
      <c r="M1009" s="33"/>
      <c r="N1009" s="33"/>
      <c r="O1009" s="33"/>
      <c r="P1009" s="33"/>
      <c r="Q1009" s="33"/>
      <c r="R1009" s="33"/>
      <c r="S1009" s="33"/>
      <c r="T1009" s="33"/>
    </row>
    <row r="1010" spans="1:20" ht="15.75">
      <c r="A1010" s="13">
        <v>72624</v>
      </c>
      <c r="B1010" s="41">
        <f t="shared" si="6"/>
        <v>31</v>
      </c>
      <c r="C1010" s="32">
        <v>131.881</v>
      </c>
      <c r="D1010" s="32">
        <v>277.16699999999997</v>
      </c>
      <c r="E1010" s="38">
        <v>829.952</v>
      </c>
      <c r="F1010" s="32">
        <v>1239</v>
      </c>
      <c r="G1010" s="32">
        <v>75</v>
      </c>
      <c r="H1010" s="40">
        <v>600</v>
      </c>
      <c r="I1010" s="32">
        <v>695</v>
      </c>
      <c r="J1010" s="32">
        <v>0</v>
      </c>
      <c r="K1010" s="33"/>
      <c r="L1010" s="33"/>
      <c r="M1010" s="33"/>
      <c r="N1010" s="33"/>
      <c r="O1010" s="33"/>
      <c r="P1010" s="33"/>
      <c r="Q1010" s="33"/>
      <c r="R1010" s="33"/>
      <c r="S1010" s="33"/>
      <c r="T1010" s="33"/>
    </row>
    <row r="1011" spans="1:20" ht="15.75">
      <c r="A1011" s="13">
        <v>72654</v>
      </c>
      <c r="B1011" s="41">
        <f t="shared" si="6"/>
        <v>30</v>
      </c>
      <c r="C1011" s="32">
        <v>122.58</v>
      </c>
      <c r="D1011" s="32">
        <v>297.94099999999997</v>
      </c>
      <c r="E1011" s="38">
        <v>729.47900000000004</v>
      </c>
      <c r="F1011" s="32">
        <v>1150</v>
      </c>
      <c r="G1011" s="32">
        <v>100</v>
      </c>
      <c r="H1011" s="40">
        <v>600</v>
      </c>
      <c r="I1011" s="32">
        <v>695</v>
      </c>
      <c r="J1011" s="32">
        <v>50</v>
      </c>
      <c r="K1011" s="33"/>
      <c r="L1011" s="33"/>
      <c r="M1011" s="33"/>
      <c r="N1011" s="33"/>
      <c r="O1011" s="33"/>
      <c r="P1011" s="33"/>
      <c r="Q1011" s="33"/>
      <c r="R1011" s="33"/>
      <c r="S1011" s="33"/>
      <c r="T1011" s="33"/>
    </row>
    <row r="1012" spans="1:20" ht="15.75">
      <c r="A1012" s="13">
        <v>72685</v>
      </c>
      <c r="B1012" s="41">
        <f t="shared" si="6"/>
        <v>31</v>
      </c>
      <c r="C1012" s="32">
        <v>122.58</v>
      </c>
      <c r="D1012" s="32">
        <v>297.94099999999997</v>
      </c>
      <c r="E1012" s="38">
        <v>729.47900000000004</v>
      </c>
      <c r="F1012" s="32">
        <v>1150</v>
      </c>
      <c r="G1012" s="32">
        <v>100</v>
      </c>
      <c r="H1012" s="40">
        <v>600</v>
      </c>
      <c r="I1012" s="32">
        <v>695</v>
      </c>
      <c r="J1012" s="32">
        <v>50</v>
      </c>
      <c r="K1012" s="33"/>
      <c r="L1012" s="33"/>
      <c r="M1012" s="33"/>
      <c r="N1012" s="33"/>
      <c r="O1012" s="33"/>
      <c r="P1012" s="33"/>
      <c r="Q1012" s="33"/>
      <c r="R1012" s="33"/>
      <c r="S1012" s="33"/>
      <c r="T1012" s="33"/>
    </row>
    <row r="1013" spans="1:20" ht="15.75">
      <c r="A1013" s="13">
        <v>72716</v>
      </c>
      <c r="B1013" s="41">
        <f t="shared" si="6"/>
        <v>31</v>
      </c>
      <c r="C1013" s="32">
        <v>122.58</v>
      </c>
      <c r="D1013" s="32">
        <v>297.94099999999997</v>
      </c>
      <c r="E1013" s="38">
        <v>729.47900000000004</v>
      </c>
      <c r="F1013" s="32">
        <v>1150</v>
      </c>
      <c r="G1013" s="32">
        <v>100</v>
      </c>
      <c r="H1013" s="40">
        <v>600</v>
      </c>
      <c r="I1013" s="32">
        <v>695</v>
      </c>
      <c r="J1013" s="32">
        <v>50</v>
      </c>
      <c r="K1013" s="33"/>
      <c r="L1013" s="33"/>
      <c r="M1013" s="33"/>
      <c r="N1013" s="33"/>
      <c r="O1013" s="33"/>
      <c r="P1013" s="33"/>
      <c r="Q1013" s="33"/>
      <c r="R1013" s="33"/>
      <c r="S1013" s="33"/>
      <c r="T1013" s="33"/>
    </row>
    <row r="1014" spans="1:20" ht="15.75">
      <c r="A1014" s="13">
        <v>72744</v>
      </c>
      <c r="B1014" s="41">
        <f t="shared" si="6"/>
        <v>28</v>
      </c>
      <c r="C1014" s="32">
        <v>122.58</v>
      </c>
      <c r="D1014" s="32">
        <v>297.94099999999997</v>
      </c>
      <c r="E1014" s="38">
        <v>729.47900000000004</v>
      </c>
      <c r="F1014" s="32">
        <v>1150</v>
      </c>
      <c r="G1014" s="32">
        <v>100</v>
      </c>
      <c r="H1014" s="40">
        <v>600</v>
      </c>
      <c r="I1014" s="32">
        <v>695</v>
      </c>
      <c r="J1014" s="32">
        <v>50</v>
      </c>
      <c r="K1014" s="33"/>
      <c r="L1014" s="33"/>
      <c r="M1014" s="33"/>
      <c r="N1014" s="33"/>
      <c r="O1014" s="33"/>
      <c r="P1014" s="33"/>
      <c r="Q1014" s="33"/>
      <c r="R1014" s="33"/>
      <c r="S1014" s="33"/>
      <c r="T1014" s="33"/>
    </row>
    <row r="1015" spans="1:20" ht="15.75">
      <c r="A1015" s="13">
        <v>72775</v>
      </c>
      <c r="B1015" s="41">
        <f t="shared" si="6"/>
        <v>31</v>
      </c>
      <c r="C1015" s="32">
        <v>122.58</v>
      </c>
      <c r="D1015" s="32">
        <v>297.94099999999997</v>
      </c>
      <c r="E1015" s="38">
        <v>729.47900000000004</v>
      </c>
      <c r="F1015" s="32">
        <v>1150</v>
      </c>
      <c r="G1015" s="32">
        <v>100</v>
      </c>
      <c r="H1015" s="40">
        <v>600</v>
      </c>
      <c r="I1015" s="32">
        <v>695</v>
      </c>
      <c r="J1015" s="32">
        <v>50</v>
      </c>
      <c r="K1015" s="33"/>
      <c r="L1015" s="33"/>
      <c r="M1015" s="33"/>
      <c r="N1015" s="33"/>
      <c r="O1015" s="33"/>
      <c r="P1015" s="33"/>
      <c r="Q1015" s="33"/>
      <c r="R1015" s="33"/>
      <c r="S1015" s="33"/>
      <c r="T1015" s="33"/>
    </row>
    <row r="1016" spans="1:20" ht="15.75">
      <c r="A1016" s="13">
        <v>72805</v>
      </c>
      <c r="B1016" s="41">
        <f t="shared" si="6"/>
        <v>30</v>
      </c>
      <c r="C1016" s="32">
        <v>141.29300000000001</v>
      </c>
      <c r="D1016" s="32">
        <v>267.99299999999999</v>
      </c>
      <c r="E1016" s="38">
        <v>829.71400000000006</v>
      </c>
      <c r="F1016" s="32">
        <v>1239</v>
      </c>
      <c r="G1016" s="32">
        <v>100</v>
      </c>
      <c r="H1016" s="40">
        <v>600</v>
      </c>
      <c r="I1016" s="32">
        <v>695</v>
      </c>
      <c r="J1016" s="32">
        <v>50</v>
      </c>
      <c r="K1016" s="33"/>
      <c r="L1016" s="33"/>
      <c r="M1016" s="33"/>
      <c r="N1016" s="33"/>
      <c r="O1016" s="33"/>
      <c r="P1016" s="33"/>
      <c r="Q1016" s="33"/>
      <c r="R1016" s="33"/>
      <c r="S1016" s="33"/>
      <c r="T1016" s="33"/>
    </row>
    <row r="1017" spans="1:20" ht="15.75">
      <c r="A1017" s="13">
        <v>72836</v>
      </c>
      <c r="B1017" s="41">
        <f t="shared" ref="B1017:B1036" si="7">EOMONTH(A1017,0)-EOMONTH(A1017,-1)</f>
        <v>31</v>
      </c>
      <c r="C1017" s="32">
        <v>194.20500000000001</v>
      </c>
      <c r="D1017" s="32">
        <v>267.46600000000001</v>
      </c>
      <c r="E1017" s="38">
        <v>812.32899999999995</v>
      </c>
      <c r="F1017" s="32">
        <v>1274</v>
      </c>
      <c r="G1017" s="32">
        <v>75</v>
      </c>
      <c r="H1017" s="40">
        <v>600</v>
      </c>
      <c r="I1017" s="32">
        <v>695</v>
      </c>
      <c r="J1017" s="32">
        <v>50</v>
      </c>
      <c r="K1017" s="33"/>
      <c r="L1017" s="33"/>
      <c r="M1017" s="33"/>
      <c r="N1017" s="33"/>
      <c r="O1017" s="33"/>
      <c r="P1017" s="33"/>
      <c r="Q1017" s="33"/>
      <c r="R1017" s="33"/>
      <c r="S1017" s="33"/>
      <c r="T1017" s="33"/>
    </row>
    <row r="1018" spans="1:20" ht="15.75">
      <c r="A1018" s="13">
        <v>72866</v>
      </c>
      <c r="B1018" s="41">
        <f t="shared" si="7"/>
        <v>30</v>
      </c>
      <c r="C1018" s="32">
        <v>194.20500000000001</v>
      </c>
      <c r="D1018" s="32">
        <v>267.46600000000001</v>
      </c>
      <c r="E1018" s="38">
        <v>812.32899999999995</v>
      </c>
      <c r="F1018" s="32">
        <v>1274</v>
      </c>
      <c r="G1018" s="32">
        <v>50</v>
      </c>
      <c r="H1018" s="40">
        <v>600</v>
      </c>
      <c r="I1018" s="32">
        <v>695</v>
      </c>
      <c r="J1018" s="32">
        <v>50</v>
      </c>
      <c r="K1018" s="33"/>
      <c r="L1018" s="33"/>
      <c r="M1018" s="33"/>
      <c r="N1018" s="33"/>
      <c r="O1018" s="33"/>
      <c r="P1018" s="33"/>
      <c r="Q1018" s="33"/>
      <c r="R1018" s="33"/>
      <c r="S1018" s="33"/>
      <c r="T1018" s="33"/>
    </row>
    <row r="1019" spans="1:20" ht="15.75">
      <c r="A1019" s="13">
        <v>72897</v>
      </c>
      <c r="B1019" s="41">
        <f t="shared" si="7"/>
        <v>31</v>
      </c>
      <c r="C1019" s="32">
        <v>194.20500000000001</v>
      </c>
      <c r="D1019" s="32">
        <v>267.46600000000001</v>
      </c>
      <c r="E1019" s="38">
        <v>812.32899999999995</v>
      </c>
      <c r="F1019" s="32">
        <v>1274</v>
      </c>
      <c r="G1019" s="32">
        <v>50</v>
      </c>
      <c r="H1019" s="40">
        <v>600</v>
      </c>
      <c r="I1019" s="32">
        <v>695</v>
      </c>
      <c r="J1019" s="32">
        <v>0</v>
      </c>
      <c r="K1019" s="33"/>
      <c r="L1019" s="33"/>
      <c r="M1019" s="33"/>
      <c r="N1019" s="33"/>
      <c r="O1019" s="33"/>
      <c r="P1019" s="33"/>
      <c r="Q1019" s="33"/>
      <c r="R1019" s="33"/>
      <c r="S1019" s="33"/>
      <c r="T1019" s="33"/>
    </row>
    <row r="1020" spans="1:20" ht="15.75">
      <c r="A1020" s="13">
        <v>72928</v>
      </c>
      <c r="B1020" s="41">
        <f t="shared" si="7"/>
        <v>31</v>
      </c>
      <c r="C1020" s="32">
        <v>194.20500000000001</v>
      </c>
      <c r="D1020" s="32">
        <v>267.46600000000001</v>
      </c>
      <c r="E1020" s="38">
        <v>812.32899999999995</v>
      </c>
      <c r="F1020" s="32">
        <v>1274</v>
      </c>
      <c r="G1020" s="32">
        <v>50</v>
      </c>
      <c r="H1020" s="40">
        <v>600</v>
      </c>
      <c r="I1020" s="32">
        <v>695</v>
      </c>
      <c r="J1020" s="32">
        <v>0</v>
      </c>
      <c r="K1020" s="33"/>
      <c r="L1020" s="33"/>
      <c r="M1020" s="33"/>
      <c r="N1020" s="33"/>
      <c r="O1020" s="33"/>
      <c r="P1020" s="33"/>
      <c r="Q1020" s="33"/>
      <c r="R1020" s="33"/>
      <c r="S1020" s="33"/>
      <c r="T1020" s="33"/>
    </row>
    <row r="1021" spans="1:20" ht="15.75">
      <c r="A1021" s="13">
        <v>72958</v>
      </c>
      <c r="B1021" s="41">
        <f t="shared" si="7"/>
        <v>30</v>
      </c>
      <c r="C1021" s="32">
        <v>194.20500000000001</v>
      </c>
      <c r="D1021" s="32">
        <v>267.46600000000001</v>
      </c>
      <c r="E1021" s="38">
        <v>812.32899999999995</v>
      </c>
      <c r="F1021" s="32">
        <v>1274</v>
      </c>
      <c r="G1021" s="32">
        <v>50</v>
      </c>
      <c r="H1021" s="40">
        <v>600</v>
      </c>
      <c r="I1021" s="32">
        <v>695</v>
      </c>
      <c r="J1021" s="32">
        <v>0</v>
      </c>
      <c r="K1021" s="33"/>
      <c r="L1021" s="33"/>
      <c r="M1021" s="33"/>
      <c r="N1021" s="33"/>
      <c r="O1021" s="33"/>
      <c r="P1021" s="33"/>
      <c r="Q1021" s="33"/>
      <c r="R1021" s="33"/>
      <c r="S1021" s="33"/>
      <c r="T1021" s="33"/>
    </row>
    <row r="1022" spans="1:20" ht="15.75">
      <c r="A1022" s="13">
        <v>72989</v>
      </c>
      <c r="B1022" s="41">
        <f t="shared" si="7"/>
        <v>31</v>
      </c>
      <c r="C1022" s="32">
        <v>131.881</v>
      </c>
      <c r="D1022" s="32">
        <v>277.16699999999997</v>
      </c>
      <c r="E1022" s="38">
        <v>829.952</v>
      </c>
      <c r="F1022" s="32">
        <v>1239</v>
      </c>
      <c r="G1022" s="32">
        <v>75</v>
      </c>
      <c r="H1022" s="40">
        <v>600</v>
      </c>
      <c r="I1022" s="32">
        <v>695</v>
      </c>
      <c r="J1022" s="32">
        <v>0</v>
      </c>
      <c r="K1022" s="33"/>
      <c r="L1022" s="33"/>
      <c r="M1022" s="33"/>
      <c r="N1022" s="33"/>
      <c r="O1022" s="33"/>
      <c r="P1022" s="33"/>
      <c r="Q1022" s="33"/>
      <c r="R1022" s="33"/>
      <c r="S1022" s="33"/>
      <c r="T1022" s="33"/>
    </row>
    <row r="1023" spans="1:20" ht="15.75">
      <c r="A1023" s="13">
        <v>73019</v>
      </c>
      <c r="B1023" s="41">
        <f t="shared" si="7"/>
        <v>30</v>
      </c>
      <c r="C1023" s="32">
        <v>122.58</v>
      </c>
      <c r="D1023" s="32">
        <v>297.94099999999997</v>
      </c>
      <c r="E1023" s="38">
        <v>729.47900000000004</v>
      </c>
      <c r="F1023" s="32">
        <v>1150</v>
      </c>
      <c r="G1023" s="32">
        <v>100</v>
      </c>
      <c r="H1023" s="40">
        <v>600</v>
      </c>
      <c r="I1023" s="32">
        <v>695</v>
      </c>
      <c r="J1023" s="32">
        <v>50</v>
      </c>
      <c r="K1023" s="33"/>
      <c r="L1023" s="33"/>
      <c r="M1023" s="33"/>
      <c r="N1023" s="33"/>
      <c r="O1023" s="33"/>
      <c r="P1023" s="33"/>
      <c r="Q1023" s="33"/>
      <c r="R1023" s="33"/>
      <c r="S1023" s="33"/>
      <c r="T1023" s="33"/>
    </row>
    <row r="1024" spans="1:20" ht="15.75">
      <c r="A1024" s="13">
        <v>73050</v>
      </c>
      <c r="B1024" s="41">
        <f t="shared" si="7"/>
        <v>31</v>
      </c>
      <c r="C1024" s="32">
        <v>122.58</v>
      </c>
      <c r="D1024" s="32">
        <v>297.94099999999997</v>
      </c>
      <c r="E1024" s="38">
        <v>729.47900000000004</v>
      </c>
      <c r="F1024" s="32">
        <v>1150</v>
      </c>
      <c r="G1024" s="32">
        <v>100</v>
      </c>
      <c r="H1024" s="40">
        <v>600</v>
      </c>
      <c r="I1024" s="32">
        <v>695</v>
      </c>
      <c r="J1024" s="32">
        <v>50</v>
      </c>
      <c r="K1024" s="33"/>
      <c r="L1024" s="33"/>
      <c r="M1024" s="33"/>
      <c r="N1024" s="33"/>
      <c r="O1024" s="33"/>
      <c r="P1024" s="33"/>
      <c r="Q1024" s="33"/>
      <c r="R1024" s="33"/>
      <c r="S1024" s="33"/>
      <c r="T1024" s="33"/>
    </row>
    <row r="1025" spans="1:20" ht="15.75">
      <c r="A1025" s="13">
        <v>73081</v>
      </c>
      <c r="B1025" s="41">
        <f t="shared" si="7"/>
        <v>31</v>
      </c>
      <c r="C1025" s="32">
        <v>122.58</v>
      </c>
      <c r="D1025" s="32">
        <v>297.94099999999997</v>
      </c>
      <c r="E1025" s="38">
        <v>729.47900000000004</v>
      </c>
      <c r="F1025" s="32">
        <v>1150</v>
      </c>
      <c r="G1025" s="32">
        <v>100</v>
      </c>
      <c r="H1025" s="40">
        <v>600</v>
      </c>
      <c r="I1025" s="32">
        <v>695</v>
      </c>
      <c r="J1025" s="32">
        <v>50</v>
      </c>
      <c r="K1025" s="33"/>
      <c r="L1025" s="33"/>
      <c r="M1025" s="33"/>
      <c r="N1025" s="33"/>
      <c r="O1025" s="33"/>
      <c r="P1025" s="33"/>
      <c r="Q1025" s="33"/>
      <c r="R1025" s="33"/>
      <c r="S1025" s="33"/>
      <c r="T1025" s="33"/>
    </row>
    <row r="1026" spans="1:20" ht="15.75">
      <c r="A1026" s="13">
        <v>73109</v>
      </c>
      <c r="B1026" s="41">
        <f t="shared" si="7"/>
        <v>28</v>
      </c>
      <c r="C1026" s="32">
        <v>122.58</v>
      </c>
      <c r="D1026" s="32">
        <v>297.94099999999997</v>
      </c>
      <c r="E1026" s="38">
        <v>729.47900000000004</v>
      </c>
      <c r="F1026" s="32">
        <v>1150</v>
      </c>
      <c r="G1026" s="32">
        <v>100</v>
      </c>
      <c r="H1026" s="40">
        <v>600</v>
      </c>
      <c r="I1026" s="32">
        <v>695</v>
      </c>
      <c r="J1026" s="32">
        <v>50</v>
      </c>
      <c r="K1026" s="33"/>
      <c r="L1026" s="33"/>
      <c r="M1026" s="33"/>
      <c r="N1026" s="33"/>
      <c r="O1026" s="33"/>
      <c r="P1026" s="33"/>
      <c r="Q1026" s="33"/>
      <c r="R1026" s="33"/>
      <c r="S1026" s="33"/>
      <c r="T1026" s="33"/>
    </row>
    <row r="1027" spans="1:20" ht="15.75">
      <c r="A1027" s="13">
        <v>73140</v>
      </c>
      <c r="B1027" s="41">
        <f t="shared" si="7"/>
        <v>31</v>
      </c>
      <c r="C1027" s="32">
        <v>122.58</v>
      </c>
      <c r="D1027" s="32">
        <v>297.94099999999997</v>
      </c>
      <c r="E1027" s="38">
        <v>729.47900000000004</v>
      </c>
      <c r="F1027" s="32">
        <v>1150</v>
      </c>
      <c r="G1027" s="32">
        <v>100</v>
      </c>
      <c r="H1027" s="40">
        <v>600</v>
      </c>
      <c r="I1027" s="32">
        <v>695</v>
      </c>
      <c r="J1027" s="32">
        <v>50</v>
      </c>
      <c r="K1027" s="33"/>
      <c r="L1027" s="33"/>
      <c r="M1027" s="33"/>
      <c r="N1027" s="33"/>
      <c r="O1027" s="33"/>
      <c r="P1027" s="33"/>
      <c r="Q1027" s="33"/>
      <c r="R1027" s="33"/>
      <c r="S1027" s="33"/>
      <c r="T1027" s="33"/>
    </row>
    <row r="1028" spans="1:20" ht="15.75">
      <c r="A1028" s="13">
        <v>73170</v>
      </c>
      <c r="B1028" s="41">
        <f t="shared" si="7"/>
        <v>30</v>
      </c>
      <c r="C1028" s="32">
        <v>141.29300000000001</v>
      </c>
      <c r="D1028" s="32">
        <v>267.99299999999999</v>
      </c>
      <c r="E1028" s="38">
        <v>829.71400000000006</v>
      </c>
      <c r="F1028" s="32">
        <v>1239</v>
      </c>
      <c r="G1028" s="32">
        <v>100</v>
      </c>
      <c r="H1028" s="40">
        <v>600</v>
      </c>
      <c r="I1028" s="32">
        <v>695</v>
      </c>
      <c r="J1028" s="32">
        <v>50</v>
      </c>
      <c r="K1028" s="33"/>
      <c r="L1028" s="33"/>
      <c r="M1028" s="33"/>
      <c r="N1028" s="33"/>
      <c r="O1028" s="33"/>
      <c r="P1028" s="33"/>
      <c r="Q1028" s="33"/>
      <c r="R1028" s="33"/>
      <c r="S1028" s="33"/>
      <c r="T1028" s="33"/>
    </row>
    <row r="1029" spans="1:20" ht="15.75">
      <c r="A1029" s="13">
        <v>73201</v>
      </c>
      <c r="B1029" s="41">
        <f t="shared" si="7"/>
        <v>31</v>
      </c>
      <c r="C1029" s="32">
        <v>194.20500000000001</v>
      </c>
      <c r="D1029" s="32">
        <v>267.46600000000001</v>
      </c>
      <c r="E1029" s="38">
        <v>812.32899999999995</v>
      </c>
      <c r="F1029" s="32">
        <v>1274</v>
      </c>
      <c r="G1029" s="32">
        <v>75</v>
      </c>
      <c r="H1029" s="40">
        <v>600</v>
      </c>
      <c r="I1029" s="32">
        <v>695</v>
      </c>
      <c r="J1029" s="32">
        <v>50</v>
      </c>
      <c r="K1029" s="33"/>
      <c r="L1029" s="33"/>
      <c r="M1029" s="33"/>
      <c r="N1029" s="33"/>
      <c r="O1029" s="33"/>
      <c r="P1029" s="33"/>
      <c r="Q1029" s="33"/>
      <c r="R1029" s="33"/>
      <c r="S1029" s="33"/>
      <c r="T1029" s="33"/>
    </row>
    <row r="1030" spans="1:20" ht="15.75">
      <c r="A1030" s="13">
        <v>73231</v>
      </c>
      <c r="B1030" s="41">
        <f t="shared" si="7"/>
        <v>30</v>
      </c>
      <c r="C1030" s="32">
        <v>194.20500000000001</v>
      </c>
      <c r="D1030" s="32">
        <v>267.46600000000001</v>
      </c>
      <c r="E1030" s="38">
        <v>812.32899999999995</v>
      </c>
      <c r="F1030" s="32">
        <v>1274</v>
      </c>
      <c r="G1030" s="32">
        <v>50</v>
      </c>
      <c r="H1030" s="40">
        <v>600</v>
      </c>
      <c r="I1030" s="32">
        <v>695</v>
      </c>
      <c r="J1030" s="32">
        <v>50</v>
      </c>
      <c r="K1030" s="33"/>
      <c r="L1030" s="33"/>
      <c r="M1030" s="33"/>
      <c r="N1030" s="33"/>
      <c r="O1030" s="33"/>
      <c r="P1030" s="33"/>
      <c r="Q1030" s="33"/>
      <c r="R1030" s="33"/>
      <c r="S1030" s="33"/>
      <c r="T1030" s="33"/>
    </row>
    <row r="1031" spans="1:20" ht="15.75">
      <c r="A1031" s="13">
        <v>73262</v>
      </c>
      <c r="B1031" s="41">
        <f t="shared" si="7"/>
        <v>31</v>
      </c>
      <c r="C1031" s="32">
        <v>194.20500000000001</v>
      </c>
      <c r="D1031" s="32">
        <v>267.46600000000001</v>
      </c>
      <c r="E1031" s="38">
        <v>812.32899999999995</v>
      </c>
      <c r="F1031" s="32">
        <v>1274</v>
      </c>
      <c r="G1031" s="32">
        <v>50</v>
      </c>
      <c r="H1031" s="40">
        <v>600</v>
      </c>
      <c r="I1031" s="32">
        <v>695</v>
      </c>
      <c r="J1031" s="32">
        <v>0</v>
      </c>
      <c r="K1031" s="33"/>
      <c r="L1031" s="33"/>
      <c r="M1031" s="33"/>
      <c r="N1031" s="33"/>
      <c r="O1031" s="33"/>
      <c r="P1031" s="33"/>
      <c r="Q1031" s="33"/>
      <c r="R1031" s="33"/>
      <c r="S1031" s="33"/>
      <c r="T1031" s="33"/>
    </row>
    <row r="1032" spans="1:20" ht="15.75">
      <c r="A1032" s="13">
        <v>73293</v>
      </c>
      <c r="B1032" s="41">
        <f t="shared" si="7"/>
        <v>31</v>
      </c>
      <c r="C1032" s="32">
        <v>194.20500000000001</v>
      </c>
      <c r="D1032" s="32">
        <v>267.46600000000001</v>
      </c>
      <c r="E1032" s="38">
        <v>812.32899999999995</v>
      </c>
      <c r="F1032" s="32">
        <v>1274</v>
      </c>
      <c r="G1032" s="32">
        <v>50</v>
      </c>
      <c r="H1032" s="40">
        <v>600</v>
      </c>
      <c r="I1032" s="32">
        <v>695</v>
      </c>
      <c r="J1032" s="32">
        <v>0</v>
      </c>
      <c r="K1032" s="33"/>
      <c r="L1032" s="33"/>
      <c r="M1032" s="33"/>
      <c r="N1032" s="33"/>
      <c r="O1032" s="33"/>
      <c r="P1032" s="33"/>
      <c r="Q1032" s="33"/>
      <c r="R1032" s="33"/>
      <c r="S1032" s="33"/>
      <c r="T1032" s="33"/>
    </row>
    <row r="1033" spans="1:20" ht="15.75">
      <c r="A1033" s="13">
        <v>73323</v>
      </c>
      <c r="B1033" s="41">
        <f t="shared" si="7"/>
        <v>30</v>
      </c>
      <c r="C1033" s="32">
        <v>194.20500000000001</v>
      </c>
      <c r="D1033" s="32">
        <v>267.46600000000001</v>
      </c>
      <c r="E1033" s="38">
        <v>812.32899999999995</v>
      </c>
      <c r="F1033" s="32">
        <v>1274</v>
      </c>
      <c r="G1033" s="32">
        <v>50</v>
      </c>
      <c r="H1033" s="40">
        <v>600</v>
      </c>
      <c r="I1033" s="32">
        <v>695</v>
      </c>
      <c r="J1033" s="32">
        <v>0</v>
      </c>
      <c r="K1033" s="33"/>
      <c r="L1033" s="33"/>
      <c r="M1033" s="33"/>
      <c r="N1033" s="33"/>
      <c r="O1033" s="33"/>
      <c r="P1033" s="33"/>
      <c r="Q1033" s="33"/>
      <c r="R1033" s="33"/>
      <c r="S1033" s="33"/>
      <c r="T1033" s="33"/>
    </row>
    <row r="1034" spans="1:20" ht="15.75">
      <c r="A1034" s="13">
        <v>73354</v>
      </c>
      <c r="B1034" s="41">
        <f t="shared" si="7"/>
        <v>31</v>
      </c>
      <c r="C1034" s="32">
        <v>131.881</v>
      </c>
      <c r="D1034" s="32">
        <v>277.16699999999997</v>
      </c>
      <c r="E1034" s="38">
        <v>829.952</v>
      </c>
      <c r="F1034" s="32">
        <v>1239</v>
      </c>
      <c r="G1034" s="32">
        <v>75</v>
      </c>
      <c r="H1034" s="40">
        <v>600</v>
      </c>
      <c r="I1034" s="32">
        <v>695</v>
      </c>
      <c r="J1034" s="32">
        <v>0</v>
      </c>
      <c r="K1034" s="33"/>
      <c r="L1034" s="33"/>
      <c r="M1034" s="33"/>
      <c r="N1034" s="33"/>
      <c r="O1034" s="33"/>
      <c r="P1034" s="33"/>
      <c r="Q1034" s="33"/>
      <c r="R1034" s="33"/>
      <c r="S1034" s="33"/>
      <c r="T1034" s="33"/>
    </row>
    <row r="1035" spans="1:20" ht="15.75">
      <c r="A1035" s="13">
        <v>73384</v>
      </c>
      <c r="B1035" s="41">
        <f t="shared" si="7"/>
        <v>30</v>
      </c>
      <c r="C1035" s="32">
        <v>122.58</v>
      </c>
      <c r="D1035" s="32">
        <v>297.94099999999997</v>
      </c>
      <c r="E1035" s="38">
        <v>729.47900000000004</v>
      </c>
      <c r="F1035" s="32">
        <v>1150</v>
      </c>
      <c r="G1035" s="32">
        <v>100</v>
      </c>
      <c r="H1035" s="40">
        <v>600</v>
      </c>
      <c r="I1035" s="32">
        <v>695</v>
      </c>
      <c r="J1035" s="32">
        <v>50</v>
      </c>
      <c r="K1035" s="33"/>
      <c r="L1035" s="33"/>
      <c r="M1035" s="33"/>
      <c r="N1035" s="33"/>
      <c r="O1035" s="33"/>
      <c r="P1035" s="33"/>
      <c r="Q1035" s="33"/>
      <c r="R1035" s="33"/>
      <c r="S1035" s="33"/>
      <c r="T1035" s="33"/>
    </row>
    <row r="1036" spans="1:20" ht="15.75">
      <c r="A1036" s="13">
        <v>73415</v>
      </c>
      <c r="B1036" s="41">
        <f t="shared" si="7"/>
        <v>31</v>
      </c>
      <c r="C1036" s="32">
        <v>122.58</v>
      </c>
      <c r="D1036" s="32">
        <v>297.94099999999997</v>
      </c>
      <c r="E1036" s="38">
        <v>729.47900000000004</v>
      </c>
      <c r="F1036" s="32">
        <v>1150</v>
      </c>
      <c r="G1036" s="32">
        <v>100</v>
      </c>
      <c r="H1036" s="40">
        <v>600</v>
      </c>
      <c r="I1036" s="32">
        <v>695</v>
      </c>
      <c r="J1036" s="32">
        <v>50</v>
      </c>
      <c r="K1036" s="33"/>
      <c r="L1036" s="33"/>
      <c r="M1036" s="33"/>
      <c r="N1036" s="33"/>
      <c r="O1036" s="33"/>
      <c r="P1036" s="33"/>
      <c r="Q1036" s="33"/>
      <c r="R1036" s="33"/>
      <c r="S1036" s="33"/>
      <c r="T1036" s="33"/>
    </row>
    <row r="1037" spans="1:20" ht="15">
      <c r="A1037" s="10"/>
      <c r="B1037" s="39"/>
      <c r="C1037" s="32"/>
      <c r="D1037" s="32"/>
      <c r="E1037" s="38"/>
      <c r="F1037" s="32"/>
      <c r="G1037" s="32"/>
      <c r="H1037" s="32"/>
      <c r="I1037" s="32"/>
      <c r="J1037" s="32"/>
      <c r="K1037" s="33"/>
      <c r="L1037" s="33"/>
      <c r="M1037" s="33"/>
      <c r="N1037" s="33"/>
      <c r="O1037" s="33"/>
      <c r="P1037" s="33"/>
      <c r="Q1037" s="33"/>
      <c r="R1037" s="33"/>
      <c r="S1037" s="33"/>
      <c r="T1037" s="33"/>
    </row>
    <row r="1038" spans="1:20" ht="15.75">
      <c r="A1038" s="3">
        <v>2016</v>
      </c>
      <c r="B1038" s="3">
        <f t="shared" ref="B1038:B1069" si="8">DATE(A1038+1,1,1)-DATE(A1038,1,1)</f>
        <v>366</v>
      </c>
      <c r="C1038" s="35">
        <f>AVERAGE(C17:C28)</f>
        <v>154.75825</v>
      </c>
      <c r="D1038" s="35">
        <f>AVERAGE(D17:D28)</f>
        <v>281.0162499999999</v>
      </c>
      <c r="E1038" s="35">
        <f>AVERAGE(E17:E28)</f>
        <v>840.72549999999967</v>
      </c>
      <c r="F1038" s="35">
        <f>AVERAGE(F17:F28)</f>
        <v>1276.5</v>
      </c>
      <c r="G1038" s="35">
        <f>AVERAGE(G17:G28)</f>
        <v>79.166666666666671</v>
      </c>
      <c r="H1038" s="37"/>
      <c r="I1038" s="35">
        <f>AVERAGE(I17:I28)</f>
        <v>695</v>
      </c>
      <c r="J1038" s="35">
        <f>AVERAGE(J17:J28)</f>
        <v>33.333333333333336</v>
      </c>
      <c r="K1038" s="33"/>
      <c r="L1038" s="33"/>
      <c r="M1038" s="33"/>
      <c r="N1038" s="33"/>
      <c r="O1038" s="33"/>
      <c r="P1038" s="33"/>
      <c r="Q1038" s="33"/>
      <c r="R1038" s="33"/>
      <c r="S1038" s="33"/>
      <c r="T1038" s="33"/>
    </row>
    <row r="1039" spans="1:20" ht="15">
      <c r="A1039" s="3">
        <v>2017</v>
      </c>
      <c r="B1039" s="3">
        <f t="shared" si="8"/>
        <v>365</v>
      </c>
      <c r="C1039" s="35">
        <f t="shared" ref="C1039:J1039" si="9">AVERAGE(C29:C40)</f>
        <v>154.75825</v>
      </c>
      <c r="D1039" s="35">
        <f t="shared" si="9"/>
        <v>281.0162499999999</v>
      </c>
      <c r="E1039" s="35">
        <f t="shared" si="9"/>
        <v>780.7254999999999</v>
      </c>
      <c r="F1039" s="35">
        <f t="shared" si="9"/>
        <v>1216.5</v>
      </c>
      <c r="G1039" s="35">
        <f t="shared" si="9"/>
        <v>79.166666666666671</v>
      </c>
      <c r="H1039" s="36">
        <f t="shared" si="9"/>
        <v>400</v>
      </c>
      <c r="I1039" s="35">
        <f t="shared" si="9"/>
        <v>695</v>
      </c>
      <c r="J1039" s="35">
        <f t="shared" si="9"/>
        <v>33.333333333333336</v>
      </c>
      <c r="K1039" s="33"/>
      <c r="L1039" s="33"/>
      <c r="M1039" s="33"/>
      <c r="N1039" s="33"/>
      <c r="O1039" s="33"/>
      <c r="P1039" s="33"/>
      <c r="Q1039" s="33"/>
      <c r="R1039" s="33"/>
      <c r="S1039" s="33"/>
      <c r="T1039" s="33"/>
    </row>
    <row r="1040" spans="1:20" ht="15">
      <c r="A1040" s="3">
        <v>2018</v>
      </c>
      <c r="B1040" s="3">
        <f t="shared" si="8"/>
        <v>365</v>
      </c>
      <c r="C1040" s="35">
        <f t="shared" ref="C1040:J1040" si="10">AVERAGE(C41:C52)</f>
        <v>154.75825</v>
      </c>
      <c r="D1040" s="35">
        <f t="shared" si="10"/>
        <v>281.0162499999999</v>
      </c>
      <c r="E1040" s="35">
        <f t="shared" si="10"/>
        <v>780.7254999999999</v>
      </c>
      <c r="F1040" s="35">
        <f t="shared" si="10"/>
        <v>1216.5</v>
      </c>
      <c r="G1040" s="35">
        <f t="shared" si="10"/>
        <v>79.166666666666671</v>
      </c>
      <c r="H1040" s="36">
        <f t="shared" si="10"/>
        <v>400</v>
      </c>
      <c r="I1040" s="35">
        <f t="shared" si="10"/>
        <v>695</v>
      </c>
      <c r="J1040" s="35">
        <f t="shared" si="10"/>
        <v>33.333333333333336</v>
      </c>
      <c r="K1040" s="33"/>
      <c r="L1040" s="33"/>
      <c r="M1040" s="33"/>
      <c r="N1040" s="33"/>
      <c r="O1040" s="33"/>
      <c r="P1040" s="33"/>
      <c r="Q1040" s="33"/>
      <c r="R1040" s="33"/>
      <c r="S1040" s="33"/>
      <c r="T1040" s="33"/>
    </row>
    <row r="1041" spans="1:20" ht="15">
      <c r="A1041" s="3">
        <v>2019</v>
      </c>
      <c r="B1041" s="3">
        <f t="shared" si="8"/>
        <v>365</v>
      </c>
      <c r="C1041" s="35">
        <f t="shared" ref="C1041:J1041" si="11">AVERAGE(C53:C64)</f>
        <v>154.75825</v>
      </c>
      <c r="D1041" s="35">
        <f t="shared" si="11"/>
        <v>281.0162499999999</v>
      </c>
      <c r="E1041" s="35">
        <f t="shared" si="11"/>
        <v>780.7254999999999</v>
      </c>
      <c r="F1041" s="35">
        <f t="shared" si="11"/>
        <v>1216.5</v>
      </c>
      <c r="G1041" s="35">
        <f t="shared" si="11"/>
        <v>79.166666666666671</v>
      </c>
      <c r="H1041" s="36">
        <f t="shared" si="11"/>
        <v>400</v>
      </c>
      <c r="I1041" s="35">
        <f t="shared" si="11"/>
        <v>695</v>
      </c>
      <c r="J1041" s="35">
        <f t="shared" si="11"/>
        <v>33.333333333333336</v>
      </c>
      <c r="K1041" s="33"/>
      <c r="L1041" s="33"/>
      <c r="M1041" s="33"/>
      <c r="N1041" s="33"/>
      <c r="O1041" s="33"/>
      <c r="P1041" s="33"/>
      <c r="Q1041" s="33"/>
      <c r="R1041" s="33"/>
      <c r="S1041" s="33"/>
      <c r="T1041" s="33"/>
    </row>
    <row r="1042" spans="1:20" ht="15">
      <c r="A1042" s="3">
        <v>2020</v>
      </c>
      <c r="B1042" s="3">
        <f t="shared" si="8"/>
        <v>366</v>
      </c>
      <c r="C1042" s="35">
        <f t="shared" ref="C1042:J1042" si="12">AVERAGE(C65:C76)</f>
        <v>154.75825</v>
      </c>
      <c r="D1042" s="35">
        <f t="shared" si="12"/>
        <v>281.0162499999999</v>
      </c>
      <c r="E1042" s="35">
        <f t="shared" si="12"/>
        <v>780.7254999999999</v>
      </c>
      <c r="F1042" s="35">
        <f t="shared" si="12"/>
        <v>1216.5</v>
      </c>
      <c r="G1042" s="35">
        <f t="shared" si="12"/>
        <v>79.166666666666671</v>
      </c>
      <c r="H1042" s="36">
        <f t="shared" si="12"/>
        <v>533.33333333333337</v>
      </c>
      <c r="I1042" s="35">
        <f t="shared" si="12"/>
        <v>695</v>
      </c>
      <c r="J1042" s="35">
        <f t="shared" si="12"/>
        <v>33.333333333333336</v>
      </c>
      <c r="K1042" s="33"/>
      <c r="L1042" s="33"/>
      <c r="M1042" s="33"/>
      <c r="N1042" s="33"/>
      <c r="O1042" s="33"/>
      <c r="P1042" s="33"/>
      <c r="Q1042" s="33"/>
      <c r="R1042" s="33"/>
      <c r="S1042" s="33"/>
      <c r="T1042" s="33"/>
    </row>
    <row r="1043" spans="1:20" ht="15">
      <c r="A1043" s="3">
        <v>2021</v>
      </c>
      <c r="B1043" s="3">
        <f t="shared" si="8"/>
        <v>365</v>
      </c>
      <c r="C1043" s="35">
        <f t="shared" ref="C1043:J1043" si="13">AVERAGE(C77:C88)</f>
        <v>154.75825</v>
      </c>
      <c r="D1043" s="35">
        <f t="shared" si="13"/>
        <v>281.0162499999999</v>
      </c>
      <c r="E1043" s="35">
        <f t="shared" si="13"/>
        <v>780.7254999999999</v>
      </c>
      <c r="F1043" s="35">
        <f t="shared" si="13"/>
        <v>1216.5</v>
      </c>
      <c r="G1043" s="35">
        <f t="shared" si="13"/>
        <v>79.166666666666671</v>
      </c>
      <c r="H1043" s="36">
        <f t="shared" si="13"/>
        <v>600</v>
      </c>
      <c r="I1043" s="35">
        <f t="shared" si="13"/>
        <v>695</v>
      </c>
      <c r="J1043" s="35">
        <f t="shared" si="13"/>
        <v>33.333333333333336</v>
      </c>
      <c r="K1043" s="33"/>
      <c r="L1043" s="33"/>
      <c r="M1043" s="33"/>
      <c r="N1043" s="33"/>
      <c r="O1043" s="33"/>
      <c r="P1043" s="33"/>
      <c r="Q1043" s="33"/>
      <c r="R1043" s="33"/>
      <c r="S1043" s="33"/>
      <c r="T1043" s="33"/>
    </row>
    <row r="1044" spans="1:20" ht="15">
      <c r="A1044" s="3">
        <v>2022</v>
      </c>
      <c r="B1044" s="3">
        <f t="shared" si="8"/>
        <v>365</v>
      </c>
      <c r="C1044" s="35">
        <f t="shared" ref="C1044:J1044" si="14">AVERAGE(C89:C100)</f>
        <v>154.75825</v>
      </c>
      <c r="D1044" s="35">
        <f t="shared" si="14"/>
        <v>281.0162499999999</v>
      </c>
      <c r="E1044" s="35">
        <f t="shared" si="14"/>
        <v>780.7254999999999</v>
      </c>
      <c r="F1044" s="35">
        <f t="shared" si="14"/>
        <v>1216.5</v>
      </c>
      <c r="G1044" s="35">
        <f t="shared" si="14"/>
        <v>79.166666666666671</v>
      </c>
      <c r="H1044" s="36">
        <f t="shared" si="14"/>
        <v>600</v>
      </c>
      <c r="I1044" s="35">
        <f t="shared" si="14"/>
        <v>695</v>
      </c>
      <c r="J1044" s="35">
        <f t="shared" si="14"/>
        <v>33.333333333333336</v>
      </c>
      <c r="K1044" s="33"/>
      <c r="L1044" s="33"/>
      <c r="M1044" s="33"/>
      <c r="N1044" s="33"/>
      <c r="O1044" s="33"/>
      <c r="P1044" s="33"/>
      <c r="Q1044" s="33"/>
      <c r="R1044" s="33"/>
      <c r="S1044" s="33"/>
      <c r="T1044" s="33"/>
    </row>
    <row r="1045" spans="1:20" ht="15">
      <c r="A1045" s="3">
        <v>2023</v>
      </c>
      <c r="B1045" s="3">
        <f t="shared" si="8"/>
        <v>365</v>
      </c>
      <c r="C1045" s="35">
        <f t="shared" ref="C1045:J1045" si="15">AVERAGE(C101:C112)</f>
        <v>154.75825</v>
      </c>
      <c r="D1045" s="35">
        <f t="shared" si="15"/>
        <v>281.0162499999999</v>
      </c>
      <c r="E1045" s="35">
        <f t="shared" si="15"/>
        <v>780.7254999999999</v>
      </c>
      <c r="F1045" s="35">
        <f t="shared" si="15"/>
        <v>1216.5</v>
      </c>
      <c r="G1045" s="35">
        <f t="shared" si="15"/>
        <v>79.166666666666671</v>
      </c>
      <c r="H1045" s="36">
        <f t="shared" si="15"/>
        <v>600</v>
      </c>
      <c r="I1045" s="35">
        <f t="shared" si="15"/>
        <v>695</v>
      </c>
      <c r="J1045" s="35">
        <f t="shared" si="15"/>
        <v>33.333333333333336</v>
      </c>
      <c r="K1045" s="33"/>
      <c r="L1045" s="33"/>
      <c r="M1045" s="33"/>
      <c r="N1045" s="33"/>
      <c r="O1045" s="33"/>
      <c r="P1045" s="33"/>
      <c r="Q1045" s="33"/>
      <c r="R1045" s="33"/>
      <c r="S1045" s="33"/>
      <c r="T1045" s="33"/>
    </row>
    <row r="1046" spans="1:20" ht="15">
      <c r="A1046" s="3">
        <v>2024</v>
      </c>
      <c r="B1046" s="3">
        <f t="shared" si="8"/>
        <v>366</v>
      </c>
      <c r="C1046" s="35">
        <f t="shared" ref="C1046:J1046" si="16">AVERAGE(C113:C124)</f>
        <v>154.75825</v>
      </c>
      <c r="D1046" s="35">
        <f t="shared" si="16"/>
        <v>281.0162499999999</v>
      </c>
      <c r="E1046" s="35">
        <f t="shared" si="16"/>
        <v>780.7254999999999</v>
      </c>
      <c r="F1046" s="35">
        <f t="shared" si="16"/>
        <v>1216.5</v>
      </c>
      <c r="G1046" s="35">
        <f t="shared" si="16"/>
        <v>79.166666666666671</v>
      </c>
      <c r="H1046" s="36">
        <f t="shared" si="16"/>
        <v>600</v>
      </c>
      <c r="I1046" s="35">
        <f t="shared" si="16"/>
        <v>695</v>
      </c>
      <c r="J1046" s="35">
        <f t="shared" si="16"/>
        <v>33.333333333333336</v>
      </c>
      <c r="K1046" s="33"/>
      <c r="L1046" s="33"/>
      <c r="M1046" s="33"/>
      <c r="N1046" s="33"/>
      <c r="O1046" s="33"/>
      <c r="P1046" s="33"/>
      <c r="Q1046" s="33"/>
      <c r="R1046" s="33"/>
      <c r="S1046" s="33"/>
      <c r="T1046" s="33"/>
    </row>
    <row r="1047" spans="1:20" ht="15">
      <c r="A1047" s="3">
        <v>2025</v>
      </c>
      <c r="B1047" s="3">
        <f t="shared" si="8"/>
        <v>365</v>
      </c>
      <c r="C1047" s="35">
        <f t="shared" ref="C1047:J1047" si="17">AVERAGE(C125:C136)</f>
        <v>154.75825</v>
      </c>
      <c r="D1047" s="35">
        <f t="shared" si="17"/>
        <v>281.0162499999999</v>
      </c>
      <c r="E1047" s="35">
        <f t="shared" si="17"/>
        <v>780.7254999999999</v>
      </c>
      <c r="F1047" s="35">
        <f t="shared" si="17"/>
        <v>1216.5</v>
      </c>
      <c r="G1047" s="35">
        <f t="shared" si="17"/>
        <v>79.166666666666671</v>
      </c>
      <c r="H1047" s="36">
        <f t="shared" si="17"/>
        <v>600</v>
      </c>
      <c r="I1047" s="35">
        <f t="shared" si="17"/>
        <v>695</v>
      </c>
      <c r="J1047" s="35">
        <f t="shared" si="17"/>
        <v>33.333333333333336</v>
      </c>
      <c r="K1047" s="33"/>
      <c r="L1047" s="33"/>
      <c r="M1047" s="33"/>
      <c r="N1047" s="33"/>
      <c r="O1047" s="33"/>
      <c r="P1047" s="33"/>
      <c r="Q1047" s="33"/>
      <c r="R1047" s="33"/>
      <c r="S1047" s="33"/>
      <c r="T1047" s="33"/>
    </row>
    <row r="1048" spans="1:20" ht="15">
      <c r="A1048" s="3">
        <v>2026</v>
      </c>
      <c r="B1048" s="3">
        <f t="shared" si="8"/>
        <v>365</v>
      </c>
      <c r="C1048" s="35">
        <f t="shared" ref="C1048:J1048" si="18">AVERAGE(C137:C148)</f>
        <v>154.75825</v>
      </c>
      <c r="D1048" s="35">
        <f t="shared" si="18"/>
        <v>281.0162499999999</v>
      </c>
      <c r="E1048" s="35">
        <f t="shared" si="18"/>
        <v>780.7254999999999</v>
      </c>
      <c r="F1048" s="35">
        <f t="shared" si="18"/>
        <v>1216.5</v>
      </c>
      <c r="G1048" s="35">
        <f t="shared" si="18"/>
        <v>79.166666666666671</v>
      </c>
      <c r="H1048" s="36">
        <f t="shared" si="18"/>
        <v>600</v>
      </c>
      <c r="I1048" s="35">
        <f t="shared" si="18"/>
        <v>695</v>
      </c>
      <c r="J1048" s="35">
        <f t="shared" si="18"/>
        <v>33.333333333333336</v>
      </c>
      <c r="K1048" s="33"/>
      <c r="L1048" s="33"/>
      <c r="M1048" s="33"/>
      <c r="N1048" s="33"/>
      <c r="O1048" s="33"/>
      <c r="P1048" s="33"/>
      <c r="Q1048" s="33"/>
      <c r="R1048" s="33"/>
      <c r="S1048" s="33"/>
      <c r="T1048" s="33"/>
    </row>
    <row r="1049" spans="1:20" ht="15">
      <c r="A1049" s="3">
        <v>2027</v>
      </c>
      <c r="B1049" s="3">
        <f t="shared" si="8"/>
        <v>365</v>
      </c>
      <c r="C1049" s="35">
        <f t="shared" ref="C1049:J1049" si="19">AVERAGE(C149:C160)</f>
        <v>154.75825</v>
      </c>
      <c r="D1049" s="35">
        <f t="shared" si="19"/>
        <v>281.0162499999999</v>
      </c>
      <c r="E1049" s="35">
        <f t="shared" si="19"/>
        <v>780.7254999999999</v>
      </c>
      <c r="F1049" s="35">
        <f t="shared" si="19"/>
        <v>1216.5</v>
      </c>
      <c r="G1049" s="35">
        <f t="shared" si="19"/>
        <v>79.166666666666671</v>
      </c>
      <c r="H1049" s="36">
        <f t="shared" si="19"/>
        <v>600</v>
      </c>
      <c r="I1049" s="35">
        <f t="shared" si="19"/>
        <v>695</v>
      </c>
      <c r="J1049" s="35">
        <f t="shared" si="19"/>
        <v>33.333333333333336</v>
      </c>
      <c r="K1049" s="33"/>
      <c r="L1049" s="33"/>
      <c r="M1049" s="33"/>
      <c r="N1049" s="33"/>
      <c r="O1049" s="33"/>
      <c r="P1049" s="33"/>
      <c r="Q1049" s="33"/>
      <c r="R1049" s="33"/>
      <c r="S1049" s="33"/>
      <c r="T1049" s="33"/>
    </row>
    <row r="1050" spans="1:20" ht="15">
      <c r="A1050" s="3">
        <v>2028</v>
      </c>
      <c r="B1050" s="3">
        <f t="shared" si="8"/>
        <v>366</v>
      </c>
      <c r="C1050" s="35">
        <f t="shared" ref="C1050:J1050" si="20">AVERAGE(C161:C172)</f>
        <v>154.75825</v>
      </c>
      <c r="D1050" s="35">
        <f t="shared" si="20"/>
        <v>281.0162499999999</v>
      </c>
      <c r="E1050" s="35">
        <f t="shared" si="20"/>
        <v>780.7254999999999</v>
      </c>
      <c r="F1050" s="35">
        <f t="shared" si="20"/>
        <v>1216.5</v>
      </c>
      <c r="G1050" s="35">
        <f t="shared" si="20"/>
        <v>79.166666666666671</v>
      </c>
      <c r="H1050" s="36">
        <f t="shared" si="20"/>
        <v>600</v>
      </c>
      <c r="I1050" s="35">
        <f t="shared" si="20"/>
        <v>695</v>
      </c>
      <c r="J1050" s="35">
        <f t="shared" si="20"/>
        <v>33.333333333333336</v>
      </c>
      <c r="K1050" s="33"/>
      <c r="L1050" s="33"/>
      <c r="M1050" s="33"/>
      <c r="N1050" s="33"/>
      <c r="O1050" s="33"/>
      <c r="P1050" s="33"/>
      <c r="Q1050" s="33"/>
      <c r="R1050" s="33"/>
      <c r="S1050" s="33"/>
      <c r="T1050" s="33"/>
    </row>
    <row r="1051" spans="1:20" ht="15">
      <c r="A1051" s="3">
        <v>2029</v>
      </c>
      <c r="B1051" s="3">
        <f t="shared" si="8"/>
        <v>365</v>
      </c>
      <c r="C1051" s="35">
        <f t="shared" ref="C1051:J1051" si="21">AVERAGE(C173:C184)</f>
        <v>154.75825</v>
      </c>
      <c r="D1051" s="35">
        <f t="shared" si="21"/>
        <v>281.0162499999999</v>
      </c>
      <c r="E1051" s="35">
        <f t="shared" si="21"/>
        <v>780.7254999999999</v>
      </c>
      <c r="F1051" s="35">
        <f t="shared" si="21"/>
        <v>1216.5</v>
      </c>
      <c r="G1051" s="35">
        <f t="shared" si="21"/>
        <v>79.166666666666671</v>
      </c>
      <c r="H1051" s="36">
        <f t="shared" si="21"/>
        <v>600</v>
      </c>
      <c r="I1051" s="35">
        <f t="shared" si="21"/>
        <v>695</v>
      </c>
      <c r="J1051" s="35">
        <f t="shared" si="21"/>
        <v>33.333333333333336</v>
      </c>
      <c r="K1051" s="33"/>
      <c r="L1051" s="33"/>
      <c r="M1051" s="33"/>
      <c r="N1051" s="33"/>
      <c r="O1051" s="33"/>
      <c r="P1051" s="33"/>
      <c r="Q1051" s="33"/>
      <c r="R1051" s="33"/>
      <c r="S1051" s="33"/>
      <c r="T1051" s="33"/>
    </row>
    <row r="1052" spans="1:20" ht="15">
      <c r="A1052" s="3">
        <v>2030</v>
      </c>
      <c r="B1052" s="3">
        <f t="shared" si="8"/>
        <v>365</v>
      </c>
      <c r="C1052" s="35">
        <f t="shared" ref="C1052:J1052" si="22">AVERAGE(C185:C196)</f>
        <v>154.75825</v>
      </c>
      <c r="D1052" s="35">
        <f t="shared" si="22"/>
        <v>281.0162499999999</v>
      </c>
      <c r="E1052" s="35">
        <f t="shared" si="22"/>
        <v>780.7254999999999</v>
      </c>
      <c r="F1052" s="35">
        <f t="shared" si="22"/>
        <v>1216.5</v>
      </c>
      <c r="G1052" s="35">
        <f t="shared" si="22"/>
        <v>79.166666666666671</v>
      </c>
      <c r="H1052" s="36">
        <f t="shared" si="22"/>
        <v>600</v>
      </c>
      <c r="I1052" s="35">
        <f t="shared" si="22"/>
        <v>695</v>
      </c>
      <c r="J1052" s="35">
        <f t="shared" si="22"/>
        <v>33.333333333333336</v>
      </c>
      <c r="K1052" s="33"/>
      <c r="L1052" s="33"/>
      <c r="M1052" s="33"/>
      <c r="N1052" s="33"/>
      <c r="O1052" s="33"/>
      <c r="P1052" s="33"/>
      <c r="Q1052" s="33"/>
      <c r="R1052" s="33"/>
      <c r="S1052" s="33"/>
      <c r="T1052" s="33"/>
    </row>
    <row r="1053" spans="1:20" ht="15">
      <c r="A1053" s="3">
        <v>2031</v>
      </c>
      <c r="B1053" s="3">
        <f t="shared" si="8"/>
        <v>365</v>
      </c>
      <c r="C1053" s="35">
        <f t="shared" ref="C1053:J1053" si="23">AVERAGE(C197:C208)</f>
        <v>154.75825</v>
      </c>
      <c r="D1053" s="35">
        <f t="shared" si="23"/>
        <v>281.0162499999999</v>
      </c>
      <c r="E1053" s="35">
        <f t="shared" si="23"/>
        <v>780.7254999999999</v>
      </c>
      <c r="F1053" s="35">
        <f t="shared" si="23"/>
        <v>1216.5</v>
      </c>
      <c r="G1053" s="35">
        <f t="shared" si="23"/>
        <v>79.166666666666671</v>
      </c>
      <c r="H1053" s="36">
        <f t="shared" si="23"/>
        <v>600</v>
      </c>
      <c r="I1053" s="35">
        <f t="shared" si="23"/>
        <v>695</v>
      </c>
      <c r="J1053" s="35">
        <f t="shared" si="23"/>
        <v>33.333333333333336</v>
      </c>
      <c r="K1053" s="33"/>
      <c r="L1053" s="33"/>
      <c r="M1053" s="33"/>
      <c r="N1053" s="33"/>
      <c r="O1053" s="33"/>
      <c r="P1053" s="33"/>
      <c r="Q1053" s="33"/>
      <c r="R1053" s="33"/>
      <c r="S1053" s="33"/>
      <c r="T1053" s="33"/>
    </row>
    <row r="1054" spans="1:20" ht="15">
      <c r="A1054" s="3">
        <v>2032</v>
      </c>
      <c r="B1054" s="3">
        <f t="shared" si="8"/>
        <v>366</v>
      </c>
      <c r="C1054" s="35">
        <f t="shared" ref="C1054:J1054" si="24">AVERAGE(C209:C220)</f>
        <v>154.75825</v>
      </c>
      <c r="D1054" s="35">
        <f t="shared" si="24"/>
        <v>281.0162499999999</v>
      </c>
      <c r="E1054" s="35">
        <f t="shared" si="24"/>
        <v>780.7254999999999</v>
      </c>
      <c r="F1054" s="35">
        <f t="shared" si="24"/>
        <v>1216.5</v>
      </c>
      <c r="G1054" s="35">
        <f t="shared" si="24"/>
        <v>79.166666666666671</v>
      </c>
      <c r="H1054" s="36">
        <f t="shared" si="24"/>
        <v>600</v>
      </c>
      <c r="I1054" s="35">
        <f t="shared" si="24"/>
        <v>695</v>
      </c>
      <c r="J1054" s="35">
        <f t="shared" si="24"/>
        <v>33.333333333333336</v>
      </c>
      <c r="K1054" s="33"/>
      <c r="L1054" s="33"/>
      <c r="M1054" s="33"/>
      <c r="N1054" s="33"/>
      <c r="O1054" s="33"/>
      <c r="P1054" s="33"/>
      <c r="Q1054" s="33"/>
      <c r="R1054" s="33"/>
      <c r="S1054" s="33"/>
      <c r="T1054" s="33"/>
    </row>
    <row r="1055" spans="1:20" ht="15">
      <c r="A1055" s="3">
        <v>2033</v>
      </c>
      <c r="B1055" s="3">
        <f t="shared" si="8"/>
        <v>365</v>
      </c>
      <c r="C1055" s="35">
        <f t="shared" ref="C1055:J1055" si="25">AVERAGE(C221:C232)</f>
        <v>154.75825</v>
      </c>
      <c r="D1055" s="35">
        <f t="shared" si="25"/>
        <v>281.0162499999999</v>
      </c>
      <c r="E1055" s="35">
        <f t="shared" si="25"/>
        <v>780.7254999999999</v>
      </c>
      <c r="F1055" s="35">
        <f t="shared" si="25"/>
        <v>1216.5</v>
      </c>
      <c r="G1055" s="35">
        <f t="shared" si="25"/>
        <v>79.166666666666671</v>
      </c>
      <c r="H1055" s="36">
        <f t="shared" si="25"/>
        <v>600</v>
      </c>
      <c r="I1055" s="35">
        <f t="shared" si="25"/>
        <v>695</v>
      </c>
      <c r="J1055" s="35">
        <f t="shared" si="25"/>
        <v>33.333333333333336</v>
      </c>
      <c r="K1055" s="33"/>
      <c r="L1055" s="33"/>
      <c r="M1055" s="33"/>
      <c r="N1055" s="33"/>
      <c r="O1055" s="33"/>
      <c r="P1055" s="33"/>
      <c r="Q1055" s="33"/>
      <c r="R1055" s="33"/>
      <c r="S1055" s="33"/>
      <c r="T1055" s="33"/>
    </row>
    <row r="1056" spans="1:20" ht="15">
      <c r="A1056" s="3">
        <v>2034</v>
      </c>
      <c r="B1056" s="3">
        <f t="shared" si="8"/>
        <v>365</v>
      </c>
      <c r="C1056" s="35">
        <f t="shared" ref="C1056:J1056" si="26">AVERAGE(C233:C244)</f>
        <v>154.75825</v>
      </c>
      <c r="D1056" s="35">
        <f t="shared" si="26"/>
        <v>281.0162499999999</v>
      </c>
      <c r="E1056" s="35">
        <f t="shared" si="26"/>
        <v>780.7254999999999</v>
      </c>
      <c r="F1056" s="35">
        <f t="shared" si="26"/>
        <v>1216.5</v>
      </c>
      <c r="G1056" s="35">
        <f t="shared" si="26"/>
        <v>79.166666666666671</v>
      </c>
      <c r="H1056" s="36">
        <f t="shared" si="26"/>
        <v>600</v>
      </c>
      <c r="I1056" s="35">
        <f t="shared" si="26"/>
        <v>695</v>
      </c>
      <c r="J1056" s="35">
        <f t="shared" si="26"/>
        <v>33.333333333333336</v>
      </c>
      <c r="K1056" s="33"/>
      <c r="L1056" s="33"/>
      <c r="M1056" s="33"/>
      <c r="N1056" s="33"/>
      <c r="O1056" s="33"/>
      <c r="P1056" s="33"/>
      <c r="Q1056" s="33"/>
      <c r="R1056" s="33"/>
      <c r="S1056" s="33"/>
      <c r="T1056" s="33"/>
    </row>
    <row r="1057" spans="1:20" ht="15">
      <c r="A1057" s="3">
        <v>2035</v>
      </c>
      <c r="B1057" s="3">
        <f t="shared" si="8"/>
        <v>365</v>
      </c>
      <c r="C1057" s="35">
        <f t="shared" ref="C1057:J1057" si="27">AVERAGE(C245:C256)</f>
        <v>154.75825</v>
      </c>
      <c r="D1057" s="35">
        <f t="shared" si="27"/>
        <v>281.0162499999999</v>
      </c>
      <c r="E1057" s="35">
        <f t="shared" si="27"/>
        <v>780.7254999999999</v>
      </c>
      <c r="F1057" s="35">
        <f t="shared" si="27"/>
        <v>1216.5</v>
      </c>
      <c r="G1057" s="35">
        <f t="shared" si="27"/>
        <v>79.166666666666671</v>
      </c>
      <c r="H1057" s="36">
        <f t="shared" si="27"/>
        <v>600</v>
      </c>
      <c r="I1057" s="35">
        <f t="shared" si="27"/>
        <v>695</v>
      </c>
      <c r="J1057" s="35">
        <f t="shared" si="27"/>
        <v>33.333333333333336</v>
      </c>
      <c r="K1057" s="33"/>
      <c r="L1057" s="33"/>
      <c r="M1057" s="33"/>
      <c r="N1057" s="33"/>
      <c r="O1057" s="33"/>
      <c r="P1057" s="33"/>
      <c r="Q1057" s="33"/>
      <c r="R1057" s="33"/>
      <c r="S1057" s="33"/>
      <c r="T1057" s="33"/>
    </row>
    <row r="1058" spans="1:20" ht="15">
      <c r="A1058" s="3">
        <v>2036</v>
      </c>
      <c r="B1058" s="3">
        <f t="shared" si="8"/>
        <v>366</v>
      </c>
      <c r="C1058" s="35">
        <f t="shared" ref="C1058:J1058" si="28">AVERAGE(C257:C268)</f>
        <v>154.75825</v>
      </c>
      <c r="D1058" s="35">
        <f t="shared" si="28"/>
        <v>281.0162499999999</v>
      </c>
      <c r="E1058" s="35">
        <f t="shared" si="28"/>
        <v>780.7254999999999</v>
      </c>
      <c r="F1058" s="35">
        <f t="shared" si="28"/>
        <v>1216.5</v>
      </c>
      <c r="G1058" s="35">
        <f t="shared" si="28"/>
        <v>79.166666666666671</v>
      </c>
      <c r="H1058" s="36">
        <f t="shared" si="28"/>
        <v>600</v>
      </c>
      <c r="I1058" s="35">
        <f t="shared" si="28"/>
        <v>695</v>
      </c>
      <c r="J1058" s="35">
        <f t="shared" si="28"/>
        <v>33.333333333333336</v>
      </c>
      <c r="K1058" s="33"/>
      <c r="L1058" s="33"/>
      <c r="M1058" s="33"/>
      <c r="N1058" s="33"/>
      <c r="O1058" s="33"/>
      <c r="P1058" s="33"/>
      <c r="Q1058" s="33"/>
      <c r="R1058" s="33"/>
      <c r="S1058" s="33"/>
      <c r="T1058" s="33"/>
    </row>
    <row r="1059" spans="1:20" ht="15">
      <c r="A1059" s="3">
        <v>2037</v>
      </c>
      <c r="B1059" s="3">
        <f t="shared" si="8"/>
        <v>365</v>
      </c>
      <c r="C1059" s="35">
        <f t="shared" ref="C1059:J1059" si="29">AVERAGE(C269:C280)</f>
        <v>154.75825</v>
      </c>
      <c r="D1059" s="35">
        <f t="shared" si="29"/>
        <v>281.0162499999999</v>
      </c>
      <c r="E1059" s="35">
        <f t="shared" si="29"/>
        <v>780.7254999999999</v>
      </c>
      <c r="F1059" s="35">
        <f t="shared" si="29"/>
        <v>1216.5</v>
      </c>
      <c r="G1059" s="35">
        <f t="shared" si="29"/>
        <v>79.166666666666671</v>
      </c>
      <c r="H1059" s="36">
        <f t="shared" si="29"/>
        <v>600</v>
      </c>
      <c r="I1059" s="35">
        <f t="shared" si="29"/>
        <v>695</v>
      </c>
      <c r="J1059" s="35">
        <f t="shared" si="29"/>
        <v>33.333333333333336</v>
      </c>
      <c r="K1059" s="33"/>
      <c r="L1059" s="33"/>
      <c r="M1059" s="33"/>
      <c r="N1059" s="33"/>
      <c r="O1059" s="33"/>
      <c r="P1059" s="33"/>
      <c r="Q1059" s="33"/>
      <c r="R1059" s="33"/>
      <c r="S1059" s="33"/>
      <c r="T1059" s="33"/>
    </row>
    <row r="1060" spans="1:20" ht="15">
      <c r="A1060" s="3">
        <f t="shared" ref="A1060:A1091" si="30">A1059+1</f>
        <v>2038</v>
      </c>
      <c r="B1060" s="3">
        <f t="shared" si="8"/>
        <v>365</v>
      </c>
      <c r="C1060" s="32">
        <f t="shared" ref="C1060:J1060" si="31">AVERAGE(C281:C292)</f>
        <v>154.75825</v>
      </c>
      <c r="D1060" s="32">
        <f t="shared" si="31"/>
        <v>281.0162499999999</v>
      </c>
      <c r="E1060" s="32">
        <f t="shared" si="31"/>
        <v>780.7254999999999</v>
      </c>
      <c r="F1060" s="32">
        <f t="shared" si="31"/>
        <v>1216.5</v>
      </c>
      <c r="G1060" s="32">
        <f t="shared" si="31"/>
        <v>79.166666666666671</v>
      </c>
      <c r="H1060" s="34">
        <f t="shared" si="31"/>
        <v>600</v>
      </c>
      <c r="I1060" s="32">
        <f t="shared" si="31"/>
        <v>695</v>
      </c>
      <c r="J1060" s="32">
        <f t="shared" si="31"/>
        <v>33.333333333333336</v>
      </c>
      <c r="K1060" s="33"/>
      <c r="L1060" s="33"/>
      <c r="M1060" s="33"/>
      <c r="N1060" s="33"/>
      <c r="O1060" s="33"/>
      <c r="P1060" s="33"/>
      <c r="Q1060" s="33"/>
      <c r="R1060" s="33"/>
      <c r="S1060" s="33"/>
      <c r="T1060" s="33"/>
    </row>
    <row r="1061" spans="1:20" ht="15">
      <c r="A1061" s="3">
        <f t="shared" si="30"/>
        <v>2039</v>
      </c>
      <c r="B1061" s="3">
        <f t="shared" si="8"/>
        <v>365</v>
      </c>
      <c r="C1061" s="32">
        <f t="shared" ref="C1061:J1061" si="32">AVERAGE(C293:C304)</f>
        <v>154.75825</v>
      </c>
      <c r="D1061" s="32">
        <f t="shared" si="32"/>
        <v>281.0162499999999</v>
      </c>
      <c r="E1061" s="32">
        <f t="shared" si="32"/>
        <v>780.7254999999999</v>
      </c>
      <c r="F1061" s="32">
        <f t="shared" si="32"/>
        <v>1216.5</v>
      </c>
      <c r="G1061" s="32">
        <f t="shared" si="32"/>
        <v>79.166666666666671</v>
      </c>
      <c r="H1061" s="34">
        <f t="shared" si="32"/>
        <v>600</v>
      </c>
      <c r="I1061" s="32">
        <f t="shared" si="32"/>
        <v>695</v>
      </c>
      <c r="J1061" s="32">
        <f t="shared" si="32"/>
        <v>33.333333333333336</v>
      </c>
      <c r="K1061" s="33"/>
      <c r="L1061" s="33"/>
      <c r="M1061" s="33"/>
      <c r="N1061" s="33"/>
      <c r="O1061" s="33"/>
      <c r="P1061" s="33"/>
      <c r="Q1061" s="33"/>
      <c r="R1061" s="33"/>
      <c r="S1061" s="33"/>
      <c r="T1061" s="33"/>
    </row>
    <row r="1062" spans="1:20" ht="15">
      <c r="A1062" s="3">
        <f t="shared" si="30"/>
        <v>2040</v>
      </c>
      <c r="B1062" s="3">
        <f t="shared" si="8"/>
        <v>366</v>
      </c>
      <c r="C1062" s="32">
        <f t="shared" ref="C1062:J1062" si="33">AVERAGE(C305:C316)</f>
        <v>154.75825</v>
      </c>
      <c r="D1062" s="32">
        <f t="shared" si="33"/>
        <v>281.0162499999999</v>
      </c>
      <c r="E1062" s="32">
        <f t="shared" si="33"/>
        <v>780.7254999999999</v>
      </c>
      <c r="F1062" s="32">
        <f t="shared" si="33"/>
        <v>1216.5</v>
      </c>
      <c r="G1062" s="32">
        <f t="shared" si="33"/>
        <v>79.166666666666671</v>
      </c>
      <c r="H1062" s="34">
        <f t="shared" si="33"/>
        <v>600</v>
      </c>
      <c r="I1062" s="32">
        <f t="shared" si="33"/>
        <v>695</v>
      </c>
      <c r="J1062" s="32">
        <f t="shared" si="33"/>
        <v>33.333333333333336</v>
      </c>
      <c r="K1062" s="33"/>
      <c r="L1062" s="33"/>
      <c r="M1062" s="33"/>
      <c r="N1062" s="33"/>
      <c r="O1062" s="33"/>
      <c r="P1062" s="33"/>
      <c r="Q1062" s="33"/>
      <c r="R1062" s="33"/>
      <c r="S1062" s="33"/>
      <c r="T1062" s="33"/>
    </row>
    <row r="1063" spans="1:20" ht="15">
      <c r="A1063" s="3">
        <f t="shared" si="30"/>
        <v>2041</v>
      </c>
      <c r="B1063" s="3">
        <f t="shared" si="8"/>
        <v>365</v>
      </c>
      <c r="C1063" s="32">
        <f t="shared" ref="C1063:J1063" si="34">AVERAGE(C317:C328)</f>
        <v>154.75825</v>
      </c>
      <c r="D1063" s="32">
        <f t="shared" si="34"/>
        <v>281.0162499999999</v>
      </c>
      <c r="E1063" s="32">
        <f t="shared" si="34"/>
        <v>780.7254999999999</v>
      </c>
      <c r="F1063" s="32">
        <f t="shared" si="34"/>
        <v>1216.5</v>
      </c>
      <c r="G1063" s="32">
        <f t="shared" si="34"/>
        <v>79.166666666666671</v>
      </c>
      <c r="H1063" s="34">
        <f t="shared" si="34"/>
        <v>600</v>
      </c>
      <c r="I1063" s="32">
        <f t="shared" si="34"/>
        <v>695</v>
      </c>
      <c r="J1063" s="32">
        <f t="shared" si="34"/>
        <v>33.333333333333336</v>
      </c>
      <c r="K1063" s="33"/>
      <c r="L1063" s="33"/>
      <c r="M1063" s="33"/>
      <c r="N1063" s="33"/>
      <c r="O1063" s="33"/>
      <c r="P1063" s="33"/>
      <c r="Q1063" s="33"/>
      <c r="R1063" s="33"/>
      <c r="S1063" s="33"/>
      <c r="T1063" s="33"/>
    </row>
    <row r="1064" spans="1:20" ht="15">
      <c r="A1064" s="3">
        <f t="shared" si="30"/>
        <v>2042</v>
      </c>
      <c r="B1064" s="3">
        <f t="shared" si="8"/>
        <v>365</v>
      </c>
      <c r="C1064" s="32">
        <f t="shared" ref="C1064:J1064" si="35">AVERAGE(C329:C340)</f>
        <v>154.75825</v>
      </c>
      <c r="D1064" s="32">
        <f t="shared" si="35"/>
        <v>281.0162499999999</v>
      </c>
      <c r="E1064" s="32">
        <f t="shared" si="35"/>
        <v>780.7254999999999</v>
      </c>
      <c r="F1064" s="32">
        <f t="shared" si="35"/>
        <v>1216.5</v>
      </c>
      <c r="G1064" s="32">
        <f t="shared" si="35"/>
        <v>79.166666666666671</v>
      </c>
      <c r="H1064" s="34">
        <f t="shared" si="35"/>
        <v>600</v>
      </c>
      <c r="I1064" s="32">
        <f t="shared" si="35"/>
        <v>695</v>
      </c>
      <c r="J1064" s="32">
        <f t="shared" si="35"/>
        <v>33.333333333333336</v>
      </c>
      <c r="K1064" s="33"/>
      <c r="L1064" s="33"/>
      <c r="M1064" s="33"/>
      <c r="N1064" s="33"/>
      <c r="O1064" s="33"/>
      <c r="P1064" s="33"/>
      <c r="Q1064" s="33"/>
      <c r="R1064" s="33"/>
      <c r="S1064" s="33"/>
      <c r="T1064" s="33"/>
    </row>
    <row r="1065" spans="1:20" ht="15">
      <c r="A1065" s="3">
        <f t="shared" si="30"/>
        <v>2043</v>
      </c>
      <c r="B1065" s="3">
        <f t="shared" si="8"/>
        <v>365</v>
      </c>
      <c r="C1065" s="32">
        <f t="shared" ref="C1065:J1065" si="36">AVERAGE(C341:C352)</f>
        <v>154.75825</v>
      </c>
      <c r="D1065" s="32">
        <f t="shared" si="36"/>
        <v>281.0162499999999</v>
      </c>
      <c r="E1065" s="32">
        <f t="shared" si="36"/>
        <v>780.7254999999999</v>
      </c>
      <c r="F1065" s="32">
        <f t="shared" si="36"/>
        <v>1216.5</v>
      </c>
      <c r="G1065" s="32">
        <f t="shared" si="36"/>
        <v>79.166666666666671</v>
      </c>
      <c r="H1065" s="34">
        <f t="shared" si="36"/>
        <v>600</v>
      </c>
      <c r="I1065" s="32">
        <f t="shared" si="36"/>
        <v>695</v>
      </c>
      <c r="J1065" s="32">
        <f t="shared" si="36"/>
        <v>33.333333333333336</v>
      </c>
      <c r="K1065" s="33"/>
      <c r="L1065" s="33"/>
      <c r="M1065" s="33"/>
      <c r="N1065" s="33"/>
      <c r="O1065" s="33"/>
      <c r="P1065" s="33"/>
      <c r="Q1065" s="33"/>
      <c r="R1065" s="33"/>
      <c r="S1065" s="33"/>
      <c r="T1065" s="33"/>
    </row>
    <row r="1066" spans="1:20" ht="15">
      <c r="A1066" s="3">
        <f t="shared" si="30"/>
        <v>2044</v>
      </c>
      <c r="B1066" s="3">
        <f t="shared" si="8"/>
        <v>366</v>
      </c>
      <c r="C1066" s="32">
        <f t="shared" ref="C1066:J1066" si="37">AVERAGE(C353:C364)</f>
        <v>154.75825</v>
      </c>
      <c r="D1066" s="32">
        <f t="shared" si="37"/>
        <v>281.0162499999999</v>
      </c>
      <c r="E1066" s="32">
        <f t="shared" si="37"/>
        <v>780.7254999999999</v>
      </c>
      <c r="F1066" s="32">
        <f t="shared" si="37"/>
        <v>1216.5</v>
      </c>
      <c r="G1066" s="32">
        <f t="shared" si="37"/>
        <v>79.166666666666671</v>
      </c>
      <c r="H1066" s="34">
        <f t="shared" si="37"/>
        <v>600</v>
      </c>
      <c r="I1066" s="32">
        <f t="shared" si="37"/>
        <v>695</v>
      </c>
      <c r="J1066" s="32">
        <f t="shared" si="37"/>
        <v>33.333333333333336</v>
      </c>
      <c r="K1066" s="33"/>
      <c r="L1066" s="33"/>
      <c r="M1066" s="33"/>
      <c r="N1066" s="33"/>
      <c r="O1066" s="33"/>
      <c r="P1066" s="33"/>
      <c r="Q1066" s="33"/>
      <c r="R1066" s="33"/>
      <c r="S1066" s="33"/>
      <c r="T1066" s="33"/>
    </row>
    <row r="1067" spans="1:20" ht="15">
      <c r="A1067" s="3">
        <f t="shared" si="30"/>
        <v>2045</v>
      </c>
      <c r="B1067" s="3">
        <f t="shared" si="8"/>
        <v>365</v>
      </c>
      <c r="C1067" s="32">
        <f t="shared" ref="C1067:J1067" si="38">AVERAGE(C365:C376)</f>
        <v>154.75825</v>
      </c>
      <c r="D1067" s="32">
        <f t="shared" si="38"/>
        <v>281.0162499999999</v>
      </c>
      <c r="E1067" s="32">
        <f t="shared" si="38"/>
        <v>780.7254999999999</v>
      </c>
      <c r="F1067" s="32">
        <f t="shared" si="38"/>
        <v>1216.5</v>
      </c>
      <c r="G1067" s="32">
        <f t="shared" si="38"/>
        <v>79.166666666666671</v>
      </c>
      <c r="H1067" s="34">
        <f t="shared" si="38"/>
        <v>600</v>
      </c>
      <c r="I1067" s="32">
        <f t="shared" si="38"/>
        <v>695</v>
      </c>
      <c r="J1067" s="32">
        <f t="shared" si="38"/>
        <v>33.333333333333336</v>
      </c>
      <c r="K1067" s="33"/>
      <c r="L1067" s="33"/>
      <c r="M1067" s="33"/>
      <c r="N1067" s="33"/>
      <c r="O1067" s="33"/>
      <c r="P1067" s="33"/>
      <c r="Q1067" s="33"/>
      <c r="R1067" s="33"/>
      <c r="S1067" s="33"/>
      <c r="T1067" s="33"/>
    </row>
    <row r="1068" spans="1:20" ht="15">
      <c r="A1068" s="3">
        <f t="shared" si="30"/>
        <v>2046</v>
      </c>
      <c r="B1068" s="3">
        <f t="shared" si="8"/>
        <v>365</v>
      </c>
      <c r="C1068" s="32">
        <f t="shared" ref="C1068:J1068" si="39">AVERAGE(C377:C388)</f>
        <v>154.75825</v>
      </c>
      <c r="D1068" s="32">
        <f t="shared" si="39"/>
        <v>281.0162499999999</v>
      </c>
      <c r="E1068" s="32">
        <f t="shared" si="39"/>
        <v>780.7254999999999</v>
      </c>
      <c r="F1068" s="32">
        <f t="shared" si="39"/>
        <v>1216.5</v>
      </c>
      <c r="G1068" s="32">
        <f t="shared" si="39"/>
        <v>79.166666666666671</v>
      </c>
      <c r="H1068" s="34">
        <f t="shared" si="39"/>
        <v>600</v>
      </c>
      <c r="I1068" s="32">
        <f t="shared" si="39"/>
        <v>695</v>
      </c>
      <c r="J1068" s="32">
        <f t="shared" si="39"/>
        <v>33.333333333333336</v>
      </c>
      <c r="K1068" s="33"/>
      <c r="L1068" s="33"/>
      <c r="M1068" s="33"/>
      <c r="N1068" s="33"/>
      <c r="O1068" s="33"/>
      <c r="P1068" s="33"/>
      <c r="Q1068" s="33"/>
      <c r="R1068" s="33"/>
      <c r="S1068" s="33"/>
      <c r="T1068" s="33"/>
    </row>
    <row r="1069" spans="1:20" ht="15">
      <c r="A1069" s="3">
        <f t="shared" si="30"/>
        <v>2047</v>
      </c>
      <c r="B1069" s="3">
        <f t="shared" si="8"/>
        <v>365</v>
      </c>
      <c r="C1069" s="32">
        <f t="shared" ref="C1069:J1069" si="40">AVERAGE(C389:C400)</f>
        <v>154.75825</v>
      </c>
      <c r="D1069" s="32">
        <f t="shared" si="40"/>
        <v>281.0162499999999</v>
      </c>
      <c r="E1069" s="32">
        <f t="shared" si="40"/>
        <v>780.7254999999999</v>
      </c>
      <c r="F1069" s="32">
        <f t="shared" si="40"/>
        <v>1216.5</v>
      </c>
      <c r="G1069" s="32">
        <f t="shared" si="40"/>
        <v>79.166666666666671</v>
      </c>
      <c r="H1069" s="34">
        <f t="shared" si="40"/>
        <v>600</v>
      </c>
      <c r="I1069" s="32">
        <f t="shared" si="40"/>
        <v>695</v>
      </c>
      <c r="J1069" s="32">
        <f t="shared" si="40"/>
        <v>33.333333333333336</v>
      </c>
      <c r="K1069" s="33"/>
      <c r="L1069" s="33"/>
      <c r="M1069" s="33"/>
      <c r="N1069" s="33"/>
      <c r="O1069" s="33"/>
      <c r="P1069" s="33"/>
      <c r="Q1069" s="33"/>
      <c r="R1069" s="33"/>
      <c r="S1069" s="33"/>
      <c r="T1069" s="33"/>
    </row>
    <row r="1070" spans="1:20" ht="15">
      <c r="A1070" s="3">
        <f t="shared" si="30"/>
        <v>2048</v>
      </c>
      <c r="B1070" s="3">
        <f t="shared" ref="B1070:B1101" si="41">DATE(A1070+1,1,1)-DATE(A1070,1,1)</f>
        <v>366</v>
      </c>
      <c r="C1070" s="32">
        <f t="shared" ref="C1070:J1070" si="42">AVERAGE(C401:C412)</f>
        <v>154.75825</v>
      </c>
      <c r="D1070" s="32">
        <f t="shared" si="42"/>
        <v>281.0162499999999</v>
      </c>
      <c r="E1070" s="32">
        <f t="shared" si="42"/>
        <v>780.7254999999999</v>
      </c>
      <c r="F1070" s="32">
        <f t="shared" si="42"/>
        <v>1216.5</v>
      </c>
      <c r="G1070" s="32">
        <f t="shared" si="42"/>
        <v>79.166666666666671</v>
      </c>
      <c r="H1070" s="34">
        <f t="shared" si="42"/>
        <v>600</v>
      </c>
      <c r="I1070" s="32">
        <f t="shared" si="42"/>
        <v>695</v>
      </c>
      <c r="J1070" s="32">
        <f t="shared" si="42"/>
        <v>33.333333333333336</v>
      </c>
      <c r="K1070" s="33"/>
      <c r="L1070" s="33"/>
      <c r="M1070" s="33"/>
      <c r="N1070" s="33"/>
      <c r="O1070" s="33"/>
      <c r="P1070" s="33"/>
      <c r="Q1070" s="33"/>
      <c r="R1070" s="33"/>
      <c r="S1070" s="33"/>
      <c r="T1070" s="33"/>
    </row>
    <row r="1071" spans="1:20" ht="15">
      <c r="A1071" s="3">
        <f t="shared" si="30"/>
        <v>2049</v>
      </c>
      <c r="B1071" s="3">
        <f t="shared" si="41"/>
        <v>365</v>
      </c>
      <c r="C1071" s="32">
        <f t="shared" ref="C1071:J1071" si="43">AVERAGE(C413:C424)</f>
        <v>154.75825</v>
      </c>
      <c r="D1071" s="32">
        <f t="shared" si="43"/>
        <v>281.0162499999999</v>
      </c>
      <c r="E1071" s="32">
        <f t="shared" si="43"/>
        <v>780.7254999999999</v>
      </c>
      <c r="F1071" s="32">
        <f t="shared" si="43"/>
        <v>1216.5</v>
      </c>
      <c r="G1071" s="32">
        <f t="shared" si="43"/>
        <v>79.166666666666671</v>
      </c>
      <c r="H1071" s="34">
        <f t="shared" si="43"/>
        <v>600</v>
      </c>
      <c r="I1071" s="32">
        <f t="shared" si="43"/>
        <v>695</v>
      </c>
      <c r="J1071" s="32">
        <f t="shared" si="43"/>
        <v>33.333333333333336</v>
      </c>
      <c r="K1071" s="33"/>
      <c r="L1071" s="33"/>
      <c r="M1071" s="33"/>
      <c r="N1071" s="33"/>
      <c r="O1071" s="33"/>
      <c r="P1071" s="33"/>
      <c r="Q1071" s="33"/>
      <c r="R1071" s="33"/>
      <c r="S1071" s="33"/>
      <c r="T1071" s="33"/>
    </row>
    <row r="1072" spans="1:20" ht="15">
      <c r="A1072" s="3">
        <f t="shared" si="30"/>
        <v>2050</v>
      </c>
      <c r="B1072" s="3">
        <f t="shared" si="41"/>
        <v>365</v>
      </c>
      <c r="C1072" s="32">
        <f t="shared" ref="C1072:J1072" si="44">AVERAGE(C425:C436)</f>
        <v>154.75825</v>
      </c>
      <c r="D1072" s="32">
        <f t="shared" si="44"/>
        <v>281.0162499999999</v>
      </c>
      <c r="E1072" s="32">
        <f t="shared" si="44"/>
        <v>780.7254999999999</v>
      </c>
      <c r="F1072" s="32">
        <f t="shared" si="44"/>
        <v>1216.5</v>
      </c>
      <c r="G1072" s="32">
        <f t="shared" si="44"/>
        <v>79.166666666666671</v>
      </c>
      <c r="H1072" s="34">
        <f t="shared" si="44"/>
        <v>600</v>
      </c>
      <c r="I1072" s="32">
        <f t="shared" si="44"/>
        <v>695</v>
      </c>
      <c r="J1072" s="32">
        <f t="shared" si="44"/>
        <v>33.333333333333336</v>
      </c>
      <c r="K1072" s="33"/>
      <c r="L1072" s="33"/>
      <c r="M1072" s="33"/>
      <c r="N1072" s="33"/>
      <c r="O1072" s="33"/>
      <c r="P1072" s="33"/>
      <c r="Q1072" s="33"/>
      <c r="R1072" s="33"/>
      <c r="S1072" s="33"/>
      <c r="T1072" s="33"/>
    </row>
    <row r="1073" spans="1:20" ht="15">
      <c r="A1073" s="3">
        <f t="shared" si="30"/>
        <v>2051</v>
      </c>
      <c r="B1073" s="3">
        <f t="shared" si="41"/>
        <v>365</v>
      </c>
      <c r="C1073" s="32">
        <f t="shared" ref="C1073:J1073" si="45">AVERAGE(C437:C448)</f>
        <v>154.75825</v>
      </c>
      <c r="D1073" s="32">
        <f t="shared" si="45"/>
        <v>281.0162499999999</v>
      </c>
      <c r="E1073" s="32">
        <f t="shared" si="45"/>
        <v>780.7254999999999</v>
      </c>
      <c r="F1073" s="32">
        <f t="shared" si="45"/>
        <v>1216.5</v>
      </c>
      <c r="G1073" s="32">
        <f t="shared" si="45"/>
        <v>79.166666666666671</v>
      </c>
      <c r="H1073" s="34">
        <f t="shared" si="45"/>
        <v>600</v>
      </c>
      <c r="I1073" s="32">
        <f t="shared" si="45"/>
        <v>695</v>
      </c>
      <c r="J1073" s="32">
        <f t="shared" si="45"/>
        <v>33.333333333333336</v>
      </c>
      <c r="K1073" s="33"/>
      <c r="L1073" s="33"/>
      <c r="M1073" s="33"/>
      <c r="N1073" s="33"/>
      <c r="O1073" s="33"/>
      <c r="P1073" s="33"/>
      <c r="Q1073" s="33"/>
      <c r="R1073" s="33"/>
      <c r="S1073" s="33"/>
      <c r="T1073" s="33"/>
    </row>
    <row r="1074" spans="1:20" ht="15">
      <c r="A1074" s="3">
        <f t="shared" si="30"/>
        <v>2052</v>
      </c>
      <c r="B1074" s="3">
        <f t="shared" si="41"/>
        <v>366</v>
      </c>
      <c r="C1074" s="32">
        <f t="shared" ref="C1074:J1074" si="46">AVERAGE(C449:C460)</f>
        <v>154.75825</v>
      </c>
      <c r="D1074" s="32">
        <f t="shared" si="46"/>
        <v>281.0162499999999</v>
      </c>
      <c r="E1074" s="32">
        <f t="shared" si="46"/>
        <v>780.7254999999999</v>
      </c>
      <c r="F1074" s="32">
        <f t="shared" si="46"/>
        <v>1216.5</v>
      </c>
      <c r="G1074" s="32">
        <f t="shared" si="46"/>
        <v>79.166666666666671</v>
      </c>
      <c r="H1074" s="34">
        <f t="shared" si="46"/>
        <v>600</v>
      </c>
      <c r="I1074" s="32">
        <f t="shared" si="46"/>
        <v>695</v>
      </c>
      <c r="J1074" s="32">
        <f t="shared" si="46"/>
        <v>33.333333333333336</v>
      </c>
      <c r="K1074" s="33"/>
      <c r="L1074" s="33"/>
      <c r="M1074" s="33"/>
      <c r="N1074" s="33"/>
      <c r="O1074" s="33"/>
      <c r="P1074" s="33"/>
      <c r="Q1074" s="33"/>
      <c r="R1074" s="33"/>
      <c r="S1074" s="33"/>
      <c r="T1074" s="33"/>
    </row>
    <row r="1075" spans="1:20" ht="15">
      <c r="A1075" s="3">
        <f t="shared" si="30"/>
        <v>2053</v>
      </c>
      <c r="B1075" s="3">
        <f t="shared" si="41"/>
        <v>365</v>
      </c>
      <c r="C1075" s="32">
        <f t="shared" ref="C1075:J1075" si="47">AVERAGE(C461:C472)</f>
        <v>154.75825</v>
      </c>
      <c r="D1075" s="32">
        <f t="shared" si="47"/>
        <v>281.0162499999999</v>
      </c>
      <c r="E1075" s="32">
        <f t="shared" si="47"/>
        <v>780.7254999999999</v>
      </c>
      <c r="F1075" s="32">
        <f t="shared" si="47"/>
        <v>1216.5</v>
      </c>
      <c r="G1075" s="32">
        <f t="shared" si="47"/>
        <v>79.166666666666671</v>
      </c>
      <c r="H1075" s="34">
        <f t="shared" si="47"/>
        <v>600</v>
      </c>
      <c r="I1075" s="32">
        <f t="shared" si="47"/>
        <v>695</v>
      </c>
      <c r="J1075" s="32">
        <f t="shared" si="47"/>
        <v>33.333333333333336</v>
      </c>
      <c r="K1075" s="33"/>
      <c r="L1075" s="33"/>
      <c r="M1075" s="33"/>
      <c r="N1075" s="33"/>
      <c r="O1075" s="33"/>
      <c r="P1075" s="33"/>
      <c r="Q1075" s="33"/>
      <c r="R1075" s="33"/>
      <c r="S1075" s="33"/>
      <c r="T1075" s="33"/>
    </row>
    <row r="1076" spans="1:20" ht="15">
      <c r="A1076" s="3">
        <f t="shared" si="30"/>
        <v>2054</v>
      </c>
      <c r="B1076" s="3">
        <f t="shared" si="41"/>
        <v>365</v>
      </c>
      <c r="C1076" s="32">
        <f t="shared" ref="C1076:J1083" si="48">AVERAGE(C473:C484)</f>
        <v>154.75825</v>
      </c>
      <c r="D1076" s="32">
        <f t="shared" si="48"/>
        <v>281.0162499999999</v>
      </c>
      <c r="E1076" s="32">
        <f t="shared" si="48"/>
        <v>780.7254999999999</v>
      </c>
      <c r="F1076" s="32">
        <f t="shared" si="48"/>
        <v>1216.5</v>
      </c>
      <c r="G1076" s="32">
        <f t="shared" si="48"/>
        <v>79.166666666666671</v>
      </c>
      <c r="H1076" s="34">
        <f t="shared" si="48"/>
        <v>600</v>
      </c>
      <c r="I1076" s="32">
        <f t="shared" si="48"/>
        <v>695</v>
      </c>
      <c r="J1076" s="32">
        <f t="shared" si="48"/>
        <v>33.333333333333336</v>
      </c>
      <c r="K1076" s="33"/>
      <c r="L1076" s="33"/>
      <c r="M1076" s="33"/>
      <c r="N1076" s="33"/>
      <c r="O1076" s="33"/>
      <c r="P1076" s="33"/>
      <c r="Q1076" s="33"/>
      <c r="R1076" s="33"/>
      <c r="S1076" s="33"/>
      <c r="T1076" s="33"/>
    </row>
    <row r="1077" spans="1:20" ht="15">
      <c r="A1077" s="3">
        <f t="shared" si="30"/>
        <v>2055</v>
      </c>
      <c r="B1077" s="3">
        <f t="shared" si="41"/>
        <v>365</v>
      </c>
      <c r="C1077" s="32">
        <f t="shared" si="48"/>
        <v>154.75825</v>
      </c>
      <c r="D1077" s="32">
        <f t="shared" si="48"/>
        <v>281.0162499999999</v>
      </c>
      <c r="E1077" s="32">
        <f t="shared" si="48"/>
        <v>780.7254999999999</v>
      </c>
      <c r="F1077" s="32">
        <f t="shared" si="48"/>
        <v>1216.5</v>
      </c>
      <c r="G1077" s="32">
        <f t="shared" si="48"/>
        <v>79.166666666666671</v>
      </c>
      <c r="H1077" s="34">
        <f t="shared" si="48"/>
        <v>600</v>
      </c>
      <c r="I1077" s="32">
        <f t="shared" si="48"/>
        <v>695</v>
      </c>
      <c r="J1077" s="32">
        <f t="shared" si="48"/>
        <v>33.333333333333336</v>
      </c>
      <c r="K1077" s="33"/>
      <c r="L1077" s="33"/>
      <c r="M1077" s="33"/>
      <c r="N1077" s="33"/>
      <c r="O1077" s="33"/>
      <c r="P1077" s="33"/>
      <c r="Q1077" s="33"/>
      <c r="R1077" s="33"/>
      <c r="S1077" s="33"/>
      <c r="T1077" s="33"/>
    </row>
    <row r="1078" spans="1:20" ht="15">
      <c r="A1078" s="3">
        <f t="shared" si="30"/>
        <v>2056</v>
      </c>
      <c r="B1078" s="3">
        <f t="shared" si="41"/>
        <v>366</v>
      </c>
      <c r="C1078" s="32">
        <f t="shared" si="48"/>
        <v>154.75824999999998</v>
      </c>
      <c r="D1078" s="32">
        <f t="shared" si="48"/>
        <v>281.0162499999999</v>
      </c>
      <c r="E1078" s="32">
        <f t="shared" si="48"/>
        <v>780.7254999999999</v>
      </c>
      <c r="F1078" s="32">
        <f t="shared" si="48"/>
        <v>1216.5</v>
      </c>
      <c r="G1078" s="32">
        <f t="shared" si="48"/>
        <v>79.166666666666671</v>
      </c>
      <c r="H1078" s="34">
        <f t="shared" si="48"/>
        <v>600</v>
      </c>
      <c r="I1078" s="32">
        <f t="shared" si="48"/>
        <v>695</v>
      </c>
      <c r="J1078" s="32">
        <f t="shared" si="48"/>
        <v>33.333333333333336</v>
      </c>
      <c r="K1078" s="33"/>
      <c r="L1078" s="33"/>
      <c r="M1078" s="33"/>
      <c r="N1078" s="33"/>
      <c r="O1078" s="33"/>
      <c r="P1078" s="33"/>
      <c r="Q1078" s="33"/>
      <c r="R1078" s="33"/>
      <c r="S1078" s="33"/>
      <c r="T1078" s="33"/>
    </row>
    <row r="1079" spans="1:20" ht="15">
      <c r="A1079" s="3">
        <f t="shared" si="30"/>
        <v>2057</v>
      </c>
      <c r="B1079" s="3">
        <f t="shared" si="41"/>
        <v>365</v>
      </c>
      <c r="C1079" s="32">
        <f t="shared" si="48"/>
        <v>154.75825</v>
      </c>
      <c r="D1079" s="32">
        <f t="shared" si="48"/>
        <v>281.0162499999999</v>
      </c>
      <c r="E1079" s="32">
        <f t="shared" si="48"/>
        <v>780.72550000000001</v>
      </c>
      <c r="F1079" s="32">
        <f t="shared" si="48"/>
        <v>1216.5</v>
      </c>
      <c r="G1079" s="32">
        <f t="shared" si="48"/>
        <v>79.166666666666671</v>
      </c>
      <c r="H1079" s="34">
        <f t="shared" si="48"/>
        <v>600</v>
      </c>
      <c r="I1079" s="32">
        <f t="shared" si="48"/>
        <v>695</v>
      </c>
      <c r="J1079" s="32">
        <f t="shared" si="48"/>
        <v>33.333333333333336</v>
      </c>
      <c r="K1079" s="33"/>
      <c r="L1079" s="33"/>
      <c r="M1079" s="33"/>
      <c r="N1079" s="33"/>
      <c r="O1079" s="33"/>
      <c r="P1079" s="33"/>
      <c r="Q1079" s="33"/>
      <c r="R1079" s="33"/>
      <c r="S1079" s="33"/>
      <c r="T1079" s="33"/>
    </row>
    <row r="1080" spans="1:20" ht="15">
      <c r="A1080" s="3">
        <f t="shared" si="30"/>
        <v>2058</v>
      </c>
      <c r="B1080" s="3">
        <f t="shared" si="41"/>
        <v>365</v>
      </c>
      <c r="C1080" s="32">
        <f t="shared" si="48"/>
        <v>154.75824999999998</v>
      </c>
      <c r="D1080" s="32">
        <f t="shared" si="48"/>
        <v>281.01624999999996</v>
      </c>
      <c r="E1080" s="32">
        <f t="shared" si="48"/>
        <v>780.72550000000001</v>
      </c>
      <c r="F1080" s="32">
        <f t="shared" si="48"/>
        <v>1216.5</v>
      </c>
      <c r="G1080" s="32">
        <f t="shared" si="48"/>
        <v>79.166666666666671</v>
      </c>
      <c r="H1080" s="34">
        <f t="shared" si="48"/>
        <v>600</v>
      </c>
      <c r="I1080" s="32">
        <f t="shared" si="48"/>
        <v>695</v>
      </c>
      <c r="J1080" s="32">
        <f t="shared" si="48"/>
        <v>33.333333333333336</v>
      </c>
      <c r="K1080" s="33"/>
      <c r="L1080" s="33"/>
      <c r="M1080" s="33"/>
      <c r="N1080" s="33"/>
      <c r="O1080" s="33"/>
      <c r="P1080" s="33"/>
      <c r="Q1080" s="33"/>
      <c r="R1080" s="33"/>
      <c r="S1080" s="33"/>
      <c r="T1080" s="33"/>
    </row>
    <row r="1081" spans="1:20" ht="15">
      <c r="A1081" s="3">
        <f t="shared" si="30"/>
        <v>2059</v>
      </c>
      <c r="B1081" s="3">
        <f t="shared" si="41"/>
        <v>365</v>
      </c>
      <c r="C1081" s="32">
        <f t="shared" si="48"/>
        <v>154.75824999999998</v>
      </c>
      <c r="D1081" s="32">
        <f t="shared" si="48"/>
        <v>281.01624999999996</v>
      </c>
      <c r="E1081" s="32">
        <f t="shared" si="48"/>
        <v>780.72550000000012</v>
      </c>
      <c r="F1081" s="32">
        <f t="shared" si="48"/>
        <v>1216.5</v>
      </c>
      <c r="G1081" s="32">
        <f t="shared" si="48"/>
        <v>79.166666666666671</v>
      </c>
      <c r="H1081" s="34">
        <f t="shared" si="48"/>
        <v>600</v>
      </c>
      <c r="I1081" s="32">
        <f t="shared" si="48"/>
        <v>695</v>
      </c>
      <c r="J1081" s="32">
        <f t="shared" si="48"/>
        <v>33.333333333333336</v>
      </c>
      <c r="K1081" s="33"/>
      <c r="L1081" s="33"/>
      <c r="M1081" s="33"/>
      <c r="N1081" s="33"/>
      <c r="O1081" s="33"/>
      <c r="P1081" s="33"/>
      <c r="Q1081" s="33"/>
      <c r="R1081" s="33"/>
      <c r="S1081" s="33"/>
      <c r="T1081" s="33"/>
    </row>
    <row r="1082" spans="1:20" ht="15">
      <c r="A1082" s="3">
        <f t="shared" si="30"/>
        <v>2060</v>
      </c>
      <c r="B1082" s="3">
        <f t="shared" si="41"/>
        <v>366</v>
      </c>
      <c r="C1082" s="32">
        <f t="shared" si="48"/>
        <v>154.75824999999998</v>
      </c>
      <c r="D1082" s="32">
        <f t="shared" si="48"/>
        <v>281.01624999999996</v>
      </c>
      <c r="E1082" s="32">
        <f t="shared" si="48"/>
        <v>780.72550000000012</v>
      </c>
      <c r="F1082" s="32">
        <f t="shared" si="48"/>
        <v>1216.5</v>
      </c>
      <c r="G1082" s="32">
        <f t="shared" si="48"/>
        <v>79.166666666666671</v>
      </c>
      <c r="H1082" s="34">
        <f t="shared" si="48"/>
        <v>600</v>
      </c>
      <c r="I1082" s="32">
        <f t="shared" si="48"/>
        <v>695</v>
      </c>
      <c r="J1082" s="32">
        <f t="shared" si="48"/>
        <v>33.333333333333336</v>
      </c>
      <c r="K1082" s="33"/>
      <c r="L1082" s="33"/>
      <c r="M1082" s="33"/>
      <c r="N1082" s="33"/>
      <c r="O1082" s="33"/>
      <c r="P1082" s="33"/>
      <c r="Q1082" s="33"/>
      <c r="R1082" s="33"/>
      <c r="S1082" s="33"/>
      <c r="T1082" s="33"/>
    </row>
    <row r="1083" spans="1:20" ht="15">
      <c r="A1083" s="3">
        <f t="shared" si="30"/>
        <v>2061</v>
      </c>
      <c r="B1083" s="3">
        <f t="shared" si="41"/>
        <v>365</v>
      </c>
      <c r="C1083" s="32">
        <f t="shared" si="48"/>
        <v>154.75825</v>
      </c>
      <c r="D1083" s="32">
        <f t="shared" si="48"/>
        <v>281.01624999999996</v>
      </c>
      <c r="E1083" s="32">
        <f t="shared" si="48"/>
        <v>780.72550000000001</v>
      </c>
      <c r="F1083" s="32">
        <f t="shared" si="48"/>
        <v>1216.5</v>
      </c>
      <c r="G1083" s="32">
        <f t="shared" si="48"/>
        <v>79.166666666666671</v>
      </c>
      <c r="H1083" s="34">
        <f t="shared" si="48"/>
        <v>600</v>
      </c>
      <c r="I1083" s="32">
        <f t="shared" si="48"/>
        <v>695</v>
      </c>
      <c r="J1083" s="32">
        <f t="shared" si="48"/>
        <v>33.333333333333336</v>
      </c>
      <c r="K1083" s="33"/>
      <c r="L1083" s="33"/>
      <c r="M1083" s="33"/>
      <c r="N1083" s="33"/>
      <c r="O1083" s="33"/>
      <c r="P1083" s="33"/>
      <c r="Q1083" s="33"/>
      <c r="R1083" s="33"/>
      <c r="S1083" s="33"/>
      <c r="T1083" s="33"/>
    </row>
    <row r="1084" spans="1:20" ht="15">
      <c r="A1084" s="3">
        <f t="shared" si="30"/>
        <v>2062</v>
      </c>
      <c r="B1084" s="3">
        <f t="shared" si="41"/>
        <v>365</v>
      </c>
      <c r="C1084" s="32">
        <f t="shared" ref="C1084:J1093" ca="1" si="49">AVERAGE(OFFSET(C$569,($A1084-$A$1084)*12,0,12,1))</f>
        <v>154.75825</v>
      </c>
      <c r="D1084" s="32">
        <f t="shared" ca="1" si="49"/>
        <v>281.0162499999999</v>
      </c>
      <c r="E1084" s="32">
        <f t="shared" ca="1" si="49"/>
        <v>780.7254999999999</v>
      </c>
      <c r="F1084" s="32">
        <f t="shared" ca="1" si="49"/>
        <v>1216.5</v>
      </c>
      <c r="G1084" s="32">
        <f t="shared" ca="1" si="49"/>
        <v>79.166666666666671</v>
      </c>
      <c r="H1084" s="32">
        <f t="shared" ca="1" si="49"/>
        <v>600</v>
      </c>
      <c r="I1084" s="32">
        <f t="shared" ca="1" si="49"/>
        <v>695</v>
      </c>
      <c r="J1084" s="32">
        <f t="shared" ca="1" si="49"/>
        <v>33.333333333333336</v>
      </c>
      <c r="K1084" s="33"/>
      <c r="L1084" s="33"/>
      <c r="M1084" s="33"/>
      <c r="N1084" s="33"/>
      <c r="O1084" s="33"/>
      <c r="P1084" s="33"/>
      <c r="Q1084" s="33"/>
      <c r="R1084" s="33"/>
      <c r="S1084" s="33"/>
      <c r="T1084" s="33"/>
    </row>
    <row r="1085" spans="1:20" ht="15">
      <c r="A1085" s="3">
        <f t="shared" si="30"/>
        <v>2063</v>
      </c>
      <c r="B1085" s="3">
        <f t="shared" si="41"/>
        <v>365</v>
      </c>
      <c r="C1085" s="32">
        <f t="shared" ca="1" si="49"/>
        <v>154.75825</v>
      </c>
      <c r="D1085" s="32">
        <f t="shared" ca="1" si="49"/>
        <v>281.0162499999999</v>
      </c>
      <c r="E1085" s="32">
        <f t="shared" ca="1" si="49"/>
        <v>780.7254999999999</v>
      </c>
      <c r="F1085" s="32">
        <f t="shared" ca="1" si="49"/>
        <v>1216.5</v>
      </c>
      <c r="G1085" s="32">
        <f t="shared" ca="1" si="49"/>
        <v>79.166666666666671</v>
      </c>
      <c r="H1085" s="32">
        <f t="shared" ca="1" si="49"/>
        <v>600</v>
      </c>
      <c r="I1085" s="32">
        <f t="shared" ca="1" si="49"/>
        <v>695</v>
      </c>
      <c r="J1085" s="32">
        <f t="shared" ca="1" si="49"/>
        <v>33.333333333333336</v>
      </c>
      <c r="K1085" s="33"/>
      <c r="L1085" s="33"/>
      <c r="M1085" s="33"/>
      <c r="N1085" s="33"/>
      <c r="O1085" s="33"/>
      <c r="P1085" s="33"/>
      <c r="Q1085" s="33"/>
      <c r="R1085" s="33"/>
      <c r="S1085" s="33"/>
      <c r="T1085" s="33"/>
    </row>
    <row r="1086" spans="1:20" ht="15">
      <c r="A1086" s="3">
        <f t="shared" si="30"/>
        <v>2064</v>
      </c>
      <c r="B1086" s="3">
        <f t="shared" si="41"/>
        <v>366</v>
      </c>
      <c r="C1086" s="32">
        <f t="shared" ca="1" si="49"/>
        <v>154.75825</v>
      </c>
      <c r="D1086" s="32">
        <f t="shared" ca="1" si="49"/>
        <v>281.0162499999999</v>
      </c>
      <c r="E1086" s="32">
        <f t="shared" ca="1" si="49"/>
        <v>780.7254999999999</v>
      </c>
      <c r="F1086" s="32">
        <f t="shared" ca="1" si="49"/>
        <v>1216.5</v>
      </c>
      <c r="G1086" s="32">
        <f t="shared" ca="1" si="49"/>
        <v>79.166666666666671</v>
      </c>
      <c r="H1086" s="32">
        <f t="shared" ca="1" si="49"/>
        <v>600</v>
      </c>
      <c r="I1086" s="32">
        <f t="shared" ca="1" si="49"/>
        <v>695</v>
      </c>
      <c r="J1086" s="32">
        <f t="shared" ca="1" si="49"/>
        <v>33.333333333333336</v>
      </c>
      <c r="K1086" s="33"/>
      <c r="L1086" s="33"/>
      <c r="M1086" s="33"/>
      <c r="N1086" s="33"/>
      <c r="O1086" s="33"/>
      <c r="P1086" s="33"/>
      <c r="Q1086" s="33"/>
      <c r="R1086" s="33"/>
      <c r="S1086" s="33"/>
      <c r="T1086" s="33"/>
    </row>
    <row r="1087" spans="1:20" ht="15">
      <c r="A1087" s="3">
        <f t="shared" si="30"/>
        <v>2065</v>
      </c>
      <c r="B1087" s="3">
        <f t="shared" si="41"/>
        <v>365</v>
      </c>
      <c r="C1087" s="32">
        <f t="shared" ca="1" si="49"/>
        <v>154.75825</v>
      </c>
      <c r="D1087" s="32">
        <f t="shared" ca="1" si="49"/>
        <v>281.0162499999999</v>
      </c>
      <c r="E1087" s="32">
        <f t="shared" ca="1" si="49"/>
        <v>780.7254999999999</v>
      </c>
      <c r="F1087" s="32">
        <f t="shared" ca="1" si="49"/>
        <v>1216.5</v>
      </c>
      <c r="G1087" s="32">
        <f t="shared" ca="1" si="49"/>
        <v>79.166666666666671</v>
      </c>
      <c r="H1087" s="32">
        <f t="shared" ca="1" si="49"/>
        <v>600</v>
      </c>
      <c r="I1087" s="32">
        <f t="shared" ca="1" si="49"/>
        <v>695</v>
      </c>
      <c r="J1087" s="32">
        <f t="shared" ca="1" si="49"/>
        <v>33.333333333333336</v>
      </c>
      <c r="K1087" s="33"/>
      <c r="L1087" s="33"/>
      <c r="M1087" s="33"/>
      <c r="N1087" s="33"/>
      <c r="O1087" s="33"/>
      <c r="P1087" s="33"/>
      <c r="Q1087" s="33"/>
      <c r="R1087" s="33"/>
      <c r="S1087" s="33"/>
      <c r="T1087" s="33"/>
    </row>
    <row r="1088" spans="1:20" ht="15">
      <c r="A1088" s="3">
        <f t="shared" si="30"/>
        <v>2066</v>
      </c>
      <c r="B1088" s="3">
        <f t="shared" si="41"/>
        <v>365</v>
      </c>
      <c r="C1088" s="32">
        <f t="shared" ca="1" si="49"/>
        <v>154.75825</v>
      </c>
      <c r="D1088" s="32">
        <f t="shared" ca="1" si="49"/>
        <v>281.0162499999999</v>
      </c>
      <c r="E1088" s="32">
        <f t="shared" ca="1" si="49"/>
        <v>780.7254999999999</v>
      </c>
      <c r="F1088" s="32">
        <f t="shared" ca="1" si="49"/>
        <v>1216.5</v>
      </c>
      <c r="G1088" s="32">
        <f t="shared" ca="1" si="49"/>
        <v>79.166666666666671</v>
      </c>
      <c r="H1088" s="32">
        <f t="shared" ca="1" si="49"/>
        <v>600</v>
      </c>
      <c r="I1088" s="32">
        <f t="shared" ca="1" si="49"/>
        <v>695</v>
      </c>
      <c r="J1088" s="32">
        <f t="shared" ca="1" si="49"/>
        <v>33.333333333333336</v>
      </c>
      <c r="K1088" s="33"/>
      <c r="L1088" s="33"/>
      <c r="M1088" s="33"/>
      <c r="N1088" s="33"/>
      <c r="O1088" s="33"/>
      <c r="P1088" s="33"/>
      <c r="Q1088" s="33"/>
      <c r="R1088" s="33"/>
      <c r="S1088" s="33"/>
      <c r="T1088" s="33"/>
    </row>
    <row r="1089" spans="1:20" ht="15">
      <c r="A1089" s="3">
        <f t="shared" si="30"/>
        <v>2067</v>
      </c>
      <c r="B1089" s="3">
        <f t="shared" si="41"/>
        <v>365</v>
      </c>
      <c r="C1089" s="32">
        <f t="shared" ca="1" si="49"/>
        <v>154.75825</v>
      </c>
      <c r="D1089" s="32">
        <f t="shared" ca="1" si="49"/>
        <v>281.0162499999999</v>
      </c>
      <c r="E1089" s="32">
        <f t="shared" ca="1" si="49"/>
        <v>780.7254999999999</v>
      </c>
      <c r="F1089" s="32">
        <f t="shared" ca="1" si="49"/>
        <v>1216.5</v>
      </c>
      <c r="G1089" s="32">
        <f t="shared" ca="1" si="49"/>
        <v>79.166666666666671</v>
      </c>
      <c r="H1089" s="32">
        <f t="shared" ca="1" si="49"/>
        <v>600</v>
      </c>
      <c r="I1089" s="32">
        <f t="shared" ca="1" si="49"/>
        <v>695</v>
      </c>
      <c r="J1089" s="32">
        <f t="shared" ca="1" si="49"/>
        <v>33.333333333333336</v>
      </c>
      <c r="K1089" s="33"/>
      <c r="L1089" s="33"/>
      <c r="M1089" s="33"/>
      <c r="N1089" s="33"/>
      <c r="O1089" s="33"/>
      <c r="P1089" s="33"/>
      <c r="Q1089" s="33"/>
      <c r="R1089" s="33"/>
      <c r="S1089" s="33"/>
      <c r="T1089" s="33"/>
    </row>
    <row r="1090" spans="1:20" ht="15">
      <c r="A1090" s="3">
        <f t="shared" si="30"/>
        <v>2068</v>
      </c>
      <c r="B1090" s="3">
        <f t="shared" si="41"/>
        <v>366</v>
      </c>
      <c r="C1090" s="32">
        <f t="shared" ca="1" si="49"/>
        <v>154.75825</v>
      </c>
      <c r="D1090" s="32">
        <f t="shared" ca="1" si="49"/>
        <v>281.0162499999999</v>
      </c>
      <c r="E1090" s="32">
        <f t="shared" ca="1" si="49"/>
        <v>780.7254999999999</v>
      </c>
      <c r="F1090" s="32">
        <f t="shared" ca="1" si="49"/>
        <v>1216.5</v>
      </c>
      <c r="G1090" s="32">
        <f t="shared" ca="1" si="49"/>
        <v>79.166666666666671</v>
      </c>
      <c r="H1090" s="32">
        <f t="shared" ca="1" si="49"/>
        <v>600</v>
      </c>
      <c r="I1090" s="32">
        <f t="shared" ca="1" si="49"/>
        <v>695</v>
      </c>
      <c r="J1090" s="32">
        <f t="shared" ca="1" si="49"/>
        <v>33.333333333333336</v>
      </c>
      <c r="K1090" s="33"/>
      <c r="L1090" s="33"/>
      <c r="M1090" s="33"/>
      <c r="N1090" s="33"/>
      <c r="O1090" s="33"/>
      <c r="P1090" s="33"/>
      <c r="Q1090" s="33"/>
      <c r="R1090" s="33"/>
      <c r="S1090" s="33"/>
      <c r="T1090" s="33"/>
    </row>
    <row r="1091" spans="1:20" ht="15">
      <c r="A1091" s="3">
        <f t="shared" si="30"/>
        <v>2069</v>
      </c>
      <c r="B1091" s="3">
        <f t="shared" si="41"/>
        <v>365</v>
      </c>
      <c r="C1091" s="32">
        <f t="shared" ca="1" si="49"/>
        <v>154.75825</v>
      </c>
      <c r="D1091" s="32">
        <f t="shared" ca="1" si="49"/>
        <v>281.0162499999999</v>
      </c>
      <c r="E1091" s="32">
        <f t="shared" ca="1" si="49"/>
        <v>780.7254999999999</v>
      </c>
      <c r="F1091" s="32">
        <f t="shared" ca="1" si="49"/>
        <v>1216.5</v>
      </c>
      <c r="G1091" s="32">
        <f t="shared" ca="1" si="49"/>
        <v>79.166666666666671</v>
      </c>
      <c r="H1091" s="32">
        <f t="shared" ca="1" si="49"/>
        <v>600</v>
      </c>
      <c r="I1091" s="32">
        <f t="shared" ca="1" si="49"/>
        <v>695</v>
      </c>
      <c r="J1091" s="32">
        <f t="shared" ca="1" si="49"/>
        <v>33.333333333333336</v>
      </c>
      <c r="K1091" s="33"/>
      <c r="L1091" s="33"/>
      <c r="M1091" s="33"/>
      <c r="N1091" s="33"/>
      <c r="O1091" s="33"/>
      <c r="P1091" s="33"/>
      <c r="Q1091" s="33"/>
      <c r="R1091" s="33"/>
      <c r="S1091" s="33"/>
      <c r="T1091" s="33"/>
    </row>
    <row r="1092" spans="1:20" ht="15">
      <c r="A1092" s="3">
        <f t="shared" ref="A1092:A1122" si="50">A1091+1</f>
        <v>2070</v>
      </c>
      <c r="B1092" s="3">
        <f t="shared" si="41"/>
        <v>365</v>
      </c>
      <c r="C1092" s="32">
        <f t="shared" ca="1" si="49"/>
        <v>154.75825</v>
      </c>
      <c r="D1092" s="32">
        <f t="shared" ca="1" si="49"/>
        <v>281.0162499999999</v>
      </c>
      <c r="E1092" s="32">
        <f t="shared" ca="1" si="49"/>
        <v>780.7254999999999</v>
      </c>
      <c r="F1092" s="32">
        <f t="shared" ca="1" si="49"/>
        <v>1216.5</v>
      </c>
      <c r="G1092" s="32">
        <f t="shared" ca="1" si="49"/>
        <v>79.166666666666671</v>
      </c>
      <c r="H1092" s="32">
        <f t="shared" ca="1" si="49"/>
        <v>600</v>
      </c>
      <c r="I1092" s="32">
        <f t="shared" ca="1" si="49"/>
        <v>695</v>
      </c>
      <c r="J1092" s="32">
        <f t="shared" ca="1" si="49"/>
        <v>33.333333333333336</v>
      </c>
      <c r="K1092" s="33"/>
      <c r="L1092" s="33"/>
      <c r="M1092" s="33"/>
      <c r="N1092" s="33"/>
      <c r="O1092" s="33"/>
      <c r="P1092" s="33"/>
      <c r="Q1092" s="33"/>
      <c r="R1092" s="33"/>
      <c r="S1092" s="33"/>
      <c r="T1092" s="33"/>
    </row>
    <row r="1093" spans="1:20" ht="15">
      <c r="A1093" s="3">
        <f t="shared" si="50"/>
        <v>2071</v>
      </c>
      <c r="B1093" s="3">
        <f t="shared" si="41"/>
        <v>365</v>
      </c>
      <c r="C1093" s="32">
        <f t="shared" ca="1" si="49"/>
        <v>154.75825</v>
      </c>
      <c r="D1093" s="32">
        <f t="shared" ca="1" si="49"/>
        <v>281.0162499999999</v>
      </c>
      <c r="E1093" s="32">
        <f t="shared" ca="1" si="49"/>
        <v>780.7254999999999</v>
      </c>
      <c r="F1093" s="32">
        <f t="shared" ca="1" si="49"/>
        <v>1216.5</v>
      </c>
      <c r="G1093" s="32">
        <f t="shared" ca="1" si="49"/>
        <v>79.166666666666671</v>
      </c>
      <c r="H1093" s="32">
        <f t="shared" ca="1" si="49"/>
        <v>600</v>
      </c>
      <c r="I1093" s="32">
        <f t="shared" ca="1" si="49"/>
        <v>695</v>
      </c>
      <c r="J1093" s="32">
        <f t="shared" ca="1" si="49"/>
        <v>33.333333333333336</v>
      </c>
      <c r="K1093" s="33"/>
      <c r="L1093" s="33"/>
      <c r="M1093" s="33"/>
      <c r="N1093" s="33"/>
      <c r="O1093" s="33"/>
      <c r="P1093" s="33"/>
      <c r="Q1093" s="33"/>
      <c r="R1093" s="33"/>
      <c r="S1093" s="33"/>
      <c r="T1093" s="33"/>
    </row>
    <row r="1094" spans="1:20" ht="15">
      <c r="A1094" s="3">
        <f t="shared" si="50"/>
        <v>2072</v>
      </c>
      <c r="B1094" s="3">
        <f t="shared" si="41"/>
        <v>366</v>
      </c>
      <c r="C1094" s="32">
        <f t="shared" ref="C1094:J1103" ca="1" si="51">AVERAGE(OFFSET(C$569,($A1094-$A$1084)*12,0,12,1))</f>
        <v>154.75825</v>
      </c>
      <c r="D1094" s="32">
        <f t="shared" ca="1" si="51"/>
        <v>281.0162499999999</v>
      </c>
      <c r="E1094" s="32">
        <f t="shared" ca="1" si="51"/>
        <v>780.7254999999999</v>
      </c>
      <c r="F1094" s="32">
        <f t="shared" ca="1" si="51"/>
        <v>1216.5</v>
      </c>
      <c r="G1094" s="32">
        <f t="shared" ca="1" si="51"/>
        <v>79.166666666666671</v>
      </c>
      <c r="H1094" s="32">
        <f t="shared" ca="1" si="51"/>
        <v>600</v>
      </c>
      <c r="I1094" s="32">
        <f t="shared" ca="1" si="51"/>
        <v>695</v>
      </c>
      <c r="J1094" s="32">
        <f t="shared" ca="1" si="51"/>
        <v>33.333333333333336</v>
      </c>
      <c r="K1094" s="33"/>
      <c r="L1094" s="33"/>
      <c r="M1094" s="33"/>
      <c r="N1094" s="33"/>
      <c r="O1094" s="33"/>
      <c r="P1094" s="33"/>
      <c r="Q1094" s="33"/>
      <c r="R1094" s="33"/>
      <c r="S1094" s="33"/>
      <c r="T1094" s="33"/>
    </row>
    <row r="1095" spans="1:20" ht="15">
      <c r="A1095" s="3">
        <f t="shared" si="50"/>
        <v>2073</v>
      </c>
      <c r="B1095" s="3">
        <f t="shared" si="41"/>
        <v>365</v>
      </c>
      <c r="C1095" s="32">
        <f t="shared" ca="1" si="51"/>
        <v>154.75825</v>
      </c>
      <c r="D1095" s="32">
        <f t="shared" ca="1" si="51"/>
        <v>281.0162499999999</v>
      </c>
      <c r="E1095" s="32">
        <f t="shared" ca="1" si="51"/>
        <v>780.7254999999999</v>
      </c>
      <c r="F1095" s="32">
        <f t="shared" ca="1" si="51"/>
        <v>1216.5</v>
      </c>
      <c r="G1095" s="32">
        <f t="shared" ca="1" si="51"/>
        <v>79.166666666666671</v>
      </c>
      <c r="H1095" s="32">
        <f t="shared" ca="1" si="51"/>
        <v>600</v>
      </c>
      <c r="I1095" s="32">
        <f t="shared" ca="1" si="51"/>
        <v>695</v>
      </c>
      <c r="J1095" s="32">
        <f t="shared" ca="1" si="51"/>
        <v>33.333333333333336</v>
      </c>
      <c r="K1095" s="33"/>
      <c r="L1095" s="33"/>
      <c r="M1095" s="33"/>
      <c r="N1095" s="33"/>
      <c r="O1095" s="33"/>
      <c r="P1095" s="33"/>
      <c r="Q1095" s="33"/>
      <c r="R1095" s="33"/>
      <c r="S1095" s="33"/>
      <c r="T1095" s="33"/>
    </row>
    <row r="1096" spans="1:20" ht="15">
      <c r="A1096" s="3">
        <f t="shared" si="50"/>
        <v>2074</v>
      </c>
      <c r="B1096" s="3">
        <f t="shared" si="41"/>
        <v>365</v>
      </c>
      <c r="C1096" s="32">
        <f t="shared" ca="1" si="51"/>
        <v>154.75825</v>
      </c>
      <c r="D1096" s="32">
        <f t="shared" ca="1" si="51"/>
        <v>281.0162499999999</v>
      </c>
      <c r="E1096" s="32">
        <f t="shared" ca="1" si="51"/>
        <v>780.7254999999999</v>
      </c>
      <c r="F1096" s="32">
        <f t="shared" ca="1" si="51"/>
        <v>1216.5</v>
      </c>
      <c r="G1096" s="32">
        <f t="shared" ca="1" si="51"/>
        <v>79.166666666666671</v>
      </c>
      <c r="H1096" s="32">
        <f t="shared" ca="1" si="51"/>
        <v>600</v>
      </c>
      <c r="I1096" s="32">
        <f t="shared" ca="1" si="51"/>
        <v>695</v>
      </c>
      <c r="J1096" s="32">
        <f t="shared" ca="1" si="51"/>
        <v>33.333333333333336</v>
      </c>
      <c r="K1096" s="33"/>
      <c r="L1096" s="33"/>
      <c r="M1096" s="33"/>
      <c r="N1096" s="33"/>
      <c r="O1096" s="33"/>
      <c r="P1096" s="33"/>
      <c r="Q1096" s="33"/>
      <c r="R1096" s="33"/>
      <c r="S1096" s="33"/>
      <c r="T1096" s="33"/>
    </row>
    <row r="1097" spans="1:20" ht="15">
      <c r="A1097" s="3">
        <f t="shared" si="50"/>
        <v>2075</v>
      </c>
      <c r="B1097" s="3">
        <f t="shared" si="41"/>
        <v>365</v>
      </c>
      <c r="C1097" s="32">
        <f t="shared" ca="1" si="51"/>
        <v>154.75825</v>
      </c>
      <c r="D1097" s="32">
        <f t="shared" ca="1" si="51"/>
        <v>281.0162499999999</v>
      </c>
      <c r="E1097" s="32">
        <f t="shared" ca="1" si="51"/>
        <v>780.7254999999999</v>
      </c>
      <c r="F1097" s="32">
        <f t="shared" ca="1" si="51"/>
        <v>1216.5</v>
      </c>
      <c r="G1097" s="32">
        <f t="shared" ca="1" si="51"/>
        <v>79.166666666666671</v>
      </c>
      <c r="H1097" s="32">
        <f t="shared" ca="1" si="51"/>
        <v>600</v>
      </c>
      <c r="I1097" s="32">
        <f t="shared" ca="1" si="51"/>
        <v>695</v>
      </c>
      <c r="J1097" s="32">
        <f t="shared" ca="1" si="51"/>
        <v>33.333333333333336</v>
      </c>
      <c r="K1097" s="33"/>
      <c r="L1097" s="33"/>
      <c r="M1097" s="33"/>
      <c r="N1097" s="33"/>
      <c r="O1097" s="33"/>
      <c r="P1097" s="33"/>
      <c r="Q1097" s="33"/>
      <c r="R1097" s="33"/>
      <c r="S1097" s="33"/>
      <c r="T1097" s="33"/>
    </row>
    <row r="1098" spans="1:20" ht="15">
      <c r="A1098" s="3">
        <f t="shared" si="50"/>
        <v>2076</v>
      </c>
      <c r="B1098" s="3">
        <f t="shared" si="41"/>
        <v>366</v>
      </c>
      <c r="C1098" s="32">
        <f t="shared" ca="1" si="51"/>
        <v>154.75825</v>
      </c>
      <c r="D1098" s="32">
        <f t="shared" ca="1" si="51"/>
        <v>281.0162499999999</v>
      </c>
      <c r="E1098" s="32">
        <f t="shared" ca="1" si="51"/>
        <v>780.7254999999999</v>
      </c>
      <c r="F1098" s="32">
        <f t="shared" ca="1" si="51"/>
        <v>1216.5</v>
      </c>
      <c r="G1098" s="32">
        <f t="shared" ca="1" si="51"/>
        <v>79.166666666666671</v>
      </c>
      <c r="H1098" s="32">
        <f t="shared" ca="1" si="51"/>
        <v>600</v>
      </c>
      <c r="I1098" s="32">
        <f t="shared" ca="1" si="51"/>
        <v>695</v>
      </c>
      <c r="J1098" s="32">
        <f t="shared" ca="1" si="51"/>
        <v>33.333333333333336</v>
      </c>
      <c r="K1098" s="33"/>
      <c r="L1098" s="33"/>
      <c r="M1098" s="33"/>
      <c r="N1098" s="33"/>
      <c r="O1098" s="33"/>
      <c r="P1098" s="33"/>
      <c r="Q1098" s="33"/>
      <c r="R1098" s="33"/>
      <c r="S1098" s="33"/>
      <c r="T1098" s="33"/>
    </row>
    <row r="1099" spans="1:20" ht="15">
      <c r="A1099" s="3">
        <f t="shared" si="50"/>
        <v>2077</v>
      </c>
      <c r="B1099" s="3">
        <f t="shared" si="41"/>
        <v>365</v>
      </c>
      <c r="C1099" s="32">
        <f t="shared" ca="1" si="51"/>
        <v>154.75825</v>
      </c>
      <c r="D1099" s="32">
        <f t="shared" ca="1" si="51"/>
        <v>281.0162499999999</v>
      </c>
      <c r="E1099" s="32">
        <f t="shared" ca="1" si="51"/>
        <v>780.7254999999999</v>
      </c>
      <c r="F1099" s="32">
        <f t="shared" ca="1" si="51"/>
        <v>1216.5</v>
      </c>
      <c r="G1099" s="32">
        <f t="shared" ca="1" si="51"/>
        <v>79.166666666666671</v>
      </c>
      <c r="H1099" s="32">
        <f t="shared" ca="1" si="51"/>
        <v>600</v>
      </c>
      <c r="I1099" s="32">
        <f t="shared" ca="1" si="51"/>
        <v>695</v>
      </c>
      <c r="J1099" s="32">
        <f t="shared" ca="1" si="51"/>
        <v>33.333333333333336</v>
      </c>
      <c r="K1099" s="33"/>
      <c r="L1099" s="33"/>
      <c r="M1099" s="33"/>
      <c r="N1099" s="33"/>
      <c r="O1099" s="33"/>
      <c r="P1099" s="33"/>
      <c r="Q1099" s="33"/>
      <c r="R1099" s="33"/>
      <c r="S1099" s="33"/>
      <c r="T1099" s="33"/>
    </row>
    <row r="1100" spans="1:20" ht="15">
      <c r="A1100" s="3">
        <f t="shared" si="50"/>
        <v>2078</v>
      </c>
      <c r="B1100" s="3">
        <f t="shared" si="41"/>
        <v>365</v>
      </c>
      <c r="C1100" s="32">
        <f t="shared" ca="1" si="51"/>
        <v>154.75825</v>
      </c>
      <c r="D1100" s="32">
        <f t="shared" ca="1" si="51"/>
        <v>281.0162499999999</v>
      </c>
      <c r="E1100" s="32">
        <f t="shared" ca="1" si="51"/>
        <v>780.7254999999999</v>
      </c>
      <c r="F1100" s="32">
        <f t="shared" ca="1" si="51"/>
        <v>1216.5</v>
      </c>
      <c r="G1100" s="32">
        <f t="shared" ca="1" si="51"/>
        <v>79.166666666666671</v>
      </c>
      <c r="H1100" s="32">
        <f t="shared" ca="1" si="51"/>
        <v>600</v>
      </c>
      <c r="I1100" s="32">
        <f t="shared" ca="1" si="51"/>
        <v>695</v>
      </c>
      <c r="J1100" s="32">
        <f t="shared" ca="1" si="51"/>
        <v>33.333333333333336</v>
      </c>
      <c r="K1100" s="33"/>
      <c r="L1100" s="33"/>
      <c r="M1100" s="33"/>
      <c r="N1100" s="33"/>
      <c r="O1100" s="33"/>
      <c r="P1100" s="33"/>
      <c r="Q1100" s="33"/>
      <c r="R1100" s="33"/>
      <c r="S1100" s="33"/>
      <c r="T1100" s="33"/>
    </row>
    <row r="1101" spans="1:20" ht="15">
      <c r="A1101" s="3">
        <f t="shared" si="50"/>
        <v>2079</v>
      </c>
      <c r="B1101" s="3">
        <f t="shared" si="41"/>
        <v>365</v>
      </c>
      <c r="C1101" s="32">
        <f t="shared" ca="1" si="51"/>
        <v>154.75825</v>
      </c>
      <c r="D1101" s="32">
        <f t="shared" ca="1" si="51"/>
        <v>281.0162499999999</v>
      </c>
      <c r="E1101" s="32">
        <f t="shared" ca="1" si="51"/>
        <v>780.7254999999999</v>
      </c>
      <c r="F1101" s="32">
        <f t="shared" ca="1" si="51"/>
        <v>1216.5</v>
      </c>
      <c r="G1101" s="32">
        <f t="shared" ca="1" si="51"/>
        <v>79.166666666666671</v>
      </c>
      <c r="H1101" s="32">
        <f t="shared" ca="1" si="51"/>
        <v>600</v>
      </c>
      <c r="I1101" s="32">
        <f t="shared" ca="1" si="51"/>
        <v>695</v>
      </c>
      <c r="J1101" s="32">
        <f t="shared" ca="1" si="51"/>
        <v>33.333333333333336</v>
      </c>
      <c r="K1101" s="33"/>
      <c r="L1101" s="33"/>
      <c r="M1101" s="33"/>
      <c r="N1101" s="33"/>
      <c r="O1101" s="33"/>
      <c r="P1101" s="33"/>
      <c r="Q1101" s="33"/>
      <c r="R1101" s="33"/>
      <c r="S1101" s="33"/>
      <c r="T1101" s="33"/>
    </row>
    <row r="1102" spans="1:20" ht="15">
      <c r="A1102" s="3">
        <f t="shared" si="50"/>
        <v>2080</v>
      </c>
      <c r="B1102" s="3">
        <f t="shared" ref="B1102:B1122" si="52">DATE(A1102+1,1,1)-DATE(A1102,1,1)</f>
        <v>366</v>
      </c>
      <c r="C1102" s="32">
        <f t="shared" ca="1" si="51"/>
        <v>154.75825</v>
      </c>
      <c r="D1102" s="32">
        <f t="shared" ca="1" si="51"/>
        <v>281.0162499999999</v>
      </c>
      <c r="E1102" s="32">
        <f t="shared" ca="1" si="51"/>
        <v>780.7254999999999</v>
      </c>
      <c r="F1102" s="32">
        <f t="shared" ca="1" si="51"/>
        <v>1216.5</v>
      </c>
      <c r="G1102" s="32">
        <f t="shared" ca="1" si="51"/>
        <v>79.166666666666671</v>
      </c>
      <c r="H1102" s="32">
        <f t="shared" ca="1" si="51"/>
        <v>600</v>
      </c>
      <c r="I1102" s="32">
        <f t="shared" ca="1" si="51"/>
        <v>695</v>
      </c>
      <c r="J1102" s="32">
        <f t="shared" ca="1" si="51"/>
        <v>33.333333333333336</v>
      </c>
      <c r="K1102" s="33"/>
      <c r="L1102" s="33"/>
      <c r="M1102" s="33"/>
      <c r="N1102" s="33"/>
      <c r="O1102" s="33"/>
      <c r="P1102" s="33"/>
      <c r="Q1102" s="33"/>
      <c r="R1102" s="33"/>
      <c r="S1102" s="33"/>
      <c r="T1102" s="33"/>
    </row>
    <row r="1103" spans="1:20" ht="15">
      <c r="A1103" s="3">
        <f t="shared" si="50"/>
        <v>2081</v>
      </c>
      <c r="B1103" s="3">
        <f t="shared" si="52"/>
        <v>365</v>
      </c>
      <c r="C1103" s="32">
        <f t="shared" ca="1" si="51"/>
        <v>154.75825</v>
      </c>
      <c r="D1103" s="32">
        <f t="shared" ca="1" si="51"/>
        <v>281.0162499999999</v>
      </c>
      <c r="E1103" s="32">
        <f t="shared" ca="1" si="51"/>
        <v>780.7254999999999</v>
      </c>
      <c r="F1103" s="32">
        <f t="shared" ca="1" si="51"/>
        <v>1216.5</v>
      </c>
      <c r="G1103" s="32">
        <f t="shared" ca="1" si="51"/>
        <v>79.166666666666671</v>
      </c>
      <c r="H1103" s="32">
        <f t="shared" ca="1" si="51"/>
        <v>600</v>
      </c>
      <c r="I1103" s="32">
        <f t="shared" ca="1" si="51"/>
        <v>695</v>
      </c>
      <c r="J1103" s="32">
        <f t="shared" ca="1" si="51"/>
        <v>33.333333333333336</v>
      </c>
      <c r="K1103" s="33"/>
      <c r="L1103" s="33"/>
      <c r="M1103" s="33"/>
      <c r="N1103" s="33"/>
      <c r="O1103" s="33"/>
      <c r="P1103" s="33"/>
      <c r="Q1103" s="33"/>
      <c r="R1103" s="33"/>
      <c r="S1103" s="33"/>
      <c r="T1103" s="33"/>
    </row>
    <row r="1104" spans="1:20" ht="15">
      <c r="A1104" s="3">
        <f t="shared" si="50"/>
        <v>2082</v>
      </c>
      <c r="B1104" s="3">
        <f t="shared" si="52"/>
        <v>365</v>
      </c>
      <c r="C1104" s="32">
        <f t="shared" ref="C1104:J1113" ca="1" si="53">AVERAGE(OFFSET(C$569,($A1104-$A$1084)*12,0,12,1))</f>
        <v>154.75825</v>
      </c>
      <c r="D1104" s="32">
        <f t="shared" ca="1" si="53"/>
        <v>281.0162499999999</v>
      </c>
      <c r="E1104" s="32">
        <f t="shared" ca="1" si="53"/>
        <v>780.7254999999999</v>
      </c>
      <c r="F1104" s="32">
        <f t="shared" ca="1" si="53"/>
        <v>1216.5</v>
      </c>
      <c r="G1104" s="32">
        <f t="shared" ca="1" si="53"/>
        <v>79.166666666666671</v>
      </c>
      <c r="H1104" s="32">
        <f t="shared" ca="1" si="53"/>
        <v>600</v>
      </c>
      <c r="I1104" s="32">
        <f t="shared" ca="1" si="53"/>
        <v>695</v>
      </c>
      <c r="J1104" s="32">
        <f t="shared" ca="1" si="53"/>
        <v>33.333333333333336</v>
      </c>
      <c r="K1104" s="33"/>
      <c r="L1104" s="33"/>
      <c r="M1104" s="33"/>
      <c r="N1104" s="33"/>
      <c r="O1104" s="33"/>
      <c r="P1104" s="33"/>
      <c r="Q1104" s="33"/>
      <c r="R1104" s="33"/>
      <c r="S1104" s="33"/>
      <c r="T1104" s="33"/>
    </row>
    <row r="1105" spans="1:20" ht="15">
      <c r="A1105" s="3">
        <f t="shared" si="50"/>
        <v>2083</v>
      </c>
      <c r="B1105" s="3">
        <f t="shared" si="52"/>
        <v>365</v>
      </c>
      <c r="C1105" s="32">
        <f t="shared" ca="1" si="53"/>
        <v>154.75825</v>
      </c>
      <c r="D1105" s="32">
        <f t="shared" ca="1" si="53"/>
        <v>281.0162499999999</v>
      </c>
      <c r="E1105" s="32">
        <f t="shared" ca="1" si="53"/>
        <v>780.7254999999999</v>
      </c>
      <c r="F1105" s="32">
        <f t="shared" ca="1" si="53"/>
        <v>1216.5</v>
      </c>
      <c r="G1105" s="32">
        <f t="shared" ca="1" si="53"/>
        <v>79.166666666666671</v>
      </c>
      <c r="H1105" s="32">
        <f t="shared" ca="1" si="53"/>
        <v>600</v>
      </c>
      <c r="I1105" s="32">
        <f t="shared" ca="1" si="53"/>
        <v>695</v>
      </c>
      <c r="J1105" s="32">
        <f t="shared" ca="1" si="53"/>
        <v>33.333333333333336</v>
      </c>
      <c r="K1105" s="33"/>
      <c r="L1105" s="33"/>
      <c r="M1105" s="33"/>
      <c r="N1105" s="33"/>
      <c r="O1105" s="33"/>
      <c r="P1105" s="33"/>
      <c r="Q1105" s="33"/>
      <c r="R1105" s="33"/>
      <c r="S1105" s="33"/>
      <c r="T1105" s="33"/>
    </row>
    <row r="1106" spans="1:20" ht="15">
      <c r="A1106" s="3">
        <f t="shared" si="50"/>
        <v>2084</v>
      </c>
      <c r="B1106" s="3">
        <f t="shared" si="52"/>
        <v>366</v>
      </c>
      <c r="C1106" s="32">
        <f t="shared" ca="1" si="53"/>
        <v>154.75825</v>
      </c>
      <c r="D1106" s="32">
        <f t="shared" ca="1" si="53"/>
        <v>281.0162499999999</v>
      </c>
      <c r="E1106" s="32">
        <f t="shared" ca="1" si="53"/>
        <v>780.7254999999999</v>
      </c>
      <c r="F1106" s="32">
        <f t="shared" ca="1" si="53"/>
        <v>1216.5</v>
      </c>
      <c r="G1106" s="32">
        <f t="shared" ca="1" si="53"/>
        <v>79.166666666666671</v>
      </c>
      <c r="H1106" s="32">
        <f t="shared" ca="1" si="53"/>
        <v>600</v>
      </c>
      <c r="I1106" s="32">
        <f t="shared" ca="1" si="53"/>
        <v>695</v>
      </c>
      <c r="J1106" s="32">
        <f t="shared" ca="1" si="53"/>
        <v>33.333333333333336</v>
      </c>
      <c r="K1106" s="33"/>
      <c r="L1106" s="33"/>
      <c r="M1106" s="33"/>
      <c r="N1106" s="33"/>
      <c r="O1106" s="33"/>
      <c r="P1106" s="33"/>
      <c r="Q1106" s="33"/>
      <c r="R1106" s="33"/>
      <c r="S1106" s="33"/>
      <c r="T1106" s="33"/>
    </row>
    <row r="1107" spans="1:20" ht="15">
      <c r="A1107" s="3">
        <f t="shared" si="50"/>
        <v>2085</v>
      </c>
      <c r="B1107" s="3">
        <f t="shared" si="52"/>
        <v>365</v>
      </c>
      <c r="C1107" s="32">
        <f t="shared" ca="1" si="53"/>
        <v>154.75825</v>
      </c>
      <c r="D1107" s="32">
        <f t="shared" ca="1" si="53"/>
        <v>281.0162499999999</v>
      </c>
      <c r="E1107" s="32">
        <f t="shared" ca="1" si="53"/>
        <v>780.7254999999999</v>
      </c>
      <c r="F1107" s="32">
        <f t="shared" ca="1" si="53"/>
        <v>1216.5</v>
      </c>
      <c r="G1107" s="32">
        <f t="shared" ca="1" si="53"/>
        <v>79.166666666666671</v>
      </c>
      <c r="H1107" s="32">
        <f t="shared" ca="1" si="53"/>
        <v>600</v>
      </c>
      <c r="I1107" s="32">
        <f t="shared" ca="1" si="53"/>
        <v>695</v>
      </c>
      <c r="J1107" s="32">
        <f t="shared" ca="1" si="53"/>
        <v>33.333333333333336</v>
      </c>
      <c r="K1107" s="33"/>
      <c r="L1107" s="33"/>
      <c r="M1107" s="33"/>
      <c r="N1107" s="33"/>
      <c r="O1107" s="33"/>
      <c r="P1107" s="33"/>
      <c r="Q1107" s="33"/>
      <c r="R1107" s="33"/>
      <c r="S1107" s="33"/>
      <c r="T1107" s="33"/>
    </row>
    <row r="1108" spans="1:20" ht="15">
      <c r="A1108" s="3">
        <f t="shared" si="50"/>
        <v>2086</v>
      </c>
      <c r="B1108" s="3">
        <f t="shared" si="52"/>
        <v>365</v>
      </c>
      <c r="C1108" s="32">
        <f t="shared" ca="1" si="53"/>
        <v>154.75825</v>
      </c>
      <c r="D1108" s="32">
        <f t="shared" ca="1" si="53"/>
        <v>281.0162499999999</v>
      </c>
      <c r="E1108" s="32">
        <f t="shared" ca="1" si="53"/>
        <v>780.7254999999999</v>
      </c>
      <c r="F1108" s="32">
        <f t="shared" ca="1" si="53"/>
        <v>1216.5</v>
      </c>
      <c r="G1108" s="32">
        <f t="shared" ca="1" si="53"/>
        <v>79.166666666666671</v>
      </c>
      <c r="H1108" s="32">
        <f t="shared" ca="1" si="53"/>
        <v>600</v>
      </c>
      <c r="I1108" s="32">
        <f t="shared" ca="1" si="53"/>
        <v>695</v>
      </c>
      <c r="J1108" s="32">
        <f t="shared" ca="1" si="53"/>
        <v>33.333333333333336</v>
      </c>
      <c r="K1108" s="33"/>
      <c r="L1108" s="33"/>
      <c r="M1108" s="33"/>
      <c r="N1108" s="33"/>
      <c r="O1108" s="33"/>
      <c r="P1108" s="33"/>
      <c r="Q1108" s="33"/>
      <c r="R1108" s="33"/>
      <c r="S1108" s="33"/>
      <c r="T1108" s="33"/>
    </row>
    <row r="1109" spans="1:20" ht="15">
      <c r="A1109" s="3">
        <f t="shared" si="50"/>
        <v>2087</v>
      </c>
      <c r="B1109" s="3">
        <f t="shared" si="52"/>
        <v>365</v>
      </c>
      <c r="C1109" s="32">
        <f t="shared" ca="1" si="53"/>
        <v>154.75825</v>
      </c>
      <c r="D1109" s="32">
        <f t="shared" ca="1" si="53"/>
        <v>281.0162499999999</v>
      </c>
      <c r="E1109" s="32">
        <f t="shared" ca="1" si="53"/>
        <v>780.7254999999999</v>
      </c>
      <c r="F1109" s="32">
        <f t="shared" ca="1" si="53"/>
        <v>1216.5</v>
      </c>
      <c r="G1109" s="32">
        <f t="shared" ca="1" si="53"/>
        <v>79.166666666666671</v>
      </c>
      <c r="H1109" s="32">
        <f t="shared" ca="1" si="53"/>
        <v>600</v>
      </c>
      <c r="I1109" s="32">
        <f t="shared" ca="1" si="53"/>
        <v>695</v>
      </c>
      <c r="J1109" s="32">
        <f t="shared" ca="1" si="53"/>
        <v>33.333333333333336</v>
      </c>
      <c r="K1109" s="33"/>
      <c r="L1109" s="33"/>
      <c r="M1109" s="33"/>
      <c r="N1109" s="33"/>
      <c r="O1109" s="33"/>
      <c r="P1109" s="33"/>
      <c r="Q1109" s="33"/>
      <c r="R1109" s="33"/>
      <c r="S1109" s="33"/>
      <c r="T1109" s="33"/>
    </row>
    <row r="1110" spans="1:20" ht="15">
      <c r="A1110" s="3">
        <f t="shared" si="50"/>
        <v>2088</v>
      </c>
      <c r="B1110" s="3">
        <f t="shared" si="52"/>
        <v>366</v>
      </c>
      <c r="C1110" s="32">
        <f t="shared" ca="1" si="53"/>
        <v>154.75825</v>
      </c>
      <c r="D1110" s="32">
        <f t="shared" ca="1" si="53"/>
        <v>281.0162499999999</v>
      </c>
      <c r="E1110" s="32">
        <f t="shared" ca="1" si="53"/>
        <v>780.7254999999999</v>
      </c>
      <c r="F1110" s="32">
        <f t="shared" ca="1" si="53"/>
        <v>1216.5</v>
      </c>
      <c r="G1110" s="32">
        <f t="shared" ca="1" si="53"/>
        <v>79.166666666666671</v>
      </c>
      <c r="H1110" s="32">
        <f t="shared" ca="1" si="53"/>
        <v>600</v>
      </c>
      <c r="I1110" s="32">
        <f t="shared" ca="1" si="53"/>
        <v>695</v>
      </c>
      <c r="J1110" s="32">
        <f t="shared" ca="1" si="53"/>
        <v>33.333333333333336</v>
      </c>
      <c r="K1110" s="33"/>
      <c r="L1110" s="33"/>
      <c r="M1110" s="33"/>
      <c r="N1110" s="33"/>
      <c r="O1110" s="33"/>
      <c r="P1110" s="33"/>
      <c r="Q1110" s="33"/>
      <c r="R1110" s="33"/>
      <c r="S1110" s="33"/>
      <c r="T1110" s="33"/>
    </row>
    <row r="1111" spans="1:20" ht="15">
      <c r="A1111" s="3">
        <f t="shared" si="50"/>
        <v>2089</v>
      </c>
      <c r="B1111" s="3">
        <f t="shared" si="52"/>
        <v>365</v>
      </c>
      <c r="C1111" s="32">
        <f t="shared" ca="1" si="53"/>
        <v>154.75825</v>
      </c>
      <c r="D1111" s="32">
        <f t="shared" ca="1" si="53"/>
        <v>281.0162499999999</v>
      </c>
      <c r="E1111" s="32">
        <f t="shared" ca="1" si="53"/>
        <v>780.7254999999999</v>
      </c>
      <c r="F1111" s="32">
        <f t="shared" ca="1" si="53"/>
        <v>1216.5</v>
      </c>
      <c r="G1111" s="32">
        <f t="shared" ca="1" si="53"/>
        <v>79.166666666666671</v>
      </c>
      <c r="H1111" s="32">
        <f t="shared" ca="1" si="53"/>
        <v>600</v>
      </c>
      <c r="I1111" s="32">
        <f t="shared" ca="1" si="53"/>
        <v>695</v>
      </c>
      <c r="J1111" s="32">
        <f t="shared" ca="1" si="53"/>
        <v>33.333333333333336</v>
      </c>
      <c r="K1111" s="33"/>
      <c r="L1111" s="33"/>
      <c r="M1111" s="33"/>
      <c r="N1111" s="33"/>
      <c r="O1111" s="33"/>
      <c r="P1111" s="33"/>
      <c r="Q1111" s="33"/>
      <c r="R1111" s="33"/>
      <c r="S1111" s="33"/>
      <c r="T1111" s="33"/>
    </row>
    <row r="1112" spans="1:20" ht="15">
      <c r="A1112" s="3">
        <f t="shared" si="50"/>
        <v>2090</v>
      </c>
      <c r="B1112" s="3">
        <f t="shared" si="52"/>
        <v>365</v>
      </c>
      <c r="C1112" s="32">
        <f t="shared" ca="1" si="53"/>
        <v>154.75825</v>
      </c>
      <c r="D1112" s="32">
        <f t="shared" ca="1" si="53"/>
        <v>281.0162499999999</v>
      </c>
      <c r="E1112" s="32">
        <f t="shared" ca="1" si="53"/>
        <v>780.7254999999999</v>
      </c>
      <c r="F1112" s="32">
        <f t="shared" ca="1" si="53"/>
        <v>1216.5</v>
      </c>
      <c r="G1112" s="32">
        <f t="shared" ca="1" si="53"/>
        <v>79.166666666666671</v>
      </c>
      <c r="H1112" s="32">
        <f t="shared" ca="1" si="53"/>
        <v>600</v>
      </c>
      <c r="I1112" s="32">
        <f t="shared" ca="1" si="53"/>
        <v>695</v>
      </c>
      <c r="J1112" s="32">
        <f t="shared" ca="1" si="53"/>
        <v>33.333333333333336</v>
      </c>
      <c r="K1112" s="33"/>
      <c r="L1112" s="33"/>
      <c r="M1112" s="33"/>
      <c r="N1112" s="33"/>
      <c r="O1112" s="33"/>
      <c r="P1112" s="33"/>
      <c r="Q1112" s="33"/>
      <c r="R1112" s="33"/>
      <c r="S1112" s="33"/>
      <c r="T1112" s="33"/>
    </row>
    <row r="1113" spans="1:20" ht="15">
      <c r="A1113" s="3">
        <f t="shared" si="50"/>
        <v>2091</v>
      </c>
      <c r="B1113" s="3">
        <f t="shared" si="52"/>
        <v>365</v>
      </c>
      <c r="C1113" s="32">
        <f t="shared" ca="1" si="53"/>
        <v>154.75825</v>
      </c>
      <c r="D1113" s="32">
        <f t="shared" ca="1" si="53"/>
        <v>281.0162499999999</v>
      </c>
      <c r="E1113" s="32">
        <f t="shared" ca="1" si="53"/>
        <v>780.7254999999999</v>
      </c>
      <c r="F1113" s="32">
        <f t="shared" ca="1" si="53"/>
        <v>1216.5</v>
      </c>
      <c r="G1113" s="32">
        <f t="shared" ca="1" si="53"/>
        <v>79.166666666666671</v>
      </c>
      <c r="H1113" s="32">
        <f t="shared" ca="1" si="53"/>
        <v>600</v>
      </c>
      <c r="I1113" s="32">
        <f t="shared" ca="1" si="53"/>
        <v>695</v>
      </c>
      <c r="J1113" s="32">
        <f t="shared" ca="1" si="53"/>
        <v>33.333333333333336</v>
      </c>
    </row>
    <row r="1114" spans="1:20" ht="15">
      <c r="A1114" s="3">
        <f t="shared" si="50"/>
        <v>2092</v>
      </c>
      <c r="B1114" s="3">
        <f t="shared" si="52"/>
        <v>366</v>
      </c>
      <c r="C1114" s="32">
        <f t="shared" ref="C1114:J1122" ca="1" si="54">AVERAGE(OFFSET(C$569,($A1114-$A$1084)*12,0,12,1))</f>
        <v>154.75825</v>
      </c>
      <c r="D1114" s="32">
        <f t="shared" ca="1" si="54"/>
        <v>281.0162499999999</v>
      </c>
      <c r="E1114" s="32">
        <f t="shared" ca="1" si="54"/>
        <v>780.7254999999999</v>
      </c>
      <c r="F1114" s="32">
        <f t="shared" ca="1" si="54"/>
        <v>1216.5</v>
      </c>
      <c r="G1114" s="32">
        <f t="shared" ca="1" si="54"/>
        <v>79.166666666666671</v>
      </c>
      <c r="H1114" s="32">
        <f t="shared" ca="1" si="54"/>
        <v>600</v>
      </c>
      <c r="I1114" s="32">
        <f t="shared" ca="1" si="54"/>
        <v>695</v>
      </c>
      <c r="J1114" s="32">
        <f t="shared" ca="1" si="54"/>
        <v>33.333333333333336</v>
      </c>
    </row>
    <row r="1115" spans="1:20" ht="15">
      <c r="A1115" s="3">
        <f t="shared" si="50"/>
        <v>2093</v>
      </c>
      <c r="B1115" s="3">
        <f t="shared" si="52"/>
        <v>365</v>
      </c>
      <c r="C1115" s="32">
        <f t="shared" ca="1" si="54"/>
        <v>154.75825</v>
      </c>
      <c r="D1115" s="32">
        <f t="shared" ca="1" si="54"/>
        <v>281.0162499999999</v>
      </c>
      <c r="E1115" s="32">
        <f t="shared" ca="1" si="54"/>
        <v>780.7254999999999</v>
      </c>
      <c r="F1115" s="32">
        <f t="shared" ca="1" si="54"/>
        <v>1216.5</v>
      </c>
      <c r="G1115" s="32">
        <f t="shared" ca="1" si="54"/>
        <v>79.166666666666671</v>
      </c>
      <c r="H1115" s="32">
        <f t="shared" ca="1" si="54"/>
        <v>600</v>
      </c>
      <c r="I1115" s="32">
        <f t="shared" ca="1" si="54"/>
        <v>695</v>
      </c>
      <c r="J1115" s="32">
        <f t="shared" ca="1" si="54"/>
        <v>33.333333333333336</v>
      </c>
    </row>
    <row r="1116" spans="1:20" ht="15">
      <c r="A1116" s="3">
        <f t="shared" si="50"/>
        <v>2094</v>
      </c>
      <c r="B1116" s="3">
        <f t="shared" si="52"/>
        <v>365</v>
      </c>
      <c r="C1116" s="32">
        <f t="shared" ca="1" si="54"/>
        <v>154.75825</v>
      </c>
      <c r="D1116" s="32">
        <f t="shared" ca="1" si="54"/>
        <v>281.0162499999999</v>
      </c>
      <c r="E1116" s="32">
        <f t="shared" ca="1" si="54"/>
        <v>780.7254999999999</v>
      </c>
      <c r="F1116" s="32">
        <f t="shared" ca="1" si="54"/>
        <v>1216.5</v>
      </c>
      <c r="G1116" s="32">
        <f t="shared" ca="1" si="54"/>
        <v>79.166666666666671</v>
      </c>
      <c r="H1116" s="32">
        <f t="shared" ca="1" si="54"/>
        <v>600</v>
      </c>
      <c r="I1116" s="32">
        <f t="shared" ca="1" si="54"/>
        <v>695</v>
      </c>
      <c r="J1116" s="32">
        <f t="shared" ca="1" si="54"/>
        <v>33.333333333333336</v>
      </c>
    </row>
    <row r="1117" spans="1:20" ht="15">
      <c r="A1117" s="3">
        <f t="shared" si="50"/>
        <v>2095</v>
      </c>
      <c r="B1117" s="3">
        <f t="shared" si="52"/>
        <v>365</v>
      </c>
      <c r="C1117" s="32">
        <f t="shared" ca="1" si="54"/>
        <v>154.75825</v>
      </c>
      <c r="D1117" s="32">
        <f t="shared" ca="1" si="54"/>
        <v>281.0162499999999</v>
      </c>
      <c r="E1117" s="32">
        <f t="shared" ca="1" si="54"/>
        <v>780.7254999999999</v>
      </c>
      <c r="F1117" s="32">
        <f t="shared" ca="1" si="54"/>
        <v>1216.5</v>
      </c>
      <c r="G1117" s="32">
        <f t="shared" ca="1" si="54"/>
        <v>79.166666666666671</v>
      </c>
      <c r="H1117" s="32">
        <f t="shared" ca="1" si="54"/>
        <v>600</v>
      </c>
      <c r="I1117" s="32">
        <f t="shared" ca="1" si="54"/>
        <v>695</v>
      </c>
      <c r="J1117" s="32">
        <f t="shared" ca="1" si="54"/>
        <v>33.333333333333336</v>
      </c>
    </row>
    <row r="1118" spans="1:20" ht="15">
      <c r="A1118" s="3">
        <f t="shared" si="50"/>
        <v>2096</v>
      </c>
      <c r="B1118" s="3">
        <f t="shared" si="52"/>
        <v>366</v>
      </c>
      <c r="C1118" s="32">
        <f t="shared" ca="1" si="54"/>
        <v>154.75825</v>
      </c>
      <c r="D1118" s="32">
        <f t="shared" ca="1" si="54"/>
        <v>281.0162499999999</v>
      </c>
      <c r="E1118" s="32">
        <f t="shared" ca="1" si="54"/>
        <v>780.7254999999999</v>
      </c>
      <c r="F1118" s="32">
        <f t="shared" ca="1" si="54"/>
        <v>1216.5</v>
      </c>
      <c r="G1118" s="32">
        <f t="shared" ca="1" si="54"/>
        <v>79.166666666666671</v>
      </c>
      <c r="H1118" s="32">
        <f t="shared" ca="1" si="54"/>
        <v>600</v>
      </c>
      <c r="I1118" s="32">
        <f t="shared" ca="1" si="54"/>
        <v>695</v>
      </c>
      <c r="J1118" s="32">
        <f t="shared" ca="1" si="54"/>
        <v>33.333333333333336</v>
      </c>
    </row>
    <row r="1119" spans="1:20" ht="15">
      <c r="A1119" s="3">
        <f t="shared" si="50"/>
        <v>2097</v>
      </c>
      <c r="B1119" s="3">
        <f t="shared" si="52"/>
        <v>365</v>
      </c>
      <c r="C1119" s="32">
        <f t="shared" ca="1" si="54"/>
        <v>154.75825</v>
      </c>
      <c r="D1119" s="32">
        <f t="shared" ca="1" si="54"/>
        <v>281.0162499999999</v>
      </c>
      <c r="E1119" s="32">
        <f t="shared" ca="1" si="54"/>
        <v>780.7254999999999</v>
      </c>
      <c r="F1119" s="32">
        <f t="shared" ca="1" si="54"/>
        <v>1216.5</v>
      </c>
      <c r="G1119" s="32">
        <f t="shared" ca="1" si="54"/>
        <v>79.166666666666671</v>
      </c>
      <c r="H1119" s="32">
        <f t="shared" ca="1" si="54"/>
        <v>600</v>
      </c>
      <c r="I1119" s="32">
        <f t="shared" ca="1" si="54"/>
        <v>695</v>
      </c>
      <c r="J1119" s="32">
        <f t="shared" ca="1" si="54"/>
        <v>33.333333333333336</v>
      </c>
    </row>
    <row r="1120" spans="1:20" ht="15">
      <c r="A1120" s="3">
        <f t="shared" si="50"/>
        <v>2098</v>
      </c>
      <c r="B1120" s="3">
        <f t="shared" si="52"/>
        <v>365</v>
      </c>
      <c r="C1120" s="32">
        <f t="shared" ca="1" si="54"/>
        <v>154.75825</v>
      </c>
      <c r="D1120" s="32">
        <f t="shared" ca="1" si="54"/>
        <v>281.0162499999999</v>
      </c>
      <c r="E1120" s="32">
        <f t="shared" ca="1" si="54"/>
        <v>780.7254999999999</v>
      </c>
      <c r="F1120" s="32">
        <f t="shared" ca="1" si="54"/>
        <v>1216.5</v>
      </c>
      <c r="G1120" s="32">
        <f t="shared" ca="1" si="54"/>
        <v>79.166666666666671</v>
      </c>
      <c r="H1120" s="32">
        <f t="shared" ca="1" si="54"/>
        <v>600</v>
      </c>
      <c r="I1120" s="32">
        <f t="shared" ca="1" si="54"/>
        <v>695</v>
      </c>
      <c r="J1120" s="32">
        <f t="shared" ca="1" si="54"/>
        <v>33.333333333333336</v>
      </c>
    </row>
    <row r="1121" spans="1:10" ht="15">
      <c r="A1121" s="3">
        <f t="shared" si="50"/>
        <v>2099</v>
      </c>
      <c r="B1121" s="3">
        <f t="shared" si="52"/>
        <v>365</v>
      </c>
      <c r="C1121" s="32">
        <f t="shared" ca="1" si="54"/>
        <v>154.75825</v>
      </c>
      <c r="D1121" s="32">
        <f t="shared" ca="1" si="54"/>
        <v>281.0162499999999</v>
      </c>
      <c r="E1121" s="32">
        <f t="shared" ca="1" si="54"/>
        <v>780.7254999999999</v>
      </c>
      <c r="F1121" s="32">
        <f t="shared" ca="1" si="54"/>
        <v>1216.5</v>
      </c>
      <c r="G1121" s="32">
        <f t="shared" ca="1" si="54"/>
        <v>79.166666666666671</v>
      </c>
      <c r="H1121" s="32">
        <f t="shared" ca="1" si="54"/>
        <v>600</v>
      </c>
      <c r="I1121" s="32">
        <f t="shared" ca="1" si="54"/>
        <v>695</v>
      </c>
      <c r="J1121" s="32">
        <f t="shared" ca="1" si="54"/>
        <v>33.333333333333336</v>
      </c>
    </row>
    <row r="1122" spans="1:10" ht="15">
      <c r="A1122" s="3">
        <f t="shared" si="50"/>
        <v>2100</v>
      </c>
      <c r="B1122" s="3">
        <f t="shared" si="52"/>
        <v>365</v>
      </c>
      <c r="C1122" s="32">
        <f t="shared" ca="1" si="54"/>
        <v>154.75825</v>
      </c>
      <c r="D1122" s="32">
        <f t="shared" ca="1" si="54"/>
        <v>281.0162499999999</v>
      </c>
      <c r="E1122" s="32">
        <f t="shared" ca="1" si="54"/>
        <v>780.7254999999999</v>
      </c>
      <c r="F1122" s="32">
        <f t="shared" ca="1" si="54"/>
        <v>1216.5</v>
      </c>
      <c r="G1122" s="32">
        <f t="shared" ca="1" si="54"/>
        <v>79.166666666666671</v>
      </c>
      <c r="H1122" s="32">
        <f t="shared" ca="1" si="54"/>
        <v>600</v>
      </c>
      <c r="I1122" s="32">
        <f t="shared" ca="1" si="54"/>
        <v>695</v>
      </c>
      <c r="J1122" s="32">
        <f t="shared" ca="1" si="54"/>
        <v>33.333333333333336</v>
      </c>
    </row>
    <row r="1123" spans="1:10">
      <c r="A1123" s="29"/>
      <c r="B1123" s="29"/>
      <c r="C1123" s="31"/>
      <c r="D1123" s="31"/>
      <c r="E1123" s="31"/>
      <c r="F1123" s="31"/>
      <c r="G1123" s="31"/>
    </row>
    <row r="1124" spans="1:10">
      <c r="A1124" s="29"/>
      <c r="B1124" s="29"/>
    </row>
    <row r="1125" spans="1:10">
      <c r="A1125" s="29"/>
      <c r="B1125" s="29"/>
    </row>
    <row r="1126" spans="1:10">
      <c r="A1126" s="29"/>
      <c r="B1126" s="29"/>
    </row>
    <row r="1127" spans="1:10">
      <c r="A1127" s="29"/>
      <c r="B1127" s="29"/>
    </row>
    <row r="1128" spans="1:10">
      <c r="A1128" s="29"/>
      <c r="B1128" s="29"/>
    </row>
    <row r="1129" spans="1:10">
      <c r="A1129" s="29"/>
      <c r="B1129" s="29"/>
    </row>
    <row r="1130" spans="1:10">
      <c r="A1130" s="29"/>
      <c r="B1130" s="29"/>
    </row>
    <row r="1131" spans="1:10">
      <c r="A1131" s="29"/>
      <c r="B1131" s="29"/>
    </row>
    <row r="1132" spans="1:10">
      <c r="A1132" s="29"/>
      <c r="B1132" s="29"/>
    </row>
    <row r="1133" spans="1:10">
      <c r="A1133" s="29"/>
      <c r="B1133" s="29"/>
    </row>
    <row r="1134" spans="1:10">
      <c r="A1134" s="29"/>
      <c r="B1134" s="29"/>
    </row>
    <row r="1135" spans="1:10">
      <c r="A1135" s="29"/>
      <c r="B1135" s="29"/>
    </row>
    <row r="1136" spans="1:10">
      <c r="A1136" s="29"/>
      <c r="B1136" s="29"/>
    </row>
    <row r="1137" spans="1:2">
      <c r="A1137" s="29"/>
      <c r="B1137" s="29"/>
    </row>
    <row r="1138" spans="1:2">
      <c r="A1138" s="29"/>
      <c r="B1138" s="29"/>
    </row>
    <row r="1139" spans="1:2">
      <c r="A1139" s="29"/>
      <c r="B1139" s="29"/>
    </row>
    <row r="1140" spans="1:2">
      <c r="A1140" s="29"/>
      <c r="B1140" s="29"/>
    </row>
    <row r="1141" spans="1:2">
      <c r="A1141" s="29"/>
      <c r="B1141" s="29"/>
    </row>
    <row r="1142" spans="1:2">
      <c r="A1142" s="29"/>
      <c r="B1142" s="29"/>
    </row>
  </sheetData>
  <mergeCells count="1">
    <mergeCell ref="C14:E14"/>
  </mergeCells>
  <pageMargins left="0.25" right="0.25" top="0.5" bottom="0.5" header="0.25" footer="0.25"/>
  <pageSetup scale="75" orientation="portrait" horizontalDpi="1200" verticalDpi="1200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42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2.75"/>
  <cols>
    <col min="1" max="1" width="7.5546875" style="30" bestFit="1" customWidth="1"/>
    <col min="2" max="2" width="10" style="30" customWidth="1"/>
    <col min="3" max="3" width="12" style="30" customWidth="1"/>
    <col min="4" max="4" width="12.109375" style="30" bestFit="1" customWidth="1"/>
    <col min="5" max="5" width="8.44140625" style="30" bestFit="1" customWidth="1"/>
    <col min="6" max="16384" width="7.109375" style="29"/>
  </cols>
  <sheetData>
    <row r="1" spans="1:7" ht="15.75">
      <c r="A1" s="81" t="s">
        <v>64</v>
      </c>
    </row>
    <row r="2" spans="1:7" ht="15.75">
      <c r="A2" s="81" t="s">
        <v>65</v>
      </c>
    </row>
    <row r="3" spans="1:7" ht="15.75">
      <c r="A3" s="81" t="s">
        <v>66</v>
      </c>
    </row>
    <row r="4" spans="1:7" ht="15.75">
      <c r="A4" s="81" t="s">
        <v>67</v>
      </c>
    </row>
    <row r="5" spans="1:7" ht="15.75">
      <c r="A5" s="81" t="s">
        <v>69</v>
      </c>
    </row>
    <row r="6" spans="1:7" ht="15.75">
      <c r="A6" s="81" t="s">
        <v>71</v>
      </c>
    </row>
    <row r="8" spans="1:7" ht="20.25">
      <c r="A8" s="28" t="s">
        <v>43</v>
      </c>
    </row>
    <row r="9" spans="1:7" ht="15" customHeight="1">
      <c r="A9" s="54" t="s">
        <v>25</v>
      </c>
    </row>
    <row r="10" spans="1:7" ht="15" customHeight="1">
      <c r="A10" s="59"/>
      <c r="F10" s="57"/>
      <c r="G10" s="57"/>
    </row>
    <row r="11" spans="1:7" ht="15" customHeight="1">
      <c r="A11" s="59"/>
      <c r="B11" s="58"/>
      <c r="C11" s="58"/>
      <c r="D11" s="58"/>
      <c r="E11" s="58"/>
      <c r="F11" s="57"/>
      <c r="G11" s="57"/>
    </row>
    <row r="12" spans="1:7" ht="15" customHeight="1"/>
    <row r="13" spans="1:7" ht="15" customHeight="1">
      <c r="B13" s="56" t="s">
        <v>24</v>
      </c>
      <c r="C13" s="55">
        <f>1-0.269</f>
        <v>0.73099999999999998</v>
      </c>
      <c r="D13" s="56" t="s">
        <v>23</v>
      </c>
      <c r="E13" s="55">
        <f>1+0.269</f>
        <v>1.2690000000000001</v>
      </c>
    </row>
    <row r="14" spans="1:7" ht="15" customHeight="1">
      <c r="A14" s="54"/>
      <c r="B14" s="84" t="s">
        <v>42</v>
      </c>
      <c r="C14" s="84"/>
      <c r="D14" s="53" t="s">
        <v>41</v>
      </c>
      <c r="E14" s="48"/>
    </row>
    <row r="15" spans="1:7" s="51" customFormat="1" ht="63">
      <c r="B15" s="52" t="s">
        <v>40</v>
      </c>
      <c r="C15" s="52" t="s">
        <v>39</v>
      </c>
      <c r="D15" s="52" t="s">
        <v>38</v>
      </c>
      <c r="E15" s="20" t="s">
        <v>37</v>
      </c>
    </row>
    <row r="16" spans="1:7" s="51" customFormat="1" ht="21" customHeight="1">
      <c r="A16" s="17" t="s">
        <v>2</v>
      </c>
      <c r="B16" s="43" t="s">
        <v>1</v>
      </c>
      <c r="C16" s="43" t="s">
        <v>1</v>
      </c>
      <c r="D16" s="43" t="s">
        <v>1</v>
      </c>
      <c r="E16" s="17" t="s">
        <v>36</v>
      </c>
    </row>
    <row r="17" spans="1:5" ht="15">
      <c r="A17" s="13">
        <v>42370</v>
      </c>
      <c r="B17" s="4">
        <f>5.3484 * CHOOSE(CONTROL!$C$9, $C$13, 100%, $E$13) + CHOOSE(CONTROL!$C$28, 0.0003, 0)</f>
        <v>5.3487</v>
      </c>
      <c r="C17" s="4">
        <f>5.0359 * CHOOSE(CONTROL!$C$9, $C$13, 100%, $E$13) + CHOOSE(CONTROL!$C$28, 0.0003, 0)</f>
        <v>5.0362</v>
      </c>
      <c r="D17" s="4">
        <f>8.4266 * CHOOSE(CONTROL!$C$9, $C$13, 100%, $E$13) + CHOOSE(CONTROL!$C$28, 0, 0)</f>
        <v>8.4266000000000005</v>
      </c>
      <c r="E17" s="4">
        <f>34.74 * CHOOSE(CONTROL!$C$9, $C$13, 100%, $E$13) + CHOOSE(CONTROL!$C$28, 0, 0)</f>
        <v>34.74</v>
      </c>
    </row>
    <row r="18" spans="1:5" ht="15">
      <c r="A18" s="13">
        <v>42401</v>
      </c>
      <c r="B18" s="4">
        <f>5.5922 * CHOOSE(CONTROL!$C$9, $C$13, 100%, $E$13) + CHOOSE(CONTROL!$C$28, 0.0003, 0)</f>
        <v>5.5925000000000002</v>
      </c>
      <c r="C18" s="4">
        <f>5.2797 * CHOOSE(CONTROL!$C$9, $C$13, 100%, $E$13) + CHOOSE(CONTROL!$C$28, 0.0003, 0)</f>
        <v>5.28</v>
      </c>
      <c r="D18" s="4">
        <f>8.0981 * CHOOSE(CONTROL!$C$9, $C$13, 100%, $E$13) + CHOOSE(CONTROL!$C$28, 0, 0)</f>
        <v>8.0981000000000005</v>
      </c>
      <c r="E18" s="4">
        <f>26.55 * CHOOSE(CONTROL!$C$9, $C$13, 100%, $E$13) + CHOOSE(CONTROL!$C$28, 0, 0)</f>
        <v>26.55</v>
      </c>
    </row>
    <row r="19" spans="1:5" ht="15">
      <c r="A19" s="13">
        <v>42430</v>
      </c>
      <c r="B19" s="4">
        <f>5.8453 * CHOOSE(CONTROL!$C$9, $C$13, 100%, $E$13) + CHOOSE(CONTROL!$C$28, 0.0003, 0)</f>
        <v>5.8456000000000001</v>
      </c>
      <c r="C19" s="4">
        <f>5.5328 * CHOOSE(CONTROL!$C$9, $C$13, 100%, $E$13) + CHOOSE(CONTROL!$C$28, 0.0003, 0)</f>
        <v>5.5331000000000001</v>
      </c>
      <c r="D19" s="4">
        <f>8.2486 * CHOOSE(CONTROL!$C$9, $C$13, 100%, $E$13) + CHOOSE(CONTROL!$C$28, 0, 0)</f>
        <v>8.2485999999999997</v>
      </c>
      <c r="E19" s="4">
        <f>31.48 * CHOOSE(CONTROL!$C$9, $C$13, 100%, $E$13) + CHOOSE(CONTROL!$C$28, 0, 0)</f>
        <v>31.48</v>
      </c>
    </row>
    <row r="20" spans="1:5" ht="15">
      <c r="A20" s="13">
        <v>42461</v>
      </c>
      <c r="B20" s="4">
        <f>6.6016 * CHOOSE(CONTROL!$C$9, $C$13, 100%, $E$13) + CHOOSE(CONTROL!$C$28, 0.0003, 0)</f>
        <v>6.6019000000000005</v>
      </c>
      <c r="C20" s="4">
        <f>6.2891 * CHOOSE(CONTROL!$C$9, $C$13, 100%, $E$13) + CHOOSE(CONTROL!$C$28, 0.0003, 0)</f>
        <v>6.2894000000000005</v>
      </c>
      <c r="D20" s="4">
        <f>9.304 * CHOOSE(CONTROL!$C$9, $C$13, 100%, $E$13) + CHOOSE(CONTROL!$C$28, 0, 0)</f>
        <v>9.3040000000000003</v>
      </c>
      <c r="E20" s="4">
        <f>37.9 * CHOOSE(CONTROL!$C$9, $C$13, 100%, $E$13) + CHOOSE(CONTROL!$C$28, 0, 0)</f>
        <v>37.9</v>
      </c>
    </row>
    <row r="21" spans="1:5" ht="15">
      <c r="A21" s="13">
        <v>42491</v>
      </c>
      <c r="B21" s="4">
        <f>6.7188 * CHOOSE(CONTROL!$C$9, $C$13, 100%, $E$13) + CHOOSE(CONTROL!$C$28, 0.0255, 0)</f>
        <v>6.7443</v>
      </c>
      <c r="C21" s="4">
        <f>6.4062 * CHOOSE(CONTROL!$C$9, $C$13, 100%, $E$13) + CHOOSE(CONTROL!$C$28, 0.0255, 0)</f>
        <v>6.4317000000000002</v>
      </c>
      <c r="D21" s="4">
        <f>9.4121 * CHOOSE(CONTROL!$C$9, $C$13, 100%, $E$13) + CHOOSE(CONTROL!$C$28, 0, 0)</f>
        <v>9.4121000000000006</v>
      </c>
      <c r="E21" s="4">
        <f>39.82 * CHOOSE(CONTROL!$C$9, $C$13, 100%, $E$13) + CHOOSE(CONTROL!$C$28, 0, 0)</f>
        <v>39.82</v>
      </c>
    </row>
    <row r="22" spans="1:5" ht="15">
      <c r="A22" s="13">
        <v>42522</v>
      </c>
      <c r="B22" s="4">
        <f>6.8203 * CHOOSE(CONTROL!$C$9, $C$13, 100%, $E$13) + CHOOSE(CONTROL!$C$28, 0.0255, 0)</f>
        <v>6.8457999999999997</v>
      </c>
      <c r="C22" s="4">
        <f>6.5078 * CHOOSE(CONTROL!$C$9, $C$13, 100%, $E$13) + CHOOSE(CONTROL!$C$28, 0.0255, 0)</f>
        <v>6.5332999999999997</v>
      </c>
      <c r="D22" s="4">
        <f>9.5382 * CHOOSE(CONTROL!$C$9, $C$13, 100%, $E$13) + CHOOSE(CONTROL!$C$28, 0, 0)</f>
        <v>9.5381999999999998</v>
      </c>
      <c r="E22" s="4">
        <f>41.03 * CHOOSE(CONTROL!$C$9, $C$13, 100%, $E$13) + CHOOSE(CONTROL!$C$28, 0, 0)</f>
        <v>41.03</v>
      </c>
    </row>
    <row r="23" spans="1:5" ht="15">
      <c r="A23" s="13">
        <v>42552</v>
      </c>
      <c r="B23" s="4">
        <f>6.9219 * CHOOSE(CONTROL!$C$9, $C$13, 100%, $E$13) + CHOOSE(CONTROL!$C$28, 0.0255, 0)</f>
        <v>6.9474</v>
      </c>
      <c r="C23" s="4">
        <f>6.6094 * CHOOSE(CONTROL!$C$9, $C$13, 100%, $E$13) + CHOOSE(CONTROL!$C$28, 0.0255, 0)</f>
        <v>6.6349</v>
      </c>
      <c r="D23" s="4">
        <f>9.6815 * CHOOSE(CONTROL!$C$9, $C$13, 100%, $E$13) + CHOOSE(CONTROL!$C$28, 0, 0)</f>
        <v>9.6814999999999998</v>
      </c>
      <c r="E23" s="4">
        <f>41.92 * CHOOSE(CONTROL!$C$9, $C$13, 100%, $E$13) + CHOOSE(CONTROL!$C$28, 0, 0)</f>
        <v>41.92</v>
      </c>
    </row>
    <row r="24" spans="1:5" ht="15">
      <c r="A24" s="13">
        <v>42583</v>
      </c>
      <c r="B24" s="4">
        <f>7.0156 * CHOOSE(CONTROL!$C$9, $C$13, 100%, $E$13) + CHOOSE(CONTROL!$C$28, 0.0255, 0)</f>
        <v>7.0411000000000001</v>
      </c>
      <c r="C24" s="4">
        <f>6.7031 * CHOOSE(CONTROL!$C$9, $C$13, 100%, $E$13) + CHOOSE(CONTROL!$C$28, 0.0255, 0)</f>
        <v>6.7286000000000001</v>
      </c>
      <c r="D24" s="4">
        <f>9.8342 * CHOOSE(CONTROL!$C$9, $C$13, 100%, $E$13) + CHOOSE(CONTROL!$C$28, 0, 0)</f>
        <v>9.8341999999999992</v>
      </c>
      <c r="E24" s="4">
        <f>42.56 * CHOOSE(CONTROL!$C$9, $C$13, 100%, $E$13) + CHOOSE(CONTROL!$C$28, 0, 0)</f>
        <v>42.56</v>
      </c>
    </row>
    <row r="25" spans="1:5" ht="15">
      <c r="A25" s="13">
        <v>42614</v>
      </c>
      <c r="B25" s="4">
        <f>7.1094 * CHOOSE(CONTROL!$C$9, $C$13, 100%, $E$13) + CHOOSE(CONTROL!$C$28, 0.0255, 0)</f>
        <v>7.1349</v>
      </c>
      <c r="C25" s="4">
        <f>6.7969 * CHOOSE(CONTROL!$C$9, $C$13, 100%, $E$13) + CHOOSE(CONTROL!$C$28, 0.0255, 0)</f>
        <v>6.8224</v>
      </c>
      <c r="D25" s="4">
        <f>9.9949 * CHOOSE(CONTROL!$C$9, $C$13, 100%, $E$13) + CHOOSE(CONTROL!$C$28, 0, 0)</f>
        <v>9.9948999999999995</v>
      </c>
      <c r="E25" s="4">
        <f>43.06 * CHOOSE(CONTROL!$C$9, $C$13, 100%, $E$13) + CHOOSE(CONTROL!$C$28, 0, 0)</f>
        <v>43.06</v>
      </c>
    </row>
    <row r="26" spans="1:5" ht="15">
      <c r="A26" s="13">
        <v>42644</v>
      </c>
      <c r="B26" s="4">
        <f>7.2031 * CHOOSE(CONTROL!$C$9, $C$13, 100%, $E$13) + CHOOSE(CONTROL!$C$28, 0.0003, 0)</f>
        <v>7.2034000000000002</v>
      </c>
      <c r="C26" s="4">
        <f>6.8906 * CHOOSE(CONTROL!$C$9, $C$13, 100%, $E$13) + CHOOSE(CONTROL!$C$28, 0.0003, 0)</f>
        <v>6.8909000000000002</v>
      </c>
      <c r="D26" s="4">
        <f>10.1491 * CHOOSE(CONTROL!$C$9, $C$13, 100%, $E$13) + CHOOSE(CONTROL!$C$28, 0, 0)</f>
        <v>10.149100000000001</v>
      </c>
      <c r="E26" s="4">
        <f>43.47 * CHOOSE(CONTROL!$C$9, $C$13, 100%, $E$13) + CHOOSE(CONTROL!$C$28, 0, 0)</f>
        <v>43.47</v>
      </c>
    </row>
    <row r="27" spans="1:5" ht="15">
      <c r="A27" s="13">
        <v>42675</v>
      </c>
      <c r="B27" s="4">
        <f>7.2891 * CHOOSE(CONTROL!$C$9, $C$13, 100%, $E$13) + CHOOSE(CONTROL!$C$28, 0.0003, 0)</f>
        <v>7.2894000000000005</v>
      </c>
      <c r="C27" s="4">
        <f>6.9766 * CHOOSE(CONTROL!$C$9, $C$13, 100%, $E$13) + CHOOSE(CONTROL!$C$28, 0.0003, 0)</f>
        <v>6.9769000000000005</v>
      </c>
      <c r="D27" s="4">
        <f>10.2982 * CHOOSE(CONTROL!$C$9, $C$13, 100%, $E$13) + CHOOSE(CONTROL!$C$28, 0, 0)</f>
        <v>10.2982</v>
      </c>
      <c r="E27" s="4">
        <f>43.83 * CHOOSE(CONTROL!$C$9, $C$13, 100%, $E$13) + CHOOSE(CONTROL!$C$28, 0, 0)</f>
        <v>43.83</v>
      </c>
    </row>
    <row r="28" spans="1:5" ht="15">
      <c r="A28" s="13">
        <v>42705</v>
      </c>
      <c r="B28" s="4">
        <f>7.375 * CHOOSE(CONTROL!$C$9, $C$13, 100%, $E$13) + CHOOSE(CONTROL!$C$28, 0.0003, 0)</f>
        <v>7.3753000000000002</v>
      </c>
      <c r="C28" s="4">
        <f>7.0625 * CHOOSE(CONTROL!$C$9, $C$13, 100%, $E$13) + CHOOSE(CONTROL!$C$28, 0.0003, 0)</f>
        <v>7.0628000000000002</v>
      </c>
      <c r="D28" s="4">
        <f>10.4286 * CHOOSE(CONTROL!$C$9, $C$13, 100%, $E$13) + CHOOSE(CONTROL!$C$28, 0, 0)</f>
        <v>10.428599999999999</v>
      </c>
      <c r="E28" s="4">
        <f>44.14 * CHOOSE(CONTROL!$C$9, $C$13, 100%, $E$13) + CHOOSE(CONTROL!$C$28, 0, 0)</f>
        <v>44.14</v>
      </c>
    </row>
    <row r="29" spans="1:5" ht="15">
      <c r="A29" s="13">
        <v>42736</v>
      </c>
      <c r="B29" s="4">
        <f>7.4531 * CHOOSE(CONTROL!$C$9, $C$13, 100%, $E$13) + CHOOSE(CONTROL!$C$28, 0.0003, 0)</f>
        <v>7.4534000000000002</v>
      </c>
      <c r="C29" s="4">
        <f>7.1406 * CHOOSE(CONTROL!$C$9, $C$13, 100%, $E$13) + CHOOSE(CONTROL!$C$28, 0.0003, 0)</f>
        <v>7.1409000000000002</v>
      </c>
      <c r="D29" s="4">
        <f>10.5424 * CHOOSE(CONTROL!$C$9, $C$13, 100%, $E$13) + CHOOSE(CONTROL!$C$28, 0, 0)</f>
        <v>10.542400000000001</v>
      </c>
      <c r="E29" s="4">
        <f>44.4 * CHOOSE(CONTROL!$C$9, $C$13, 100%, $E$13) + CHOOSE(CONTROL!$C$28, 0, 0)</f>
        <v>44.4</v>
      </c>
    </row>
    <row r="30" spans="1:5" ht="15">
      <c r="A30" s="13">
        <v>42767</v>
      </c>
      <c r="B30" s="4">
        <f>7.5078 * CHOOSE(CONTROL!$C$9, $C$13, 100%, $E$13) + CHOOSE(CONTROL!$C$28, 0.0003, 0)</f>
        <v>7.5080999999999998</v>
      </c>
      <c r="C30" s="4">
        <f>7.1953 * CHOOSE(CONTROL!$C$9, $C$13, 100%, $E$13) + CHOOSE(CONTROL!$C$28, 0.0003, 0)</f>
        <v>7.1955999999999998</v>
      </c>
      <c r="D30" s="4">
        <f>10.6245 * CHOOSE(CONTROL!$C$9, $C$13, 100%, $E$13) + CHOOSE(CONTROL!$C$28, 0, 0)</f>
        <v>10.624499999999999</v>
      </c>
      <c r="E30" s="4">
        <f>44.64 * CHOOSE(CONTROL!$C$9, $C$13, 100%, $E$13) + CHOOSE(CONTROL!$C$28, 0, 0)</f>
        <v>44.64</v>
      </c>
    </row>
    <row r="31" spans="1:5" ht="15">
      <c r="A31" s="13">
        <v>42795</v>
      </c>
      <c r="B31" s="4">
        <f>7.5625 * CHOOSE(CONTROL!$C$9, $C$13, 100%, $E$13) + CHOOSE(CONTROL!$C$28, 0.0003, 0)</f>
        <v>7.5628000000000002</v>
      </c>
      <c r="C31" s="4">
        <f>7.25 * CHOOSE(CONTROL!$C$9, $C$13, 100%, $E$13) + CHOOSE(CONTROL!$C$28, 0.0003, 0)</f>
        <v>7.2503000000000002</v>
      </c>
      <c r="D31" s="4">
        <f>10.6598 * CHOOSE(CONTROL!$C$9, $C$13, 100%, $E$13) + CHOOSE(CONTROL!$C$28, 0, 0)</f>
        <v>10.659800000000001</v>
      </c>
      <c r="E31" s="4">
        <f>44.88 * CHOOSE(CONTROL!$C$9, $C$13, 100%, $E$13) + CHOOSE(CONTROL!$C$28, 0, 0)</f>
        <v>44.88</v>
      </c>
    </row>
    <row r="32" spans="1:5" ht="15">
      <c r="A32" s="13">
        <v>42826</v>
      </c>
      <c r="B32" s="4">
        <f>7.6172 * CHOOSE(CONTROL!$C$9, $C$13, 100%, $E$13) + CHOOSE(CONTROL!$C$28, 0.0003, 0)</f>
        <v>7.6175000000000006</v>
      </c>
      <c r="C32" s="4">
        <f>7.3047 * CHOOSE(CONTROL!$C$9, $C$13, 100%, $E$13) + CHOOSE(CONTROL!$C$28, 0.0003, 0)</f>
        <v>7.3050000000000006</v>
      </c>
      <c r="D32" s="4">
        <f>10.6433 * CHOOSE(CONTROL!$C$9, $C$13, 100%, $E$13) + CHOOSE(CONTROL!$C$28, 0, 0)</f>
        <v>10.6433</v>
      </c>
      <c r="E32" s="4">
        <f>45.11 * CHOOSE(CONTROL!$C$9, $C$13, 100%, $E$13) + CHOOSE(CONTROL!$C$28, 0, 0)</f>
        <v>45.11</v>
      </c>
    </row>
    <row r="33" spans="1:5" ht="15">
      <c r="A33" s="13">
        <v>42856</v>
      </c>
      <c r="B33" s="4">
        <f>7.6719 * CHOOSE(CONTROL!$C$9, $C$13, 100%, $E$13) + CHOOSE(CONTROL!$C$28, 0.0255, 0)</f>
        <v>7.6974</v>
      </c>
      <c r="C33" s="4">
        <f>7.3594 * CHOOSE(CONTROL!$C$9, $C$13, 100%, $E$13) + CHOOSE(CONTROL!$C$28, 0.0255, 0)</f>
        <v>7.3849</v>
      </c>
      <c r="D33" s="4">
        <f>10.6562 * CHOOSE(CONTROL!$C$9, $C$13, 100%, $E$13) + CHOOSE(CONTROL!$C$28, 0, 0)</f>
        <v>10.6562</v>
      </c>
      <c r="E33" s="4">
        <f>45.35 * CHOOSE(CONTROL!$C$9, $C$13, 100%, $E$13) + CHOOSE(CONTROL!$C$28, 0, 0)</f>
        <v>45.35</v>
      </c>
    </row>
    <row r="34" spans="1:5" ht="15">
      <c r="A34" s="13">
        <v>42887</v>
      </c>
      <c r="B34" s="4">
        <f>7.7266 * CHOOSE(CONTROL!$C$9, $C$13, 100%, $E$13) + CHOOSE(CONTROL!$C$28, 0.0255, 0)</f>
        <v>7.7521000000000004</v>
      </c>
      <c r="C34" s="4">
        <f>7.4141 * CHOOSE(CONTROL!$C$9, $C$13, 100%, $E$13) + CHOOSE(CONTROL!$C$28, 0.0255, 0)</f>
        <v>7.4396000000000004</v>
      </c>
      <c r="D34" s="4">
        <f>10.6764 * CHOOSE(CONTROL!$C$9, $C$13, 100%, $E$13) + CHOOSE(CONTROL!$C$28, 0, 0)</f>
        <v>10.676399999999999</v>
      </c>
      <c r="E34" s="4">
        <f>45.57 * CHOOSE(CONTROL!$C$9, $C$13, 100%, $E$13) + CHOOSE(CONTROL!$C$28, 0, 0)</f>
        <v>45.57</v>
      </c>
    </row>
    <row r="35" spans="1:5" ht="15">
      <c r="A35" s="13">
        <v>42917</v>
      </c>
      <c r="B35" s="4">
        <f>7.7812 * CHOOSE(CONTROL!$C$9, $C$13, 100%, $E$13) + CHOOSE(CONTROL!$C$28, 0.0255, 0)</f>
        <v>7.8067000000000002</v>
      </c>
      <c r="C35" s="4">
        <f>7.4687 * CHOOSE(CONTROL!$C$9, $C$13, 100%, $E$13) + CHOOSE(CONTROL!$C$28, 0.0255, 0)</f>
        <v>7.4942000000000002</v>
      </c>
      <c r="D35" s="4">
        <f>10.7304 * CHOOSE(CONTROL!$C$9, $C$13, 100%, $E$13) + CHOOSE(CONTROL!$C$28, 0, 0)</f>
        <v>10.730399999999999</v>
      </c>
      <c r="E35" s="4">
        <f>45.76 * CHOOSE(CONTROL!$C$9, $C$13, 100%, $E$13) + CHOOSE(CONTROL!$C$28, 0, 0)</f>
        <v>45.76</v>
      </c>
    </row>
    <row r="36" spans="1:5" ht="15">
      <c r="A36" s="13">
        <v>42948</v>
      </c>
      <c r="B36" s="4">
        <f>7.8359 * CHOOSE(CONTROL!$C$9, $C$13, 100%, $E$13) + CHOOSE(CONTROL!$C$28, 0.0255, 0)</f>
        <v>7.8613999999999997</v>
      </c>
      <c r="C36" s="4">
        <f>7.5234 * CHOOSE(CONTROL!$C$9, $C$13, 100%, $E$13) + CHOOSE(CONTROL!$C$28, 0.0255, 0)</f>
        <v>7.5488999999999997</v>
      </c>
      <c r="D36" s="4">
        <f>10.791 * CHOOSE(CONTROL!$C$9, $C$13, 100%, $E$13) + CHOOSE(CONTROL!$C$28, 0, 0)</f>
        <v>10.791</v>
      </c>
      <c r="E36" s="4">
        <f>45.95 * CHOOSE(CONTROL!$C$9, $C$13, 100%, $E$13) + CHOOSE(CONTROL!$C$28, 0, 0)</f>
        <v>45.95</v>
      </c>
    </row>
    <row r="37" spans="1:5" ht="15">
      <c r="A37" s="13">
        <v>42979</v>
      </c>
      <c r="B37" s="4">
        <f>7.8906 * CHOOSE(CONTROL!$C$9, $C$13, 100%, $E$13) + CHOOSE(CONTROL!$C$28, 0.0255, 0)</f>
        <v>7.9161000000000001</v>
      </c>
      <c r="C37" s="4">
        <f>7.5781 * CHOOSE(CONTROL!$C$9, $C$13, 100%, $E$13) + CHOOSE(CONTROL!$C$28, 0.0255, 0)</f>
        <v>7.6036000000000001</v>
      </c>
      <c r="D37" s="4">
        <f>10.8774 * CHOOSE(CONTROL!$C$9, $C$13, 100%, $E$13) + CHOOSE(CONTROL!$C$28, 0, 0)</f>
        <v>10.8774</v>
      </c>
      <c r="E37" s="4">
        <f>46.15 * CHOOSE(CONTROL!$C$9, $C$13, 100%, $E$13) + CHOOSE(CONTROL!$C$28, 0, 0)</f>
        <v>46.15</v>
      </c>
    </row>
    <row r="38" spans="1:5" ht="15">
      <c r="A38" s="13">
        <v>43009</v>
      </c>
      <c r="B38" s="4">
        <f>7.9453 * CHOOSE(CONTROL!$C$9, $C$13, 100%, $E$13) + CHOOSE(CONTROL!$C$28, 0.0003, 0)</f>
        <v>7.9455999999999998</v>
      </c>
      <c r="C38" s="4">
        <f>7.6328 * CHOOSE(CONTROL!$C$9, $C$13, 100%, $E$13) + CHOOSE(CONTROL!$C$28, 0.0003, 0)</f>
        <v>7.6330999999999998</v>
      </c>
      <c r="D38" s="4">
        <f>10.9624 * CHOOSE(CONTROL!$C$9, $C$13, 100%, $E$13) + CHOOSE(CONTROL!$C$28, 0, 0)</f>
        <v>10.962400000000001</v>
      </c>
      <c r="E38" s="4">
        <f>46.35 * CHOOSE(CONTROL!$C$9, $C$13, 100%, $E$13) + CHOOSE(CONTROL!$C$28, 0, 0)</f>
        <v>46.35</v>
      </c>
    </row>
    <row r="39" spans="1:5" ht="15">
      <c r="A39" s="13">
        <v>43040</v>
      </c>
      <c r="B39" s="4">
        <f>8 * CHOOSE(CONTROL!$C$9, $C$13, 100%, $E$13) + CHOOSE(CONTROL!$C$28, 0.0003, 0)</f>
        <v>8.0002999999999993</v>
      </c>
      <c r="C39" s="4">
        <f>7.6875 * CHOOSE(CONTROL!$C$9, $C$13, 100%, $E$13) + CHOOSE(CONTROL!$C$28, 0.0003, 0)</f>
        <v>7.6878000000000002</v>
      </c>
      <c r="D39" s="4">
        <f>11.0345 * CHOOSE(CONTROL!$C$9, $C$13, 100%, $E$13) + CHOOSE(CONTROL!$C$28, 0, 0)</f>
        <v>11.0345</v>
      </c>
      <c r="E39" s="4">
        <f>46.54 * CHOOSE(CONTROL!$C$9, $C$13, 100%, $E$13) + CHOOSE(CONTROL!$C$28, 0, 0)</f>
        <v>46.54</v>
      </c>
    </row>
    <row r="40" spans="1:5" ht="15">
      <c r="A40" s="13">
        <v>43070</v>
      </c>
      <c r="B40" s="4">
        <f>8.0547 * CHOOSE(CONTROL!$C$9, $C$13, 100%, $E$13) + CHOOSE(CONTROL!$C$28, 0.0003, 0)</f>
        <v>8.0549999999999997</v>
      </c>
      <c r="C40" s="4">
        <f>7.7422 * CHOOSE(CONTROL!$C$9, $C$13, 100%, $E$13) + CHOOSE(CONTROL!$C$28, 0.0003, 0)</f>
        <v>7.7425000000000006</v>
      </c>
      <c r="D40" s="4">
        <f>11.095 * CHOOSE(CONTROL!$C$9, $C$13, 100%, $E$13) + CHOOSE(CONTROL!$C$28, 0, 0)</f>
        <v>11.095000000000001</v>
      </c>
      <c r="E40" s="4">
        <f>46.74 * CHOOSE(CONTROL!$C$9, $C$13, 100%, $E$13) + CHOOSE(CONTROL!$C$28, 0, 0)</f>
        <v>46.74</v>
      </c>
    </row>
    <row r="41" spans="1:5" ht="15">
      <c r="A41" s="13">
        <v>43101</v>
      </c>
      <c r="B41" s="4">
        <f>7.8359 * CHOOSE(CONTROL!$C$9, $C$13, 100%, $E$13) + CHOOSE(CONTROL!$C$28, 0.0003, 0)</f>
        <v>7.8361999999999998</v>
      </c>
      <c r="C41" s="4">
        <f>7.5234 * CHOOSE(CONTROL!$C$9, $C$13, 100%, $E$13) + CHOOSE(CONTROL!$C$28, 0.0003, 0)</f>
        <v>7.5236999999999998</v>
      </c>
      <c r="D41" s="4">
        <f>11.1418 * CHOOSE(CONTROL!$C$9, $C$13, 100%, $E$13) + CHOOSE(CONTROL!$C$28, 0, 0)</f>
        <v>11.1418</v>
      </c>
      <c r="E41" s="4">
        <f>46.85 * CHOOSE(CONTROL!$C$9, $C$13, 100%, $E$13) + CHOOSE(CONTROL!$C$28, 0, 0)</f>
        <v>46.85</v>
      </c>
    </row>
    <row r="42" spans="1:5" ht="15">
      <c r="A42" s="13">
        <v>43132</v>
      </c>
      <c r="B42" s="4">
        <f>7.8703 * CHOOSE(CONTROL!$C$9, $C$13, 100%, $E$13) + CHOOSE(CONTROL!$C$28, 0.0003, 0)</f>
        <v>7.8706000000000005</v>
      </c>
      <c r="C42" s="4">
        <f>7.5578 * CHOOSE(CONTROL!$C$9, $C$13, 100%, $E$13) + CHOOSE(CONTROL!$C$28, 0.0003, 0)</f>
        <v>7.5581000000000005</v>
      </c>
      <c r="D42" s="4">
        <f>11.1634 * CHOOSE(CONTROL!$C$9, $C$13, 100%, $E$13) + CHOOSE(CONTROL!$C$28, 0, 0)</f>
        <v>11.163399999999999</v>
      </c>
      <c r="E42" s="4">
        <f>46.96 * CHOOSE(CONTROL!$C$9, $C$13, 100%, $E$13) + CHOOSE(CONTROL!$C$28, 0, 0)</f>
        <v>46.96</v>
      </c>
    </row>
    <row r="43" spans="1:5" ht="15">
      <c r="A43" s="13">
        <v>43160</v>
      </c>
      <c r="B43" s="4">
        <f>7.9062 * CHOOSE(CONTROL!$C$9, $C$13, 100%, $E$13) + CHOOSE(CONTROL!$C$28, 0.0003, 0)</f>
        <v>7.9065000000000003</v>
      </c>
      <c r="C43" s="4">
        <f>7.5938 * CHOOSE(CONTROL!$C$9, $C$13, 100%, $E$13) + CHOOSE(CONTROL!$C$28, 0.0003, 0)</f>
        <v>7.5941000000000001</v>
      </c>
      <c r="D43" s="4">
        <f>11.1454 * CHOOSE(CONTROL!$C$9, $C$13, 100%, $E$13) + CHOOSE(CONTROL!$C$28, 0, 0)</f>
        <v>11.1454</v>
      </c>
      <c r="E43" s="4">
        <f>47.08 * CHOOSE(CONTROL!$C$9, $C$13, 100%, $E$13) + CHOOSE(CONTROL!$C$28, 0, 0)</f>
        <v>47.08</v>
      </c>
    </row>
    <row r="44" spans="1:5" ht="15">
      <c r="A44" s="13">
        <v>43191</v>
      </c>
      <c r="B44" s="4">
        <f>7.9438 * CHOOSE(CONTROL!$C$9, $C$13, 100%, $E$13) + CHOOSE(CONTROL!$C$28, 0.0003, 0)</f>
        <v>7.9441000000000006</v>
      </c>
      <c r="C44" s="4">
        <f>7.6313 * CHOOSE(CONTROL!$C$9, $C$13, 100%, $E$13) + CHOOSE(CONTROL!$C$28, 0.0003, 0)</f>
        <v>7.6316000000000006</v>
      </c>
      <c r="D44" s="4">
        <f>11.1022 * CHOOSE(CONTROL!$C$9, $C$13, 100%, $E$13) + CHOOSE(CONTROL!$C$28, 0, 0)</f>
        <v>11.1022</v>
      </c>
      <c r="E44" s="4">
        <f>47.2 * CHOOSE(CONTROL!$C$9, $C$13, 100%, $E$13) + CHOOSE(CONTROL!$C$28, 0, 0)</f>
        <v>47.2</v>
      </c>
    </row>
    <row r="45" spans="1:5" ht="15">
      <c r="A45" s="13">
        <v>43221</v>
      </c>
      <c r="B45" s="4">
        <f>7.9781 * CHOOSE(CONTROL!$C$9, $C$13, 100%, $E$13) + CHOOSE(CONTROL!$C$28, 0.0255, 0)</f>
        <v>8.0036000000000005</v>
      </c>
      <c r="C45" s="4">
        <f>7.6656 * CHOOSE(CONTROL!$C$9, $C$13, 100%, $E$13) + CHOOSE(CONTROL!$C$28, 0.0255, 0)</f>
        <v>7.6911000000000005</v>
      </c>
      <c r="D45" s="4">
        <f>11.1346 * CHOOSE(CONTROL!$C$9, $C$13, 100%, $E$13) + CHOOSE(CONTROL!$C$28, 0, 0)</f>
        <v>11.134600000000001</v>
      </c>
      <c r="E45" s="4">
        <f>47.31 * CHOOSE(CONTROL!$C$9, $C$13, 100%, $E$13) + CHOOSE(CONTROL!$C$28, 0, 0)</f>
        <v>47.31</v>
      </c>
    </row>
    <row r="46" spans="1:5" ht="15">
      <c r="A46" s="13">
        <v>43252</v>
      </c>
      <c r="B46" s="4">
        <f>8.0156 * CHOOSE(CONTROL!$C$9, $C$13, 100%, $E$13) + CHOOSE(CONTROL!$C$28, 0.0255, 0)</f>
        <v>8.0410999999999984</v>
      </c>
      <c r="C46" s="4">
        <f>7.7031 * CHOOSE(CONTROL!$C$9, $C$13, 100%, $E$13) + CHOOSE(CONTROL!$C$28, 0.0255, 0)</f>
        <v>7.7286000000000001</v>
      </c>
      <c r="D46" s="4">
        <f>11.185 * CHOOSE(CONTROL!$C$9, $C$13, 100%, $E$13) + CHOOSE(CONTROL!$C$28, 0, 0)</f>
        <v>11.185</v>
      </c>
      <c r="E46" s="4">
        <f>47.42 * CHOOSE(CONTROL!$C$9, $C$13, 100%, $E$13) + CHOOSE(CONTROL!$C$28, 0, 0)</f>
        <v>47.42</v>
      </c>
    </row>
    <row r="47" spans="1:5" ht="15">
      <c r="A47" s="13">
        <v>43282</v>
      </c>
      <c r="B47" s="4">
        <f>8.05 * CHOOSE(CONTROL!$C$9, $C$13, 100%, $E$13) + CHOOSE(CONTROL!$C$28, 0.0255, 0)</f>
        <v>8.0754999999999999</v>
      </c>
      <c r="C47" s="4">
        <f>7.7375 * CHOOSE(CONTROL!$C$9, $C$13, 100%, $E$13) + CHOOSE(CONTROL!$C$28, 0.0255, 0)</f>
        <v>7.7629999999999999</v>
      </c>
      <c r="D47" s="4">
        <f>11.2643 * CHOOSE(CONTROL!$C$9, $C$13, 100%, $E$13) + CHOOSE(CONTROL!$C$28, 0, 0)</f>
        <v>11.2643</v>
      </c>
      <c r="E47" s="4">
        <f>47.48 * CHOOSE(CONTROL!$C$9, $C$13, 100%, $E$13) + CHOOSE(CONTROL!$C$28, 0, 0)</f>
        <v>47.48</v>
      </c>
    </row>
    <row r="48" spans="1:5" ht="15">
      <c r="A48" s="13">
        <v>43313</v>
      </c>
      <c r="B48" s="4">
        <f>8.0875 * CHOOSE(CONTROL!$C$9, $C$13, 100%, $E$13) + CHOOSE(CONTROL!$C$28, 0.0255, 0)</f>
        <v>8.1129999999999995</v>
      </c>
      <c r="C48" s="4">
        <f>7.775 * CHOOSE(CONTROL!$C$9, $C$13, 100%, $E$13) + CHOOSE(CONTROL!$C$28, 0.0255, 0)</f>
        <v>7.8005000000000004</v>
      </c>
      <c r="D48" s="4">
        <f>11.3471 * CHOOSE(CONTROL!$C$9, $C$13, 100%, $E$13) + CHOOSE(CONTROL!$C$28, 0, 0)</f>
        <v>11.347099999999999</v>
      </c>
      <c r="E48" s="4">
        <f>47.56 * CHOOSE(CONTROL!$C$9, $C$13, 100%, $E$13) + CHOOSE(CONTROL!$C$28, 0, 0)</f>
        <v>47.56</v>
      </c>
    </row>
    <row r="49" spans="1:5" ht="15">
      <c r="A49" s="13">
        <v>43344</v>
      </c>
      <c r="B49" s="4">
        <f>8.125 * CHOOSE(CONTROL!$C$9, $C$13, 100%, $E$13) + CHOOSE(CONTROL!$C$28, 0.0255, 0)</f>
        <v>8.1504999999999992</v>
      </c>
      <c r="C49" s="4">
        <f>7.8125 * CHOOSE(CONTROL!$C$9, $C$13, 100%, $E$13) + CHOOSE(CONTROL!$C$28, 0.0255, 0)</f>
        <v>7.8380000000000001</v>
      </c>
      <c r="D49" s="4">
        <f>11.4336 * CHOOSE(CONTROL!$C$9, $C$13, 100%, $E$13) + CHOOSE(CONTROL!$C$28, 0, 0)</f>
        <v>11.4336</v>
      </c>
      <c r="E49" s="4">
        <f>47.65 * CHOOSE(CONTROL!$C$9, $C$13, 100%, $E$13) + CHOOSE(CONTROL!$C$28, 0, 0)</f>
        <v>47.65</v>
      </c>
    </row>
    <row r="50" spans="1:5" ht="15">
      <c r="A50" s="13">
        <v>43374</v>
      </c>
      <c r="B50" s="4">
        <f>8.1656 * CHOOSE(CONTROL!$C$9, $C$13, 100%, $E$13) + CHOOSE(CONTROL!$C$28, 0.0003, 0)</f>
        <v>8.1658999999999988</v>
      </c>
      <c r="C50" s="4">
        <f>7.8531 * CHOOSE(CONTROL!$C$9, $C$13, 100%, $E$13) + CHOOSE(CONTROL!$C$28, 0.0003, 0)</f>
        <v>7.8534000000000006</v>
      </c>
      <c r="D50" s="4">
        <f>11.5128 * CHOOSE(CONTROL!$C$9, $C$13, 100%, $E$13) + CHOOSE(CONTROL!$C$28, 0, 0)</f>
        <v>11.5128</v>
      </c>
      <c r="E50" s="4">
        <f>47.76 * CHOOSE(CONTROL!$C$9, $C$13, 100%, $E$13) + CHOOSE(CONTROL!$C$28, 0, 0)</f>
        <v>47.76</v>
      </c>
    </row>
    <row r="51" spans="1:5" ht="15">
      <c r="A51" s="13">
        <v>43405</v>
      </c>
      <c r="B51" s="4">
        <f>8.2094 * CHOOSE(CONTROL!$C$9, $C$13, 100%, $E$13) + CHOOSE(CONTROL!$C$28, 0.0003, 0)</f>
        <v>8.2096999999999998</v>
      </c>
      <c r="C51" s="4">
        <f>7.8969 * CHOOSE(CONTROL!$C$9, $C$13, 100%, $E$13) + CHOOSE(CONTROL!$C$28, 0.0003, 0)</f>
        <v>7.8971999999999998</v>
      </c>
      <c r="D51" s="4">
        <f>11.5776 * CHOOSE(CONTROL!$C$9, $C$13, 100%, $E$13) + CHOOSE(CONTROL!$C$28, 0, 0)</f>
        <v>11.5776</v>
      </c>
      <c r="E51" s="4">
        <f>47.88 * CHOOSE(CONTROL!$C$9, $C$13, 100%, $E$13) + CHOOSE(CONTROL!$C$28, 0, 0)</f>
        <v>47.88</v>
      </c>
    </row>
    <row r="52" spans="1:5" ht="15">
      <c r="A52" s="13">
        <v>43435</v>
      </c>
      <c r="B52" s="4">
        <f>8.2563 * CHOOSE(CONTROL!$C$9, $C$13, 100%, $E$13) + CHOOSE(CONTROL!$C$28, 0.0003, 0)</f>
        <v>8.2565999999999988</v>
      </c>
      <c r="C52" s="4">
        <f>7.9438 * CHOOSE(CONTROL!$C$9, $C$13, 100%, $E$13) + CHOOSE(CONTROL!$C$28, 0.0003, 0)</f>
        <v>7.9441000000000006</v>
      </c>
      <c r="D52" s="4">
        <f>11.6353 * CHOOSE(CONTROL!$C$9, $C$13, 100%, $E$13) + CHOOSE(CONTROL!$C$28, 0, 0)</f>
        <v>11.635300000000001</v>
      </c>
      <c r="E52" s="4">
        <f>48.03 * CHOOSE(CONTROL!$C$9, $C$13, 100%, $E$13) + CHOOSE(CONTROL!$C$28, 0, 0)</f>
        <v>48.03</v>
      </c>
    </row>
    <row r="53" spans="1:5" ht="15">
      <c r="A53" s="13">
        <v>43466</v>
      </c>
      <c r="B53" s="4">
        <f>9.3765 * CHOOSE(CONTROL!$C$9, $C$13, 100%, $E$13) + CHOOSE(CONTROL!$C$28, 0.0003, 0)</f>
        <v>9.3767999999999994</v>
      </c>
      <c r="C53" s="4">
        <f>9.064 * CHOOSE(CONTROL!$C$9, $C$13, 100%, $E$13) + CHOOSE(CONTROL!$C$28, 0.0003, 0)</f>
        <v>9.0642999999999994</v>
      </c>
      <c r="D53" s="4">
        <f>12.8399 * CHOOSE(CONTROL!$C$9, $C$13, 100%, $E$13) + CHOOSE(CONTROL!$C$28, 0, 0)</f>
        <v>12.8399</v>
      </c>
      <c r="E53" s="4">
        <f>53.780297222779 * CHOOSE(CONTROL!$C$9, $C$13, 100%, $E$13) + CHOOSE(CONTROL!$C$28, 0, 0)</f>
        <v>53.780297222778998</v>
      </c>
    </row>
    <row r="54" spans="1:5" ht="15">
      <c r="A54" s="13">
        <v>43497</v>
      </c>
      <c r="B54" s="4">
        <f>9.5546 * CHOOSE(CONTROL!$C$9, $C$13, 100%, $E$13) + CHOOSE(CONTROL!$C$28, 0.0003, 0)</f>
        <v>9.5548999999999999</v>
      </c>
      <c r="C54" s="4">
        <f>9.2421 * CHOOSE(CONTROL!$C$9, $C$13, 100%, $E$13) + CHOOSE(CONTROL!$C$28, 0.0003, 0)</f>
        <v>9.2423999999999999</v>
      </c>
      <c r="D54" s="4">
        <f>13.2756 * CHOOSE(CONTROL!$C$9, $C$13, 100%, $E$13) + CHOOSE(CONTROL!$C$28, 0, 0)</f>
        <v>13.275600000000001</v>
      </c>
      <c r="E54" s="4">
        <f>55.0572534221288 * CHOOSE(CONTROL!$C$9, $C$13, 100%, $E$13) + CHOOSE(CONTROL!$C$28, 0, 0)</f>
        <v>55.057253422128802</v>
      </c>
    </row>
    <row r="55" spans="1:5" ht="15">
      <c r="A55" s="13">
        <v>43525</v>
      </c>
      <c r="B55" s="4">
        <f>10.0224 * CHOOSE(CONTROL!$C$9, $C$13, 100%, $E$13) + CHOOSE(CONTROL!$C$28, 0.0003, 0)</f>
        <v>10.022699999999999</v>
      </c>
      <c r="C55" s="4">
        <f>9.7099 * CHOOSE(CONTROL!$C$9, $C$13, 100%, $E$13) + CHOOSE(CONTROL!$C$28, 0.0003, 0)</f>
        <v>9.7101999999999986</v>
      </c>
      <c r="D55" s="4">
        <f>13.9575 * CHOOSE(CONTROL!$C$9, $C$13, 100%, $E$13) + CHOOSE(CONTROL!$C$28, 0, 0)</f>
        <v>13.9575</v>
      </c>
      <c r="E55" s="4">
        <f>58.4106082631952 * CHOOSE(CONTROL!$C$9, $C$13, 100%, $E$13) + CHOOSE(CONTROL!$C$28, 0, 0)</f>
        <v>58.410608263195201</v>
      </c>
    </row>
    <row r="56" spans="1:5" ht="15">
      <c r="A56" s="13">
        <v>43556</v>
      </c>
      <c r="B56" s="4">
        <f>10.3547 * CHOOSE(CONTROL!$C$9, $C$13, 100%, $E$13) + CHOOSE(CONTROL!$C$28, 0.0003, 0)</f>
        <v>10.354999999999999</v>
      </c>
      <c r="C56" s="4">
        <f>10.0422 * CHOOSE(CONTROL!$C$9, $C$13, 100%, $E$13) + CHOOSE(CONTROL!$C$28, 0.0003, 0)</f>
        <v>10.042499999999999</v>
      </c>
      <c r="D56" s="4">
        <f>14.3503 * CHOOSE(CONTROL!$C$9, $C$13, 100%, $E$13) + CHOOSE(CONTROL!$C$28, 0, 0)</f>
        <v>14.350300000000001</v>
      </c>
      <c r="E56" s="4">
        <f>60.793211567102 * CHOOSE(CONTROL!$C$9, $C$13, 100%, $E$13) + CHOOSE(CONTROL!$C$28, 0, 0)</f>
        <v>60.793211567101999</v>
      </c>
    </row>
    <row r="57" spans="1:5" ht="15">
      <c r="A57" s="13">
        <v>43586</v>
      </c>
      <c r="B57" s="4">
        <f>10.5578 * CHOOSE(CONTROL!$C$9, $C$13, 100%, $E$13) + CHOOSE(CONTROL!$C$28, 0.0255, 0)</f>
        <v>10.583299999999999</v>
      </c>
      <c r="C57" s="4">
        <f>10.2453 * CHOOSE(CONTROL!$C$9, $C$13, 100%, $E$13) + CHOOSE(CONTROL!$C$28, 0.0255, 0)</f>
        <v>10.270799999999999</v>
      </c>
      <c r="D57" s="4">
        <f>14.1951 * CHOOSE(CONTROL!$C$9, $C$13, 100%, $E$13) + CHOOSE(CONTROL!$C$28, 0, 0)</f>
        <v>14.1951</v>
      </c>
      <c r="E57" s="4">
        <f>62.2489250827574 * CHOOSE(CONTROL!$C$9, $C$13, 100%, $E$13) + CHOOSE(CONTROL!$C$28, 0, 0)</f>
        <v>62.248925082757403</v>
      </c>
    </row>
    <row r="58" spans="1:5" ht="15">
      <c r="A58" s="13">
        <v>43617</v>
      </c>
      <c r="B58" s="4">
        <f>10.5852 * CHOOSE(CONTROL!$C$9, $C$13, 100%, $E$13) + CHOOSE(CONTROL!$C$28, 0.0255, 0)</f>
        <v>10.6107</v>
      </c>
      <c r="C58" s="4">
        <f>10.2727 * CHOOSE(CONTROL!$C$9, $C$13, 100%, $E$13) + CHOOSE(CONTROL!$C$28, 0.0255, 0)</f>
        <v>10.2982</v>
      </c>
      <c r="D58" s="4">
        <f>14.3215 * CHOOSE(CONTROL!$C$9, $C$13, 100%, $E$13) + CHOOSE(CONTROL!$C$28, 0, 0)</f>
        <v>14.3215</v>
      </c>
      <c r="E58" s="4">
        <f>62.4458891627608 * CHOOSE(CONTROL!$C$9, $C$13, 100%, $E$13) + CHOOSE(CONTROL!$C$28, 0, 0)</f>
        <v>62.4458891627608</v>
      </c>
    </row>
    <row r="59" spans="1:5" ht="15">
      <c r="A59" s="13">
        <v>43647</v>
      </c>
      <c r="B59" s="4">
        <f>10.5825 * CHOOSE(CONTROL!$C$9, $C$13, 100%, $E$13) + CHOOSE(CONTROL!$C$28, 0.0255, 0)</f>
        <v>10.607999999999999</v>
      </c>
      <c r="C59" s="4">
        <f>10.27 * CHOOSE(CONTROL!$C$9, $C$13, 100%, $E$13) + CHOOSE(CONTROL!$C$28, 0.0255, 0)</f>
        <v>10.295499999999999</v>
      </c>
      <c r="D59" s="4">
        <f>14.5496 * CHOOSE(CONTROL!$C$9, $C$13, 100%, $E$13) + CHOOSE(CONTROL!$C$28, 0, 0)</f>
        <v>14.5496</v>
      </c>
      <c r="E59" s="4">
        <f>62.4260272387268 * CHOOSE(CONTROL!$C$9, $C$13, 100%, $E$13) + CHOOSE(CONTROL!$C$28, 0, 0)</f>
        <v>62.426027238726803</v>
      </c>
    </row>
    <row r="60" spans="1:5" ht="15">
      <c r="A60" s="13">
        <v>43678</v>
      </c>
      <c r="B60" s="4">
        <f>10.7909 * CHOOSE(CONTROL!$C$9, $C$13, 100%, $E$13) + CHOOSE(CONTROL!$C$28, 0.0255, 0)</f>
        <v>10.8164</v>
      </c>
      <c r="C60" s="4">
        <f>10.4784 * CHOOSE(CONTROL!$C$9, $C$13, 100%, $E$13) + CHOOSE(CONTROL!$C$28, 0.0255, 0)</f>
        <v>10.5039</v>
      </c>
      <c r="D60" s="4">
        <f>14.399 * CHOOSE(CONTROL!$C$9, $C$13, 100%, $E$13) + CHOOSE(CONTROL!$C$28, 0, 0)</f>
        <v>14.398999999999999</v>
      </c>
      <c r="E60" s="4">
        <f>63.9206370222821 * CHOOSE(CONTROL!$C$9, $C$13, 100%, $E$13) + CHOOSE(CONTROL!$C$28, 0, 0)</f>
        <v>63.920637022282101</v>
      </c>
    </row>
    <row r="61" spans="1:5" ht="15">
      <c r="A61" s="13">
        <v>43709</v>
      </c>
      <c r="B61" s="4">
        <f>10.4356 * CHOOSE(CONTROL!$C$9, $C$13, 100%, $E$13) + CHOOSE(CONTROL!$C$28, 0.0255, 0)</f>
        <v>10.4611</v>
      </c>
      <c r="C61" s="4">
        <f>10.1231 * CHOOSE(CONTROL!$C$9, $C$13, 100%, $E$13) + CHOOSE(CONTROL!$C$28, 0.0255, 0)</f>
        <v>10.1486</v>
      </c>
      <c r="D61" s="4">
        <f>14.3278 * CHOOSE(CONTROL!$C$9, $C$13, 100%, $E$13) + CHOOSE(CONTROL!$C$28, 0, 0)</f>
        <v>14.3278</v>
      </c>
      <c r="E61" s="4">
        <f>61.3733452649271 * CHOOSE(CONTROL!$C$9, $C$13, 100%, $E$13) + CHOOSE(CONTROL!$C$28, 0, 0)</f>
        <v>61.373345264927103</v>
      </c>
    </row>
    <row r="62" spans="1:5" ht="15">
      <c r="A62" s="13">
        <v>43739</v>
      </c>
      <c r="B62" s="4">
        <f>10.1512 * CHOOSE(CONTROL!$C$9, $C$13, 100%, $E$13) + CHOOSE(CONTROL!$C$28, 0.0003, 0)</f>
        <v>10.151499999999999</v>
      </c>
      <c r="C62" s="4">
        <f>9.8387 * CHOOSE(CONTROL!$C$9, $C$13, 100%, $E$13) + CHOOSE(CONTROL!$C$28, 0.0003, 0)</f>
        <v>9.8389999999999986</v>
      </c>
      <c r="D62" s="4">
        <f>14.1372 * CHOOSE(CONTROL!$C$9, $C$13, 100%, $E$13) + CHOOSE(CONTROL!$C$28, 0, 0)</f>
        <v>14.1372</v>
      </c>
      <c r="E62" s="4">
        <f>59.3341877307742 * CHOOSE(CONTROL!$C$9, $C$13, 100%, $E$13) + CHOOSE(CONTROL!$C$28, 0, 0)</f>
        <v>59.334187730774197</v>
      </c>
    </row>
    <row r="63" spans="1:5" ht="15">
      <c r="A63" s="13">
        <v>43770</v>
      </c>
      <c r="B63" s="4">
        <f>9.968 * CHOOSE(CONTROL!$C$9, $C$13, 100%, $E$13) + CHOOSE(CONTROL!$C$28, 0.0003, 0)</f>
        <v>9.9682999999999993</v>
      </c>
      <c r="C63" s="4">
        <f>9.6555 * CHOOSE(CONTROL!$C$9, $C$13, 100%, $E$13) + CHOOSE(CONTROL!$C$28, 0.0003, 0)</f>
        <v>9.6557999999999993</v>
      </c>
      <c r="D63" s="4">
        <f>14.0717 * CHOOSE(CONTROL!$C$9, $C$13, 100%, $E$13) + CHOOSE(CONTROL!$C$28, 0, 0)</f>
        <v>14.0717</v>
      </c>
      <c r="E63" s="4">
        <f>58.0208180040288 * CHOOSE(CONTROL!$C$9, $C$13, 100%, $E$13) + CHOOSE(CONTROL!$C$28, 0, 0)</f>
        <v>58.020818004028797</v>
      </c>
    </row>
    <row r="64" spans="1:5" ht="15">
      <c r="A64" s="13">
        <v>43800</v>
      </c>
      <c r="B64" s="4">
        <f>9.8413 * CHOOSE(CONTROL!$C$9, $C$13, 100%, $E$13) + CHOOSE(CONTROL!$C$28, 0.0003, 0)</f>
        <v>9.8415999999999997</v>
      </c>
      <c r="C64" s="4">
        <f>9.5288 * CHOOSE(CONTROL!$C$9, $C$13, 100%, $E$13) + CHOOSE(CONTROL!$C$28, 0.0003, 0)</f>
        <v>9.5290999999999997</v>
      </c>
      <c r="D64" s="4">
        <f>13.5894 * CHOOSE(CONTROL!$C$9, $C$13, 100%, $E$13) + CHOOSE(CONTROL!$C$28, 0, 0)</f>
        <v>13.589399999999999</v>
      </c>
      <c r="E64" s="4">
        <f>57.1121349794753 * CHOOSE(CONTROL!$C$9, $C$13, 100%, $E$13) + CHOOSE(CONTROL!$C$28, 0, 0)</f>
        <v>57.1121349794753</v>
      </c>
    </row>
    <row r="65" spans="1:5" ht="15">
      <c r="A65" s="13">
        <v>43831</v>
      </c>
      <c r="B65" s="4">
        <f>9.8259 * CHOOSE(CONTROL!$C$9, $C$13, 100%, $E$13) + CHOOSE(CONTROL!$C$28, 0.0003, 0)</f>
        <v>9.8262</v>
      </c>
      <c r="C65" s="4">
        <f>9.5134 * CHOOSE(CONTROL!$C$9, $C$13, 100%, $E$13) + CHOOSE(CONTROL!$C$28, 0.0003, 0)</f>
        <v>9.5137</v>
      </c>
      <c r="D65" s="4">
        <f>13.4214 * CHOOSE(CONTROL!$C$9, $C$13, 100%, $E$13) + CHOOSE(CONTROL!$C$28, 0, 0)</f>
        <v>13.4214</v>
      </c>
      <c r="E65" s="4">
        <f>56.3621486068779 * CHOOSE(CONTROL!$C$9, $C$13, 100%, $E$13) + CHOOSE(CONTROL!$C$28, 0, 0)</f>
        <v>56.362148606877902</v>
      </c>
    </row>
    <row r="66" spans="1:5" ht="15">
      <c r="A66" s="13">
        <v>43862</v>
      </c>
      <c r="B66" s="4">
        <f>10.0146 * CHOOSE(CONTROL!$C$9, $C$13, 100%, $E$13) + CHOOSE(CONTROL!$C$28, 0.0003, 0)</f>
        <v>10.014899999999999</v>
      </c>
      <c r="C66" s="4">
        <f>9.7021 * CHOOSE(CONTROL!$C$9, $C$13, 100%, $E$13) + CHOOSE(CONTROL!$C$28, 0.0003, 0)</f>
        <v>9.702399999999999</v>
      </c>
      <c r="D66" s="4">
        <f>13.8776 * CHOOSE(CONTROL!$C$9, $C$13, 100%, $E$13) + CHOOSE(CONTROL!$C$28, 0, 0)</f>
        <v>13.877599999999999</v>
      </c>
      <c r="E66" s="4">
        <f>57.7004081329287 * CHOOSE(CONTROL!$C$9, $C$13, 100%, $E$13) + CHOOSE(CONTROL!$C$28, 0, 0)</f>
        <v>57.7004081329287</v>
      </c>
    </row>
    <row r="67" spans="1:5" ht="15">
      <c r="A67" s="13">
        <v>43891</v>
      </c>
      <c r="B67" s="4">
        <f>10.5104 * CHOOSE(CONTROL!$C$9, $C$13, 100%, $E$13) + CHOOSE(CONTROL!$C$28, 0.0003, 0)</f>
        <v>10.5107</v>
      </c>
      <c r="C67" s="4">
        <f>10.1979 * CHOOSE(CONTROL!$C$9, $C$13, 100%, $E$13) + CHOOSE(CONTROL!$C$28, 0.0003, 0)</f>
        <v>10.1982</v>
      </c>
      <c r="D67" s="4">
        <f>14.5916 * CHOOSE(CONTROL!$C$9, $C$13, 100%, $E$13) + CHOOSE(CONTROL!$C$28, 0, 0)</f>
        <v>14.5916</v>
      </c>
      <c r="E67" s="4">
        <f>61.2147487677686 * CHOOSE(CONTROL!$C$9, $C$13, 100%, $E$13) + CHOOSE(CONTROL!$C$28, 0, 0)</f>
        <v>61.214748767768597</v>
      </c>
    </row>
    <row r="68" spans="1:5" ht="15">
      <c r="A68" s="13">
        <v>43922</v>
      </c>
      <c r="B68" s="4">
        <f>10.8626 * CHOOSE(CONTROL!$C$9, $C$13, 100%, $E$13) + CHOOSE(CONTROL!$C$28, 0.0003, 0)</f>
        <v>10.8629</v>
      </c>
      <c r="C68" s="4">
        <f>10.5501 * CHOOSE(CONTROL!$C$9, $C$13, 100%, $E$13) + CHOOSE(CONTROL!$C$28, 0.0003, 0)</f>
        <v>10.5504</v>
      </c>
      <c r="D68" s="4">
        <f>15.003 * CHOOSE(CONTROL!$C$9, $C$13, 100%, $E$13) + CHOOSE(CONTROL!$C$28, 0, 0)</f>
        <v>15.003</v>
      </c>
      <c r="E68" s="4">
        <f>63.7117346235692 * CHOOSE(CONTROL!$C$9, $C$13, 100%, $E$13) + CHOOSE(CONTROL!$C$28, 0, 0)</f>
        <v>63.7117346235692</v>
      </c>
    </row>
    <row r="69" spans="1:5" ht="15">
      <c r="A69" s="13">
        <v>43952</v>
      </c>
      <c r="B69" s="4">
        <f>11.0779 * CHOOSE(CONTROL!$C$9, $C$13, 100%, $E$13) + CHOOSE(CONTROL!$C$28, 0.0255, 0)</f>
        <v>11.103399999999999</v>
      </c>
      <c r="C69" s="4">
        <f>10.7654 * CHOOSE(CONTROL!$C$9, $C$13, 100%, $E$13) + CHOOSE(CONTROL!$C$28, 0.0255, 0)</f>
        <v>10.790899999999999</v>
      </c>
      <c r="D69" s="4">
        <f>14.8404 * CHOOSE(CONTROL!$C$9, $C$13, 100%, $E$13) + CHOOSE(CONTROL!$C$28, 0, 0)</f>
        <v>14.840400000000001</v>
      </c>
      <c r="E69" s="4">
        <f>65.2373331370646 * CHOOSE(CONTROL!$C$9, $C$13, 100%, $E$13) + CHOOSE(CONTROL!$C$28, 0, 0)</f>
        <v>65.237333137064596</v>
      </c>
    </row>
    <row r="70" spans="1:5" ht="15">
      <c r="A70" s="13">
        <v>43983</v>
      </c>
      <c r="B70" s="4">
        <f>11.107 * CHOOSE(CONTROL!$C$9, $C$13, 100%, $E$13) + CHOOSE(CONTROL!$C$28, 0.0255, 0)</f>
        <v>11.132499999999999</v>
      </c>
      <c r="C70" s="4">
        <f>10.7945 * CHOOSE(CONTROL!$C$9, $C$13, 100%, $E$13) + CHOOSE(CONTROL!$C$28, 0.0255, 0)</f>
        <v>10.819999999999999</v>
      </c>
      <c r="D70" s="4">
        <f>14.9728 * CHOOSE(CONTROL!$C$9, $C$13, 100%, $E$13) + CHOOSE(CONTROL!$C$28, 0, 0)</f>
        <v>14.972799999999999</v>
      </c>
      <c r="E70" s="4">
        <f>65.4437529473044 * CHOOSE(CONTROL!$C$9, $C$13, 100%, $E$13) + CHOOSE(CONTROL!$C$28, 0, 0)</f>
        <v>65.443752947304404</v>
      </c>
    </row>
    <row r="71" spans="1:5" ht="15">
      <c r="A71" s="13">
        <v>44013</v>
      </c>
      <c r="B71" s="4">
        <f>11.104 * CHOOSE(CONTROL!$C$9, $C$13, 100%, $E$13) + CHOOSE(CONTROL!$C$28, 0.0255, 0)</f>
        <v>11.129499999999998</v>
      </c>
      <c r="C71" s="4">
        <f>10.7915 * CHOOSE(CONTROL!$C$9, $C$13, 100%, $E$13) + CHOOSE(CONTROL!$C$28, 0.0255, 0)</f>
        <v>10.816999999999998</v>
      </c>
      <c r="D71" s="4">
        <f>15.2117 * CHOOSE(CONTROL!$C$9, $C$13, 100%, $E$13) + CHOOSE(CONTROL!$C$28, 0, 0)</f>
        <v>15.2117</v>
      </c>
      <c r="E71" s="4">
        <f>65.422937504255 * CHOOSE(CONTROL!$C$9, $C$13, 100%, $E$13) + CHOOSE(CONTROL!$C$28, 0, 0)</f>
        <v>65.422937504255003</v>
      </c>
    </row>
    <row r="72" spans="1:5" ht="15">
      <c r="A72" s="13">
        <v>44044</v>
      </c>
      <c r="B72" s="4">
        <f>11.325 * CHOOSE(CONTROL!$C$9, $C$13, 100%, $E$13) + CHOOSE(CONTROL!$C$28, 0.0255, 0)</f>
        <v>11.350499999999998</v>
      </c>
      <c r="C72" s="4">
        <f>11.0125 * CHOOSE(CONTROL!$C$9, $C$13, 100%, $E$13) + CHOOSE(CONTROL!$C$28, 0.0255, 0)</f>
        <v>11.037999999999998</v>
      </c>
      <c r="D72" s="4">
        <f>15.0539 * CHOOSE(CONTROL!$C$9, $C$13, 100%, $E$13) + CHOOSE(CONTROL!$C$28, 0, 0)</f>
        <v>15.053900000000001</v>
      </c>
      <c r="E72" s="4">
        <f>66.9892995937221 * CHOOSE(CONTROL!$C$9, $C$13, 100%, $E$13) + CHOOSE(CONTROL!$C$28, 0, 0)</f>
        <v>66.989299593722095</v>
      </c>
    </row>
    <row r="73" spans="1:5" ht="15">
      <c r="A73" s="13">
        <v>44075</v>
      </c>
      <c r="B73" s="4">
        <f>10.9484 * CHOOSE(CONTROL!$C$9, $C$13, 100%, $E$13) + CHOOSE(CONTROL!$C$28, 0.0255, 0)</f>
        <v>10.973899999999999</v>
      </c>
      <c r="C73" s="4">
        <f>10.6359 * CHOOSE(CONTROL!$C$9, $C$13, 100%, $E$13) + CHOOSE(CONTROL!$C$28, 0.0255, 0)</f>
        <v>10.661399999999999</v>
      </c>
      <c r="D73" s="4">
        <f>14.9794 * CHOOSE(CONTROL!$C$9, $C$13, 100%, $E$13) + CHOOSE(CONTROL!$C$28, 0, 0)</f>
        <v>14.9794</v>
      </c>
      <c r="E73" s="4">
        <f>64.319719022637 * CHOOSE(CONTROL!$C$9, $C$13, 100%, $E$13) + CHOOSE(CONTROL!$C$28, 0, 0)</f>
        <v>64.319719022637003</v>
      </c>
    </row>
    <row r="74" spans="1:5" ht="15">
      <c r="A74" s="13">
        <v>44105</v>
      </c>
      <c r="B74" s="4">
        <f>10.6469 * CHOOSE(CONTROL!$C$9, $C$13, 100%, $E$13) + CHOOSE(CONTROL!$C$28, 0.0003, 0)</f>
        <v>10.6472</v>
      </c>
      <c r="C74" s="4">
        <f>10.3344 * CHOOSE(CONTROL!$C$9, $C$13, 100%, $E$13) + CHOOSE(CONTROL!$C$28, 0.0003, 0)</f>
        <v>10.3347</v>
      </c>
      <c r="D74" s="4">
        <f>14.7798 * CHOOSE(CONTROL!$C$9, $C$13, 100%, $E$13) + CHOOSE(CONTROL!$C$28, 0, 0)</f>
        <v>14.7798</v>
      </c>
      <c r="E74" s="4">
        <f>62.1826668695655 * CHOOSE(CONTROL!$C$9, $C$13, 100%, $E$13) + CHOOSE(CONTROL!$C$28, 0, 0)</f>
        <v>62.182666869565502</v>
      </c>
    </row>
    <row r="75" spans="1:5" ht="15">
      <c r="A75" s="13">
        <v>44136</v>
      </c>
      <c r="B75" s="4">
        <f>10.4528 * CHOOSE(CONTROL!$C$9, $C$13, 100%, $E$13) + CHOOSE(CONTROL!$C$28, 0.0003, 0)</f>
        <v>10.453099999999999</v>
      </c>
      <c r="C75" s="4">
        <f>10.1403 * CHOOSE(CONTROL!$C$9, $C$13, 100%, $E$13) + CHOOSE(CONTROL!$C$28, 0.0003, 0)</f>
        <v>10.140599999999999</v>
      </c>
      <c r="D75" s="4">
        <f>14.7112 * CHOOSE(CONTROL!$C$9, $C$13, 100%, $E$13) + CHOOSE(CONTROL!$C$28, 0, 0)</f>
        <v>14.7112</v>
      </c>
      <c r="E75" s="4">
        <f>60.8062456979241 * CHOOSE(CONTROL!$C$9, $C$13, 100%, $E$13) + CHOOSE(CONTROL!$C$28, 0, 0)</f>
        <v>60.806245697924098</v>
      </c>
    </row>
    <row r="76" spans="1:5" ht="15">
      <c r="A76" s="13">
        <v>44166</v>
      </c>
      <c r="B76" s="4">
        <f>10.3184 * CHOOSE(CONTROL!$C$9, $C$13, 100%, $E$13) + CHOOSE(CONTROL!$C$28, 0.0003, 0)</f>
        <v>10.3187</v>
      </c>
      <c r="C76" s="4">
        <f>10.0059 * CHOOSE(CONTROL!$C$9, $C$13, 100%, $E$13) + CHOOSE(CONTROL!$C$28, 0.0003, 0)</f>
        <v>10.0062</v>
      </c>
      <c r="D76" s="4">
        <f>14.2062 * CHOOSE(CONTROL!$C$9, $C$13, 100%, $E$13) + CHOOSE(CONTROL!$C$28, 0, 0)</f>
        <v>14.206200000000001</v>
      </c>
      <c r="E76" s="4">
        <f>59.8539391784142 * CHOOSE(CONTROL!$C$9, $C$13, 100%, $E$13) + CHOOSE(CONTROL!$C$28, 0, 0)</f>
        <v>59.853939178414201</v>
      </c>
    </row>
    <row r="77" spans="1:5" ht="15">
      <c r="A77" s="13">
        <v>44197</v>
      </c>
      <c r="B77" s="4">
        <f>12.68 * CHOOSE(CONTROL!$C$9, $C$13, 100%, $E$13) + CHOOSE(CONTROL!$C$28, 0.0003, 0)</f>
        <v>12.680299999999999</v>
      </c>
      <c r="C77" s="4">
        <f>12.3675 * CHOOSE(CONTROL!$C$9, $C$13, 100%, $E$13) + CHOOSE(CONTROL!$C$28, 0.0003, 0)</f>
        <v>12.367799999999999</v>
      </c>
      <c r="D77" s="4">
        <f>16.3511 * CHOOSE(CONTROL!$C$9, $C$13, 100%, $E$13) + CHOOSE(CONTROL!$C$28, 0, 0)</f>
        <v>16.351099999999999</v>
      </c>
      <c r="E77" s="4">
        <f>71.7047853608682 * CHOOSE(CONTROL!$C$9, $C$13, 100%, $E$13) + CHOOSE(CONTROL!$C$28, 0, 0)</f>
        <v>71.7047853608682</v>
      </c>
    </row>
    <row r="78" spans="1:5" ht="15">
      <c r="A78" s="13">
        <v>44228</v>
      </c>
      <c r="B78" s="4">
        <f>12.9365 * CHOOSE(CONTROL!$C$9, $C$13, 100%, $E$13) + CHOOSE(CONTROL!$C$28, 0.0003, 0)</f>
        <v>12.9368</v>
      </c>
      <c r="C78" s="4">
        <f>12.624 * CHOOSE(CONTROL!$C$9, $C$13, 100%, $E$13) + CHOOSE(CONTROL!$C$28, 0.0003, 0)</f>
        <v>12.6243</v>
      </c>
      <c r="D78" s="4">
        <f>16.9106 * CHOOSE(CONTROL!$C$9, $C$13, 100%, $E$13) + CHOOSE(CONTROL!$C$28, 0, 0)</f>
        <v>16.910599999999999</v>
      </c>
      <c r="E78" s="4">
        <f>73.4073395474008 * CHOOSE(CONTROL!$C$9, $C$13, 100%, $E$13) + CHOOSE(CONTROL!$C$28, 0, 0)</f>
        <v>73.407339547400795</v>
      </c>
    </row>
    <row r="79" spans="1:5" ht="15">
      <c r="A79" s="13">
        <v>44256</v>
      </c>
      <c r="B79" s="4">
        <f>13.6103 * CHOOSE(CONTROL!$C$9, $C$13, 100%, $E$13) + CHOOSE(CONTROL!$C$28, 0.0003, 0)</f>
        <v>13.6106</v>
      </c>
      <c r="C79" s="4">
        <f>13.2978 * CHOOSE(CONTROL!$C$9, $C$13, 100%, $E$13) + CHOOSE(CONTROL!$C$28, 0.0003, 0)</f>
        <v>13.2981</v>
      </c>
      <c r="D79" s="4">
        <f>17.7865 * CHOOSE(CONTROL!$C$9, $C$13, 100%, $E$13) + CHOOSE(CONTROL!$C$28, 0, 0)</f>
        <v>17.7865</v>
      </c>
      <c r="E79" s="4">
        <f>77.8783373204597 * CHOOSE(CONTROL!$C$9, $C$13, 100%, $E$13) + CHOOSE(CONTROL!$C$28, 0, 0)</f>
        <v>77.878337320459707</v>
      </c>
    </row>
    <row r="80" spans="1:5" ht="15">
      <c r="A80" s="13">
        <v>44287</v>
      </c>
      <c r="B80" s="4">
        <f>14.089 * CHOOSE(CONTROL!$C$9, $C$13, 100%, $E$13) + CHOOSE(CONTROL!$C$28, 0.0003, 0)</f>
        <v>14.0893</v>
      </c>
      <c r="C80" s="4">
        <f>13.7765 * CHOOSE(CONTROL!$C$9, $C$13, 100%, $E$13) + CHOOSE(CONTROL!$C$28, 0.0003, 0)</f>
        <v>13.7768</v>
      </c>
      <c r="D80" s="4">
        <f>18.2911 * CHOOSE(CONTROL!$C$9, $C$13, 100%, $E$13) + CHOOSE(CONTROL!$C$28, 0, 0)</f>
        <v>18.2911</v>
      </c>
      <c r="E80" s="4">
        <f>81.0550408220977 * CHOOSE(CONTROL!$C$9, $C$13, 100%, $E$13) + CHOOSE(CONTROL!$C$28, 0, 0)</f>
        <v>81.055040822097695</v>
      </c>
    </row>
    <row r="81" spans="1:5" ht="15">
      <c r="A81" s="13">
        <v>44317</v>
      </c>
      <c r="B81" s="4">
        <f>14.3814 * CHOOSE(CONTROL!$C$9, $C$13, 100%, $E$13) + CHOOSE(CONTROL!$C$28, 0.0255, 0)</f>
        <v>14.406899999999998</v>
      </c>
      <c r="C81" s="4">
        <f>14.0689 * CHOOSE(CONTROL!$C$9, $C$13, 100%, $E$13) + CHOOSE(CONTROL!$C$28, 0.0255, 0)</f>
        <v>14.094399999999998</v>
      </c>
      <c r="D81" s="4">
        <f>18.0917 * CHOOSE(CONTROL!$C$9, $C$13, 100%, $E$13) + CHOOSE(CONTROL!$C$28, 0, 0)</f>
        <v>18.091699999999999</v>
      </c>
      <c r="E81" s="4">
        <f>82.9959305266413 * CHOOSE(CONTROL!$C$9, $C$13, 100%, $E$13) + CHOOSE(CONTROL!$C$28, 0, 0)</f>
        <v>82.995930526641303</v>
      </c>
    </row>
    <row r="82" spans="1:5" ht="15">
      <c r="A82" s="13">
        <v>44348</v>
      </c>
      <c r="B82" s="4">
        <f>14.421 * CHOOSE(CONTROL!$C$9, $C$13, 100%, $E$13) + CHOOSE(CONTROL!$C$28, 0.0255, 0)</f>
        <v>14.446499999999999</v>
      </c>
      <c r="C82" s="4">
        <f>14.1085 * CHOOSE(CONTROL!$C$9, $C$13, 100%, $E$13) + CHOOSE(CONTROL!$C$28, 0.0255, 0)</f>
        <v>14.133999999999999</v>
      </c>
      <c r="D82" s="4">
        <f>18.2541 * CHOOSE(CONTROL!$C$9, $C$13, 100%, $E$13) + CHOOSE(CONTROL!$C$28, 0, 0)</f>
        <v>18.254100000000001</v>
      </c>
      <c r="E82" s="4">
        <f>83.2585409585238 * CHOOSE(CONTROL!$C$9, $C$13, 100%, $E$13) + CHOOSE(CONTROL!$C$28, 0, 0)</f>
        <v>83.258540958523795</v>
      </c>
    </row>
    <row r="83" spans="1:5" ht="15">
      <c r="A83" s="13">
        <v>44378</v>
      </c>
      <c r="B83" s="4">
        <f>14.417 * CHOOSE(CONTROL!$C$9, $C$13, 100%, $E$13) + CHOOSE(CONTROL!$C$28, 0.0255, 0)</f>
        <v>14.442499999999999</v>
      </c>
      <c r="C83" s="4">
        <f>14.1045 * CHOOSE(CONTROL!$C$9, $C$13, 100%, $E$13) + CHOOSE(CONTROL!$C$28, 0.0255, 0)</f>
        <v>14.129999999999999</v>
      </c>
      <c r="D83" s="4">
        <f>18.5471 * CHOOSE(CONTROL!$C$9, $C$13, 100%, $E$13) + CHOOSE(CONTROL!$C$28, 0, 0)</f>
        <v>18.5471</v>
      </c>
      <c r="E83" s="4">
        <f>83.2320592343004 * CHOOSE(CONTROL!$C$9, $C$13, 100%, $E$13) + CHOOSE(CONTROL!$C$28, 0, 0)</f>
        <v>83.232059234300394</v>
      </c>
    </row>
    <row r="84" spans="1:5" ht="15">
      <c r="A84" s="13">
        <v>44409</v>
      </c>
      <c r="B84" s="4">
        <f>14.7173 * CHOOSE(CONTROL!$C$9, $C$13, 100%, $E$13) + CHOOSE(CONTROL!$C$28, 0.0255, 0)</f>
        <v>14.742799999999999</v>
      </c>
      <c r="C84" s="4">
        <f>14.4048 * CHOOSE(CONTROL!$C$9, $C$13, 100%, $E$13) + CHOOSE(CONTROL!$C$28, 0.0255, 0)</f>
        <v>14.430299999999999</v>
      </c>
      <c r="D84" s="4">
        <f>18.3536 * CHOOSE(CONTROL!$C$9, $C$13, 100%, $E$13) + CHOOSE(CONTROL!$C$28, 0, 0)</f>
        <v>18.3536</v>
      </c>
      <c r="E84" s="4">
        <f>85.2248089821149 * CHOOSE(CONTROL!$C$9, $C$13, 100%, $E$13) + CHOOSE(CONTROL!$C$28, 0, 0)</f>
        <v>85.224808982114894</v>
      </c>
    </row>
    <row r="85" spans="1:5" ht="15">
      <c r="A85" s="13">
        <v>44440</v>
      </c>
      <c r="B85" s="4">
        <f>14.2055 * CHOOSE(CONTROL!$C$9, $C$13, 100%, $E$13) + CHOOSE(CONTROL!$C$28, 0.0255, 0)</f>
        <v>14.231</v>
      </c>
      <c r="C85" s="4">
        <f>13.893 * CHOOSE(CONTROL!$C$9, $C$13, 100%, $E$13) + CHOOSE(CONTROL!$C$28, 0.0255, 0)</f>
        <v>13.9185</v>
      </c>
      <c r="D85" s="4">
        <f>18.2622 * CHOOSE(CONTROL!$C$9, $C$13, 100%, $E$13) + CHOOSE(CONTROL!$C$28, 0, 0)</f>
        <v>18.2622</v>
      </c>
      <c r="E85" s="4">
        <f>81.8285278504576 * CHOOSE(CONTROL!$C$9, $C$13, 100%, $E$13) + CHOOSE(CONTROL!$C$28, 0, 0)</f>
        <v>81.828527850457604</v>
      </c>
    </row>
    <row r="86" spans="1:5" ht="15">
      <c r="A86" s="13">
        <v>44470</v>
      </c>
      <c r="B86" s="4">
        <f>13.7958 * CHOOSE(CONTROL!$C$9, $C$13, 100%, $E$13) + CHOOSE(CONTROL!$C$28, 0.0003, 0)</f>
        <v>13.796099999999999</v>
      </c>
      <c r="C86" s="4">
        <f>13.4833 * CHOOSE(CONTROL!$C$9, $C$13, 100%, $E$13) + CHOOSE(CONTROL!$C$28, 0.0003, 0)</f>
        <v>13.483599999999999</v>
      </c>
      <c r="D86" s="4">
        <f>18.0174 * CHOOSE(CONTROL!$C$9, $C$13, 100%, $E$13) + CHOOSE(CONTROL!$C$28, 0, 0)</f>
        <v>18.017399999999999</v>
      </c>
      <c r="E86" s="4">
        <f>79.1097374968501 * CHOOSE(CONTROL!$C$9, $C$13, 100%, $E$13) + CHOOSE(CONTROL!$C$28, 0, 0)</f>
        <v>79.109737496850101</v>
      </c>
    </row>
    <row r="87" spans="1:5" ht="15">
      <c r="A87" s="13">
        <v>44501</v>
      </c>
      <c r="B87" s="4">
        <f>13.532 * CHOOSE(CONTROL!$C$9, $C$13, 100%, $E$13) + CHOOSE(CONTROL!$C$28, 0.0003, 0)</f>
        <v>13.532299999999999</v>
      </c>
      <c r="C87" s="4">
        <f>13.2195 * CHOOSE(CONTROL!$C$9, $C$13, 100%, $E$13) + CHOOSE(CONTROL!$C$28, 0.0003, 0)</f>
        <v>13.219799999999999</v>
      </c>
      <c r="D87" s="4">
        <f>17.9332 * CHOOSE(CONTROL!$C$9, $C$13, 100%, $E$13) + CHOOSE(CONTROL!$C$28, 0, 0)</f>
        <v>17.933199999999999</v>
      </c>
      <c r="E87" s="4">
        <f>77.3586334825745 * CHOOSE(CONTROL!$C$9, $C$13, 100%, $E$13) + CHOOSE(CONTROL!$C$28, 0, 0)</f>
        <v>77.358633482574504</v>
      </c>
    </row>
    <row r="88" spans="1:5" ht="15">
      <c r="A88" s="13">
        <v>44531</v>
      </c>
      <c r="B88" s="4">
        <f>13.3494 * CHOOSE(CONTROL!$C$9, $C$13, 100%, $E$13) + CHOOSE(CONTROL!$C$28, 0.0003, 0)</f>
        <v>13.349699999999999</v>
      </c>
      <c r="C88" s="4">
        <f>13.0369 * CHOOSE(CONTROL!$C$9, $C$13, 100%, $E$13) + CHOOSE(CONTROL!$C$28, 0.0003, 0)</f>
        <v>13.037199999999999</v>
      </c>
      <c r="D88" s="4">
        <f>17.3137 * CHOOSE(CONTROL!$C$9, $C$13, 100%, $E$13) + CHOOSE(CONTROL!$C$28, 0, 0)</f>
        <v>17.313700000000001</v>
      </c>
      <c r="E88" s="4">
        <f>76.1470945993518 * CHOOSE(CONTROL!$C$9, $C$13, 100%, $E$13) + CHOOSE(CONTROL!$C$28, 0, 0)</f>
        <v>76.147094599351803</v>
      </c>
    </row>
    <row r="89" spans="1:5" ht="15">
      <c r="A89" s="13">
        <v>44562</v>
      </c>
      <c r="B89" s="4">
        <f>13.2312 * CHOOSE(CONTROL!$C$9, $C$13, 100%, $E$13) + CHOOSE(CONTROL!$C$28, 0.0003, 0)</f>
        <v>13.231499999999999</v>
      </c>
      <c r="C89" s="4">
        <f>12.9187 * CHOOSE(CONTROL!$C$9, $C$13, 100%, $E$13) + CHOOSE(CONTROL!$C$28, 0.0003, 0)</f>
        <v>12.918999999999999</v>
      </c>
      <c r="D89" s="4">
        <f>17.1034 * CHOOSE(CONTROL!$C$9, $C$13, 100%, $E$13) + CHOOSE(CONTROL!$C$28, 0, 0)</f>
        <v>17.103400000000001</v>
      </c>
      <c r="E89" s="4">
        <f>75.1594060162188 * CHOOSE(CONTROL!$C$9, $C$13, 100%, $E$13) + CHOOSE(CONTROL!$C$28, 0, 0)</f>
        <v>75.159406016218796</v>
      </c>
    </row>
    <row r="90" spans="1:5" ht="15">
      <c r="A90" s="13">
        <v>44593</v>
      </c>
      <c r="B90" s="4">
        <f>13.5008 * CHOOSE(CONTROL!$C$9, $C$13, 100%, $E$13) + CHOOSE(CONTROL!$C$28, 0.0003, 0)</f>
        <v>13.501099999999999</v>
      </c>
      <c r="C90" s="4">
        <f>13.1883 * CHOOSE(CONTROL!$C$9, $C$13, 100%, $E$13) + CHOOSE(CONTROL!$C$28, 0.0003, 0)</f>
        <v>13.188599999999999</v>
      </c>
      <c r="D90" s="4">
        <f>17.6895 * CHOOSE(CONTROL!$C$9, $C$13, 100%, $E$13) + CHOOSE(CONTROL!$C$28, 0, 0)</f>
        <v>17.689499999999999</v>
      </c>
      <c r="E90" s="4">
        <f>76.9439865114566 * CHOOSE(CONTROL!$C$9, $C$13, 100%, $E$13) + CHOOSE(CONTROL!$C$28, 0, 0)</f>
        <v>76.9439865114566</v>
      </c>
    </row>
    <row r="91" spans="1:5" ht="15">
      <c r="A91" s="13">
        <v>44621</v>
      </c>
      <c r="B91" s="4">
        <f>14.2089 * CHOOSE(CONTROL!$C$9, $C$13, 100%, $E$13) + CHOOSE(CONTROL!$C$28, 0.0003, 0)</f>
        <v>14.209199999999999</v>
      </c>
      <c r="C91" s="4">
        <f>13.8964 * CHOOSE(CONTROL!$C$9, $C$13, 100%, $E$13) + CHOOSE(CONTROL!$C$28, 0.0003, 0)</f>
        <v>13.896699999999999</v>
      </c>
      <c r="D91" s="4">
        <f>18.607 * CHOOSE(CONTROL!$C$9, $C$13, 100%, $E$13) + CHOOSE(CONTROL!$C$28, 0, 0)</f>
        <v>18.606999999999999</v>
      </c>
      <c r="E91" s="4">
        <f>81.6303897303181 * CHOOSE(CONTROL!$C$9, $C$13, 100%, $E$13) + CHOOSE(CONTROL!$C$28, 0, 0)</f>
        <v>81.6303897303181</v>
      </c>
    </row>
    <row r="92" spans="1:5" ht="15">
      <c r="A92" s="13">
        <v>44652</v>
      </c>
      <c r="B92" s="4">
        <f>14.712 * CHOOSE(CONTROL!$C$9, $C$13, 100%, $E$13) + CHOOSE(CONTROL!$C$28, 0.0003, 0)</f>
        <v>14.712299999999999</v>
      </c>
      <c r="C92" s="4">
        <f>14.3995 * CHOOSE(CONTROL!$C$9, $C$13, 100%, $E$13) + CHOOSE(CONTROL!$C$28, 0.0003, 0)</f>
        <v>14.399799999999999</v>
      </c>
      <c r="D92" s="4">
        <f>19.1355 * CHOOSE(CONTROL!$C$9, $C$13, 100%, $E$13) + CHOOSE(CONTROL!$C$28, 0, 0)</f>
        <v>19.1355</v>
      </c>
      <c r="E92" s="4">
        <f>84.9601416718538 * CHOOSE(CONTROL!$C$9, $C$13, 100%, $E$13) + CHOOSE(CONTROL!$C$28, 0, 0)</f>
        <v>84.960141671853805</v>
      </c>
    </row>
    <row r="93" spans="1:5" ht="15">
      <c r="A93" s="13">
        <v>44682</v>
      </c>
      <c r="B93" s="4">
        <f>15.0194 * CHOOSE(CONTROL!$C$9, $C$13, 100%, $E$13) + CHOOSE(CONTROL!$C$28, 0.0255, 0)</f>
        <v>15.044899999999998</v>
      </c>
      <c r="C93" s="4">
        <f>14.7069 * CHOOSE(CONTROL!$C$9, $C$13, 100%, $E$13) + CHOOSE(CONTROL!$C$28, 0.0255, 0)</f>
        <v>14.732399999999998</v>
      </c>
      <c r="D93" s="4">
        <f>18.9267 * CHOOSE(CONTROL!$C$9, $C$13, 100%, $E$13) + CHOOSE(CONTROL!$C$28, 0, 0)</f>
        <v>18.9267</v>
      </c>
      <c r="E93" s="4">
        <f>86.9945403051157 * CHOOSE(CONTROL!$C$9, $C$13, 100%, $E$13) + CHOOSE(CONTROL!$C$28, 0, 0)</f>
        <v>86.994540305115706</v>
      </c>
    </row>
    <row r="94" spans="1:5" ht="15">
      <c r="A94" s="13">
        <v>44713</v>
      </c>
      <c r="B94" s="4">
        <f>15.061 * CHOOSE(CONTROL!$C$9, $C$13, 100%, $E$13) + CHOOSE(CONTROL!$C$28, 0.0255, 0)</f>
        <v>15.086499999999999</v>
      </c>
      <c r="C94" s="4">
        <f>14.7485 * CHOOSE(CONTROL!$C$9, $C$13, 100%, $E$13) + CHOOSE(CONTROL!$C$28, 0.0255, 0)</f>
        <v>14.773999999999999</v>
      </c>
      <c r="D94" s="4">
        <f>19.0968 * CHOOSE(CONTROL!$C$9, $C$13, 100%, $E$13) + CHOOSE(CONTROL!$C$28, 0, 0)</f>
        <v>19.096800000000002</v>
      </c>
      <c r="E94" s="4">
        <f>87.2698028831239 * CHOOSE(CONTROL!$C$9, $C$13, 100%, $E$13) + CHOOSE(CONTROL!$C$28, 0, 0)</f>
        <v>87.269802883123901</v>
      </c>
    </row>
    <row r="95" spans="1:5" ht="15">
      <c r="A95" s="13">
        <v>44743</v>
      </c>
      <c r="B95" s="4">
        <f>15.0568 * CHOOSE(CONTROL!$C$9, $C$13, 100%, $E$13) + CHOOSE(CONTROL!$C$28, 0.0255, 0)</f>
        <v>15.0823</v>
      </c>
      <c r="C95" s="4">
        <f>14.7443 * CHOOSE(CONTROL!$C$9, $C$13, 100%, $E$13) + CHOOSE(CONTROL!$C$28, 0.0255, 0)</f>
        <v>14.7698</v>
      </c>
      <c r="D95" s="4">
        <f>19.4037 * CHOOSE(CONTROL!$C$9, $C$13, 100%, $E$13) + CHOOSE(CONTROL!$C$28, 0, 0)</f>
        <v>19.403700000000001</v>
      </c>
      <c r="E95" s="4">
        <f>87.2420453122323 * CHOOSE(CONTROL!$C$9, $C$13, 100%, $E$13) + CHOOSE(CONTROL!$C$28, 0, 0)</f>
        <v>87.242045312232307</v>
      </c>
    </row>
    <row r="96" spans="1:5" ht="15">
      <c r="A96" s="13">
        <v>44774</v>
      </c>
      <c r="B96" s="4">
        <f>15.3724 * CHOOSE(CONTROL!$C$9, $C$13, 100%, $E$13) + CHOOSE(CONTROL!$C$28, 0.0255, 0)</f>
        <v>15.3979</v>
      </c>
      <c r="C96" s="4">
        <f>15.0599 * CHOOSE(CONTROL!$C$9, $C$13, 100%, $E$13) + CHOOSE(CONTROL!$C$28, 0.0255, 0)</f>
        <v>15.0854</v>
      </c>
      <c r="D96" s="4">
        <f>19.201 * CHOOSE(CONTROL!$C$9, $C$13, 100%, $E$13) + CHOOSE(CONTROL!$C$28, 0, 0)</f>
        <v>19.201000000000001</v>
      </c>
      <c r="E96" s="4">
        <f>89.3308025218236 * CHOOSE(CONTROL!$C$9, $C$13, 100%, $E$13) + CHOOSE(CONTROL!$C$28, 0, 0)</f>
        <v>89.3308025218236</v>
      </c>
    </row>
    <row r="97" spans="1:5" ht="15">
      <c r="A97" s="13">
        <v>44805</v>
      </c>
      <c r="B97" s="4">
        <f>14.8345 * CHOOSE(CONTROL!$C$9, $C$13, 100%, $E$13) + CHOOSE(CONTROL!$C$28, 0.0255, 0)</f>
        <v>14.86</v>
      </c>
      <c r="C97" s="4">
        <f>14.522 * CHOOSE(CONTROL!$C$9, $C$13, 100%, $E$13) + CHOOSE(CONTROL!$C$28, 0.0255, 0)</f>
        <v>14.547499999999999</v>
      </c>
      <c r="D97" s="4">
        <f>19.1052 * CHOOSE(CONTROL!$C$9, $C$13, 100%, $E$13) + CHOOSE(CONTROL!$C$28, 0, 0)</f>
        <v>19.1052</v>
      </c>
      <c r="E97" s="4">
        <f>85.7708940549787 * CHOOSE(CONTROL!$C$9, $C$13, 100%, $E$13) + CHOOSE(CONTROL!$C$28, 0, 0)</f>
        <v>85.770894054978697</v>
      </c>
    </row>
    <row r="98" spans="1:5" ht="15">
      <c r="A98" s="13">
        <v>44835</v>
      </c>
      <c r="B98" s="4">
        <f>14.4039 * CHOOSE(CONTROL!$C$9, $C$13, 100%, $E$13) + CHOOSE(CONTROL!$C$28, 0.0003, 0)</f>
        <v>14.404199999999999</v>
      </c>
      <c r="C98" s="4">
        <f>14.0914 * CHOOSE(CONTROL!$C$9, $C$13, 100%, $E$13) + CHOOSE(CONTROL!$C$28, 0.0003, 0)</f>
        <v>14.091699999999999</v>
      </c>
      <c r="D98" s="4">
        <f>18.8488 * CHOOSE(CONTROL!$C$9, $C$13, 100%, $E$13) + CHOOSE(CONTROL!$C$28, 0, 0)</f>
        <v>18.848800000000001</v>
      </c>
      <c r="E98" s="4">
        <f>82.9211167767765 * CHOOSE(CONTROL!$C$9, $C$13, 100%, $E$13) + CHOOSE(CONTROL!$C$28, 0, 0)</f>
        <v>82.921116776776501</v>
      </c>
    </row>
    <row r="99" spans="1:5" ht="15">
      <c r="A99" s="13">
        <v>44866</v>
      </c>
      <c r="B99" s="4">
        <f>14.1266 * CHOOSE(CONTROL!$C$9, $C$13, 100%, $E$13) + CHOOSE(CONTROL!$C$28, 0.0003, 0)</f>
        <v>14.126899999999999</v>
      </c>
      <c r="C99" s="4">
        <f>13.8141 * CHOOSE(CONTROL!$C$9, $C$13, 100%, $E$13) + CHOOSE(CONTROL!$C$28, 0.0003, 0)</f>
        <v>13.814399999999999</v>
      </c>
      <c r="D99" s="4">
        <f>18.7607 * CHOOSE(CONTROL!$C$9, $C$13, 100%, $E$13) + CHOOSE(CONTROL!$C$28, 0, 0)</f>
        <v>18.7607</v>
      </c>
      <c r="E99" s="4">
        <f>81.0856474015709 * CHOOSE(CONTROL!$C$9, $C$13, 100%, $E$13) + CHOOSE(CONTROL!$C$28, 0, 0)</f>
        <v>81.085647401570895</v>
      </c>
    </row>
    <row r="100" spans="1:5" ht="15">
      <c r="A100" s="13">
        <v>44896</v>
      </c>
      <c r="B100" s="4">
        <f>13.9347 * CHOOSE(CONTROL!$C$9, $C$13, 100%, $E$13) + CHOOSE(CONTROL!$C$28, 0.0003, 0)</f>
        <v>13.934999999999999</v>
      </c>
      <c r="C100" s="4">
        <f>13.6222 * CHOOSE(CONTROL!$C$9, $C$13, 100%, $E$13) + CHOOSE(CONTROL!$C$28, 0.0003, 0)</f>
        <v>13.622499999999999</v>
      </c>
      <c r="D100" s="4">
        <f>18.1117 * CHOOSE(CONTROL!$C$9, $C$13, 100%, $E$13) + CHOOSE(CONTROL!$C$28, 0, 0)</f>
        <v>18.111699999999999</v>
      </c>
      <c r="E100" s="4">
        <f>79.8157385332812 * CHOOSE(CONTROL!$C$9, $C$13, 100%, $E$13) + CHOOSE(CONTROL!$C$28, 0, 0)</f>
        <v>79.815738533281205</v>
      </c>
    </row>
    <row r="101" spans="1:5" ht="15">
      <c r="A101" s="13">
        <v>44927</v>
      </c>
      <c r="B101" s="4">
        <f>13.8649 * CHOOSE(CONTROL!$C$9, $C$13, 100%, $E$13) + CHOOSE(CONTROL!$C$28, 0.0003, 0)</f>
        <v>13.8652</v>
      </c>
      <c r="C101" s="4">
        <f>13.5524 * CHOOSE(CONTROL!$C$9, $C$13, 100%, $E$13) + CHOOSE(CONTROL!$C$28, 0.0003, 0)</f>
        <v>13.5527</v>
      </c>
      <c r="D101" s="4">
        <f>17.945 * CHOOSE(CONTROL!$C$9, $C$13, 100%, $E$13) + CHOOSE(CONTROL!$C$28, 0, 0)</f>
        <v>17.945</v>
      </c>
      <c r="E101" s="4">
        <f>78.7697917303344 * CHOOSE(CONTROL!$C$9, $C$13, 100%, $E$13) + CHOOSE(CONTROL!$C$28, 0, 0)</f>
        <v>78.769791730334404</v>
      </c>
    </row>
    <row r="102" spans="1:5" ht="15">
      <c r="A102" s="13">
        <v>44958</v>
      </c>
      <c r="B102" s="4">
        <f>14.1496 * CHOOSE(CONTROL!$C$9, $C$13, 100%, $E$13) + CHOOSE(CONTROL!$C$28, 0.0003, 0)</f>
        <v>14.149899999999999</v>
      </c>
      <c r="C102" s="4">
        <f>13.8371 * CHOOSE(CONTROL!$C$9, $C$13, 100%, $E$13) + CHOOSE(CONTROL!$C$28, 0.0003, 0)</f>
        <v>13.837399999999999</v>
      </c>
      <c r="D102" s="4">
        <f>18.5608 * CHOOSE(CONTROL!$C$9, $C$13, 100%, $E$13) + CHOOSE(CONTROL!$C$28, 0, 0)</f>
        <v>18.5608</v>
      </c>
      <c r="E102" s="4">
        <f>80.6400970106285 * CHOOSE(CONTROL!$C$9, $C$13, 100%, $E$13) + CHOOSE(CONTROL!$C$28, 0, 0)</f>
        <v>80.640097010628494</v>
      </c>
    </row>
    <row r="103" spans="1:5" ht="15">
      <c r="A103" s="13">
        <v>44986</v>
      </c>
      <c r="B103" s="4">
        <f>14.8972 * CHOOSE(CONTROL!$C$9, $C$13, 100%, $E$13) + CHOOSE(CONTROL!$C$28, 0.0003, 0)</f>
        <v>14.897499999999999</v>
      </c>
      <c r="C103" s="4">
        <f>14.5847 * CHOOSE(CONTROL!$C$9, $C$13, 100%, $E$13) + CHOOSE(CONTROL!$C$28, 0.0003, 0)</f>
        <v>14.584999999999999</v>
      </c>
      <c r="D103" s="4">
        <f>19.5249 * CHOOSE(CONTROL!$C$9, $C$13, 100%, $E$13) + CHOOSE(CONTROL!$C$28, 0, 0)</f>
        <v>19.524899999999999</v>
      </c>
      <c r="E103" s="4">
        <f>85.5516180707395 * CHOOSE(CONTROL!$C$9, $C$13, 100%, $E$13) + CHOOSE(CONTROL!$C$28, 0, 0)</f>
        <v>85.551618070739494</v>
      </c>
    </row>
    <row r="104" spans="1:5" ht="15">
      <c r="A104" s="13">
        <v>45017</v>
      </c>
      <c r="B104" s="4">
        <f>15.4284 * CHOOSE(CONTROL!$C$9, $C$13, 100%, $E$13) + CHOOSE(CONTROL!$C$28, 0.0003, 0)</f>
        <v>15.428699999999999</v>
      </c>
      <c r="C104" s="4">
        <f>15.1159 * CHOOSE(CONTROL!$C$9, $C$13, 100%, $E$13) + CHOOSE(CONTROL!$C$28, 0.0003, 0)</f>
        <v>15.116199999999999</v>
      </c>
      <c r="D104" s="4">
        <f>20.0801 * CHOOSE(CONTROL!$C$9, $C$13, 100%, $E$13) + CHOOSE(CONTROL!$C$28, 0, 0)</f>
        <v>20.080100000000002</v>
      </c>
      <c r="E104" s="4">
        <f>89.0413192385726 * CHOOSE(CONTROL!$C$9, $C$13, 100%, $E$13) + CHOOSE(CONTROL!$C$28, 0, 0)</f>
        <v>89.041319238572598</v>
      </c>
    </row>
    <row r="105" spans="1:5" ht="15">
      <c r="A105" s="13">
        <v>45047</v>
      </c>
      <c r="B105" s="4">
        <f>15.7529 * CHOOSE(CONTROL!$C$9, $C$13, 100%, $E$13) + CHOOSE(CONTROL!$C$28, 0.0255, 0)</f>
        <v>15.7784</v>
      </c>
      <c r="C105" s="4">
        <f>15.4404 * CHOOSE(CONTROL!$C$9, $C$13, 100%, $E$13) + CHOOSE(CONTROL!$C$28, 0.0255, 0)</f>
        <v>15.4659</v>
      </c>
      <c r="D105" s="4">
        <f>19.8607 * CHOOSE(CONTROL!$C$9, $C$13, 100%, $E$13) + CHOOSE(CONTROL!$C$28, 0, 0)</f>
        <v>19.860700000000001</v>
      </c>
      <c r="E105" s="4">
        <f>91.1734430156543 * CHOOSE(CONTROL!$C$9, $C$13, 100%, $E$13) + CHOOSE(CONTROL!$C$28, 0, 0)</f>
        <v>91.1734430156543</v>
      </c>
    </row>
    <row r="106" spans="1:5" ht="15">
      <c r="A106" s="13">
        <v>45078</v>
      </c>
      <c r="B106" s="4">
        <f>15.7968 * CHOOSE(CONTROL!$C$9, $C$13, 100%, $E$13) + CHOOSE(CONTROL!$C$28, 0.0255, 0)</f>
        <v>15.822299999999998</v>
      </c>
      <c r="C106" s="4">
        <f>15.4843 * CHOOSE(CONTROL!$C$9, $C$13, 100%, $E$13) + CHOOSE(CONTROL!$C$28, 0.0255, 0)</f>
        <v>15.509799999999998</v>
      </c>
      <c r="D106" s="4">
        <f>20.0394 * CHOOSE(CONTROL!$C$9, $C$13, 100%, $E$13) + CHOOSE(CONTROL!$C$28, 0, 0)</f>
        <v>20.039400000000001</v>
      </c>
      <c r="E106" s="4">
        <f>91.461928211189 * CHOOSE(CONTROL!$C$9, $C$13, 100%, $E$13) + CHOOSE(CONTROL!$C$28, 0, 0)</f>
        <v>91.461928211189004</v>
      </c>
    </row>
    <row r="107" spans="1:5" ht="15">
      <c r="A107" s="13">
        <v>45108</v>
      </c>
      <c r="B107" s="4">
        <f>15.7924 * CHOOSE(CONTROL!$C$9, $C$13, 100%, $E$13) + CHOOSE(CONTROL!$C$28, 0.0255, 0)</f>
        <v>15.8179</v>
      </c>
      <c r="C107" s="4">
        <f>15.4799 * CHOOSE(CONTROL!$C$9, $C$13, 100%, $E$13) + CHOOSE(CONTROL!$C$28, 0.0255, 0)</f>
        <v>15.5054</v>
      </c>
      <c r="D107" s="4">
        <f>20.3619 * CHOOSE(CONTROL!$C$9, $C$13, 100%, $E$13) + CHOOSE(CONTROL!$C$28, 0, 0)</f>
        <v>20.361899999999999</v>
      </c>
      <c r="E107" s="4">
        <f>91.4328372671015 * CHOOSE(CONTROL!$C$9, $C$13, 100%, $E$13) + CHOOSE(CONTROL!$C$28, 0, 0)</f>
        <v>91.432837267101505</v>
      </c>
    </row>
    <row r="108" spans="1:5" ht="15">
      <c r="A108" s="13">
        <v>45139</v>
      </c>
      <c r="B108" s="4">
        <f>16.1256 * CHOOSE(CONTROL!$C$9, $C$13, 100%, $E$13) + CHOOSE(CONTROL!$C$28, 0.0255, 0)</f>
        <v>16.1511</v>
      </c>
      <c r="C108" s="4">
        <f>15.8131 * CHOOSE(CONTROL!$C$9, $C$13, 100%, $E$13) + CHOOSE(CONTROL!$C$28, 0.0255, 0)</f>
        <v>15.8386</v>
      </c>
      <c r="D108" s="4">
        <f>20.1489 * CHOOSE(CONTROL!$C$9, $C$13, 100%, $E$13) + CHOOSE(CONTROL!$C$28, 0, 0)</f>
        <v>20.148900000000001</v>
      </c>
      <c r="E108" s="4">
        <f>93.621930809688 * CHOOSE(CONTROL!$C$9, $C$13, 100%, $E$13) + CHOOSE(CONTROL!$C$28, 0, 0)</f>
        <v>93.621930809687996</v>
      </c>
    </row>
    <row r="109" spans="1:5" ht="15">
      <c r="A109" s="13">
        <v>45170</v>
      </c>
      <c r="B109" s="4">
        <f>15.5577 * CHOOSE(CONTROL!$C$9, $C$13, 100%, $E$13) + CHOOSE(CONTROL!$C$28, 0.0255, 0)</f>
        <v>15.5832</v>
      </c>
      <c r="C109" s="4">
        <f>15.2452 * CHOOSE(CONTROL!$C$9, $C$13, 100%, $E$13) + CHOOSE(CONTROL!$C$28, 0.0255, 0)</f>
        <v>15.2707</v>
      </c>
      <c r="D109" s="4">
        <f>20.0483 * CHOOSE(CONTROL!$C$9, $C$13, 100%, $E$13) + CHOOSE(CONTROL!$C$28, 0, 0)</f>
        <v>20.048300000000001</v>
      </c>
      <c r="E109" s="4">
        <f>89.8910172304625 * CHOOSE(CONTROL!$C$9, $C$13, 100%, $E$13) + CHOOSE(CONTROL!$C$28, 0, 0)</f>
        <v>89.891017230462495</v>
      </c>
    </row>
    <row r="110" spans="1:5" ht="15">
      <c r="A110" s="13">
        <v>45200</v>
      </c>
      <c r="B110" s="4">
        <f>15.1031 * CHOOSE(CONTROL!$C$9, $C$13, 100%, $E$13) + CHOOSE(CONTROL!$C$28, 0.0003, 0)</f>
        <v>15.103399999999999</v>
      </c>
      <c r="C110" s="4">
        <f>14.7906 * CHOOSE(CONTROL!$C$9, $C$13, 100%, $E$13) + CHOOSE(CONTROL!$C$28, 0.0003, 0)</f>
        <v>14.790899999999999</v>
      </c>
      <c r="D110" s="4">
        <f>19.7789 * CHOOSE(CONTROL!$C$9, $C$13, 100%, $E$13) + CHOOSE(CONTROL!$C$28, 0, 0)</f>
        <v>19.7789</v>
      </c>
      <c r="E110" s="4">
        <f>86.9043469708095 * CHOOSE(CONTROL!$C$9, $C$13, 100%, $E$13) + CHOOSE(CONTROL!$C$28, 0, 0)</f>
        <v>86.904346970809499</v>
      </c>
    </row>
    <row r="111" spans="1:5" ht="15">
      <c r="A111" s="13">
        <v>45231</v>
      </c>
      <c r="B111" s="4">
        <f>14.8103 * CHOOSE(CONTROL!$C$9, $C$13, 100%, $E$13) + CHOOSE(CONTROL!$C$28, 0.0003, 0)</f>
        <v>14.810599999999999</v>
      </c>
      <c r="C111" s="4">
        <f>14.4978 * CHOOSE(CONTROL!$C$9, $C$13, 100%, $E$13) + CHOOSE(CONTROL!$C$28, 0.0003, 0)</f>
        <v>14.498099999999999</v>
      </c>
      <c r="D111" s="4">
        <f>19.6863 * CHOOSE(CONTROL!$C$9, $C$13, 100%, $E$13) + CHOOSE(CONTROL!$C$28, 0, 0)</f>
        <v>19.686299999999999</v>
      </c>
      <c r="E111" s="4">
        <f>84.9807082930217 * CHOOSE(CONTROL!$C$9, $C$13, 100%, $E$13) + CHOOSE(CONTROL!$C$28, 0, 0)</f>
        <v>84.980708293021706</v>
      </c>
    </row>
    <row r="112" spans="1:5" ht="15">
      <c r="A112" s="13">
        <v>45261</v>
      </c>
      <c r="B112" s="4">
        <f>14.6077 * CHOOSE(CONTROL!$C$9, $C$13, 100%, $E$13) + CHOOSE(CONTROL!$C$28, 0.0003, 0)</f>
        <v>14.607999999999999</v>
      </c>
      <c r="C112" s="4">
        <f>14.2952 * CHOOSE(CONTROL!$C$9, $C$13, 100%, $E$13) + CHOOSE(CONTROL!$C$28, 0.0003, 0)</f>
        <v>14.295499999999999</v>
      </c>
      <c r="D112" s="4">
        <f>19.0044 * CHOOSE(CONTROL!$C$9, $C$13, 100%, $E$13) + CHOOSE(CONTROL!$C$28, 0, 0)</f>
        <v>19.0044</v>
      </c>
      <c r="E112" s="4">
        <f>83.6497976010173 * CHOOSE(CONTROL!$C$9, $C$13, 100%, $E$13) + CHOOSE(CONTROL!$C$28, 0, 0)</f>
        <v>83.649797601017298</v>
      </c>
    </row>
    <row r="113" spans="1:5" ht="15">
      <c r="A113" s="13">
        <v>45292</v>
      </c>
      <c r="B113" s="4">
        <f>14.4786 * CHOOSE(CONTROL!$C$9, $C$13, 100%, $E$13) + CHOOSE(CONTROL!$C$28, 0.0003, 0)</f>
        <v>14.478899999999999</v>
      </c>
      <c r="C113" s="4">
        <f>14.1661 * CHOOSE(CONTROL!$C$9, $C$13, 100%, $E$13) + CHOOSE(CONTROL!$C$28, 0.0003, 0)</f>
        <v>14.166399999999999</v>
      </c>
      <c r="D113" s="4">
        <f>19.1199 * CHOOSE(CONTROL!$C$9, $C$13, 100%, $E$13) + CHOOSE(CONTROL!$C$28, 0, 0)</f>
        <v>19.119900000000001</v>
      </c>
      <c r="E113" s="4">
        <f>82.4886558209195 * CHOOSE(CONTROL!$C$9, $C$13, 100%, $E$13) + CHOOSE(CONTROL!$C$28, 0, 0)</f>
        <v>82.488655820919504</v>
      </c>
    </row>
    <row r="114" spans="1:5" ht="15">
      <c r="A114" s="13">
        <v>45323</v>
      </c>
      <c r="B114" s="4">
        <f>14.7778 * CHOOSE(CONTROL!$C$9, $C$13, 100%, $E$13) + CHOOSE(CONTROL!$C$28, 0.0003, 0)</f>
        <v>14.778099999999998</v>
      </c>
      <c r="C114" s="4">
        <f>14.4653 * CHOOSE(CONTROL!$C$9, $C$13, 100%, $E$13) + CHOOSE(CONTROL!$C$28, 0.0003, 0)</f>
        <v>14.465599999999998</v>
      </c>
      <c r="D114" s="4">
        <f>19.7772 * CHOOSE(CONTROL!$C$9, $C$13, 100%, $E$13) + CHOOSE(CONTROL!$C$28, 0, 0)</f>
        <v>19.777200000000001</v>
      </c>
      <c r="E114" s="4">
        <f>84.4472615904306 * CHOOSE(CONTROL!$C$9, $C$13, 100%, $E$13) + CHOOSE(CONTROL!$C$28, 0, 0)</f>
        <v>84.4472615904306</v>
      </c>
    </row>
    <row r="115" spans="1:5" ht="15">
      <c r="A115" s="13">
        <v>45352</v>
      </c>
      <c r="B115" s="4">
        <f>15.5637 * CHOOSE(CONTROL!$C$9, $C$13, 100%, $E$13) + CHOOSE(CONTROL!$C$28, 0.0003, 0)</f>
        <v>15.564</v>
      </c>
      <c r="C115" s="4">
        <f>15.2512 * CHOOSE(CONTROL!$C$9, $C$13, 100%, $E$13) + CHOOSE(CONTROL!$C$28, 0.0003, 0)</f>
        <v>15.2515</v>
      </c>
      <c r="D115" s="4">
        <f>20.8061 * CHOOSE(CONTROL!$C$9, $C$13, 100%, $E$13) + CHOOSE(CONTROL!$C$28, 0, 0)</f>
        <v>20.806100000000001</v>
      </c>
      <c r="E115" s="4">
        <f>89.5906644277987 * CHOOSE(CONTROL!$C$9, $C$13, 100%, $E$13) + CHOOSE(CONTROL!$C$28, 0, 0)</f>
        <v>89.5906644277987</v>
      </c>
    </row>
    <row r="116" spans="1:5" ht="15">
      <c r="A116" s="13">
        <v>45383</v>
      </c>
      <c r="B116" s="4">
        <f>16.1221 * CHOOSE(CONTROL!$C$9, $C$13, 100%, $E$13) + CHOOSE(CONTROL!$C$28, 0.0003, 0)</f>
        <v>16.122399999999999</v>
      </c>
      <c r="C116" s="4">
        <f>15.8096 * CHOOSE(CONTROL!$C$9, $C$13, 100%, $E$13) + CHOOSE(CONTROL!$C$28, 0.0003, 0)</f>
        <v>15.809899999999999</v>
      </c>
      <c r="D116" s="4">
        <f>21.3988 * CHOOSE(CONTROL!$C$9, $C$13, 100%, $E$13) + CHOOSE(CONTROL!$C$28, 0, 0)</f>
        <v>21.398800000000001</v>
      </c>
      <c r="E116" s="4">
        <f>93.2451206886039 * CHOOSE(CONTROL!$C$9, $C$13, 100%, $E$13) + CHOOSE(CONTROL!$C$28, 0, 0)</f>
        <v>93.245120688603905</v>
      </c>
    </row>
    <row r="117" spans="1:5" ht="15">
      <c r="A117" s="13">
        <v>45413</v>
      </c>
      <c r="B117" s="4">
        <f>16.4632 * CHOOSE(CONTROL!$C$9, $C$13, 100%, $E$13) + CHOOSE(CONTROL!$C$28, 0.0255, 0)</f>
        <v>16.488700000000001</v>
      </c>
      <c r="C117" s="4">
        <f>16.1507 * CHOOSE(CONTROL!$C$9, $C$13, 100%, $E$13) + CHOOSE(CONTROL!$C$28, 0.0255, 0)</f>
        <v>16.176200000000001</v>
      </c>
      <c r="D117" s="4">
        <f>21.1646 * CHOOSE(CONTROL!$C$9, $C$13, 100%, $E$13) + CHOOSE(CONTROL!$C$28, 0, 0)</f>
        <v>21.1646</v>
      </c>
      <c r="E117" s="4">
        <f>95.4779058788631 * CHOOSE(CONTROL!$C$9, $C$13, 100%, $E$13) + CHOOSE(CONTROL!$C$28, 0, 0)</f>
        <v>95.477905878863098</v>
      </c>
    </row>
    <row r="118" spans="1:5" ht="15">
      <c r="A118" s="13">
        <v>45444</v>
      </c>
      <c r="B118" s="4">
        <f>16.5094 * CHOOSE(CONTROL!$C$9, $C$13, 100%, $E$13) + CHOOSE(CONTROL!$C$28, 0.0255, 0)</f>
        <v>16.5349</v>
      </c>
      <c r="C118" s="4">
        <f>16.1969 * CHOOSE(CONTROL!$C$9, $C$13, 100%, $E$13) + CHOOSE(CONTROL!$C$28, 0.0255, 0)</f>
        <v>16.2224</v>
      </c>
      <c r="D118" s="4">
        <f>21.3553 * CHOOSE(CONTROL!$C$9, $C$13, 100%, $E$13) + CHOOSE(CONTROL!$C$28, 0, 0)</f>
        <v>21.3553</v>
      </c>
      <c r="E118" s="4">
        <f>95.7800109813541 * CHOOSE(CONTROL!$C$9, $C$13, 100%, $E$13) + CHOOSE(CONTROL!$C$28, 0, 0)</f>
        <v>95.780010981354096</v>
      </c>
    </row>
    <row r="119" spans="1:5" ht="15">
      <c r="A119" s="13">
        <v>45474</v>
      </c>
      <c r="B119" s="4">
        <f>16.5047 * CHOOSE(CONTROL!$C$9, $C$13, 100%, $E$13) + CHOOSE(CONTROL!$C$28, 0.0255, 0)</f>
        <v>16.530200000000001</v>
      </c>
      <c r="C119" s="4">
        <f>16.1922 * CHOOSE(CONTROL!$C$9, $C$13, 100%, $E$13) + CHOOSE(CONTROL!$C$28, 0.0255, 0)</f>
        <v>16.217700000000001</v>
      </c>
      <c r="D119" s="4">
        <f>21.6995 * CHOOSE(CONTROL!$C$9, $C$13, 100%, $E$13) + CHOOSE(CONTROL!$C$28, 0, 0)</f>
        <v>21.6995</v>
      </c>
      <c r="E119" s="4">
        <f>95.749546601271 * CHOOSE(CONTROL!$C$9, $C$13, 100%, $E$13) + CHOOSE(CONTROL!$C$28, 0, 0)</f>
        <v>95.749546601271007</v>
      </c>
    </row>
    <row r="120" spans="1:5" ht="15">
      <c r="A120" s="13">
        <v>45505</v>
      </c>
      <c r="B120" s="4">
        <f>16.855 * CHOOSE(CONTROL!$C$9, $C$13, 100%, $E$13) + CHOOSE(CONTROL!$C$28, 0.0255, 0)</f>
        <v>16.880500000000001</v>
      </c>
      <c r="C120" s="4">
        <f>16.5425 * CHOOSE(CONTROL!$C$9, $C$13, 100%, $E$13) + CHOOSE(CONTROL!$C$28, 0.0255, 0)</f>
        <v>16.568000000000001</v>
      </c>
      <c r="D120" s="4">
        <f>21.4722 * CHOOSE(CONTROL!$C$9, $C$13, 100%, $E$13) + CHOOSE(CONTROL!$C$28, 0, 0)</f>
        <v>21.472200000000001</v>
      </c>
      <c r="E120" s="4">
        <f>98.0419912025264 * CHOOSE(CONTROL!$C$9, $C$13, 100%, $E$13) + CHOOSE(CONTROL!$C$28, 0, 0)</f>
        <v>98.041991202526404</v>
      </c>
    </row>
    <row r="121" spans="1:5" ht="15">
      <c r="A121" s="13">
        <v>45536</v>
      </c>
      <c r="B121" s="4">
        <f>16.258 * CHOOSE(CONTROL!$C$9, $C$13, 100%, $E$13) + CHOOSE(CONTROL!$C$28, 0.0255, 0)</f>
        <v>16.2835</v>
      </c>
      <c r="C121" s="4">
        <f>15.9455 * CHOOSE(CONTROL!$C$9, $C$13, 100%, $E$13) + CHOOSE(CONTROL!$C$28, 0.0255, 0)</f>
        <v>15.970999999999998</v>
      </c>
      <c r="D121" s="4">
        <f>21.3648 * CHOOSE(CONTROL!$C$9, $C$13, 100%, $E$13) + CHOOSE(CONTROL!$C$28, 0, 0)</f>
        <v>21.364799999999999</v>
      </c>
      <c r="E121" s="4">
        <f>94.1349344568653 * CHOOSE(CONTROL!$C$9, $C$13, 100%, $E$13) + CHOOSE(CONTROL!$C$28, 0, 0)</f>
        <v>94.134934456865295</v>
      </c>
    </row>
    <row r="122" spans="1:5" ht="15">
      <c r="A122" s="13">
        <v>45566</v>
      </c>
      <c r="B122" s="4">
        <f>15.7801 * CHOOSE(CONTROL!$C$9, $C$13, 100%, $E$13) + CHOOSE(CONTROL!$C$28, 0.0003, 0)</f>
        <v>15.780399999999998</v>
      </c>
      <c r="C122" s="4">
        <f>15.4676 * CHOOSE(CONTROL!$C$9, $C$13, 100%, $E$13) + CHOOSE(CONTROL!$C$28, 0.0003, 0)</f>
        <v>15.467899999999998</v>
      </c>
      <c r="D122" s="4">
        <f>21.0773 * CHOOSE(CONTROL!$C$9, $C$13, 100%, $E$13) + CHOOSE(CONTROL!$C$28, 0, 0)</f>
        <v>21.077300000000001</v>
      </c>
      <c r="E122" s="4">
        <f>91.0072581016641 * CHOOSE(CONTROL!$C$9, $C$13, 100%, $E$13) + CHOOSE(CONTROL!$C$28, 0, 0)</f>
        <v>91.007258101664107</v>
      </c>
    </row>
    <row r="123" spans="1:5" ht="15">
      <c r="A123" s="13">
        <v>45597</v>
      </c>
      <c r="B123" s="4">
        <f>15.4723 * CHOOSE(CONTROL!$C$9, $C$13, 100%, $E$13) + CHOOSE(CONTROL!$C$28, 0.0003, 0)</f>
        <v>15.4726</v>
      </c>
      <c r="C123" s="4">
        <f>15.1598 * CHOOSE(CONTROL!$C$9, $C$13, 100%, $E$13) + CHOOSE(CONTROL!$C$28, 0.0003, 0)</f>
        <v>15.1601</v>
      </c>
      <c r="D123" s="4">
        <f>20.9784 * CHOOSE(CONTROL!$C$9, $C$13, 100%, $E$13) + CHOOSE(CONTROL!$C$28, 0, 0)</f>
        <v>20.978400000000001</v>
      </c>
      <c r="E123" s="4">
        <f>88.9928009686673 * CHOOSE(CONTROL!$C$9, $C$13, 100%, $E$13) + CHOOSE(CONTROL!$C$28, 0, 0)</f>
        <v>88.992800968667297</v>
      </c>
    </row>
    <row r="124" spans="1:5" ht="15">
      <c r="A124" s="13">
        <v>45627</v>
      </c>
      <c r="B124" s="4">
        <f>15.2594 * CHOOSE(CONTROL!$C$9, $C$13, 100%, $E$13) + CHOOSE(CONTROL!$C$28, 0.0003, 0)</f>
        <v>15.259699999999999</v>
      </c>
      <c r="C124" s="4">
        <f>14.9469 * CHOOSE(CONTROL!$C$9, $C$13, 100%, $E$13) + CHOOSE(CONTROL!$C$28, 0.0003, 0)</f>
        <v>14.947199999999999</v>
      </c>
      <c r="D124" s="4">
        <f>20.2506 * CHOOSE(CONTROL!$C$9, $C$13, 100%, $E$13) + CHOOSE(CONTROL!$C$28, 0, 0)</f>
        <v>20.250599999999999</v>
      </c>
      <c r="E124" s="4">
        <f>87.5990555798642 * CHOOSE(CONTROL!$C$9, $C$13, 100%, $E$13) + CHOOSE(CONTROL!$C$28, 0, 0)</f>
        <v>87.599055579864199</v>
      </c>
    </row>
    <row r="125" spans="1:5" ht="15">
      <c r="A125" s="13">
        <v>45658</v>
      </c>
      <c r="B125" s="4">
        <f>15.1778 * CHOOSE(CONTROL!$C$9, $C$13, 100%, $E$13) + CHOOSE(CONTROL!$C$28, 0.0003, 0)</f>
        <v>15.178099999999999</v>
      </c>
      <c r="C125" s="4">
        <f>14.8653 * CHOOSE(CONTROL!$C$9, $C$13, 100%, $E$13) + CHOOSE(CONTROL!$C$28, 0.0003, 0)</f>
        <v>14.865599999999999</v>
      </c>
      <c r="D125" s="4">
        <f>19.9173 * CHOOSE(CONTROL!$C$9, $C$13, 100%, $E$13) + CHOOSE(CONTROL!$C$28, 0, 0)</f>
        <v>19.917300000000001</v>
      </c>
      <c r="E125" s="4">
        <f>85.1854705466113 * CHOOSE(CONTROL!$C$9, $C$13, 100%, $E$13) + CHOOSE(CONTROL!$C$28, 0, 0)</f>
        <v>85.185470546611299</v>
      </c>
    </row>
    <row r="126" spans="1:5" ht="15">
      <c r="A126" s="13">
        <v>45689</v>
      </c>
      <c r="B126" s="4">
        <f>15.4936 * CHOOSE(CONTROL!$C$9, $C$13, 100%, $E$13) + CHOOSE(CONTROL!$C$28, 0.0003, 0)</f>
        <v>15.4939</v>
      </c>
      <c r="C126" s="4">
        <f>15.1811 * CHOOSE(CONTROL!$C$9, $C$13, 100%, $E$13) + CHOOSE(CONTROL!$C$28, 0.0003, 0)</f>
        <v>15.1814</v>
      </c>
      <c r="D126" s="4">
        <f>20.6028 * CHOOSE(CONTROL!$C$9, $C$13, 100%, $E$13) + CHOOSE(CONTROL!$C$28, 0, 0)</f>
        <v>20.602799999999998</v>
      </c>
      <c r="E126" s="4">
        <f>87.208109325613 * CHOOSE(CONTROL!$C$9, $C$13, 100%, $E$13) + CHOOSE(CONTROL!$C$28, 0, 0)</f>
        <v>87.208109325612995</v>
      </c>
    </row>
    <row r="127" spans="1:5" ht="15">
      <c r="A127" s="13">
        <v>45717</v>
      </c>
      <c r="B127" s="4">
        <f>16.3231 * CHOOSE(CONTROL!$C$9, $C$13, 100%, $E$13) + CHOOSE(CONTROL!$C$28, 0.0003, 0)</f>
        <v>16.323399999999999</v>
      </c>
      <c r="C127" s="4">
        <f>16.0106 * CHOOSE(CONTROL!$C$9, $C$13, 100%, $E$13) + CHOOSE(CONTROL!$C$28, 0.0003, 0)</f>
        <v>16.010899999999999</v>
      </c>
      <c r="D127" s="4">
        <f>21.6757 * CHOOSE(CONTROL!$C$9, $C$13, 100%, $E$13) + CHOOSE(CONTROL!$C$28, 0, 0)</f>
        <v>21.675699999999999</v>
      </c>
      <c r="E127" s="4">
        <f>92.519666248824 * CHOOSE(CONTROL!$C$9, $C$13, 100%, $E$13) + CHOOSE(CONTROL!$C$28, 0, 0)</f>
        <v>92.519666248823995</v>
      </c>
    </row>
    <row r="128" spans="1:5" ht="15">
      <c r="A128" s="13">
        <v>45748</v>
      </c>
      <c r="B128" s="4">
        <f>16.9124 * CHOOSE(CONTROL!$C$9, $C$13, 100%, $E$13) + CHOOSE(CONTROL!$C$28, 0.0003, 0)</f>
        <v>16.912700000000001</v>
      </c>
      <c r="C128" s="4">
        <f>16.5999 * CHOOSE(CONTROL!$C$9, $C$13, 100%, $E$13) + CHOOSE(CONTROL!$C$28, 0.0003, 0)</f>
        <v>16.600200000000001</v>
      </c>
      <c r="D128" s="4">
        <f>22.2938 * CHOOSE(CONTROL!$C$9, $C$13, 100%, $E$13) + CHOOSE(CONTROL!$C$28, 0, 0)</f>
        <v>22.293800000000001</v>
      </c>
      <c r="E128" s="4">
        <f>96.2935982285685 * CHOOSE(CONTROL!$C$9, $C$13, 100%, $E$13) + CHOOSE(CONTROL!$C$28, 0, 0)</f>
        <v>96.293598228568499</v>
      </c>
    </row>
    <row r="129" spans="1:5" ht="15">
      <c r="A129" s="13">
        <v>45778</v>
      </c>
      <c r="B129" s="4">
        <f>17.2725 * CHOOSE(CONTROL!$C$9, $C$13, 100%, $E$13) + CHOOSE(CONTROL!$C$28, 0.0255, 0)</f>
        <v>17.298000000000002</v>
      </c>
      <c r="C129" s="4">
        <f>16.96 * CHOOSE(CONTROL!$C$9, $C$13, 100%, $E$13) + CHOOSE(CONTROL!$C$28, 0.0255, 0)</f>
        <v>16.985500000000002</v>
      </c>
      <c r="D129" s="4">
        <f>22.0496 * CHOOSE(CONTROL!$C$9, $C$13, 100%, $E$13) + CHOOSE(CONTROL!$C$28, 0, 0)</f>
        <v>22.049600000000002</v>
      </c>
      <c r="E129" s="4">
        <f>98.5993802196663 * CHOOSE(CONTROL!$C$9, $C$13, 100%, $E$13) + CHOOSE(CONTROL!$C$28, 0, 0)</f>
        <v>98.599380219666301</v>
      </c>
    </row>
    <row r="130" spans="1:5" ht="15">
      <c r="A130" s="13">
        <v>45809</v>
      </c>
      <c r="B130" s="4">
        <f>17.3212 * CHOOSE(CONTROL!$C$9, $C$13, 100%, $E$13) + CHOOSE(CONTROL!$C$28, 0.0255, 0)</f>
        <v>17.346700000000002</v>
      </c>
      <c r="C130" s="4">
        <f>17.0087 * CHOOSE(CONTROL!$C$9, $C$13, 100%, $E$13) + CHOOSE(CONTROL!$C$28, 0.0255, 0)</f>
        <v>17.034200000000002</v>
      </c>
      <c r="D130" s="4">
        <f>22.2485 * CHOOSE(CONTROL!$C$9, $C$13, 100%, $E$13) + CHOOSE(CONTROL!$C$28, 0, 0)</f>
        <v>22.2485</v>
      </c>
      <c r="E130" s="4">
        <f>98.9113620922537 * CHOOSE(CONTROL!$C$9, $C$13, 100%, $E$13) + CHOOSE(CONTROL!$C$28, 0, 0)</f>
        <v>98.911362092253697</v>
      </c>
    </row>
    <row r="131" spans="1:5" ht="15">
      <c r="A131" s="13">
        <v>45839</v>
      </c>
      <c r="B131" s="4">
        <f>17.3163 * CHOOSE(CONTROL!$C$9, $C$13, 100%, $E$13) + CHOOSE(CONTROL!$C$28, 0.0255, 0)</f>
        <v>17.341799999999999</v>
      </c>
      <c r="C131" s="4">
        <f>17.0038 * CHOOSE(CONTROL!$C$9, $C$13, 100%, $E$13) + CHOOSE(CONTROL!$C$28, 0.0255, 0)</f>
        <v>17.029299999999999</v>
      </c>
      <c r="D131" s="4">
        <f>22.6074 * CHOOSE(CONTROL!$C$9, $C$13, 100%, $E$13) + CHOOSE(CONTROL!$C$28, 0, 0)</f>
        <v>22.607399999999998</v>
      </c>
      <c r="E131" s="4">
        <f>98.8799017353541 * CHOOSE(CONTROL!$C$9, $C$13, 100%, $E$13) + CHOOSE(CONTROL!$C$28, 0, 0)</f>
        <v>98.879901735354096</v>
      </c>
    </row>
    <row r="132" spans="1:5" ht="15">
      <c r="A132" s="13">
        <v>45870</v>
      </c>
      <c r="B132" s="4">
        <f>17.686 * CHOOSE(CONTROL!$C$9, $C$13, 100%, $E$13) + CHOOSE(CONTROL!$C$28, 0.0255, 0)</f>
        <v>17.711500000000001</v>
      </c>
      <c r="C132" s="4">
        <f>17.3735 * CHOOSE(CONTROL!$C$9, $C$13, 100%, $E$13) + CHOOSE(CONTROL!$C$28, 0.0255, 0)</f>
        <v>17.399000000000001</v>
      </c>
      <c r="D132" s="4">
        <f>22.3704 * CHOOSE(CONTROL!$C$9, $C$13, 100%, $E$13) + CHOOSE(CONTROL!$C$28, 0, 0)</f>
        <v>22.3704</v>
      </c>
      <c r="E132" s="4">
        <f>101.247293592047 * CHOOSE(CONTROL!$C$9, $C$13, 100%, $E$13) + CHOOSE(CONTROL!$C$28, 0, 0)</f>
        <v>101.247293592047</v>
      </c>
    </row>
    <row r="133" spans="1:5" ht="15">
      <c r="A133" s="13">
        <v>45901</v>
      </c>
      <c r="B133" s="4">
        <f>17.0559 * CHOOSE(CONTROL!$C$9, $C$13, 100%, $E$13) + CHOOSE(CONTROL!$C$28, 0.0255, 0)</f>
        <v>17.081400000000002</v>
      </c>
      <c r="C133" s="4">
        <f>16.7434 * CHOOSE(CONTROL!$C$9, $C$13, 100%, $E$13) + CHOOSE(CONTROL!$C$28, 0.0255, 0)</f>
        <v>16.768900000000002</v>
      </c>
      <c r="D133" s="4">
        <f>22.2584 * CHOOSE(CONTROL!$C$9, $C$13, 100%, $E$13) + CHOOSE(CONTROL!$C$28, 0, 0)</f>
        <v>22.258400000000002</v>
      </c>
      <c r="E133" s="4">
        <f>97.2125028196768 * CHOOSE(CONTROL!$C$9, $C$13, 100%, $E$13) + CHOOSE(CONTROL!$C$28, 0, 0)</f>
        <v>97.2125028196768</v>
      </c>
    </row>
    <row r="134" spans="1:5" ht="15">
      <c r="A134" s="13">
        <v>45931</v>
      </c>
      <c r="B134" s="4">
        <f>16.5515 * CHOOSE(CONTROL!$C$9, $C$13, 100%, $E$13) + CHOOSE(CONTROL!$C$28, 0.0003, 0)</f>
        <v>16.5518</v>
      </c>
      <c r="C134" s="4">
        <f>16.239 * CHOOSE(CONTROL!$C$9, $C$13, 100%, $E$13) + CHOOSE(CONTROL!$C$28, 0.0003, 0)</f>
        <v>16.2393</v>
      </c>
      <c r="D134" s="4">
        <f>21.9585 * CHOOSE(CONTROL!$C$9, $C$13, 100%, $E$13) + CHOOSE(CONTROL!$C$28, 0, 0)</f>
        <v>21.958500000000001</v>
      </c>
      <c r="E134" s="4">
        <f>93.9825728446541 * CHOOSE(CONTROL!$C$9, $C$13, 100%, $E$13) + CHOOSE(CONTROL!$C$28, 0, 0)</f>
        <v>93.982572844654101</v>
      </c>
    </row>
    <row r="135" spans="1:5" ht="15">
      <c r="A135" s="13">
        <v>45962</v>
      </c>
      <c r="B135" s="4">
        <f>16.2267 * CHOOSE(CONTROL!$C$9, $C$13, 100%, $E$13) + CHOOSE(CONTROL!$C$28, 0.0003, 0)</f>
        <v>16.227</v>
      </c>
      <c r="C135" s="4">
        <f>15.9142 * CHOOSE(CONTROL!$C$9, $C$13, 100%, $E$13) + CHOOSE(CONTROL!$C$28, 0.0003, 0)</f>
        <v>15.914499999999999</v>
      </c>
      <c r="D135" s="4">
        <f>21.8554 * CHOOSE(CONTROL!$C$9, $C$13, 100%, $E$13) + CHOOSE(CONTROL!$C$28, 0, 0)</f>
        <v>21.855399999999999</v>
      </c>
      <c r="E135" s="4">
        <f>91.9022567446699 * CHOOSE(CONTROL!$C$9, $C$13, 100%, $E$13) + CHOOSE(CONTROL!$C$28, 0, 0)</f>
        <v>91.902256744669899</v>
      </c>
    </row>
    <row r="136" spans="1:5" ht="15">
      <c r="A136" s="13">
        <v>45992</v>
      </c>
      <c r="B136" s="4">
        <f>16.0019 * CHOOSE(CONTROL!$C$9, $C$13, 100%, $E$13) + CHOOSE(CONTROL!$C$28, 0.0003, 0)</f>
        <v>16.002199999999998</v>
      </c>
      <c r="C136" s="4">
        <f>15.6894 * CHOOSE(CONTROL!$C$9, $C$13, 100%, $E$13) + CHOOSE(CONTROL!$C$28, 0.0003, 0)</f>
        <v>15.689699999999998</v>
      </c>
      <c r="D136" s="4">
        <f>21.0965 * CHOOSE(CONTROL!$C$9, $C$13, 100%, $E$13) + CHOOSE(CONTROL!$C$28, 0, 0)</f>
        <v>21.096499999999999</v>
      </c>
      <c r="E136" s="4">
        <f>90.4629454165145 * CHOOSE(CONTROL!$C$9, $C$13, 100%, $E$13) + CHOOSE(CONTROL!$C$28, 0, 0)</f>
        <v>90.462945416514501</v>
      </c>
    </row>
    <row r="137" spans="1:5" ht="15">
      <c r="A137" s="13">
        <v>46023</v>
      </c>
      <c r="B137" s="4">
        <f>15.5859 * CHOOSE(CONTROL!$C$9, $C$13, 100%, $E$13) + CHOOSE(CONTROL!$C$28, 0.0003, 0)</f>
        <v>15.5862</v>
      </c>
      <c r="C137" s="4">
        <f>15.2734 * CHOOSE(CONTROL!$C$9, $C$13, 100%, $E$13) + CHOOSE(CONTROL!$C$28, 0.0003, 0)</f>
        <v>15.2737</v>
      </c>
      <c r="D137" s="4">
        <f>20.5071 * CHOOSE(CONTROL!$C$9, $C$13, 100%, $E$13) + CHOOSE(CONTROL!$C$28, 0, 0)</f>
        <v>20.507100000000001</v>
      </c>
      <c r="E137" s="4">
        <f>88.1231952849309 * CHOOSE(CONTROL!$C$9, $C$13, 100%, $E$13) + CHOOSE(CONTROL!$C$28, 0, 0)</f>
        <v>88.123195284930901</v>
      </c>
    </row>
    <row r="138" spans="1:5" ht="15">
      <c r="A138" s="13">
        <v>46054</v>
      </c>
      <c r="B138" s="4">
        <f>15.9115 * CHOOSE(CONTROL!$C$9, $C$13, 100%, $E$13) + CHOOSE(CONTROL!$C$28, 0.0003, 0)</f>
        <v>15.911799999999999</v>
      </c>
      <c r="C138" s="4">
        <f>15.599 * CHOOSE(CONTROL!$C$9, $C$13, 100%, $E$13) + CHOOSE(CONTROL!$C$28, 0.0003, 0)</f>
        <v>15.599299999999999</v>
      </c>
      <c r="D138" s="4">
        <f>21.2134 * CHOOSE(CONTROL!$C$9, $C$13, 100%, $E$13) + CHOOSE(CONTROL!$C$28, 0, 0)</f>
        <v>21.2134</v>
      </c>
      <c r="E138" s="4">
        <f>90.2155872265274 * CHOOSE(CONTROL!$C$9, $C$13, 100%, $E$13) + CHOOSE(CONTROL!$C$28, 0, 0)</f>
        <v>90.215587226527404</v>
      </c>
    </row>
    <row r="139" spans="1:5" ht="15">
      <c r="A139" s="13">
        <v>46082</v>
      </c>
      <c r="B139" s="4">
        <f>16.7664 * CHOOSE(CONTROL!$C$9, $C$13, 100%, $E$13) + CHOOSE(CONTROL!$C$28, 0.0003, 0)</f>
        <v>16.7667</v>
      </c>
      <c r="C139" s="4">
        <f>16.4539 * CHOOSE(CONTROL!$C$9, $C$13, 100%, $E$13) + CHOOSE(CONTROL!$C$28, 0.0003, 0)</f>
        <v>16.4542</v>
      </c>
      <c r="D139" s="4">
        <f>22.3189 * CHOOSE(CONTROL!$C$9, $C$13, 100%, $E$13) + CHOOSE(CONTROL!$C$28, 0, 0)</f>
        <v>22.318899999999999</v>
      </c>
      <c r="E139" s="4">
        <f>95.7103196616207 * CHOOSE(CONTROL!$C$9, $C$13, 100%, $E$13) + CHOOSE(CONTROL!$C$28, 0, 0)</f>
        <v>95.710319661620701</v>
      </c>
    </row>
    <row r="140" spans="1:5" ht="15">
      <c r="A140" s="13">
        <v>46113</v>
      </c>
      <c r="B140" s="4">
        <f>17.3738 * CHOOSE(CONTROL!$C$9, $C$13, 100%, $E$13) + CHOOSE(CONTROL!$C$28, 0.0003, 0)</f>
        <v>17.374099999999999</v>
      </c>
      <c r="C140" s="4">
        <f>17.0613 * CHOOSE(CONTROL!$C$9, $C$13, 100%, $E$13) + CHOOSE(CONTROL!$C$28, 0.0003, 0)</f>
        <v>17.061599999999999</v>
      </c>
      <c r="D140" s="4">
        <f>22.9558 * CHOOSE(CONTROL!$C$9, $C$13, 100%, $E$13) + CHOOSE(CONTROL!$C$28, 0, 0)</f>
        <v>22.9558</v>
      </c>
      <c r="E140" s="4">
        <f>99.6144002836922 * CHOOSE(CONTROL!$C$9, $C$13, 100%, $E$13) + CHOOSE(CONTROL!$C$28, 0, 0)</f>
        <v>99.614400283692206</v>
      </c>
    </row>
    <row r="141" spans="1:5" ht="15">
      <c r="A141" s="13">
        <v>46143</v>
      </c>
      <c r="B141" s="4">
        <f>17.745 * CHOOSE(CONTROL!$C$9, $C$13, 100%, $E$13) + CHOOSE(CONTROL!$C$28, 0.0255, 0)</f>
        <v>17.770500000000002</v>
      </c>
      <c r="C141" s="4">
        <f>17.4325 * CHOOSE(CONTROL!$C$9, $C$13, 100%, $E$13) + CHOOSE(CONTROL!$C$28, 0.0255, 0)</f>
        <v>17.458000000000002</v>
      </c>
      <c r="D141" s="4">
        <f>22.7041 * CHOOSE(CONTROL!$C$9, $C$13, 100%, $E$13) + CHOOSE(CONTROL!$C$28, 0, 0)</f>
        <v>22.7041</v>
      </c>
      <c r="E141" s="4">
        <f>101.999699976024 * CHOOSE(CONTROL!$C$9, $C$13, 100%, $E$13) + CHOOSE(CONTROL!$C$28, 0, 0)</f>
        <v>101.999699976024</v>
      </c>
    </row>
    <row r="142" spans="1:5" ht="15">
      <c r="A142" s="13">
        <v>46174</v>
      </c>
      <c r="B142" s="4">
        <f>17.7952 * CHOOSE(CONTROL!$C$9, $C$13, 100%, $E$13) + CHOOSE(CONTROL!$C$28, 0.0255, 0)</f>
        <v>17.820700000000002</v>
      </c>
      <c r="C142" s="4">
        <f>17.4827 * CHOOSE(CONTROL!$C$9, $C$13, 100%, $E$13) + CHOOSE(CONTROL!$C$28, 0.0255, 0)</f>
        <v>17.508200000000002</v>
      </c>
      <c r="D142" s="4">
        <f>22.9091 * CHOOSE(CONTROL!$C$9, $C$13, 100%, $E$13) + CHOOSE(CONTROL!$C$28, 0, 0)</f>
        <v>22.909099999999999</v>
      </c>
      <c r="E142" s="4">
        <f>102.322440923594 * CHOOSE(CONTROL!$C$9, $C$13, 100%, $E$13) + CHOOSE(CONTROL!$C$28, 0, 0)</f>
        <v>102.322440923594</v>
      </c>
    </row>
    <row r="143" spans="1:5" ht="15">
      <c r="A143" s="13">
        <v>46204</v>
      </c>
      <c r="B143" s="4">
        <f>17.7901 * CHOOSE(CONTROL!$C$9, $C$13, 100%, $E$13) + CHOOSE(CONTROL!$C$28, 0.0255, 0)</f>
        <v>17.8156</v>
      </c>
      <c r="C143" s="4">
        <f>17.4776 * CHOOSE(CONTROL!$C$9, $C$13, 100%, $E$13) + CHOOSE(CONTROL!$C$28, 0.0255, 0)</f>
        <v>17.5031</v>
      </c>
      <c r="D143" s="4">
        <f>23.2789 * CHOOSE(CONTROL!$C$9, $C$13, 100%, $E$13) + CHOOSE(CONTROL!$C$28, 0, 0)</f>
        <v>23.2789</v>
      </c>
      <c r="E143" s="4">
        <f>102.289895617957 * CHOOSE(CONTROL!$C$9, $C$13, 100%, $E$13) + CHOOSE(CONTROL!$C$28, 0, 0)</f>
        <v>102.289895617957</v>
      </c>
    </row>
    <row r="144" spans="1:5" ht="15">
      <c r="A144" s="13">
        <v>46235</v>
      </c>
      <c r="B144" s="4">
        <f>18.1712 * CHOOSE(CONTROL!$C$9, $C$13, 100%, $E$13) + CHOOSE(CONTROL!$C$28, 0.0255, 0)</f>
        <v>18.1967</v>
      </c>
      <c r="C144" s="4">
        <f>17.8587 * CHOOSE(CONTROL!$C$9, $C$13, 100%, $E$13) + CHOOSE(CONTROL!$C$28, 0.0255, 0)</f>
        <v>17.8842</v>
      </c>
      <c r="D144" s="4">
        <f>23.0346 * CHOOSE(CONTROL!$C$9, $C$13, 100%, $E$13) + CHOOSE(CONTROL!$C$28, 0, 0)</f>
        <v>23.034600000000001</v>
      </c>
      <c r="E144" s="4">
        <f>104.738929867162 * CHOOSE(CONTROL!$C$9, $C$13, 100%, $E$13) + CHOOSE(CONTROL!$C$28, 0, 0)</f>
        <v>104.738929867162</v>
      </c>
    </row>
    <row r="145" spans="1:5" ht="15">
      <c r="A145" s="13">
        <v>46266</v>
      </c>
      <c r="B145" s="4">
        <f>17.5217 * CHOOSE(CONTROL!$C$9, $C$13, 100%, $E$13) + CHOOSE(CONTROL!$C$28, 0.0255, 0)</f>
        <v>17.5472</v>
      </c>
      <c r="C145" s="4">
        <f>17.2092 * CHOOSE(CONTROL!$C$9, $C$13, 100%, $E$13) + CHOOSE(CONTROL!$C$28, 0.0255, 0)</f>
        <v>17.2347</v>
      </c>
      <c r="D145" s="4">
        <f>22.9192 * CHOOSE(CONTROL!$C$9, $C$13, 100%, $E$13) + CHOOSE(CONTROL!$C$28, 0, 0)</f>
        <v>22.9192</v>
      </c>
      <c r="E145" s="4">
        <f>100.564994419181 * CHOOSE(CONTROL!$C$9, $C$13, 100%, $E$13) + CHOOSE(CONTROL!$C$28, 0, 0)</f>
        <v>100.56499441918101</v>
      </c>
    </row>
    <row r="146" spans="1:5" ht="15">
      <c r="A146" s="13">
        <v>46296</v>
      </c>
      <c r="B146" s="4">
        <f>17.0019 * CHOOSE(CONTROL!$C$9, $C$13, 100%, $E$13) + CHOOSE(CONTROL!$C$28, 0.0003, 0)</f>
        <v>17.002199999999998</v>
      </c>
      <c r="C146" s="4">
        <f>16.6894 * CHOOSE(CONTROL!$C$9, $C$13, 100%, $E$13) + CHOOSE(CONTROL!$C$28, 0.0003, 0)</f>
        <v>16.689699999999998</v>
      </c>
      <c r="D146" s="4">
        <f>22.6103 * CHOOSE(CONTROL!$C$9, $C$13, 100%, $E$13) + CHOOSE(CONTROL!$C$28, 0, 0)</f>
        <v>22.610299999999999</v>
      </c>
      <c r="E146" s="4">
        <f>97.223676373754 * CHOOSE(CONTROL!$C$9, $C$13, 100%, $E$13) + CHOOSE(CONTROL!$C$28, 0, 0)</f>
        <v>97.223676373754003</v>
      </c>
    </row>
    <row r="147" spans="1:5" ht="15">
      <c r="A147" s="13">
        <v>46327</v>
      </c>
      <c r="B147" s="4">
        <f>16.667 * CHOOSE(CONTROL!$C$9, $C$13, 100%, $E$13) + CHOOSE(CONTROL!$C$28, 0.0003, 0)</f>
        <v>16.667300000000001</v>
      </c>
      <c r="C147" s="4">
        <f>16.3545 * CHOOSE(CONTROL!$C$9, $C$13, 100%, $E$13) + CHOOSE(CONTROL!$C$28, 0.0003, 0)</f>
        <v>16.354800000000001</v>
      </c>
      <c r="D147" s="4">
        <f>22.5041 * CHOOSE(CONTROL!$C$9, $C$13, 100%, $E$13) + CHOOSE(CONTROL!$C$28, 0, 0)</f>
        <v>22.504100000000001</v>
      </c>
      <c r="E147" s="4">
        <f>95.0716180384892 * CHOOSE(CONTROL!$C$9, $C$13, 100%, $E$13) + CHOOSE(CONTROL!$C$28, 0, 0)</f>
        <v>95.071618038489206</v>
      </c>
    </row>
    <row r="148" spans="1:5" ht="15">
      <c r="A148" s="13">
        <v>46357</v>
      </c>
      <c r="B148" s="4">
        <f>16.4354 * CHOOSE(CONTROL!$C$9, $C$13, 100%, $E$13) + CHOOSE(CONTROL!$C$28, 0.0003, 0)</f>
        <v>16.435700000000001</v>
      </c>
      <c r="C148" s="4">
        <f>16.1229 * CHOOSE(CONTROL!$C$9, $C$13, 100%, $E$13) + CHOOSE(CONTROL!$C$28, 0.0003, 0)</f>
        <v>16.123200000000001</v>
      </c>
      <c r="D148" s="4">
        <f>21.7221 * CHOOSE(CONTROL!$C$9, $C$13, 100%, $E$13) + CHOOSE(CONTROL!$C$28, 0, 0)</f>
        <v>21.722100000000001</v>
      </c>
      <c r="E148" s="4">
        <f>93.5826703055839 * CHOOSE(CONTROL!$C$9, $C$13, 100%, $E$13) + CHOOSE(CONTROL!$C$28, 0, 0)</f>
        <v>93.582670305583903</v>
      </c>
    </row>
    <row r="149" spans="1:5" ht="15">
      <c r="A149" s="13">
        <v>46388</v>
      </c>
      <c r="B149" s="4">
        <f>15.9494 * CHOOSE(CONTROL!$C$9, $C$13, 100%, $E$13) + CHOOSE(CONTROL!$C$28, 0.0003, 0)</f>
        <v>15.9497</v>
      </c>
      <c r="C149" s="4">
        <f>15.6369 * CHOOSE(CONTROL!$C$9, $C$13, 100%, $E$13) + CHOOSE(CONTROL!$C$28, 0.0003, 0)</f>
        <v>15.6372</v>
      </c>
      <c r="D149" s="4">
        <f>20.9995 * CHOOSE(CONTROL!$C$9, $C$13, 100%, $E$13) + CHOOSE(CONTROL!$C$28, 0, 0)</f>
        <v>20.999500000000001</v>
      </c>
      <c r="E149" s="4">
        <f>90.5081217650008 * CHOOSE(CONTROL!$C$9, $C$13, 100%, $E$13) + CHOOSE(CONTROL!$C$28, 0, 0)</f>
        <v>90.508121765000794</v>
      </c>
    </row>
    <row r="150" spans="1:5" ht="15">
      <c r="A150" s="13">
        <v>46419</v>
      </c>
      <c r="B150" s="4">
        <f>16.2836 * CHOOSE(CONTROL!$C$9, $C$13, 100%, $E$13) + CHOOSE(CONTROL!$C$28, 0.0003, 0)</f>
        <v>16.283899999999999</v>
      </c>
      <c r="C150" s="4">
        <f>15.9711 * CHOOSE(CONTROL!$C$9, $C$13, 100%, $E$13) + CHOOSE(CONTROL!$C$28, 0.0003, 0)</f>
        <v>15.971399999999999</v>
      </c>
      <c r="D150" s="4">
        <f>21.7231 * CHOOSE(CONTROL!$C$9, $C$13, 100%, $E$13) + CHOOSE(CONTROL!$C$28, 0, 0)</f>
        <v>21.723099999999999</v>
      </c>
      <c r="E150" s="4">
        <f>92.6571412600134 * CHOOSE(CONTROL!$C$9, $C$13, 100%, $E$13) + CHOOSE(CONTROL!$C$28, 0, 0)</f>
        <v>92.657141260013404</v>
      </c>
    </row>
    <row r="151" spans="1:5" ht="15">
      <c r="A151" s="13">
        <v>46447</v>
      </c>
      <c r="B151" s="4">
        <f>17.1612 * CHOOSE(CONTROL!$C$9, $C$13, 100%, $E$13) + CHOOSE(CONTROL!$C$28, 0.0003, 0)</f>
        <v>17.1615</v>
      </c>
      <c r="C151" s="4">
        <f>16.8487 * CHOOSE(CONTROL!$C$9, $C$13, 100%, $E$13) + CHOOSE(CONTROL!$C$28, 0.0003, 0)</f>
        <v>16.849</v>
      </c>
      <c r="D151" s="4">
        <f>22.8559 * CHOOSE(CONTROL!$C$9, $C$13, 100%, $E$13) + CHOOSE(CONTROL!$C$28, 0, 0)</f>
        <v>22.855899999999998</v>
      </c>
      <c r="E151" s="4">
        <f>98.3005806597485 * CHOOSE(CONTROL!$C$9, $C$13, 100%, $E$13) + CHOOSE(CONTROL!$C$28, 0, 0)</f>
        <v>98.300580659748505</v>
      </c>
    </row>
    <row r="152" spans="1:5" ht="15">
      <c r="A152" s="13">
        <v>46478</v>
      </c>
      <c r="B152" s="4">
        <f>17.7847 * CHOOSE(CONTROL!$C$9, $C$13, 100%, $E$13) + CHOOSE(CONTROL!$C$28, 0.0003, 0)</f>
        <v>17.785</v>
      </c>
      <c r="C152" s="4">
        <f>17.4722 * CHOOSE(CONTROL!$C$9, $C$13, 100%, $E$13) + CHOOSE(CONTROL!$C$28, 0.0003, 0)</f>
        <v>17.4725</v>
      </c>
      <c r="D152" s="4">
        <f>23.5084 * CHOOSE(CONTROL!$C$9, $C$13, 100%, $E$13) + CHOOSE(CONTROL!$C$28, 0, 0)</f>
        <v>23.508400000000002</v>
      </c>
      <c r="E152" s="4">
        <f>102.310319561979 * CHOOSE(CONTROL!$C$9, $C$13, 100%, $E$13) + CHOOSE(CONTROL!$C$28, 0, 0)</f>
        <v>102.310319561979</v>
      </c>
    </row>
    <row r="153" spans="1:5" ht="15">
      <c r="A153" s="13">
        <v>46508</v>
      </c>
      <c r="B153" s="4">
        <f>18.1657 * CHOOSE(CONTROL!$C$9, $C$13, 100%, $E$13) + CHOOSE(CONTROL!$C$28, 0.0255, 0)</f>
        <v>18.191200000000002</v>
      </c>
      <c r="C153" s="4">
        <f>17.8532 * CHOOSE(CONTROL!$C$9, $C$13, 100%, $E$13) + CHOOSE(CONTROL!$C$28, 0.0255, 0)</f>
        <v>17.878700000000002</v>
      </c>
      <c r="D153" s="4">
        <f>23.2506 * CHOOSE(CONTROL!$C$9, $C$13, 100%, $E$13) + CHOOSE(CONTROL!$C$28, 0, 0)</f>
        <v>23.250599999999999</v>
      </c>
      <c r="E153" s="4">
        <f>104.760173931212 * CHOOSE(CONTROL!$C$9, $C$13, 100%, $E$13) + CHOOSE(CONTROL!$C$28, 0, 0)</f>
        <v>104.76017393121199</v>
      </c>
    </row>
    <row r="154" spans="1:5" ht="15">
      <c r="A154" s="13">
        <v>46539</v>
      </c>
      <c r="B154" s="4">
        <f>18.2172 * CHOOSE(CONTROL!$C$9, $C$13, 100%, $E$13) + CHOOSE(CONTROL!$C$28, 0.0255, 0)</f>
        <v>18.242699999999999</v>
      </c>
      <c r="C154" s="4">
        <f>17.9047 * CHOOSE(CONTROL!$C$9, $C$13, 100%, $E$13) + CHOOSE(CONTROL!$C$28, 0.0255, 0)</f>
        <v>17.930199999999999</v>
      </c>
      <c r="D154" s="4">
        <f>23.4605 * CHOOSE(CONTROL!$C$9, $C$13, 100%, $E$13) + CHOOSE(CONTROL!$C$28, 0, 0)</f>
        <v>23.4605</v>
      </c>
      <c r="E154" s="4">
        <f>105.091649394474 * CHOOSE(CONTROL!$C$9, $C$13, 100%, $E$13) + CHOOSE(CONTROL!$C$28, 0, 0)</f>
        <v>105.091649394474</v>
      </c>
    </row>
    <row r="155" spans="1:5" ht="15">
      <c r="A155" s="13">
        <v>46569</v>
      </c>
      <c r="B155" s="4">
        <f>18.212 * CHOOSE(CONTROL!$C$9, $C$13, 100%, $E$13) + CHOOSE(CONTROL!$C$28, 0.0255, 0)</f>
        <v>18.237500000000001</v>
      </c>
      <c r="C155" s="4">
        <f>17.8995 * CHOOSE(CONTROL!$C$9, $C$13, 100%, $E$13) + CHOOSE(CONTROL!$C$28, 0.0255, 0)</f>
        <v>17.925000000000001</v>
      </c>
      <c r="D155" s="4">
        <f>23.8394 * CHOOSE(CONTROL!$C$9, $C$13, 100%, $E$13) + CHOOSE(CONTROL!$C$28, 0, 0)</f>
        <v>23.839400000000001</v>
      </c>
      <c r="E155" s="4">
        <f>105.058223297338 * CHOOSE(CONTROL!$C$9, $C$13, 100%, $E$13) + CHOOSE(CONTROL!$C$28, 0, 0)</f>
        <v>105.058223297338</v>
      </c>
    </row>
    <row r="156" spans="1:5" ht="15">
      <c r="A156" s="13">
        <v>46600</v>
      </c>
      <c r="B156" s="4">
        <f>18.6031 * CHOOSE(CONTROL!$C$9, $C$13, 100%, $E$13) + CHOOSE(CONTROL!$C$28, 0.0255, 0)</f>
        <v>18.628600000000002</v>
      </c>
      <c r="C156" s="4">
        <f>18.2906 * CHOOSE(CONTROL!$C$9, $C$13, 100%, $E$13) + CHOOSE(CONTROL!$C$28, 0.0255, 0)</f>
        <v>18.316100000000002</v>
      </c>
      <c r="D156" s="4">
        <f>23.5892 * CHOOSE(CONTROL!$C$9, $C$13, 100%, $E$13) + CHOOSE(CONTROL!$C$28, 0, 0)</f>
        <v>23.589200000000002</v>
      </c>
      <c r="E156" s="4">
        <f>107.573537106796 * CHOOSE(CONTROL!$C$9, $C$13, 100%, $E$13) + CHOOSE(CONTROL!$C$28, 0, 0)</f>
        <v>107.573537106796</v>
      </c>
    </row>
    <row r="157" spans="1:5" ht="15">
      <c r="A157" s="13">
        <v>46631</v>
      </c>
      <c r="B157" s="4">
        <f>17.9365 * CHOOSE(CONTROL!$C$9, $C$13, 100%, $E$13) + CHOOSE(CONTROL!$C$28, 0.0255, 0)</f>
        <v>17.962</v>
      </c>
      <c r="C157" s="4">
        <f>17.624 * CHOOSE(CONTROL!$C$9, $C$13, 100%, $E$13) + CHOOSE(CONTROL!$C$28, 0.0255, 0)</f>
        <v>17.6495</v>
      </c>
      <c r="D157" s="4">
        <f>23.471 * CHOOSE(CONTROL!$C$9, $C$13, 100%, $E$13) + CHOOSE(CONTROL!$C$28, 0, 0)</f>
        <v>23.471</v>
      </c>
      <c r="E157" s="4">
        <f>103.286640149149 * CHOOSE(CONTROL!$C$9, $C$13, 100%, $E$13) + CHOOSE(CONTROL!$C$28, 0, 0)</f>
        <v>103.28664014914899</v>
      </c>
    </row>
    <row r="158" spans="1:5" ht="15">
      <c r="A158" s="13">
        <v>46661</v>
      </c>
      <c r="B158" s="4">
        <f>17.4029 * CHOOSE(CONTROL!$C$9, $C$13, 100%, $E$13) + CHOOSE(CONTROL!$C$28, 0.0003, 0)</f>
        <v>17.403199999999998</v>
      </c>
      <c r="C158" s="4">
        <f>17.0904 * CHOOSE(CONTROL!$C$9, $C$13, 100%, $E$13) + CHOOSE(CONTROL!$C$28, 0.0003, 0)</f>
        <v>17.090699999999998</v>
      </c>
      <c r="D158" s="4">
        <f>23.1544 * CHOOSE(CONTROL!$C$9, $C$13, 100%, $E$13) + CHOOSE(CONTROL!$C$28, 0, 0)</f>
        <v>23.154399999999999</v>
      </c>
      <c r="E158" s="4">
        <f>99.8548941765561 * CHOOSE(CONTROL!$C$9, $C$13, 100%, $E$13) + CHOOSE(CONTROL!$C$28, 0, 0)</f>
        <v>99.854894176556101</v>
      </c>
    </row>
    <row r="159" spans="1:5" ht="15">
      <c r="A159" s="13">
        <v>46692</v>
      </c>
      <c r="B159" s="4">
        <f>17.0592 * CHOOSE(CONTROL!$C$9, $C$13, 100%, $E$13) + CHOOSE(CONTROL!$C$28, 0.0003, 0)</f>
        <v>17.0595</v>
      </c>
      <c r="C159" s="4">
        <f>16.7467 * CHOOSE(CONTROL!$C$9, $C$13, 100%, $E$13) + CHOOSE(CONTROL!$C$28, 0.0003, 0)</f>
        <v>16.747</v>
      </c>
      <c r="D159" s="4">
        <f>23.0456 * CHOOSE(CONTROL!$C$9, $C$13, 100%, $E$13) + CHOOSE(CONTROL!$C$28, 0, 0)</f>
        <v>23.0456</v>
      </c>
      <c r="E159" s="4">
        <f>97.6445935034614 * CHOOSE(CONTROL!$C$9, $C$13, 100%, $E$13) + CHOOSE(CONTROL!$C$28, 0, 0)</f>
        <v>97.644593503461394</v>
      </c>
    </row>
    <row r="160" spans="1:5" ht="15">
      <c r="A160" s="13">
        <v>46722</v>
      </c>
      <c r="B160" s="4">
        <f>16.8213 * CHOOSE(CONTROL!$C$9, $C$13, 100%, $E$13) + CHOOSE(CONTROL!$C$28, 0.0003, 0)</f>
        <v>16.8216</v>
      </c>
      <c r="C160" s="4">
        <f>16.5088 * CHOOSE(CONTROL!$C$9, $C$13, 100%, $E$13) + CHOOSE(CONTROL!$C$28, 0.0003, 0)</f>
        <v>16.5091</v>
      </c>
      <c r="D160" s="4">
        <f>22.2444 * CHOOSE(CONTROL!$C$9, $C$13, 100%, $E$13) + CHOOSE(CONTROL!$C$28, 0, 0)</f>
        <v>22.244399999999999</v>
      </c>
      <c r="E160" s="4">
        <f>96.1153495595056 * CHOOSE(CONTROL!$C$9, $C$13, 100%, $E$13) + CHOOSE(CONTROL!$C$28, 0, 0)</f>
        <v>96.115349559505603</v>
      </c>
    </row>
    <row r="161" spans="1:5" ht="15">
      <c r="A161" s="13">
        <v>46753</v>
      </c>
      <c r="B161" s="4">
        <f>16.2913 * CHOOSE(CONTROL!$C$9, $C$13, 100%, $E$13) + CHOOSE(CONTROL!$C$28, 0.0003, 0)</f>
        <v>16.291599999999999</v>
      </c>
      <c r="C161" s="4">
        <f>15.9788 * CHOOSE(CONTROL!$C$9, $C$13, 100%, $E$13) + CHOOSE(CONTROL!$C$28, 0.0003, 0)</f>
        <v>15.979099999999999</v>
      </c>
      <c r="D161" s="4">
        <f>21.4218 * CHOOSE(CONTROL!$C$9, $C$13, 100%, $E$13) + CHOOSE(CONTROL!$C$28, 0, 0)</f>
        <v>21.421800000000001</v>
      </c>
      <c r="E161" s="4">
        <f>92.804755896246 * CHOOSE(CONTROL!$C$9, $C$13, 100%, $E$13) + CHOOSE(CONTROL!$C$28, 0, 0)</f>
        <v>92.804755896245993</v>
      </c>
    </row>
    <row r="162" spans="1:5" ht="15">
      <c r="A162" s="13">
        <v>46784</v>
      </c>
      <c r="B162" s="4">
        <f>16.6336 * CHOOSE(CONTROL!$C$9, $C$13, 100%, $E$13) + CHOOSE(CONTROL!$C$28, 0.0003, 0)</f>
        <v>16.633900000000001</v>
      </c>
      <c r="C162" s="4">
        <f>16.3211 * CHOOSE(CONTROL!$C$9, $C$13, 100%, $E$13) + CHOOSE(CONTROL!$C$28, 0.0003, 0)</f>
        <v>16.321400000000001</v>
      </c>
      <c r="D162" s="4">
        <f>22.1604 * CHOOSE(CONTROL!$C$9, $C$13, 100%, $E$13) + CHOOSE(CONTROL!$C$28, 0, 0)</f>
        <v>22.160399999999999</v>
      </c>
      <c r="E162" s="4">
        <f>95.0083065363615 * CHOOSE(CONTROL!$C$9, $C$13, 100%, $E$13) + CHOOSE(CONTROL!$C$28, 0, 0)</f>
        <v>95.008306536361502</v>
      </c>
    </row>
    <row r="163" spans="1:5" ht="15">
      <c r="A163" s="13">
        <v>46813</v>
      </c>
      <c r="B163" s="4">
        <f>17.5325 * CHOOSE(CONTROL!$C$9, $C$13, 100%, $E$13) + CHOOSE(CONTROL!$C$28, 0.0003, 0)</f>
        <v>17.532799999999998</v>
      </c>
      <c r="C163" s="4">
        <f>17.22 * CHOOSE(CONTROL!$C$9, $C$13, 100%, $E$13) + CHOOSE(CONTROL!$C$28, 0.0003, 0)</f>
        <v>17.220299999999998</v>
      </c>
      <c r="D163" s="4">
        <f>23.3164 * CHOOSE(CONTROL!$C$9, $C$13, 100%, $E$13) + CHOOSE(CONTROL!$C$28, 0, 0)</f>
        <v>23.316400000000002</v>
      </c>
      <c r="E163" s="4">
        <f>100.794947621098 * CHOOSE(CONTROL!$C$9, $C$13, 100%, $E$13) + CHOOSE(CONTROL!$C$28, 0, 0)</f>
        <v>100.794947621098</v>
      </c>
    </row>
    <row r="164" spans="1:5" ht="15">
      <c r="A164" s="13">
        <v>46844</v>
      </c>
      <c r="B164" s="4">
        <f>18.1712 * CHOOSE(CONTROL!$C$9, $C$13, 100%, $E$13) + CHOOSE(CONTROL!$C$28, 0.0003, 0)</f>
        <v>18.171499999999998</v>
      </c>
      <c r="C164" s="4">
        <f>17.8587 * CHOOSE(CONTROL!$C$9, $C$13, 100%, $E$13) + CHOOSE(CONTROL!$C$28, 0.0003, 0)</f>
        <v>17.858999999999998</v>
      </c>
      <c r="D164" s="4">
        <f>23.9824 * CHOOSE(CONTROL!$C$9, $C$13, 100%, $E$13) + CHOOSE(CONTROL!$C$28, 0, 0)</f>
        <v>23.982399999999998</v>
      </c>
      <c r="E164" s="4">
        <f>104.906433228935 * CHOOSE(CONTROL!$C$9, $C$13, 100%, $E$13) + CHOOSE(CONTROL!$C$28, 0, 0)</f>
        <v>104.906433228935</v>
      </c>
    </row>
    <row r="165" spans="1:5" ht="15">
      <c r="A165" s="13">
        <v>46874</v>
      </c>
      <c r="B165" s="4">
        <f>18.5614 * CHOOSE(CONTROL!$C$9, $C$13, 100%, $E$13) + CHOOSE(CONTROL!$C$28, 0.0255, 0)</f>
        <v>18.5869</v>
      </c>
      <c r="C165" s="4">
        <f>18.2489 * CHOOSE(CONTROL!$C$9, $C$13, 100%, $E$13) + CHOOSE(CONTROL!$C$28, 0.0255, 0)</f>
        <v>18.2744</v>
      </c>
      <c r="D165" s="4">
        <f>23.7192 * CHOOSE(CONTROL!$C$9, $C$13, 100%, $E$13) + CHOOSE(CONTROL!$C$28, 0, 0)</f>
        <v>23.719200000000001</v>
      </c>
      <c r="E165" s="4">
        <f>107.418452396766 * CHOOSE(CONTROL!$C$9, $C$13, 100%, $E$13) + CHOOSE(CONTROL!$C$28, 0, 0)</f>
        <v>107.418452396766</v>
      </c>
    </row>
    <row r="166" spans="1:5" ht="15">
      <c r="A166" s="13">
        <v>46905</v>
      </c>
      <c r="B166" s="4">
        <f>18.6142 * CHOOSE(CONTROL!$C$9, $C$13, 100%, $E$13) + CHOOSE(CONTROL!$C$28, 0.0255, 0)</f>
        <v>18.639700000000001</v>
      </c>
      <c r="C166" s="4">
        <f>18.3017 * CHOOSE(CONTROL!$C$9, $C$13, 100%, $E$13) + CHOOSE(CONTROL!$C$28, 0.0255, 0)</f>
        <v>18.327200000000001</v>
      </c>
      <c r="D166" s="4">
        <f>23.9336 * CHOOSE(CONTROL!$C$9, $C$13, 100%, $E$13) + CHOOSE(CONTROL!$C$28, 0, 0)</f>
        <v>23.933599999999998</v>
      </c>
      <c r="E166" s="4">
        <f>107.758339015267 * CHOOSE(CONTROL!$C$9, $C$13, 100%, $E$13) + CHOOSE(CONTROL!$C$28, 0, 0)</f>
        <v>107.758339015267</v>
      </c>
    </row>
    <row r="167" spans="1:5" ht="15">
      <c r="A167" s="13">
        <v>46935</v>
      </c>
      <c r="B167" s="4">
        <f>18.6089 * CHOOSE(CONTROL!$C$9, $C$13, 100%, $E$13) + CHOOSE(CONTROL!$C$28, 0.0255, 0)</f>
        <v>18.634399999999999</v>
      </c>
      <c r="C167" s="4">
        <f>18.2964 * CHOOSE(CONTROL!$C$9, $C$13, 100%, $E$13) + CHOOSE(CONTROL!$C$28, 0.0255, 0)</f>
        <v>18.321899999999999</v>
      </c>
      <c r="D167" s="4">
        <f>24.3203 * CHOOSE(CONTROL!$C$9, $C$13, 100%, $E$13) + CHOOSE(CONTROL!$C$28, 0, 0)</f>
        <v>24.3203</v>
      </c>
      <c r="E167" s="4">
        <f>107.72406473441 * CHOOSE(CONTROL!$C$9, $C$13, 100%, $E$13) + CHOOSE(CONTROL!$C$28, 0, 0)</f>
        <v>107.72406473441001</v>
      </c>
    </row>
    <row r="168" spans="1:5" ht="15">
      <c r="A168" s="13">
        <v>46966</v>
      </c>
      <c r="B168" s="4">
        <f>19.0095 * CHOOSE(CONTROL!$C$9, $C$13, 100%, $E$13) + CHOOSE(CONTROL!$C$28, 0.0255, 0)</f>
        <v>19.035</v>
      </c>
      <c r="C168" s="4">
        <f>18.697 * CHOOSE(CONTROL!$C$9, $C$13, 100%, $E$13) + CHOOSE(CONTROL!$C$28, 0.0255, 0)</f>
        <v>18.7225</v>
      </c>
      <c r="D168" s="4">
        <f>24.0649 * CHOOSE(CONTROL!$C$9, $C$13, 100%, $E$13) + CHOOSE(CONTROL!$C$28, 0, 0)</f>
        <v>24.064900000000002</v>
      </c>
      <c r="E168" s="4">
        <f>110.30320436892 * CHOOSE(CONTROL!$C$9, $C$13, 100%, $E$13) + CHOOSE(CONTROL!$C$28, 0, 0)</f>
        <v>110.30320436892001</v>
      </c>
    </row>
    <row r="169" spans="1:5" ht="15">
      <c r="A169" s="13">
        <v>46997</v>
      </c>
      <c r="B169" s="4">
        <f>18.3267 * CHOOSE(CONTROL!$C$9, $C$13, 100%, $E$13) + CHOOSE(CONTROL!$C$28, 0.0255, 0)</f>
        <v>18.3522</v>
      </c>
      <c r="C169" s="4">
        <f>18.0142 * CHOOSE(CONTROL!$C$9, $C$13, 100%, $E$13) + CHOOSE(CONTROL!$C$28, 0.0255, 0)</f>
        <v>18.0397</v>
      </c>
      <c r="D169" s="4">
        <f>23.9442 * CHOOSE(CONTROL!$C$9, $C$13, 100%, $E$13) + CHOOSE(CONTROL!$C$28, 0, 0)</f>
        <v>23.944199999999999</v>
      </c>
      <c r="E169" s="4">
        <f>105.907527848974 * CHOOSE(CONTROL!$C$9, $C$13, 100%, $E$13) + CHOOSE(CONTROL!$C$28, 0, 0)</f>
        <v>105.907527848974</v>
      </c>
    </row>
    <row r="170" spans="1:5" ht="15">
      <c r="A170" s="13">
        <v>47027</v>
      </c>
      <c r="B170" s="4">
        <f>17.7801 * CHOOSE(CONTROL!$C$9, $C$13, 100%, $E$13) + CHOOSE(CONTROL!$C$28, 0.0003, 0)</f>
        <v>17.7804</v>
      </c>
      <c r="C170" s="4">
        <f>17.4676 * CHOOSE(CONTROL!$C$9, $C$13, 100%, $E$13) + CHOOSE(CONTROL!$C$28, 0.0003, 0)</f>
        <v>17.4679</v>
      </c>
      <c r="D170" s="4">
        <f>23.6211 * CHOOSE(CONTROL!$C$9, $C$13, 100%, $E$13) + CHOOSE(CONTROL!$C$28, 0, 0)</f>
        <v>23.621099999999998</v>
      </c>
      <c r="E170" s="4">
        <f>102.388701680961 * CHOOSE(CONTROL!$C$9, $C$13, 100%, $E$13) + CHOOSE(CONTROL!$C$28, 0, 0)</f>
        <v>102.38870168096101</v>
      </c>
    </row>
    <row r="171" spans="1:5" ht="15">
      <c r="A171" s="13">
        <v>47058</v>
      </c>
      <c r="B171" s="4">
        <f>17.428 * CHOOSE(CONTROL!$C$9, $C$13, 100%, $E$13) + CHOOSE(CONTROL!$C$28, 0.0003, 0)</f>
        <v>17.4283</v>
      </c>
      <c r="C171" s="4">
        <f>17.1155 * CHOOSE(CONTROL!$C$9, $C$13, 100%, $E$13) + CHOOSE(CONTROL!$C$28, 0.0003, 0)</f>
        <v>17.1158</v>
      </c>
      <c r="D171" s="4">
        <f>23.5101 * CHOOSE(CONTROL!$C$9, $C$13, 100%, $E$13) + CHOOSE(CONTROL!$C$28, 0, 0)</f>
        <v>23.510100000000001</v>
      </c>
      <c r="E171" s="4">
        <f>100.122314859274 * CHOOSE(CONTROL!$C$9, $C$13, 100%, $E$13) + CHOOSE(CONTROL!$C$28, 0, 0)</f>
        <v>100.122314859274</v>
      </c>
    </row>
    <row r="172" spans="1:5" ht="15">
      <c r="A172" s="13">
        <v>47088</v>
      </c>
      <c r="B172" s="4">
        <f>17.1844 * CHOOSE(CONTROL!$C$9, $C$13, 100%, $E$13) + CHOOSE(CONTROL!$C$28, 0.0003, 0)</f>
        <v>17.184699999999999</v>
      </c>
      <c r="C172" s="4">
        <f>16.8719 * CHOOSE(CONTROL!$C$9, $C$13, 100%, $E$13) + CHOOSE(CONTROL!$C$28, 0.0003, 0)</f>
        <v>16.872199999999999</v>
      </c>
      <c r="D172" s="4">
        <f>22.6923 * CHOOSE(CONTROL!$C$9, $C$13, 100%, $E$13) + CHOOSE(CONTROL!$C$28, 0, 0)</f>
        <v>22.692299999999999</v>
      </c>
      <c r="E172" s="4">
        <f>98.5542665100536 * CHOOSE(CONTROL!$C$9, $C$13, 100%, $E$13) + CHOOSE(CONTROL!$C$28, 0, 0)</f>
        <v>98.554266510053594</v>
      </c>
    </row>
    <row r="173" spans="1:5" ht="15">
      <c r="A173" s="13">
        <v>47119</v>
      </c>
      <c r="B173" s="4">
        <f>16.6936 * CHOOSE(CONTROL!$C$9, $C$13, 100%, $E$13) + CHOOSE(CONTROL!$C$28, 0.0003, 0)</f>
        <v>16.693899999999999</v>
      </c>
      <c r="C173" s="4">
        <f>16.3811 * CHOOSE(CONTROL!$C$9, $C$13, 100%, $E$13) + CHOOSE(CONTROL!$C$28, 0.0003, 0)</f>
        <v>16.381399999999999</v>
      </c>
      <c r="D173" s="4">
        <f>21.8494 * CHOOSE(CONTROL!$C$9, $C$13, 100%, $E$13) + CHOOSE(CONTROL!$C$28, 0, 0)</f>
        <v>21.849399999999999</v>
      </c>
      <c r="E173" s="4">
        <f>95.3972244926834 * CHOOSE(CONTROL!$C$9, $C$13, 100%, $E$13) + CHOOSE(CONTROL!$C$28, 0, 0)</f>
        <v>95.397224492683407</v>
      </c>
    </row>
    <row r="174" spans="1:5" ht="15">
      <c r="A174" s="13">
        <v>47150</v>
      </c>
      <c r="B174" s="4">
        <f>17.0454 * CHOOSE(CONTROL!$C$9, $C$13, 100%, $E$13) + CHOOSE(CONTROL!$C$28, 0.0003, 0)</f>
        <v>17.0457</v>
      </c>
      <c r="C174" s="4">
        <f>16.7329 * CHOOSE(CONTROL!$C$9, $C$13, 100%, $E$13) + CHOOSE(CONTROL!$C$28, 0.0003, 0)</f>
        <v>16.7332</v>
      </c>
      <c r="D174" s="4">
        <f>22.603 * CHOOSE(CONTROL!$C$9, $C$13, 100%, $E$13) + CHOOSE(CONTROL!$C$28, 0, 0)</f>
        <v>22.603000000000002</v>
      </c>
      <c r="E174" s="4">
        <f>97.6623305539623 * CHOOSE(CONTROL!$C$9, $C$13, 100%, $E$13) + CHOOSE(CONTROL!$C$28, 0, 0)</f>
        <v>97.662330553962306</v>
      </c>
    </row>
    <row r="175" spans="1:5" ht="15">
      <c r="A175" s="13">
        <v>47178</v>
      </c>
      <c r="B175" s="4">
        <f>17.9694 * CHOOSE(CONTROL!$C$9, $C$13, 100%, $E$13) + CHOOSE(CONTROL!$C$28, 0.0003, 0)</f>
        <v>17.9697</v>
      </c>
      <c r="C175" s="4">
        <f>17.6569 * CHOOSE(CONTROL!$C$9, $C$13, 100%, $E$13) + CHOOSE(CONTROL!$C$28, 0.0003, 0)</f>
        <v>17.6572</v>
      </c>
      <c r="D175" s="4">
        <f>23.7827 * CHOOSE(CONTROL!$C$9, $C$13, 100%, $E$13) + CHOOSE(CONTROL!$C$28, 0, 0)</f>
        <v>23.782699999999998</v>
      </c>
      <c r="E175" s="4">
        <f>103.610619445927 * CHOOSE(CONTROL!$C$9, $C$13, 100%, $E$13) + CHOOSE(CONTROL!$C$28, 0, 0)</f>
        <v>103.610619445927</v>
      </c>
    </row>
    <row r="176" spans="1:5" ht="15">
      <c r="A176" s="13">
        <v>47209</v>
      </c>
      <c r="B176" s="4">
        <f>18.6259 * CHOOSE(CONTROL!$C$9, $C$13, 100%, $E$13) + CHOOSE(CONTROL!$C$28, 0.0003, 0)</f>
        <v>18.626200000000001</v>
      </c>
      <c r="C176" s="4">
        <f>18.3134 * CHOOSE(CONTROL!$C$9, $C$13, 100%, $E$13) + CHOOSE(CONTROL!$C$28, 0.0003, 0)</f>
        <v>18.313700000000001</v>
      </c>
      <c r="D176" s="4">
        <f>24.4622 * CHOOSE(CONTROL!$C$9, $C$13, 100%, $E$13) + CHOOSE(CONTROL!$C$28, 0, 0)</f>
        <v>24.462199999999999</v>
      </c>
      <c r="E176" s="4">
        <f>107.836957975041 * CHOOSE(CONTROL!$C$9, $C$13, 100%, $E$13) + CHOOSE(CONTROL!$C$28, 0, 0)</f>
        <v>107.836957975041</v>
      </c>
    </row>
    <row r="177" spans="1:5" ht="15">
      <c r="A177" s="13">
        <v>47239</v>
      </c>
      <c r="B177" s="4">
        <f>19.027 * CHOOSE(CONTROL!$C$9, $C$13, 100%, $E$13) + CHOOSE(CONTROL!$C$28, 0.0255, 0)</f>
        <v>19.052500000000002</v>
      </c>
      <c r="C177" s="4">
        <f>18.7145 * CHOOSE(CONTROL!$C$9, $C$13, 100%, $E$13) + CHOOSE(CONTROL!$C$28, 0.0255, 0)</f>
        <v>18.740000000000002</v>
      </c>
      <c r="D177" s="4">
        <f>24.1937 * CHOOSE(CONTROL!$C$9, $C$13, 100%, $E$13) + CHOOSE(CONTROL!$C$28, 0, 0)</f>
        <v>24.1937</v>
      </c>
      <c r="E177" s="4">
        <f>110.419149525131 * CHOOSE(CONTROL!$C$9, $C$13, 100%, $E$13) + CHOOSE(CONTROL!$C$28, 0, 0)</f>
        <v>110.419149525131</v>
      </c>
    </row>
    <row r="178" spans="1:5" ht="15">
      <c r="A178" s="13">
        <v>47270</v>
      </c>
      <c r="B178" s="4">
        <f>19.0813 * CHOOSE(CONTROL!$C$9, $C$13, 100%, $E$13) + CHOOSE(CONTROL!$C$28, 0.0255, 0)</f>
        <v>19.1068</v>
      </c>
      <c r="C178" s="4">
        <f>18.7688 * CHOOSE(CONTROL!$C$9, $C$13, 100%, $E$13) + CHOOSE(CONTROL!$C$28, 0.0255, 0)</f>
        <v>18.7943</v>
      </c>
      <c r="D178" s="4">
        <f>24.4124 * CHOOSE(CONTROL!$C$9, $C$13, 100%, $E$13) + CHOOSE(CONTROL!$C$28, 0, 0)</f>
        <v>24.412400000000002</v>
      </c>
      <c r="E178" s="4">
        <f>110.768530758174 * CHOOSE(CONTROL!$C$9, $C$13, 100%, $E$13) + CHOOSE(CONTROL!$C$28, 0, 0)</f>
        <v>110.76853075817399</v>
      </c>
    </row>
    <row r="179" spans="1:5" ht="15">
      <c r="A179" s="13">
        <v>47300</v>
      </c>
      <c r="B179" s="4">
        <f>19.0758 * CHOOSE(CONTROL!$C$9, $C$13, 100%, $E$13) + CHOOSE(CONTROL!$C$28, 0.0255, 0)</f>
        <v>19.101300000000002</v>
      </c>
      <c r="C179" s="4">
        <f>18.7633 * CHOOSE(CONTROL!$C$9, $C$13, 100%, $E$13) + CHOOSE(CONTROL!$C$28, 0.0255, 0)</f>
        <v>18.788800000000002</v>
      </c>
      <c r="D179" s="4">
        <f>24.807 * CHOOSE(CONTROL!$C$9, $C$13, 100%, $E$13) + CHOOSE(CONTROL!$C$28, 0, 0)</f>
        <v>24.806999999999999</v>
      </c>
      <c r="E179" s="4">
        <f>110.733299037195 * CHOOSE(CONTROL!$C$9, $C$13, 100%, $E$13) + CHOOSE(CONTROL!$C$28, 0, 0)</f>
        <v>110.733299037195</v>
      </c>
    </row>
    <row r="180" spans="1:5" ht="15">
      <c r="A180" s="13">
        <v>47331</v>
      </c>
      <c r="B180" s="4">
        <f>19.4876 * CHOOSE(CONTROL!$C$9, $C$13, 100%, $E$13) + CHOOSE(CONTROL!$C$28, 0.0255, 0)</f>
        <v>19.513100000000001</v>
      </c>
      <c r="C180" s="4">
        <f>19.1751 * CHOOSE(CONTROL!$C$9, $C$13, 100%, $E$13) + CHOOSE(CONTROL!$C$28, 0.0255, 0)</f>
        <v>19.200600000000001</v>
      </c>
      <c r="D180" s="4">
        <f>24.5464 * CHOOSE(CONTROL!$C$9, $C$13, 100%, $E$13) + CHOOSE(CONTROL!$C$28, 0, 0)</f>
        <v>24.546399999999998</v>
      </c>
      <c r="E180" s="4">
        <f>113.384486040869 * CHOOSE(CONTROL!$C$9, $C$13, 100%, $E$13) + CHOOSE(CONTROL!$C$28, 0, 0)</f>
        <v>113.38448604086901</v>
      </c>
    </row>
    <row r="181" spans="1:5" ht="15">
      <c r="A181" s="13">
        <v>47362</v>
      </c>
      <c r="B181" s="4">
        <f>18.7857 * CHOOSE(CONTROL!$C$9, $C$13, 100%, $E$13) + CHOOSE(CONTROL!$C$28, 0.0255, 0)</f>
        <v>18.811199999999999</v>
      </c>
      <c r="C181" s="4">
        <f>18.4732 * CHOOSE(CONTROL!$C$9, $C$13, 100%, $E$13) + CHOOSE(CONTROL!$C$28, 0.0255, 0)</f>
        <v>18.498699999999999</v>
      </c>
      <c r="D181" s="4">
        <f>24.4233 * CHOOSE(CONTROL!$C$9, $C$13, 100%, $E$13) + CHOOSE(CONTROL!$C$28, 0, 0)</f>
        <v>24.423300000000001</v>
      </c>
      <c r="E181" s="4">
        <f>108.866017825304 * CHOOSE(CONTROL!$C$9, $C$13, 100%, $E$13) + CHOOSE(CONTROL!$C$28, 0, 0)</f>
        <v>108.866017825304</v>
      </c>
    </row>
    <row r="182" spans="1:5" ht="15">
      <c r="A182" s="13">
        <v>47392</v>
      </c>
      <c r="B182" s="4">
        <f>18.2239 * CHOOSE(CONTROL!$C$9, $C$13, 100%, $E$13) + CHOOSE(CONTROL!$C$28, 0.0003, 0)</f>
        <v>18.2242</v>
      </c>
      <c r="C182" s="4">
        <f>17.9114 * CHOOSE(CONTROL!$C$9, $C$13, 100%, $E$13) + CHOOSE(CONTROL!$C$28, 0.0003, 0)</f>
        <v>17.9117</v>
      </c>
      <c r="D182" s="4">
        <f>24.0936 * CHOOSE(CONTROL!$C$9, $C$13, 100%, $E$13) + CHOOSE(CONTROL!$C$28, 0, 0)</f>
        <v>24.093599999999999</v>
      </c>
      <c r="E182" s="4">
        <f>105.248894471454 * CHOOSE(CONTROL!$C$9, $C$13, 100%, $E$13) + CHOOSE(CONTROL!$C$28, 0, 0)</f>
        <v>105.24889447145399</v>
      </c>
    </row>
    <row r="183" spans="1:5" ht="15">
      <c r="A183" s="13">
        <v>47423</v>
      </c>
      <c r="B183" s="4">
        <f>17.862 * CHOOSE(CONTROL!$C$9, $C$13, 100%, $E$13) + CHOOSE(CONTROL!$C$28, 0.0003, 0)</f>
        <v>17.862299999999998</v>
      </c>
      <c r="C183" s="4">
        <f>17.5495 * CHOOSE(CONTROL!$C$9, $C$13, 100%, $E$13) + CHOOSE(CONTROL!$C$28, 0.0003, 0)</f>
        <v>17.549799999999998</v>
      </c>
      <c r="D183" s="4">
        <f>23.9803 * CHOOSE(CONTROL!$C$9, $C$13, 100%, $E$13) + CHOOSE(CONTROL!$C$28, 0, 0)</f>
        <v>23.9803</v>
      </c>
      <c r="E183" s="4">
        <f>102.919196921713 * CHOOSE(CONTROL!$C$9, $C$13, 100%, $E$13) + CHOOSE(CONTROL!$C$28, 0, 0)</f>
        <v>102.919196921713</v>
      </c>
    </row>
    <row r="184" spans="1:5" ht="15">
      <c r="A184" s="13">
        <v>47453</v>
      </c>
      <c r="B184" s="4">
        <f>17.6116 * CHOOSE(CONTROL!$C$9, $C$13, 100%, $E$13) + CHOOSE(CONTROL!$C$28, 0.0003, 0)</f>
        <v>17.611899999999999</v>
      </c>
      <c r="C184" s="4">
        <f>17.2991 * CHOOSE(CONTROL!$C$9, $C$13, 100%, $E$13) + CHOOSE(CONTROL!$C$28, 0.0003, 0)</f>
        <v>17.299399999999999</v>
      </c>
      <c r="D184" s="4">
        <f>23.1458 * CHOOSE(CONTROL!$C$9, $C$13, 100%, $E$13) + CHOOSE(CONTROL!$C$28, 0, 0)</f>
        <v>23.145800000000001</v>
      </c>
      <c r="E184" s="4">
        <f>101.307345686921 * CHOOSE(CONTROL!$C$9, $C$13, 100%, $E$13) + CHOOSE(CONTROL!$C$28, 0, 0)</f>
        <v>101.307345686921</v>
      </c>
    </row>
    <row r="185" spans="1:5" ht="15">
      <c r="A185" s="13">
        <v>47484</v>
      </c>
      <c r="B185" s="4">
        <f>17.0969 * CHOOSE(CONTROL!$C$9, $C$13, 100%, $E$13) + CHOOSE(CONTROL!$C$28, 0.0003, 0)</f>
        <v>17.097200000000001</v>
      </c>
      <c r="C185" s="4">
        <f>16.7844 * CHOOSE(CONTROL!$C$9, $C$13, 100%, $E$13) + CHOOSE(CONTROL!$C$28, 0.0003, 0)</f>
        <v>16.784700000000001</v>
      </c>
      <c r="D185" s="4">
        <f>22.2852 * CHOOSE(CONTROL!$C$9, $C$13, 100%, $E$13) + CHOOSE(CONTROL!$C$28, 0, 0)</f>
        <v>22.2852</v>
      </c>
      <c r="E185" s="4">
        <f>98.0092110701324 * CHOOSE(CONTROL!$C$9, $C$13, 100%, $E$13) + CHOOSE(CONTROL!$C$28, 0, 0)</f>
        <v>98.009211070132395</v>
      </c>
    </row>
    <row r="186" spans="1:5" ht="15">
      <c r="A186" s="13">
        <v>47515</v>
      </c>
      <c r="B186" s="4">
        <f>17.4583 * CHOOSE(CONTROL!$C$9, $C$13, 100%, $E$13) + CHOOSE(CONTROL!$C$28, 0.0003, 0)</f>
        <v>17.458600000000001</v>
      </c>
      <c r="C186" s="4">
        <f>17.1458 * CHOOSE(CONTROL!$C$9, $C$13, 100%, $E$13) + CHOOSE(CONTROL!$C$28, 0.0003, 0)</f>
        <v>17.146100000000001</v>
      </c>
      <c r="D186" s="4">
        <f>23.0542 * CHOOSE(CONTROL!$C$9, $C$13, 100%, $E$13) + CHOOSE(CONTROL!$C$28, 0, 0)</f>
        <v>23.054200000000002</v>
      </c>
      <c r="E186" s="4">
        <f>100.336335986363 * CHOOSE(CONTROL!$C$9, $C$13, 100%, $E$13) + CHOOSE(CONTROL!$C$28, 0, 0)</f>
        <v>100.336335986363</v>
      </c>
    </row>
    <row r="187" spans="1:5" ht="15">
      <c r="A187" s="13">
        <v>47543</v>
      </c>
      <c r="B187" s="4">
        <f>18.4075 * CHOOSE(CONTROL!$C$9, $C$13, 100%, $E$13) + CHOOSE(CONTROL!$C$28, 0.0003, 0)</f>
        <v>18.407799999999998</v>
      </c>
      <c r="C187" s="4">
        <f>18.095 * CHOOSE(CONTROL!$C$9, $C$13, 100%, $E$13) + CHOOSE(CONTROL!$C$28, 0.0003, 0)</f>
        <v>18.095299999999998</v>
      </c>
      <c r="D187" s="4">
        <f>24.258 * CHOOSE(CONTROL!$C$9, $C$13, 100%, $E$13) + CHOOSE(CONTROL!$C$28, 0, 0)</f>
        <v>24.257999999999999</v>
      </c>
      <c r="E187" s="4">
        <f>106.447489687312 * CHOOSE(CONTROL!$C$9, $C$13, 100%, $E$13) + CHOOSE(CONTROL!$C$28, 0, 0)</f>
        <v>106.447489687312</v>
      </c>
    </row>
    <row r="188" spans="1:5" ht="15">
      <c r="A188" s="13">
        <v>47574</v>
      </c>
      <c r="B188" s="4">
        <f>19.0818 * CHOOSE(CONTROL!$C$9, $C$13, 100%, $E$13) + CHOOSE(CONTROL!$C$28, 0.0003, 0)</f>
        <v>19.082100000000001</v>
      </c>
      <c r="C188" s="4">
        <f>18.7693 * CHOOSE(CONTROL!$C$9, $C$13, 100%, $E$13) + CHOOSE(CONTROL!$C$28, 0.0003, 0)</f>
        <v>18.769600000000001</v>
      </c>
      <c r="D188" s="4">
        <f>24.9514 * CHOOSE(CONTROL!$C$9, $C$13, 100%, $E$13) + CHOOSE(CONTROL!$C$28, 0, 0)</f>
        <v>24.9514</v>
      </c>
      <c r="E188" s="4">
        <f>110.789545833667 * CHOOSE(CONTROL!$C$9, $C$13, 100%, $E$13) + CHOOSE(CONTROL!$C$28, 0, 0)</f>
        <v>110.78954583366701</v>
      </c>
    </row>
    <row r="189" spans="1:5" ht="15">
      <c r="A189" s="13">
        <v>47604</v>
      </c>
      <c r="B189" s="4">
        <f>19.4939 * CHOOSE(CONTROL!$C$9, $C$13, 100%, $E$13) + CHOOSE(CONTROL!$C$28, 0.0255, 0)</f>
        <v>19.519400000000001</v>
      </c>
      <c r="C189" s="4">
        <f>19.1814 * CHOOSE(CONTROL!$C$9, $C$13, 100%, $E$13) + CHOOSE(CONTROL!$C$28, 0.0255, 0)</f>
        <v>19.206900000000001</v>
      </c>
      <c r="D189" s="4">
        <f>24.6774 * CHOOSE(CONTROL!$C$9, $C$13, 100%, $E$13) + CHOOSE(CONTROL!$C$28, 0, 0)</f>
        <v>24.677399999999999</v>
      </c>
      <c r="E189" s="4">
        <f>113.442438074528 * CHOOSE(CONTROL!$C$9, $C$13, 100%, $E$13) + CHOOSE(CONTROL!$C$28, 0, 0)</f>
        <v>113.442438074528</v>
      </c>
    </row>
    <row r="190" spans="1:5" ht="15">
      <c r="A190" s="13">
        <v>47635</v>
      </c>
      <c r="B190" s="4">
        <f>19.5496 * CHOOSE(CONTROL!$C$9, $C$13, 100%, $E$13) + CHOOSE(CONTROL!$C$28, 0.0255, 0)</f>
        <v>19.575100000000003</v>
      </c>
      <c r="C190" s="4">
        <f>19.2371 * CHOOSE(CONTROL!$C$9, $C$13, 100%, $E$13) + CHOOSE(CONTROL!$C$28, 0.0255, 0)</f>
        <v>19.262600000000003</v>
      </c>
      <c r="D190" s="4">
        <f>24.9006 * CHOOSE(CONTROL!$C$9, $C$13, 100%, $E$13) + CHOOSE(CONTROL!$C$28, 0, 0)</f>
        <v>24.900600000000001</v>
      </c>
      <c r="E190" s="4">
        <f>113.801385404446 * CHOOSE(CONTROL!$C$9, $C$13, 100%, $E$13) + CHOOSE(CONTROL!$C$28, 0, 0)</f>
        <v>113.80138540444599</v>
      </c>
    </row>
    <row r="191" spans="1:5" ht="15">
      <c r="A191" s="13">
        <v>47665</v>
      </c>
      <c r="B191" s="4">
        <f>19.544 * CHOOSE(CONTROL!$C$9, $C$13, 100%, $E$13) + CHOOSE(CONTROL!$C$28, 0.0255, 0)</f>
        <v>19.569500000000001</v>
      </c>
      <c r="C191" s="4">
        <f>19.2315 * CHOOSE(CONTROL!$C$9, $C$13, 100%, $E$13) + CHOOSE(CONTROL!$C$28, 0.0255, 0)</f>
        <v>19.257000000000001</v>
      </c>
      <c r="D191" s="4">
        <f>25.3032 * CHOOSE(CONTROL!$C$9, $C$13, 100%, $E$13) + CHOOSE(CONTROL!$C$28, 0, 0)</f>
        <v>25.3032</v>
      </c>
      <c r="E191" s="4">
        <f>113.765189035042 * CHOOSE(CONTROL!$C$9, $C$13, 100%, $E$13) + CHOOSE(CONTROL!$C$28, 0, 0)</f>
        <v>113.765189035042</v>
      </c>
    </row>
    <row r="192" spans="1:5" ht="15">
      <c r="A192" s="13">
        <v>47696</v>
      </c>
      <c r="B192" s="4">
        <f>19.967 * CHOOSE(CONTROL!$C$9, $C$13, 100%, $E$13) + CHOOSE(CONTROL!$C$28, 0.0255, 0)</f>
        <v>19.9925</v>
      </c>
      <c r="C192" s="4">
        <f>19.6545 * CHOOSE(CONTROL!$C$9, $C$13, 100%, $E$13) + CHOOSE(CONTROL!$C$28, 0.0255, 0)</f>
        <v>19.68</v>
      </c>
      <c r="D192" s="4">
        <f>25.0373 * CHOOSE(CONTROL!$C$9, $C$13, 100%, $E$13) + CHOOSE(CONTROL!$C$28, 0, 0)</f>
        <v>25.037299999999998</v>
      </c>
      <c r="E192" s="4">
        <f>116.488965832652 * CHOOSE(CONTROL!$C$9, $C$13, 100%, $E$13) + CHOOSE(CONTROL!$C$28, 0, 0)</f>
        <v>116.488965832652</v>
      </c>
    </row>
    <row r="193" spans="1:5" ht="15">
      <c r="A193" s="13">
        <v>47727</v>
      </c>
      <c r="B193" s="4">
        <f>19.246 * CHOOSE(CONTROL!$C$9, $C$13, 100%, $E$13) + CHOOSE(CONTROL!$C$28, 0.0255, 0)</f>
        <v>19.2715</v>
      </c>
      <c r="C193" s="4">
        <f>18.9335 * CHOOSE(CONTROL!$C$9, $C$13, 100%, $E$13) + CHOOSE(CONTROL!$C$28, 0.0255, 0)</f>
        <v>18.959</v>
      </c>
      <c r="D193" s="4">
        <f>24.9117 * CHOOSE(CONTROL!$C$9, $C$13, 100%, $E$13) + CHOOSE(CONTROL!$C$28, 0, 0)</f>
        <v>24.9117</v>
      </c>
      <c r="E193" s="4">
        <f>111.84678145666 * CHOOSE(CONTROL!$C$9, $C$13, 100%, $E$13) + CHOOSE(CONTROL!$C$28, 0, 0)</f>
        <v>111.84678145666</v>
      </c>
    </row>
    <row r="194" spans="1:5" ht="15">
      <c r="A194" s="13">
        <v>47757</v>
      </c>
      <c r="B194" s="4">
        <f>18.6689 * CHOOSE(CONTROL!$C$9, $C$13, 100%, $E$13) + CHOOSE(CONTROL!$C$28, 0.0003, 0)</f>
        <v>18.6692</v>
      </c>
      <c r="C194" s="4">
        <f>18.3564 * CHOOSE(CONTROL!$C$9, $C$13, 100%, $E$13) + CHOOSE(CONTROL!$C$28, 0.0003, 0)</f>
        <v>18.3567</v>
      </c>
      <c r="D194" s="4">
        <f>24.5753 * CHOOSE(CONTROL!$C$9, $C$13, 100%, $E$13) + CHOOSE(CONTROL!$C$28, 0, 0)</f>
        <v>24.575299999999999</v>
      </c>
      <c r="E194" s="4">
        <f>108.130620864572 * CHOOSE(CONTROL!$C$9, $C$13, 100%, $E$13) + CHOOSE(CONTROL!$C$28, 0, 0)</f>
        <v>108.13062086457199</v>
      </c>
    </row>
    <row r="195" spans="1:5" ht="15">
      <c r="A195" s="13">
        <v>47788</v>
      </c>
      <c r="B195" s="4">
        <f>18.2971 * CHOOSE(CONTROL!$C$9, $C$13, 100%, $E$13) + CHOOSE(CONTROL!$C$28, 0.0003, 0)</f>
        <v>18.2974</v>
      </c>
      <c r="C195" s="4">
        <f>17.9846 * CHOOSE(CONTROL!$C$9, $C$13, 100%, $E$13) + CHOOSE(CONTROL!$C$28, 0.0003, 0)</f>
        <v>17.9849</v>
      </c>
      <c r="D195" s="4">
        <f>24.4596 * CHOOSE(CONTROL!$C$9, $C$13, 100%, $E$13) + CHOOSE(CONTROL!$C$28, 0, 0)</f>
        <v>24.459599999999998</v>
      </c>
      <c r="E195" s="4">
        <f>105.737135937769 * CHOOSE(CONTROL!$C$9, $C$13, 100%, $E$13) + CHOOSE(CONTROL!$C$28, 0, 0)</f>
        <v>105.737135937769</v>
      </c>
    </row>
    <row r="196" spans="1:5" ht="15">
      <c r="A196" s="13">
        <v>47818</v>
      </c>
      <c r="B196" s="4">
        <f>18.04 * CHOOSE(CONTROL!$C$9, $C$13, 100%, $E$13) + CHOOSE(CONTROL!$C$28, 0.0003, 0)</f>
        <v>18.040299999999998</v>
      </c>
      <c r="C196" s="4">
        <f>17.7275 * CHOOSE(CONTROL!$C$9, $C$13, 100%, $E$13) + CHOOSE(CONTROL!$C$28, 0.0003, 0)</f>
        <v>17.727799999999998</v>
      </c>
      <c r="D196" s="4">
        <f>23.6081 * CHOOSE(CONTROL!$C$9, $C$13, 100%, $E$13) + CHOOSE(CONTROL!$C$28, 0, 0)</f>
        <v>23.6081</v>
      </c>
      <c r="E196" s="4">
        <f>104.081152037561 * CHOOSE(CONTROL!$C$9, $C$13, 100%, $E$13) + CHOOSE(CONTROL!$C$28, 0, 0)</f>
        <v>104.081152037561</v>
      </c>
    </row>
    <row r="197" spans="1:5" ht="15">
      <c r="A197" s="13">
        <v>47849</v>
      </c>
      <c r="B197" s="4">
        <f>17.3992 * CHOOSE(CONTROL!$C$9, $C$13, 100%, $E$13) + CHOOSE(CONTROL!$C$28, 0.0003, 0)</f>
        <v>17.3995</v>
      </c>
      <c r="C197" s="4">
        <f>17.0867 * CHOOSE(CONTROL!$C$9, $C$13, 100%, $E$13) + CHOOSE(CONTROL!$C$28, 0.0003, 0)</f>
        <v>17.087</v>
      </c>
      <c r="D197" s="4">
        <f>22.6207 * CHOOSE(CONTROL!$C$9, $C$13, 100%, $E$13) + CHOOSE(CONTROL!$C$28, 0, 0)</f>
        <v>22.620699999999999</v>
      </c>
      <c r="E197" s="4">
        <f>100.014666401381 * CHOOSE(CONTROL!$C$9, $C$13, 100%, $E$13) + CHOOSE(CONTROL!$C$28, 0, 0)</f>
        <v>100.01466640138101</v>
      </c>
    </row>
    <row r="198" spans="1:5" ht="15">
      <c r="A198" s="13">
        <v>47880</v>
      </c>
      <c r="B198" s="4">
        <f>17.7678 * CHOOSE(CONTROL!$C$9, $C$13, 100%, $E$13) + CHOOSE(CONTROL!$C$28, 0.0003, 0)</f>
        <v>17.7681</v>
      </c>
      <c r="C198" s="4">
        <f>17.4553 * CHOOSE(CONTROL!$C$9, $C$13, 100%, $E$13) + CHOOSE(CONTROL!$C$28, 0.0003, 0)</f>
        <v>17.4556</v>
      </c>
      <c r="D198" s="4">
        <f>23.4015 * CHOOSE(CONTROL!$C$9, $C$13, 100%, $E$13) + CHOOSE(CONTROL!$C$28, 0, 0)</f>
        <v>23.401499999999999</v>
      </c>
      <c r="E198" s="4">
        <f>102.389408730493 * CHOOSE(CONTROL!$C$9, $C$13, 100%, $E$13) + CHOOSE(CONTROL!$C$28, 0, 0)</f>
        <v>102.389408730493</v>
      </c>
    </row>
    <row r="199" spans="1:5" ht="15">
      <c r="A199" s="13">
        <v>47908</v>
      </c>
      <c r="B199" s="4">
        <f>18.7358 * CHOOSE(CONTROL!$C$9, $C$13, 100%, $E$13) + CHOOSE(CONTROL!$C$28, 0.0003, 0)</f>
        <v>18.7361</v>
      </c>
      <c r="C199" s="4">
        <f>18.4233 * CHOOSE(CONTROL!$C$9, $C$13, 100%, $E$13) + CHOOSE(CONTROL!$C$28, 0.0003, 0)</f>
        <v>18.4236</v>
      </c>
      <c r="D199" s="4">
        <f>24.6238 * CHOOSE(CONTROL!$C$9, $C$13, 100%, $E$13) + CHOOSE(CONTROL!$C$28, 0, 0)</f>
        <v>24.623799999999999</v>
      </c>
      <c r="E199" s="4">
        <f>108.625608288212 * CHOOSE(CONTROL!$C$9, $C$13, 100%, $E$13) + CHOOSE(CONTROL!$C$28, 0, 0)</f>
        <v>108.62560828821201</v>
      </c>
    </row>
    <row r="200" spans="1:5" ht="15">
      <c r="A200" s="13">
        <v>47939</v>
      </c>
      <c r="B200" s="4">
        <f>19.4235 * CHOOSE(CONTROL!$C$9, $C$13, 100%, $E$13) + CHOOSE(CONTROL!$C$28, 0.0003, 0)</f>
        <v>19.4238</v>
      </c>
      <c r="C200" s="4">
        <f>19.111 * CHOOSE(CONTROL!$C$9, $C$13, 100%, $E$13) + CHOOSE(CONTROL!$C$28, 0.0003, 0)</f>
        <v>19.1113</v>
      </c>
      <c r="D200" s="4">
        <f>25.3279 * CHOOSE(CONTROL!$C$9, $C$13, 100%, $E$13) + CHOOSE(CONTROL!$C$28, 0, 0)</f>
        <v>25.3279</v>
      </c>
      <c r="E200" s="4">
        <f>113.056511182258 * CHOOSE(CONTROL!$C$9, $C$13, 100%, $E$13) + CHOOSE(CONTROL!$C$28, 0, 0)</f>
        <v>113.05651118225801</v>
      </c>
    </row>
    <row r="201" spans="1:5" ht="15">
      <c r="A201" s="13">
        <v>47969</v>
      </c>
      <c r="B201" s="4">
        <f>19.8437 * CHOOSE(CONTROL!$C$9, $C$13, 100%, $E$13) + CHOOSE(CONTROL!$C$28, 0.0255, 0)</f>
        <v>19.869199999999999</v>
      </c>
      <c r="C201" s="4">
        <f>19.5312 * CHOOSE(CONTROL!$C$9, $C$13, 100%, $E$13) + CHOOSE(CONTROL!$C$28, 0.0255, 0)</f>
        <v>19.556699999999999</v>
      </c>
      <c r="D201" s="4">
        <f>25.0497 * CHOOSE(CONTROL!$C$9, $C$13, 100%, $E$13) + CHOOSE(CONTROL!$C$28, 0, 0)</f>
        <v>25.049700000000001</v>
      </c>
      <c r="E201" s="4">
        <f>115.763686656599 * CHOOSE(CONTROL!$C$9, $C$13, 100%, $E$13) + CHOOSE(CONTROL!$C$28, 0, 0)</f>
        <v>115.76368665659901</v>
      </c>
    </row>
    <row r="202" spans="1:5" ht="15">
      <c r="A202" s="13">
        <v>48000</v>
      </c>
      <c r="B202" s="4">
        <f>19.9006 * CHOOSE(CONTROL!$C$9, $C$13, 100%, $E$13) + CHOOSE(CONTROL!$C$28, 0.0255, 0)</f>
        <v>19.926100000000002</v>
      </c>
      <c r="C202" s="4">
        <f>19.5881 * CHOOSE(CONTROL!$C$9, $C$13, 100%, $E$13) + CHOOSE(CONTROL!$C$28, 0.0255, 0)</f>
        <v>19.613600000000002</v>
      </c>
      <c r="D202" s="4">
        <f>25.2763 * CHOOSE(CONTROL!$C$9, $C$13, 100%, $E$13) + CHOOSE(CONTROL!$C$28, 0, 0)</f>
        <v>25.276299999999999</v>
      </c>
      <c r="E202" s="4">
        <f>116.129978733286 * CHOOSE(CONTROL!$C$9, $C$13, 100%, $E$13) + CHOOSE(CONTROL!$C$28, 0, 0)</f>
        <v>116.12997873328599</v>
      </c>
    </row>
    <row r="203" spans="1:5" ht="15">
      <c r="A203" s="13">
        <v>48030</v>
      </c>
      <c r="B203" s="4">
        <f>19.8949 * CHOOSE(CONTROL!$C$9, $C$13, 100%, $E$13) + CHOOSE(CONTROL!$C$28, 0.0255, 0)</f>
        <v>19.920400000000001</v>
      </c>
      <c r="C203" s="4">
        <f>19.5824 * CHOOSE(CONTROL!$C$9, $C$13, 100%, $E$13) + CHOOSE(CONTROL!$C$28, 0.0255, 0)</f>
        <v>19.607900000000001</v>
      </c>
      <c r="D203" s="4">
        <f>25.6852 * CHOOSE(CONTROL!$C$9, $C$13, 100%, $E$13) + CHOOSE(CONTROL!$C$28, 0, 0)</f>
        <v>25.685199999999998</v>
      </c>
      <c r="E203" s="4">
        <f>116.093041717149 * CHOOSE(CONTROL!$C$9, $C$13, 100%, $E$13) + CHOOSE(CONTROL!$C$28, 0, 0)</f>
        <v>116.09304171714901</v>
      </c>
    </row>
    <row r="204" spans="1:5" ht="15">
      <c r="A204" s="13">
        <v>48061</v>
      </c>
      <c r="B204" s="4">
        <f>20.3263 * CHOOSE(CONTROL!$C$9, $C$13, 100%, $E$13) + CHOOSE(CONTROL!$C$28, 0.0255, 0)</f>
        <v>20.351800000000001</v>
      </c>
      <c r="C204" s="4">
        <f>20.0138 * CHOOSE(CONTROL!$C$9, $C$13, 100%, $E$13) + CHOOSE(CONTROL!$C$28, 0.0255, 0)</f>
        <v>20.039300000000001</v>
      </c>
      <c r="D204" s="4">
        <f>25.4152 * CHOOSE(CONTROL!$C$9, $C$13, 100%, $E$13) + CHOOSE(CONTROL!$C$28, 0, 0)</f>
        <v>25.415199999999999</v>
      </c>
      <c r="E204" s="4">
        <f>118.872552181424 * CHOOSE(CONTROL!$C$9, $C$13, 100%, $E$13) + CHOOSE(CONTROL!$C$28, 0, 0)</f>
        <v>118.872552181424</v>
      </c>
    </row>
    <row r="205" spans="1:5" ht="15">
      <c r="A205" s="13">
        <v>48092</v>
      </c>
      <c r="B205" s="4">
        <f>19.591 * CHOOSE(CONTROL!$C$9, $C$13, 100%, $E$13) + CHOOSE(CONTROL!$C$28, 0.0255, 0)</f>
        <v>19.616500000000002</v>
      </c>
      <c r="C205" s="4">
        <f>19.2785 * CHOOSE(CONTROL!$C$9, $C$13, 100%, $E$13) + CHOOSE(CONTROL!$C$28, 0.0255, 0)</f>
        <v>19.304000000000002</v>
      </c>
      <c r="D205" s="4">
        <f>25.2876 * CHOOSE(CONTROL!$C$9, $C$13, 100%, $E$13) + CHOOSE(CONTROL!$C$28, 0, 0)</f>
        <v>25.287600000000001</v>
      </c>
      <c r="E205" s="4">
        <f>114.135379861913 * CHOOSE(CONTROL!$C$9, $C$13, 100%, $E$13) + CHOOSE(CONTROL!$C$28, 0, 0)</f>
        <v>114.13537986191299</v>
      </c>
    </row>
    <row r="206" spans="1:5" ht="15">
      <c r="A206" s="13">
        <v>48122</v>
      </c>
      <c r="B206" s="4">
        <f>19.0024 * CHOOSE(CONTROL!$C$9, $C$13, 100%, $E$13) + CHOOSE(CONTROL!$C$28, 0.0003, 0)</f>
        <v>19.002700000000001</v>
      </c>
      <c r="C206" s="4">
        <f>18.6899 * CHOOSE(CONTROL!$C$9, $C$13, 100%, $E$13) + CHOOSE(CONTROL!$C$28, 0.0003, 0)</f>
        <v>18.690200000000001</v>
      </c>
      <c r="D206" s="4">
        <f>24.946 * CHOOSE(CONTROL!$C$9, $C$13, 100%, $E$13) + CHOOSE(CONTROL!$C$28, 0, 0)</f>
        <v>24.946000000000002</v>
      </c>
      <c r="E206" s="4">
        <f>110.343179538561 * CHOOSE(CONTROL!$C$9, $C$13, 100%, $E$13) + CHOOSE(CONTROL!$C$28, 0, 0)</f>
        <v>110.343179538561</v>
      </c>
    </row>
    <row r="207" spans="1:5" ht="15">
      <c r="A207" s="13">
        <v>48153</v>
      </c>
      <c r="B207" s="4">
        <f>18.6233 * CHOOSE(CONTROL!$C$9, $C$13, 100%, $E$13) + CHOOSE(CONTROL!$C$28, 0.0003, 0)</f>
        <v>18.6236</v>
      </c>
      <c r="C207" s="4">
        <f>18.3108 * CHOOSE(CONTROL!$C$9, $C$13, 100%, $E$13) + CHOOSE(CONTROL!$C$28, 0.0003, 0)</f>
        <v>18.3111</v>
      </c>
      <c r="D207" s="4">
        <f>24.8286 * CHOOSE(CONTROL!$C$9, $C$13, 100%, $E$13) + CHOOSE(CONTROL!$C$28, 0, 0)</f>
        <v>24.828600000000002</v>
      </c>
      <c r="E207" s="4">
        <f>107.900719346532 * CHOOSE(CONTROL!$C$9, $C$13, 100%, $E$13) + CHOOSE(CONTROL!$C$28, 0, 0)</f>
        <v>107.900719346532</v>
      </c>
    </row>
    <row r="208" spans="1:5" ht="15">
      <c r="A208" s="13">
        <v>48183</v>
      </c>
      <c r="B208" s="4">
        <f>18.361 * CHOOSE(CONTROL!$C$9, $C$13, 100%, $E$13) + CHOOSE(CONTROL!$C$28, 0.0003, 0)</f>
        <v>18.3613</v>
      </c>
      <c r="C208" s="4">
        <f>18.0485 * CHOOSE(CONTROL!$C$9, $C$13, 100%, $E$13) + CHOOSE(CONTROL!$C$28, 0.0003, 0)</f>
        <v>18.0488</v>
      </c>
      <c r="D208" s="4">
        <f>23.964 * CHOOSE(CONTROL!$C$9, $C$13, 100%, $E$13) + CHOOSE(CONTROL!$C$28, 0, 0)</f>
        <v>23.963999999999999</v>
      </c>
      <c r="E208" s="4">
        <f>106.210850858286 * CHOOSE(CONTROL!$C$9, $C$13, 100%, $E$13) + CHOOSE(CONTROL!$C$28, 0, 0)</f>
        <v>106.21085085828599</v>
      </c>
    </row>
    <row r="209" spans="1:5" ht="15">
      <c r="A209" s="13">
        <v>48214</v>
      </c>
      <c r="B209" s="4">
        <f>17.7188 * CHOOSE(CONTROL!$C$9, $C$13, 100%, $E$13) + CHOOSE(CONTROL!$C$28, 0.0003, 0)</f>
        <v>17.719100000000001</v>
      </c>
      <c r="C209" s="4">
        <f>17.4063 * CHOOSE(CONTROL!$C$9, $C$13, 100%, $E$13) + CHOOSE(CONTROL!$C$28, 0.0003, 0)</f>
        <v>17.406600000000001</v>
      </c>
      <c r="D209" s="4">
        <f>22.9597 * CHOOSE(CONTROL!$C$9, $C$13, 100%, $E$13) + CHOOSE(CONTROL!$C$28, 0, 0)</f>
        <v>22.959700000000002</v>
      </c>
      <c r="E209" s="4">
        <f>102.029350418076 * CHOOSE(CONTROL!$C$9, $C$13, 100%, $E$13) + CHOOSE(CONTROL!$C$28, 0, 0)</f>
        <v>102.02935041807601</v>
      </c>
    </row>
    <row r="210" spans="1:5" ht="15">
      <c r="A210" s="13">
        <v>48245</v>
      </c>
      <c r="B210" s="4">
        <f>18.095 * CHOOSE(CONTROL!$C$9, $C$13, 100%, $E$13) + CHOOSE(CONTROL!$C$28, 0.0003, 0)</f>
        <v>18.095299999999998</v>
      </c>
      <c r="C210" s="4">
        <f>17.7825 * CHOOSE(CONTROL!$C$9, $C$13, 100%, $E$13) + CHOOSE(CONTROL!$C$28, 0.0003, 0)</f>
        <v>17.782799999999998</v>
      </c>
      <c r="D210" s="4">
        <f>23.7525 * CHOOSE(CONTROL!$C$9, $C$13, 100%, $E$13) + CHOOSE(CONTROL!$C$28, 0, 0)</f>
        <v>23.752500000000001</v>
      </c>
      <c r="E210" s="4">
        <f>104.451929285431 * CHOOSE(CONTROL!$C$9, $C$13, 100%, $E$13) + CHOOSE(CONTROL!$C$28, 0, 0)</f>
        <v>104.45192928543101</v>
      </c>
    </row>
    <row r="211" spans="1:5" ht="15">
      <c r="A211" s="13">
        <v>48274</v>
      </c>
      <c r="B211" s="4">
        <f>19.0829 * CHOOSE(CONTROL!$C$9, $C$13, 100%, $E$13) + CHOOSE(CONTROL!$C$28, 0.0003, 0)</f>
        <v>19.083199999999998</v>
      </c>
      <c r="C211" s="4">
        <f>18.7704 * CHOOSE(CONTROL!$C$9, $C$13, 100%, $E$13) + CHOOSE(CONTROL!$C$28, 0.0003, 0)</f>
        <v>18.770699999999998</v>
      </c>
      <c r="D211" s="4">
        <f>24.9936 * CHOOSE(CONTROL!$C$9, $C$13, 100%, $E$13) + CHOOSE(CONTROL!$C$28, 0, 0)</f>
        <v>24.993600000000001</v>
      </c>
      <c r="E211" s="4">
        <f>110.813750134766 * CHOOSE(CONTROL!$C$9, $C$13, 100%, $E$13) + CHOOSE(CONTROL!$C$28, 0, 0)</f>
        <v>110.813750134766</v>
      </c>
    </row>
    <row r="212" spans="1:5" ht="15">
      <c r="A212" s="13">
        <v>48305</v>
      </c>
      <c r="B212" s="4">
        <f>19.7848 * CHOOSE(CONTROL!$C$9, $C$13, 100%, $E$13) + CHOOSE(CONTROL!$C$28, 0.0003, 0)</f>
        <v>19.7851</v>
      </c>
      <c r="C212" s="4">
        <f>19.4723 * CHOOSE(CONTROL!$C$9, $C$13, 100%, $E$13) + CHOOSE(CONTROL!$C$28, 0.0003, 0)</f>
        <v>19.4726</v>
      </c>
      <c r="D212" s="4">
        <f>25.7085 * CHOOSE(CONTROL!$C$9, $C$13, 100%, $E$13) + CHOOSE(CONTROL!$C$28, 0, 0)</f>
        <v>25.708500000000001</v>
      </c>
      <c r="E212" s="4">
        <f>115.333908630629 * CHOOSE(CONTROL!$C$9, $C$13, 100%, $E$13) + CHOOSE(CONTROL!$C$28, 0, 0)</f>
        <v>115.333908630629</v>
      </c>
    </row>
    <row r="213" spans="1:5" ht="15">
      <c r="A213" s="13">
        <v>48335</v>
      </c>
      <c r="B213" s="4">
        <f>20.2137 * CHOOSE(CONTROL!$C$9, $C$13, 100%, $E$13) + CHOOSE(CONTROL!$C$28, 0.0255, 0)</f>
        <v>20.2392</v>
      </c>
      <c r="C213" s="4">
        <f>19.9012 * CHOOSE(CONTROL!$C$9, $C$13, 100%, $E$13) + CHOOSE(CONTROL!$C$28, 0.0255, 0)</f>
        <v>19.9267</v>
      </c>
      <c r="D213" s="4">
        <f>25.426 * CHOOSE(CONTROL!$C$9, $C$13, 100%, $E$13) + CHOOSE(CONTROL!$C$28, 0, 0)</f>
        <v>25.425999999999998</v>
      </c>
      <c r="E213" s="4">
        <f>118.095617138522 * CHOOSE(CONTROL!$C$9, $C$13, 100%, $E$13) + CHOOSE(CONTROL!$C$28, 0, 0)</f>
        <v>118.095617138522</v>
      </c>
    </row>
    <row r="214" spans="1:5" ht="15">
      <c r="A214" s="13">
        <v>48366</v>
      </c>
      <c r="B214" s="4">
        <f>20.2717 * CHOOSE(CONTROL!$C$9, $C$13, 100%, $E$13) + CHOOSE(CONTROL!$C$28, 0.0255, 0)</f>
        <v>20.2972</v>
      </c>
      <c r="C214" s="4">
        <f>19.9592 * CHOOSE(CONTROL!$C$9, $C$13, 100%, $E$13) + CHOOSE(CONTROL!$C$28, 0.0255, 0)</f>
        <v>19.9847</v>
      </c>
      <c r="D214" s="4">
        <f>25.6561 * CHOOSE(CONTROL!$C$9, $C$13, 100%, $E$13) + CHOOSE(CONTROL!$C$28, 0, 0)</f>
        <v>25.656099999999999</v>
      </c>
      <c r="E214" s="4">
        <f>118.469287760965 * CHOOSE(CONTROL!$C$9, $C$13, 100%, $E$13) + CHOOSE(CONTROL!$C$28, 0, 0)</f>
        <v>118.469287760965</v>
      </c>
    </row>
    <row r="215" spans="1:5" ht="15">
      <c r="A215" s="13">
        <v>48396</v>
      </c>
      <c r="B215" s="4">
        <f>20.2659 * CHOOSE(CONTROL!$C$9, $C$13, 100%, $E$13) + CHOOSE(CONTROL!$C$28, 0.0255, 0)</f>
        <v>20.291399999999999</v>
      </c>
      <c r="C215" s="4">
        <f>19.9534 * CHOOSE(CONTROL!$C$9, $C$13, 100%, $E$13) + CHOOSE(CONTROL!$C$28, 0.0255, 0)</f>
        <v>19.978899999999999</v>
      </c>
      <c r="D215" s="4">
        <f>26.0712 * CHOOSE(CONTROL!$C$9, $C$13, 100%, $E$13) + CHOOSE(CONTROL!$C$28, 0, 0)</f>
        <v>26.071200000000001</v>
      </c>
      <c r="E215" s="4">
        <f>118.431606689795 * CHOOSE(CONTROL!$C$9, $C$13, 100%, $E$13) + CHOOSE(CONTROL!$C$28, 0, 0)</f>
        <v>118.431606689795</v>
      </c>
    </row>
    <row r="216" spans="1:5" ht="15">
      <c r="A216" s="13">
        <v>48427</v>
      </c>
      <c r="B216" s="4">
        <f>20.7062 * CHOOSE(CONTROL!$C$9, $C$13, 100%, $E$13) + CHOOSE(CONTROL!$C$28, 0.0255, 0)</f>
        <v>20.7317</v>
      </c>
      <c r="C216" s="4">
        <f>20.3937 * CHOOSE(CONTROL!$C$9, $C$13, 100%, $E$13) + CHOOSE(CONTROL!$C$28, 0.0255, 0)</f>
        <v>20.4192</v>
      </c>
      <c r="D216" s="4">
        <f>25.797 * CHOOSE(CONTROL!$C$9, $C$13, 100%, $E$13) + CHOOSE(CONTROL!$C$28, 0, 0)</f>
        <v>25.797000000000001</v>
      </c>
      <c r="E216" s="4">
        <f>121.267107295396 * CHOOSE(CONTROL!$C$9, $C$13, 100%, $E$13) + CHOOSE(CONTROL!$C$28, 0, 0)</f>
        <v>121.267107295396</v>
      </c>
    </row>
    <row r="217" spans="1:5" ht="15">
      <c r="A217" s="13">
        <v>48458</v>
      </c>
      <c r="B217" s="4">
        <f>19.9557 * CHOOSE(CONTROL!$C$9, $C$13, 100%, $E$13) + CHOOSE(CONTROL!$C$28, 0.0255, 0)</f>
        <v>19.981200000000001</v>
      </c>
      <c r="C217" s="4">
        <f>19.6432 * CHOOSE(CONTROL!$C$9, $C$13, 100%, $E$13) + CHOOSE(CONTROL!$C$28, 0.0255, 0)</f>
        <v>19.668700000000001</v>
      </c>
      <c r="D217" s="4">
        <f>25.6675 * CHOOSE(CONTROL!$C$9, $C$13, 100%, $E$13) + CHOOSE(CONTROL!$C$28, 0, 0)</f>
        <v>25.6675</v>
      </c>
      <c r="E217" s="4">
        <f>116.434509917743 * CHOOSE(CONTROL!$C$9, $C$13, 100%, $E$13) + CHOOSE(CONTROL!$C$28, 0, 0)</f>
        <v>116.434509917743</v>
      </c>
    </row>
    <row r="218" spans="1:5" ht="15">
      <c r="A218" s="13">
        <v>48488</v>
      </c>
      <c r="B218" s="4">
        <f>19.355 * CHOOSE(CONTROL!$C$9, $C$13, 100%, $E$13) + CHOOSE(CONTROL!$C$28, 0.0003, 0)</f>
        <v>19.3553</v>
      </c>
      <c r="C218" s="4">
        <f>19.0425 * CHOOSE(CONTROL!$C$9, $C$13, 100%, $E$13) + CHOOSE(CONTROL!$C$28, 0.0003, 0)</f>
        <v>19.0428</v>
      </c>
      <c r="D218" s="4">
        <f>25.3207 * CHOOSE(CONTROL!$C$9, $C$13, 100%, $E$13) + CHOOSE(CONTROL!$C$28, 0, 0)</f>
        <v>25.320699999999999</v>
      </c>
      <c r="E218" s="4">
        <f>112.565919944208 * CHOOSE(CONTROL!$C$9, $C$13, 100%, $E$13) + CHOOSE(CONTROL!$C$28, 0, 0)</f>
        <v>112.56591994420801</v>
      </c>
    </row>
    <row r="219" spans="1:5" ht="15">
      <c r="A219" s="13">
        <v>48519</v>
      </c>
      <c r="B219" s="4">
        <f>18.9681 * CHOOSE(CONTROL!$C$9, $C$13, 100%, $E$13) + CHOOSE(CONTROL!$C$28, 0.0003, 0)</f>
        <v>18.968399999999999</v>
      </c>
      <c r="C219" s="4">
        <f>18.6556 * CHOOSE(CONTROL!$C$9, $C$13, 100%, $E$13) + CHOOSE(CONTROL!$C$28, 0.0003, 0)</f>
        <v>18.655899999999999</v>
      </c>
      <c r="D219" s="4">
        <f>25.2014 * CHOOSE(CONTROL!$C$9, $C$13, 100%, $E$13) + CHOOSE(CONTROL!$C$28, 0, 0)</f>
        <v>25.2014</v>
      </c>
      <c r="E219" s="4">
        <f>110.07425911304 * CHOOSE(CONTROL!$C$9, $C$13, 100%, $E$13) + CHOOSE(CONTROL!$C$28, 0, 0)</f>
        <v>110.07425911304</v>
      </c>
    </row>
    <row r="220" spans="1:5" ht="15">
      <c r="A220" s="13">
        <v>48549</v>
      </c>
      <c r="B220" s="4">
        <f>18.7004 * CHOOSE(CONTROL!$C$9, $C$13, 100%, $E$13) + CHOOSE(CONTROL!$C$28, 0.0003, 0)</f>
        <v>18.700699999999998</v>
      </c>
      <c r="C220" s="4">
        <f>18.3879 * CHOOSE(CONTROL!$C$9, $C$13, 100%, $E$13) + CHOOSE(CONTROL!$C$28, 0.0003, 0)</f>
        <v>18.388199999999998</v>
      </c>
      <c r="D220" s="4">
        <f>24.3236 * CHOOSE(CONTROL!$C$9, $C$13, 100%, $E$13) + CHOOSE(CONTROL!$C$28, 0, 0)</f>
        <v>24.323599999999999</v>
      </c>
      <c r="E220" s="4">
        <f>108.350350106976 * CHOOSE(CONTROL!$C$9, $C$13, 100%, $E$13) + CHOOSE(CONTROL!$C$28, 0, 0)</f>
        <v>108.35035010697599</v>
      </c>
    </row>
    <row r="221" spans="1:5" ht="15">
      <c r="A221" s="13">
        <v>48580</v>
      </c>
      <c r="B221" s="4">
        <f>18.0346 * CHOOSE(CONTROL!$C$9, $C$13, 100%, $E$13) + CHOOSE(CONTROL!$C$28, 0.0003, 0)</f>
        <v>18.0349</v>
      </c>
      <c r="C221" s="4">
        <f>17.7221 * CHOOSE(CONTROL!$C$9, $C$13, 100%, $E$13) + CHOOSE(CONTROL!$C$28, 0.0003, 0)</f>
        <v>17.7224</v>
      </c>
      <c r="D221" s="4">
        <f>23.2946 * CHOOSE(CONTROL!$C$9, $C$13, 100%, $E$13) + CHOOSE(CONTROL!$C$28, 0, 0)</f>
        <v>23.294599999999999</v>
      </c>
      <c r="E221" s="4">
        <f>104.029991681319 * CHOOSE(CONTROL!$C$9, $C$13, 100%, $E$13) + CHOOSE(CONTROL!$C$28, 0, 0)</f>
        <v>104.029991681319</v>
      </c>
    </row>
    <row r="222" spans="1:5" ht="15">
      <c r="A222" s="13">
        <v>48611</v>
      </c>
      <c r="B222" s="4">
        <f>18.4183 * CHOOSE(CONTROL!$C$9, $C$13, 100%, $E$13) + CHOOSE(CONTROL!$C$28, 0.0003, 0)</f>
        <v>18.418599999999998</v>
      </c>
      <c r="C222" s="4">
        <f>18.1058 * CHOOSE(CONTROL!$C$9, $C$13, 100%, $E$13) + CHOOSE(CONTROL!$C$28, 0.0003, 0)</f>
        <v>18.106099999999998</v>
      </c>
      <c r="D222" s="4">
        <f>24.0992 * CHOOSE(CONTROL!$C$9, $C$13, 100%, $E$13) + CHOOSE(CONTROL!$C$28, 0, 0)</f>
        <v>24.0992</v>
      </c>
      <c r="E222" s="4">
        <f>106.50007365661 * CHOOSE(CONTROL!$C$9, $C$13, 100%, $E$13) + CHOOSE(CONTROL!$C$28, 0, 0)</f>
        <v>106.50007365661</v>
      </c>
    </row>
    <row r="223" spans="1:5" ht="15">
      <c r="A223" s="13">
        <v>48639</v>
      </c>
      <c r="B223" s="4">
        <f>19.4259 * CHOOSE(CONTROL!$C$9, $C$13, 100%, $E$13) + CHOOSE(CONTROL!$C$28, 0.0003, 0)</f>
        <v>19.426199999999998</v>
      </c>
      <c r="C223" s="4">
        <f>19.1134 * CHOOSE(CONTROL!$C$9, $C$13, 100%, $E$13) + CHOOSE(CONTROL!$C$28, 0.0003, 0)</f>
        <v>19.113699999999998</v>
      </c>
      <c r="D223" s="4">
        <f>25.3588 * CHOOSE(CONTROL!$C$9, $C$13, 100%, $E$13) + CHOOSE(CONTROL!$C$28, 0, 0)</f>
        <v>25.358799999999999</v>
      </c>
      <c r="E223" s="4">
        <f>112.986640191852 * CHOOSE(CONTROL!$C$9, $C$13, 100%, $E$13) + CHOOSE(CONTROL!$C$28, 0, 0)</f>
        <v>112.986640191852</v>
      </c>
    </row>
    <row r="224" spans="1:5" ht="15">
      <c r="A224" s="13">
        <v>48670</v>
      </c>
      <c r="B224" s="4">
        <f>20.1419 * CHOOSE(CONTROL!$C$9, $C$13, 100%, $E$13) + CHOOSE(CONTROL!$C$28, 0.0003, 0)</f>
        <v>20.142199999999999</v>
      </c>
      <c r="C224" s="4">
        <f>19.8294 * CHOOSE(CONTROL!$C$9, $C$13, 100%, $E$13) + CHOOSE(CONTROL!$C$28, 0.0003, 0)</f>
        <v>19.829699999999999</v>
      </c>
      <c r="D224" s="4">
        <f>26.0843 * CHOOSE(CONTROL!$C$9, $C$13, 100%, $E$13) + CHOOSE(CONTROL!$C$28, 0, 0)</f>
        <v>26.084299999999999</v>
      </c>
      <c r="E224" s="4">
        <f>117.595432160006 * CHOOSE(CONTROL!$C$9, $C$13, 100%, $E$13) + CHOOSE(CONTROL!$C$28, 0, 0)</f>
        <v>117.595432160006</v>
      </c>
    </row>
    <row r="225" spans="1:5" ht="15">
      <c r="A225" s="13">
        <v>48700</v>
      </c>
      <c r="B225" s="4">
        <f>20.5793 * CHOOSE(CONTROL!$C$9, $C$13, 100%, $E$13) + CHOOSE(CONTROL!$C$28, 0.0255, 0)</f>
        <v>20.604800000000001</v>
      </c>
      <c r="C225" s="4">
        <f>20.2668 * CHOOSE(CONTROL!$C$9, $C$13, 100%, $E$13) + CHOOSE(CONTROL!$C$28, 0.0255, 0)</f>
        <v>20.292300000000001</v>
      </c>
      <c r="D225" s="4">
        <f>25.7976 * CHOOSE(CONTROL!$C$9, $C$13, 100%, $E$13) + CHOOSE(CONTROL!$C$28, 0, 0)</f>
        <v>25.797599999999999</v>
      </c>
      <c r="E225" s="4">
        <f>120.411293595221 * CHOOSE(CONTROL!$C$9, $C$13, 100%, $E$13) + CHOOSE(CONTROL!$C$28, 0, 0)</f>
        <v>120.411293595221</v>
      </c>
    </row>
    <row r="226" spans="1:5" ht="15">
      <c r="A226" s="13">
        <v>48731</v>
      </c>
      <c r="B226" s="4">
        <f>20.6384 * CHOOSE(CONTROL!$C$9, $C$13, 100%, $E$13) + CHOOSE(CONTROL!$C$28, 0.0255, 0)</f>
        <v>20.663900000000002</v>
      </c>
      <c r="C226" s="4">
        <f>20.3259 * CHOOSE(CONTROL!$C$9, $C$13, 100%, $E$13) + CHOOSE(CONTROL!$C$28, 0.0255, 0)</f>
        <v>20.351400000000002</v>
      </c>
      <c r="D226" s="4">
        <f>26.0311 * CHOOSE(CONTROL!$C$9, $C$13, 100%, $E$13) + CHOOSE(CONTROL!$C$28, 0, 0)</f>
        <v>26.031099999999999</v>
      </c>
      <c r="E226" s="4">
        <f>120.792291333471 * CHOOSE(CONTROL!$C$9, $C$13, 100%, $E$13) + CHOOSE(CONTROL!$C$28, 0, 0)</f>
        <v>120.792291333471</v>
      </c>
    </row>
    <row r="227" spans="1:5" ht="15">
      <c r="A227" s="13">
        <v>48761</v>
      </c>
      <c r="B227" s="4">
        <f>20.6325 * CHOOSE(CONTROL!$C$9, $C$13, 100%, $E$13) + CHOOSE(CONTROL!$C$28, 0.0255, 0)</f>
        <v>20.658000000000001</v>
      </c>
      <c r="C227" s="4">
        <f>20.32 * CHOOSE(CONTROL!$C$9, $C$13, 100%, $E$13) + CHOOSE(CONTROL!$C$28, 0.0255, 0)</f>
        <v>20.345500000000001</v>
      </c>
      <c r="D227" s="4">
        <f>26.4524 * CHOOSE(CONTROL!$C$9, $C$13, 100%, $E$13) + CHOOSE(CONTROL!$C$28, 0, 0)</f>
        <v>26.452400000000001</v>
      </c>
      <c r="E227" s="4">
        <f>120.753871393479 * CHOOSE(CONTROL!$C$9, $C$13, 100%, $E$13) + CHOOSE(CONTROL!$C$28, 0, 0)</f>
        <v>120.753871393479</v>
      </c>
    </row>
    <row r="228" spans="1:5" ht="15">
      <c r="A228" s="13">
        <v>48792</v>
      </c>
      <c r="B228" s="4">
        <f>21.0816 * CHOOSE(CONTROL!$C$9, $C$13, 100%, $E$13) + CHOOSE(CONTROL!$C$28, 0.0255, 0)</f>
        <v>21.107100000000003</v>
      </c>
      <c r="C228" s="4">
        <f>20.7691 * CHOOSE(CONTROL!$C$9, $C$13, 100%, $E$13) + CHOOSE(CONTROL!$C$28, 0.0255, 0)</f>
        <v>20.794600000000003</v>
      </c>
      <c r="D228" s="4">
        <f>26.1742 * CHOOSE(CONTROL!$C$9, $C$13, 100%, $E$13) + CHOOSE(CONTROL!$C$28, 0, 0)</f>
        <v>26.174199999999999</v>
      </c>
      <c r="E228" s="4">
        <f>123.644971877844 * CHOOSE(CONTROL!$C$9, $C$13, 100%, $E$13) + CHOOSE(CONTROL!$C$28, 0, 0)</f>
        <v>123.644971877844</v>
      </c>
    </row>
    <row r="229" spans="1:5" ht="15">
      <c r="A229" s="13">
        <v>48823</v>
      </c>
      <c r="B229" s="4">
        <f>20.3162 * CHOOSE(CONTROL!$C$9, $C$13, 100%, $E$13) + CHOOSE(CONTROL!$C$28, 0.0255, 0)</f>
        <v>20.341699999999999</v>
      </c>
      <c r="C229" s="4">
        <f>20.0037 * CHOOSE(CONTROL!$C$9, $C$13, 100%, $E$13) + CHOOSE(CONTROL!$C$28, 0.0255, 0)</f>
        <v>20.029199999999999</v>
      </c>
      <c r="D229" s="4">
        <f>26.0427 * CHOOSE(CONTROL!$C$9, $C$13, 100%, $E$13) + CHOOSE(CONTROL!$C$28, 0, 0)</f>
        <v>26.0427</v>
      </c>
      <c r="E229" s="4">
        <f>118.717614573927 * CHOOSE(CONTROL!$C$9, $C$13, 100%, $E$13) + CHOOSE(CONTROL!$C$28, 0, 0)</f>
        <v>118.71761457392699</v>
      </c>
    </row>
    <row r="230" spans="1:5" ht="15">
      <c r="A230" s="13">
        <v>48853</v>
      </c>
      <c r="B230" s="4">
        <f>19.7035 * CHOOSE(CONTROL!$C$9, $C$13, 100%, $E$13) + CHOOSE(CONTROL!$C$28, 0.0003, 0)</f>
        <v>19.703799999999998</v>
      </c>
      <c r="C230" s="4">
        <f>19.391 * CHOOSE(CONTROL!$C$9, $C$13, 100%, $E$13) + CHOOSE(CONTROL!$C$28, 0.0003, 0)</f>
        <v>19.391299999999998</v>
      </c>
      <c r="D230" s="4">
        <f>25.6907 * CHOOSE(CONTROL!$C$9, $C$13, 100%, $E$13) + CHOOSE(CONTROL!$C$28, 0, 0)</f>
        <v>25.6907</v>
      </c>
      <c r="E230" s="4">
        <f>114.773167401459 * CHOOSE(CONTROL!$C$9, $C$13, 100%, $E$13) + CHOOSE(CONTROL!$C$28, 0, 0)</f>
        <v>114.77316740145901</v>
      </c>
    </row>
    <row r="231" spans="1:5" ht="15">
      <c r="A231" s="13">
        <v>48884</v>
      </c>
      <c r="B231" s="4">
        <f>19.3088 * CHOOSE(CONTROL!$C$9, $C$13, 100%, $E$13) + CHOOSE(CONTROL!$C$28, 0.0003, 0)</f>
        <v>19.309100000000001</v>
      </c>
      <c r="C231" s="4">
        <f>18.9963 * CHOOSE(CONTROL!$C$9, $C$13, 100%, $E$13) + CHOOSE(CONTROL!$C$28, 0.0003, 0)</f>
        <v>18.996600000000001</v>
      </c>
      <c r="D231" s="4">
        <f>25.5697 * CHOOSE(CONTROL!$C$9, $C$13, 100%, $E$13) + CHOOSE(CONTROL!$C$28, 0, 0)</f>
        <v>25.569700000000001</v>
      </c>
      <c r="E231" s="4">
        <f>112.232648869517 * CHOOSE(CONTROL!$C$9, $C$13, 100%, $E$13) + CHOOSE(CONTROL!$C$28, 0, 0)</f>
        <v>112.23264886951701</v>
      </c>
    </row>
    <row r="232" spans="1:5" ht="15">
      <c r="A232" s="13">
        <v>48914</v>
      </c>
      <c r="B232" s="4">
        <f>19.0358 * CHOOSE(CONTROL!$C$9, $C$13, 100%, $E$13) + CHOOSE(CONTROL!$C$28, 0.0003, 0)</f>
        <v>19.036099999999998</v>
      </c>
      <c r="C232" s="4">
        <f>18.7233 * CHOOSE(CONTROL!$C$9, $C$13, 100%, $E$13) + CHOOSE(CONTROL!$C$28, 0.0003, 0)</f>
        <v>18.723599999999998</v>
      </c>
      <c r="D232" s="4">
        <f>24.6788 * CHOOSE(CONTROL!$C$9, $C$13, 100%, $E$13) + CHOOSE(CONTROL!$C$28, 0, 0)</f>
        <v>24.678799999999999</v>
      </c>
      <c r="E232" s="4">
        <f>110.474936614903 * CHOOSE(CONTROL!$C$9, $C$13, 100%, $E$13) + CHOOSE(CONTROL!$C$28, 0, 0)</f>
        <v>110.474936614903</v>
      </c>
    </row>
    <row r="233" spans="1:5" ht="15">
      <c r="A233" s="13">
        <v>48945</v>
      </c>
      <c r="B233" s="4">
        <f>18.3558 * CHOOSE(CONTROL!$C$9, $C$13, 100%, $E$13) + CHOOSE(CONTROL!$C$28, 0.0003, 0)</f>
        <v>18.356099999999998</v>
      </c>
      <c r="C233" s="4">
        <f>18.0433 * CHOOSE(CONTROL!$C$9, $C$13, 100%, $E$13) + CHOOSE(CONTROL!$C$28, 0.0003, 0)</f>
        <v>18.043599999999998</v>
      </c>
      <c r="D233" s="4">
        <f>23.6354 * CHOOSE(CONTROL!$C$9, $C$13, 100%, $E$13) + CHOOSE(CONTROL!$C$28, 0, 0)</f>
        <v>23.635400000000001</v>
      </c>
      <c r="E233" s="4">
        <f>106.069441632989 * CHOOSE(CONTROL!$C$9, $C$13, 100%, $E$13) + CHOOSE(CONTROL!$C$28, 0, 0)</f>
        <v>106.069441632989</v>
      </c>
    </row>
    <row r="234" spans="1:5" ht="15">
      <c r="A234" s="13">
        <v>48976</v>
      </c>
      <c r="B234" s="4">
        <f>18.7471 * CHOOSE(CONTROL!$C$9, $C$13, 100%, $E$13) + CHOOSE(CONTROL!$C$28, 0.0003, 0)</f>
        <v>18.747399999999999</v>
      </c>
      <c r="C234" s="4">
        <f>18.4346 * CHOOSE(CONTROL!$C$9, $C$13, 100%, $E$13) + CHOOSE(CONTROL!$C$28, 0.0003, 0)</f>
        <v>18.434899999999999</v>
      </c>
      <c r="D234" s="4">
        <f>24.452 * CHOOSE(CONTROL!$C$9, $C$13, 100%, $E$13) + CHOOSE(CONTROL!$C$28, 0, 0)</f>
        <v>24.452000000000002</v>
      </c>
      <c r="E234" s="4">
        <f>108.58794818742 * CHOOSE(CONTROL!$C$9, $C$13, 100%, $E$13) + CHOOSE(CONTROL!$C$28, 0, 0)</f>
        <v>108.58794818742</v>
      </c>
    </row>
    <row r="235" spans="1:5" ht="15">
      <c r="A235" s="13">
        <v>49004</v>
      </c>
      <c r="B235" s="4">
        <f>19.7748 * CHOOSE(CONTROL!$C$9, $C$13, 100%, $E$13) + CHOOSE(CONTROL!$C$28, 0.0003, 0)</f>
        <v>19.775099999999998</v>
      </c>
      <c r="C235" s="4">
        <f>19.4623 * CHOOSE(CONTROL!$C$9, $C$13, 100%, $E$13) + CHOOSE(CONTROL!$C$28, 0.0003, 0)</f>
        <v>19.462599999999998</v>
      </c>
      <c r="D235" s="4">
        <f>25.7304 * CHOOSE(CONTROL!$C$9, $C$13, 100%, $E$13) + CHOOSE(CONTROL!$C$28, 0, 0)</f>
        <v>25.730399999999999</v>
      </c>
      <c r="E235" s="4">
        <f>115.201680240922 * CHOOSE(CONTROL!$C$9, $C$13, 100%, $E$13) + CHOOSE(CONTROL!$C$28, 0, 0)</f>
        <v>115.201680240922</v>
      </c>
    </row>
    <row r="236" spans="1:5" ht="15">
      <c r="A236" s="13">
        <v>49035</v>
      </c>
      <c r="B236" s="4">
        <f>20.5049 * CHOOSE(CONTROL!$C$9, $C$13, 100%, $E$13) + CHOOSE(CONTROL!$C$28, 0.0003, 0)</f>
        <v>20.505199999999999</v>
      </c>
      <c r="C236" s="4">
        <f>20.1924 * CHOOSE(CONTROL!$C$9, $C$13, 100%, $E$13) + CHOOSE(CONTROL!$C$28, 0.0003, 0)</f>
        <v>20.192699999999999</v>
      </c>
      <c r="D236" s="4">
        <f>26.4668 * CHOOSE(CONTROL!$C$9, $C$13, 100%, $E$13) + CHOOSE(CONTROL!$C$28, 0, 0)</f>
        <v>26.466799999999999</v>
      </c>
      <c r="E236" s="4">
        <f>119.900825004504 * CHOOSE(CONTROL!$C$9, $C$13, 100%, $E$13) + CHOOSE(CONTROL!$C$28, 0, 0)</f>
        <v>119.900825004504</v>
      </c>
    </row>
    <row r="237" spans="1:5" ht="15">
      <c r="A237" s="13">
        <v>49065</v>
      </c>
      <c r="B237" s="4">
        <f>20.951 * CHOOSE(CONTROL!$C$9, $C$13, 100%, $E$13) + CHOOSE(CONTROL!$C$28, 0.0255, 0)</f>
        <v>20.976500000000001</v>
      </c>
      <c r="C237" s="4">
        <f>20.6385 * CHOOSE(CONTROL!$C$9, $C$13, 100%, $E$13) + CHOOSE(CONTROL!$C$28, 0.0255, 0)</f>
        <v>20.664000000000001</v>
      </c>
      <c r="D237" s="4">
        <f>26.1758 * CHOOSE(CONTROL!$C$9, $C$13, 100%, $E$13) + CHOOSE(CONTROL!$C$28, 0, 0)</f>
        <v>26.175799999999999</v>
      </c>
      <c r="E237" s="4">
        <f>122.771889832271 * CHOOSE(CONTROL!$C$9, $C$13, 100%, $E$13) + CHOOSE(CONTROL!$C$28, 0, 0)</f>
        <v>122.771889832271</v>
      </c>
    </row>
    <row r="238" spans="1:5" ht="15">
      <c r="A238" s="13">
        <v>49096</v>
      </c>
      <c r="B238" s="4">
        <f>21.0114 * CHOOSE(CONTROL!$C$9, $C$13, 100%, $E$13) + CHOOSE(CONTROL!$C$28, 0.0255, 0)</f>
        <v>21.036899999999999</v>
      </c>
      <c r="C238" s="4">
        <f>20.6989 * CHOOSE(CONTROL!$C$9, $C$13, 100%, $E$13) + CHOOSE(CONTROL!$C$28, 0.0255, 0)</f>
        <v>20.724399999999999</v>
      </c>
      <c r="D238" s="4">
        <f>26.4128 * CHOOSE(CONTROL!$C$9, $C$13, 100%, $E$13) + CHOOSE(CONTROL!$C$28, 0, 0)</f>
        <v>26.412800000000001</v>
      </c>
      <c r="E238" s="4">
        <f>123.160356818632 * CHOOSE(CONTROL!$C$9, $C$13, 100%, $E$13) + CHOOSE(CONTROL!$C$28, 0, 0)</f>
        <v>123.160356818632</v>
      </c>
    </row>
    <row r="239" spans="1:5" ht="15">
      <c r="A239" s="13">
        <v>49126</v>
      </c>
      <c r="B239" s="4">
        <f>21.0053 * CHOOSE(CONTROL!$C$9, $C$13, 100%, $E$13) + CHOOSE(CONTROL!$C$28, 0.0255, 0)</f>
        <v>21.030799999999999</v>
      </c>
      <c r="C239" s="4">
        <f>20.6928 * CHOOSE(CONTROL!$C$9, $C$13, 100%, $E$13) + CHOOSE(CONTROL!$C$28, 0.0255, 0)</f>
        <v>20.718299999999999</v>
      </c>
      <c r="D239" s="4">
        <f>26.8404 * CHOOSE(CONTROL!$C$9, $C$13, 100%, $E$13) + CHOOSE(CONTROL!$C$28, 0, 0)</f>
        <v>26.840399999999999</v>
      </c>
      <c r="E239" s="4">
        <f>123.12118367715 * CHOOSE(CONTROL!$C$9, $C$13, 100%, $E$13) + CHOOSE(CONTROL!$C$28, 0, 0)</f>
        <v>123.12118367715</v>
      </c>
    </row>
    <row r="240" spans="1:5" ht="15">
      <c r="A240" s="13">
        <v>49157</v>
      </c>
      <c r="B240" s="4">
        <f>21.4633 * CHOOSE(CONTROL!$C$9, $C$13, 100%, $E$13) + CHOOSE(CONTROL!$C$28, 0.0255, 0)</f>
        <v>21.488800000000001</v>
      </c>
      <c r="C240" s="4">
        <f>21.1508 * CHOOSE(CONTROL!$C$9, $C$13, 100%, $E$13) + CHOOSE(CONTROL!$C$28, 0.0255, 0)</f>
        <v>21.176300000000001</v>
      </c>
      <c r="D240" s="4">
        <f>26.558 * CHOOSE(CONTROL!$C$9, $C$13, 100%, $E$13) + CHOOSE(CONTROL!$C$28, 0, 0)</f>
        <v>26.558</v>
      </c>
      <c r="E240" s="4">
        <f>126.068962573652 * CHOOSE(CONTROL!$C$9, $C$13, 100%, $E$13) + CHOOSE(CONTROL!$C$28, 0, 0)</f>
        <v>126.068962573652</v>
      </c>
    </row>
    <row r="241" spans="1:5" ht="15">
      <c r="A241" s="13">
        <v>49188</v>
      </c>
      <c r="B241" s="4">
        <f>20.6827 * CHOOSE(CONTROL!$C$9, $C$13, 100%, $E$13) + CHOOSE(CONTROL!$C$28, 0.0255, 0)</f>
        <v>20.708200000000001</v>
      </c>
      <c r="C241" s="4">
        <f>20.3702 * CHOOSE(CONTROL!$C$9, $C$13, 100%, $E$13) + CHOOSE(CONTROL!$C$28, 0.0255, 0)</f>
        <v>20.395700000000001</v>
      </c>
      <c r="D241" s="4">
        <f>26.4246 * CHOOSE(CONTROL!$C$9, $C$13, 100%, $E$13) + CHOOSE(CONTROL!$C$28, 0, 0)</f>
        <v>26.424600000000002</v>
      </c>
      <c r="E241" s="4">
        <f>121.045007178617 * CHOOSE(CONTROL!$C$9, $C$13, 100%, $E$13) + CHOOSE(CONTROL!$C$28, 0, 0)</f>
        <v>121.045007178617</v>
      </c>
    </row>
    <row r="242" spans="1:5" ht="15">
      <c r="A242" s="13">
        <v>49218</v>
      </c>
      <c r="B242" s="4">
        <f>20.0578 * CHOOSE(CONTROL!$C$9, $C$13, 100%, $E$13) + CHOOSE(CONTROL!$C$28, 0.0003, 0)</f>
        <v>20.0581</v>
      </c>
      <c r="C242" s="4">
        <f>19.7453 * CHOOSE(CONTROL!$C$9, $C$13, 100%, $E$13) + CHOOSE(CONTROL!$C$28, 0.0003, 0)</f>
        <v>19.7456</v>
      </c>
      <c r="D242" s="4">
        <f>26.0673 * CHOOSE(CONTROL!$C$9, $C$13, 100%, $E$13) + CHOOSE(CONTROL!$C$28, 0, 0)</f>
        <v>26.067299999999999</v>
      </c>
      <c r="E242" s="4">
        <f>117.023231319824 * CHOOSE(CONTROL!$C$9, $C$13, 100%, $E$13) + CHOOSE(CONTROL!$C$28, 0, 0)</f>
        <v>117.02323131982401</v>
      </c>
    </row>
    <row r="243" spans="1:5" ht="15">
      <c r="A243" s="13">
        <v>49249</v>
      </c>
      <c r="B243" s="4">
        <f>19.6553 * CHOOSE(CONTROL!$C$9, $C$13, 100%, $E$13) + CHOOSE(CONTROL!$C$28, 0.0003, 0)</f>
        <v>19.6556</v>
      </c>
      <c r="C243" s="4">
        <f>19.3428 * CHOOSE(CONTROL!$C$9, $C$13, 100%, $E$13) + CHOOSE(CONTROL!$C$28, 0.0003, 0)</f>
        <v>19.3431</v>
      </c>
      <c r="D243" s="4">
        <f>25.9445 * CHOOSE(CONTROL!$C$9, $C$13, 100%, $E$13) + CHOOSE(CONTROL!$C$28, 0, 0)</f>
        <v>25.944500000000001</v>
      </c>
      <c r="E243" s="4">
        <f>114.432907339343 * CHOOSE(CONTROL!$C$9, $C$13, 100%, $E$13) + CHOOSE(CONTROL!$C$28, 0, 0)</f>
        <v>114.432907339343</v>
      </c>
    </row>
    <row r="244" spans="1:5" ht="15">
      <c r="A244" s="13">
        <v>49279</v>
      </c>
      <c r="B244" s="4">
        <f>19.3769 * CHOOSE(CONTROL!$C$9, $C$13, 100%, $E$13) + CHOOSE(CONTROL!$C$28, 0.0003, 0)</f>
        <v>19.377199999999998</v>
      </c>
      <c r="C244" s="4">
        <f>19.0644 * CHOOSE(CONTROL!$C$9, $C$13, 100%, $E$13) + CHOOSE(CONTROL!$C$28, 0.0003, 0)</f>
        <v>19.064699999999998</v>
      </c>
      <c r="D244" s="4">
        <f>25.0403 * CHOOSE(CONTROL!$C$9, $C$13, 100%, $E$13) + CHOOSE(CONTROL!$C$28, 0, 0)</f>
        <v>25.040299999999998</v>
      </c>
      <c r="E244" s="4">
        <f>112.640736116553 * CHOOSE(CONTROL!$C$9, $C$13, 100%, $E$13) + CHOOSE(CONTROL!$C$28, 0, 0)</f>
        <v>112.640736116553</v>
      </c>
    </row>
    <row r="245" spans="1:5" ht="15">
      <c r="A245" s="13">
        <v>49310</v>
      </c>
      <c r="B245" s="4">
        <f>18.6841 * CHOOSE(CONTROL!$C$9, $C$13, 100%, $E$13) + CHOOSE(CONTROL!$C$28, 0.0003, 0)</f>
        <v>18.6844</v>
      </c>
      <c r="C245" s="4">
        <f>18.3716 * CHOOSE(CONTROL!$C$9, $C$13, 100%, $E$13) + CHOOSE(CONTROL!$C$28, 0.0003, 0)</f>
        <v>18.3719</v>
      </c>
      <c r="D245" s="4">
        <f>24.0091 * CHOOSE(CONTROL!$C$9, $C$13, 100%, $E$13) + CHOOSE(CONTROL!$C$28, 0, 0)</f>
        <v>24.0091</v>
      </c>
      <c r="E245" s="4">
        <f>108.150937200069 * CHOOSE(CONTROL!$C$9, $C$13, 100%, $E$13) + CHOOSE(CONTROL!$C$28, 0, 0)</f>
        <v>108.150937200069</v>
      </c>
    </row>
    <row r="246" spans="1:5" ht="15">
      <c r="A246" s="13">
        <v>49341</v>
      </c>
      <c r="B246" s="4">
        <f>19.0832 * CHOOSE(CONTROL!$C$9, $C$13, 100%, $E$13) + CHOOSE(CONTROL!$C$28, 0.0003, 0)</f>
        <v>19.083500000000001</v>
      </c>
      <c r="C246" s="4">
        <f>18.7707 * CHOOSE(CONTROL!$C$9, $C$13, 100%, $E$13) + CHOOSE(CONTROL!$C$28, 0.0003, 0)</f>
        <v>18.771000000000001</v>
      </c>
      <c r="D246" s="4">
        <f>24.8389 * CHOOSE(CONTROL!$C$9, $C$13, 100%, $E$13) + CHOOSE(CONTROL!$C$28, 0, 0)</f>
        <v>24.838899999999999</v>
      </c>
      <c r="E246" s="4">
        <f>110.718866662249 * CHOOSE(CONTROL!$C$9, $C$13, 100%, $E$13) + CHOOSE(CONTROL!$C$28, 0, 0)</f>
        <v>110.718866662249</v>
      </c>
    </row>
    <row r="247" spans="1:5" ht="15">
      <c r="A247" s="13">
        <v>49369</v>
      </c>
      <c r="B247" s="4">
        <f>20.1313 * CHOOSE(CONTROL!$C$9, $C$13, 100%, $E$13) + CHOOSE(CONTROL!$C$28, 0.0003, 0)</f>
        <v>20.131599999999999</v>
      </c>
      <c r="C247" s="4">
        <f>19.8188 * CHOOSE(CONTROL!$C$9, $C$13, 100%, $E$13) + CHOOSE(CONTROL!$C$28, 0.0003, 0)</f>
        <v>19.819099999999999</v>
      </c>
      <c r="D247" s="4">
        <f>26.138 * CHOOSE(CONTROL!$C$9, $C$13, 100%, $E$13) + CHOOSE(CONTROL!$C$28, 0, 0)</f>
        <v>26.138000000000002</v>
      </c>
      <c r="E247" s="4">
        <f>117.46238589799 * CHOOSE(CONTROL!$C$9, $C$13, 100%, $E$13) + CHOOSE(CONTROL!$C$28, 0, 0)</f>
        <v>117.46238589799</v>
      </c>
    </row>
    <row r="248" spans="1:5" ht="15">
      <c r="A248" s="13">
        <v>49400</v>
      </c>
      <c r="B248" s="4">
        <f>20.876 * CHOOSE(CONTROL!$C$9, $C$13, 100%, $E$13) + CHOOSE(CONTROL!$C$28, 0.0003, 0)</f>
        <v>20.876300000000001</v>
      </c>
      <c r="C248" s="4">
        <f>20.5635 * CHOOSE(CONTROL!$C$9, $C$13, 100%, $E$13) + CHOOSE(CONTROL!$C$28, 0.0003, 0)</f>
        <v>20.563800000000001</v>
      </c>
      <c r="D248" s="4">
        <f>26.8863 * CHOOSE(CONTROL!$C$9, $C$13, 100%, $E$13) + CHOOSE(CONTROL!$C$28, 0, 0)</f>
        <v>26.886299999999999</v>
      </c>
      <c r="E248" s="4">
        <f>122.253746184195 * CHOOSE(CONTROL!$C$9, $C$13, 100%, $E$13) + CHOOSE(CONTROL!$C$28, 0, 0)</f>
        <v>122.25374618419499</v>
      </c>
    </row>
    <row r="249" spans="1:5" ht="15">
      <c r="A249" s="13">
        <v>49430</v>
      </c>
      <c r="B249" s="4">
        <f>21.3309 * CHOOSE(CONTROL!$C$9, $C$13, 100%, $E$13) + CHOOSE(CONTROL!$C$28, 0.0255, 0)</f>
        <v>21.356400000000001</v>
      </c>
      <c r="C249" s="4">
        <f>21.0184 * CHOOSE(CONTROL!$C$9, $C$13, 100%, $E$13) + CHOOSE(CONTROL!$C$28, 0.0255, 0)</f>
        <v>21.043900000000001</v>
      </c>
      <c r="D249" s="4">
        <f>26.5906 * CHOOSE(CONTROL!$C$9, $C$13, 100%, $E$13) + CHOOSE(CONTROL!$C$28, 0, 0)</f>
        <v>26.590599999999998</v>
      </c>
      <c r="E249" s="4">
        <f>125.181152486186 * CHOOSE(CONTROL!$C$9, $C$13, 100%, $E$13) + CHOOSE(CONTROL!$C$28, 0, 0)</f>
        <v>125.18115248618599</v>
      </c>
    </row>
    <row r="250" spans="1:5" ht="15">
      <c r="A250" s="14">
        <v>49461</v>
      </c>
      <c r="B250" s="4">
        <f>21.3925 * CHOOSE(CONTROL!$C$9, $C$13, 100%, $E$13) + CHOOSE(CONTROL!$C$28, 0.0255, 0)</f>
        <v>21.417999999999999</v>
      </c>
      <c r="C250" s="4">
        <f>21.08 * CHOOSE(CONTROL!$C$9, $C$13, 100%, $E$13) + CHOOSE(CONTROL!$C$28, 0.0255, 0)</f>
        <v>21.105499999999999</v>
      </c>
      <c r="D250" s="4">
        <f>26.8314 * CHOOSE(CONTROL!$C$9, $C$13, 100%, $E$13) + CHOOSE(CONTROL!$C$28, 0, 0)</f>
        <v>26.831399999999999</v>
      </c>
      <c r="E250" s="4">
        <f>125.577242707832 * CHOOSE(CONTROL!$C$9, $C$13, 100%, $E$13) + CHOOSE(CONTROL!$C$28, 0, 0)</f>
        <v>125.577242707832</v>
      </c>
    </row>
    <row r="251" spans="1:5" ht="15">
      <c r="A251" s="14">
        <v>49491</v>
      </c>
      <c r="B251" s="4">
        <f>21.3863 * CHOOSE(CONTROL!$C$9, $C$13, 100%, $E$13) + CHOOSE(CONTROL!$C$28, 0.0255, 0)</f>
        <v>21.411799999999999</v>
      </c>
      <c r="C251" s="4">
        <f>21.0738 * CHOOSE(CONTROL!$C$9, $C$13, 100%, $E$13) + CHOOSE(CONTROL!$C$28, 0.0255, 0)</f>
        <v>21.099299999999999</v>
      </c>
      <c r="D251" s="4">
        <f>27.2659 * CHOOSE(CONTROL!$C$9, $C$13, 100%, $E$13) + CHOOSE(CONTROL!$C$28, 0, 0)</f>
        <v>27.265899999999998</v>
      </c>
      <c r="E251" s="4">
        <f>125.537300836741 * CHOOSE(CONTROL!$C$9, $C$13, 100%, $E$13) + CHOOSE(CONTROL!$C$28, 0, 0)</f>
        <v>125.537300836741</v>
      </c>
    </row>
    <row r="252" spans="1:5" ht="15">
      <c r="A252" s="14">
        <v>49522</v>
      </c>
      <c r="B252" s="4">
        <f>21.8534 * CHOOSE(CONTROL!$C$9, $C$13, 100%, $E$13) + CHOOSE(CONTROL!$C$28, 0.0255, 0)</f>
        <v>21.878900000000002</v>
      </c>
      <c r="C252" s="4">
        <f>21.5409 * CHOOSE(CONTROL!$C$9, $C$13, 100%, $E$13) + CHOOSE(CONTROL!$C$28, 0.0255, 0)</f>
        <v>21.566400000000002</v>
      </c>
      <c r="D252" s="4">
        <f>26.979 * CHOOSE(CONTROL!$C$9, $C$13, 100%, $E$13) + CHOOSE(CONTROL!$C$28, 0, 0)</f>
        <v>26.978999999999999</v>
      </c>
      <c r="E252" s="4">
        <f>128.542926636285 * CHOOSE(CONTROL!$C$9, $C$13, 100%, $E$13) + CHOOSE(CONTROL!$C$28, 0, 0)</f>
        <v>128.54292663628499</v>
      </c>
    </row>
    <row r="253" spans="1:5" ht="15">
      <c r="A253" s="14">
        <v>49553</v>
      </c>
      <c r="B253" s="4">
        <f>21.0573 * CHOOSE(CONTROL!$C$9, $C$13, 100%, $E$13) + CHOOSE(CONTROL!$C$28, 0.0255, 0)</f>
        <v>21.082800000000002</v>
      </c>
      <c r="C253" s="4">
        <f>20.7448 * CHOOSE(CONTROL!$C$9, $C$13, 100%, $E$13) + CHOOSE(CONTROL!$C$28, 0.0255, 0)</f>
        <v>20.770300000000002</v>
      </c>
      <c r="D253" s="4">
        <f>26.8434 * CHOOSE(CONTROL!$C$9, $C$13, 100%, $E$13) + CHOOSE(CONTROL!$C$28, 0, 0)</f>
        <v>26.843399999999999</v>
      </c>
      <c r="E253" s="4">
        <f>123.420381668957 * CHOOSE(CONTROL!$C$9, $C$13, 100%, $E$13) + CHOOSE(CONTROL!$C$28, 0, 0)</f>
        <v>123.42038166895701</v>
      </c>
    </row>
    <row r="254" spans="1:5" ht="15">
      <c r="A254" s="14">
        <v>49583</v>
      </c>
      <c r="B254" s="4">
        <f>20.4199 * CHOOSE(CONTROL!$C$9, $C$13, 100%, $E$13) + CHOOSE(CONTROL!$C$28, 0.0003, 0)</f>
        <v>20.420199999999998</v>
      </c>
      <c r="C254" s="4">
        <f>20.1074 * CHOOSE(CONTROL!$C$9, $C$13, 100%, $E$13) + CHOOSE(CONTROL!$C$28, 0.0003, 0)</f>
        <v>20.107699999999998</v>
      </c>
      <c r="D254" s="4">
        <f>26.4804 * CHOOSE(CONTROL!$C$9, $C$13, 100%, $E$13) + CHOOSE(CONTROL!$C$28, 0, 0)</f>
        <v>26.480399999999999</v>
      </c>
      <c r="E254" s="4">
        <f>119.319682903688 * CHOOSE(CONTROL!$C$9, $C$13, 100%, $E$13) + CHOOSE(CONTROL!$C$28, 0, 0)</f>
        <v>119.319682903688</v>
      </c>
    </row>
    <row r="255" spans="1:5" ht="15">
      <c r="A255" s="14">
        <v>49614</v>
      </c>
      <c r="B255" s="4">
        <f>20.0094 * CHOOSE(CONTROL!$C$9, $C$13, 100%, $E$13) + CHOOSE(CONTROL!$C$28, 0.0003, 0)</f>
        <v>20.009699999999999</v>
      </c>
      <c r="C255" s="4">
        <f>19.6969 * CHOOSE(CONTROL!$C$9, $C$13, 100%, $E$13) + CHOOSE(CONTROL!$C$28, 0.0003, 0)</f>
        <v>19.697199999999999</v>
      </c>
      <c r="D255" s="4">
        <f>26.3556 * CHOOSE(CONTROL!$C$9, $C$13, 100%, $E$13) + CHOOSE(CONTROL!$C$28, 0, 0)</f>
        <v>26.355599999999999</v>
      </c>
      <c r="E255" s="4">
        <f>116.678526677844 * CHOOSE(CONTROL!$C$9, $C$13, 100%, $E$13) + CHOOSE(CONTROL!$C$28, 0, 0)</f>
        <v>116.678526677844</v>
      </c>
    </row>
    <row r="256" spans="1:5" ht="15">
      <c r="A256" s="14">
        <v>49644</v>
      </c>
      <c r="B256" s="4">
        <f>19.7254 * CHOOSE(CONTROL!$C$9, $C$13, 100%, $E$13) + CHOOSE(CONTROL!$C$28, 0.0003, 0)</f>
        <v>19.7257</v>
      </c>
      <c r="C256" s="4">
        <f>19.4129 * CHOOSE(CONTROL!$C$9, $C$13, 100%, $E$13) + CHOOSE(CONTROL!$C$28, 0.0003, 0)</f>
        <v>19.4132</v>
      </c>
      <c r="D256" s="4">
        <f>25.4367 * CHOOSE(CONTROL!$C$9, $C$13, 100%, $E$13) + CHOOSE(CONTROL!$C$28, 0, 0)</f>
        <v>25.436699999999998</v>
      </c>
      <c r="E256" s="4">
        <f>114.851186075464 * CHOOSE(CONTROL!$C$9, $C$13, 100%, $E$13) + CHOOSE(CONTROL!$C$28, 0, 0)</f>
        <v>114.851186075464</v>
      </c>
    </row>
    <row r="257" spans="1:5" ht="15">
      <c r="A257" s="14">
        <v>49675</v>
      </c>
      <c r="B257" s="4">
        <f>19.264 * CHOOSE(CONTROL!$C$9, $C$13, 100%, $E$13) + CHOOSE(CONTROL!$C$28, 0.0003, 0)</f>
        <v>19.264299999999999</v>
      </c>
      <c r="C257" s="4">
        <f>18.9515 * CHOOSE(CONTROL!$C$9, $C$13, 100%, $E$13) + CHOOSE(CONTROL!$C$28, 0.0003, 0)</f>
        <v>18.951799999999999</v>
      </c>
      <c r="D257" s="4">
        <f>24.5922 * CHOOSE(CONTROL!$C$9, $C$13, 100%, $E$13) + CHOOSE(CONTROL!$C$28, 0, 0)</f>
        <v>24.592199999999998</v>
      </c>
      <c r="E257" s="4">
        <f>111.557691721872 * CHOOSE(CONTROL!$C$9, $C$13, 100%, $E$13) + CHOOSE(CONTROL!$C$28, 0, 0)</f>
        <v>111.557691721872</v>
      </c>
    </row>
    <row r="258" spans="1:5" ht="15">
      <c r="A258" s="14">
        <v>49706</v>
      </c>
      <c r="B258" s="4">
        <f>19.6769 * CHOOSE(CONTROL!$C$9, $C$13, 100%, $E$13) + CHOOSE(CONTROL!$C$28, 0.0003, 0)</f>
        <v>19.677199999999999</v>
      </c>
      <c r="C258" s="4">
        <f>19.3644 * CHOOSE(CONTROL!$C$9, $C$13, 100%, $E$13) + CHOOSE(CONTROL!$C$28, 0.0003, 0)</f>
        <v>19.364699999999999</v>
      </c>
      <c r="D258" s="4">
        <f>25.4426 * CHOOSE(CONTROL!$C$9, $C$13, 100%, $E$13) + CHOOSE(CONTROL!$C$28, 0, 0)</f>
        <v>25.442599999999999</v>
      </c>
      <c r="E258" s="4">
        <f>114.206510962109 * CHOOSE(CONTROL!$C$9, $C$13, 100%, $E$13) + CHOOSE(CONTROL!$C$28, 0, 0)</f>
        <v>114.20651096210899</v>
      </c>
    </row>
    <row r="259" spans="1:5" ht="15">
      <c r="A259" s="14">
        <v>49735</v>
      </c>
      <c r="B259" s="4">
        <f>20.7611 * CHOOSE(CONTROL!$C$9, $C$13, 100%, $E$13) + CHOOSE(CONTROL!$C$28, 0.0003, 0)</f>
        <v>20.761399999999998</v>
      </c>
      <c r="C259" s="4">
        <f>20.4486 * CHOOSE(CONTROL!$C$9, $C$13, 100%, $E$13) + CHOOSE(CONTROL!$C$28, 0.0003, 0)</f>
        <v>20.448899999999998</v>
      </c>
      <c r="D259" s="4">
        <f>26.7739 * CHOOSE(CONTROL!$C$9, $C$13, 100%, $E$13) + CHOOSE(CONTROL!$C$28, 0, 0)</f>
        <v>26.773900000000001</v>
      </c>
      <c r="E259" s="4">
        <f>121.162451053777 * CHOOSE(CONTROL!$C$9, $C$13, 100%, $E$13) + CHOOSE(CONTROL!$C$28, 0, 0)</f>
        <v>121.162451053777</v>
      </c>
    </row>
    <row r="260" spans="1:5" ht="15">
      <c r="A260" s="14">
        <v>49766</v>
      </c>
      <c r="B260" s="4">
        <f>21.5315 * CHOOSE(CONTROL!$C$9, $C$13, 100%, $E$13) + CHOOSE(CONTROL!$C$28, 0.0003, 0)</f>
        <v>21.5318</v>
      </c>
      <c r="C260" s="4">
        <f>21.219 * CHOOSE(CONTROL!$C$9, $C$13, 100%, $E$13) + CHOOSE(CONTROL!$C$28, 0.0003, 0)</f>
        <v>21.2193</v>
      </c>
      <c r="D260" s="4">
        <f>27.5407 * CHOOSE(CONTROL!$C$9, $C$13, 100%, $E$13) + CHOOSE(CONTROL!$C$28, 0, 0)</f>
        <v>27.540700000000001</v>
      </c>
      <c r="E260" s="4">
        <f>126.104739188997 * CHOOSE(CONTROL!$C$9, $C$13, 100%, $E$13) + CHOOSE(CONTROL!$C$28, 0, 0)</f>
        <v>126.104739188997</v>
      </c>
    </row>
    <row r="261" spans="1:5" ht="15">
      <c r="A261" s="14">
        <v>49796</v>
      </c>
      <c r="B261" s="4">
        <f>22.0022 * CHOOSE(CONTROL!$C$9, $C$13, 100%, $E$13) + CHOOSE(CONTROL!$C$28, 0.0255, 0)</f>
        <v>22.027699999999999</v>
      </c>
      <c r="C261" s="4">
        <f>21.6897 * CHOOSE(CONTROL!$C$9, $C$13, 100%, $E$13) + CHOOSE(CONTROL!$C$28, 0.0255, 0)</f>
        <v>21.715199999999999</v>
      </c>
      <c r="D261" s="4">
        <f>27.2377 * CHOOSE(CONTROL!$C$9, $C$13, 100%, $E$13) + CHOOSE(CONTROL!$C$28, 0, 0)</f>
        <v>27.2377</v>
      </c>
      <c r="E261" s="4">
        <f>129.124358789501 * CHOOSE(CONTROL!$C$9, $C$13, 100%, $E$13) + CHOOSE(CONTROL!$C$28, 0, 0)</f>
        <v>129.124358789501</v>
      </c>
    </row>
    <row r="262" spans="1:5" ht="15">
      <c r="A262" s="14">
        <v>49827</v>
      </c>
      <c r="B262" s="4">
        <f>22.0659 * CHOOSE(CONTROL!$C$9, $C$13, 100%, $E$13) + CHOOSE(CONTROL!$C$28, 0.0255, 0)</f>
        <v>22.0914</v>
      </c>
      <c r="C262" s="4">
        <f>21.7534 * CHOOSE(CONTROL!$C$9, $C$13, 100%, $E$13) + CHOOSE(CONTROL!$C$28, 0.0255, 0)</f>
        <v>21.7789</v>
      </c>
      <c r="D262" s="4">
        <f>27.4845 * CHOOSE(CONTROL!$C$9, $C$13, 100%, $E$13) + CHOOSE(CONTROL!$C$28, 0, 0)</f>
        <v>27.484500000000001</v>
      </c>
      <c r="E262" s="4">
        <f>129.532925853128 * CHOOSE(CONTROL!$C$9, $C$13, 100%, $E$13) + CHOOSE(CONTROL!$C$28, 0, 0)</f>
        <v>129.53292585312801</v>
      </c>
    </row>
    <row r="263" spans="1:5" ht="15">
      <c r="A263" s="14">
        <v>49857</v>
      </c>
      <c r="B263" s="4">
        <f>22.0594 * CHOOSE(CONTROL!$C$9, $C$13, 100%, $E$13) + CHOOSE(CONTROL!$C$28, 0.0255, 0)</f>
        <v>22.084900000000001</v>
      </c>
      <c r="C263" s="4">
        <f>21.7469 * CHOOSE(CONTROL!$C$9, $C$13, 100%, $E$13) + CHOOSE(CONTROL!$C$28, 0.0255, 0)</f>
        <v>21.772400000000001</v>
      </c>
      <c r="D263" s="4">
        <f>27.9298 * CHOOSE(CONTROL!$C$9, $C$13, 100%, $E$13) + CHOOSE(CONTROL!$C$28, 0, 0)</f>
        <v>27.9298</v>
      </c>
      <c r="E263" s="4">
        <f>129.491725813099 * CHOOSE(CONTROL!$C$9, $C$13, 100%, $E$13) + CHOOSE(CONTROL!$C$28, 0, 0)</f>
        <v>129.49172581309901</v>
      </c>
    </row>
    <row r="264" spans="1:5" ht="15">
      <c r="A264" s="14">
        <v>49888</v>
      </c>
      <c r="B264" s="4">
        <f>22.5427 * CHOOSE(CONTROL!$C$9, $C$13, 100%, $E$13) + CHOOSE(CONTROL!$C$28, 0.0255, 0)</f>
        <v>22.568200000000001</v>
      </c>
      <c r="C264" s="4">
        <f>22.2302 * CHOOSE(CONTROL!$C$9, $C$13, 100%, $E$13) + CHOOSE(CONTROL!$C$28, 0.0255, 0)</f>
        <v>22.255700000000001</v>
      </c>
      <c r="D264" s="4">
        <f>27.6357 * CHOOSE(CONTROL!$C$9, $C$13, 100%, $E$13) + CHOOSE(CONTROL!$C$28, 0, 0)</f>
        <v>27.6357</v>
      </c>
      <c r="E264" s="4">
        <f>132.592028825328 * CHOOSE(CONTROL!$C$9, $C$13, 100%, $E$13) + CHOOSE(CONTROL!$C$28, 0, 0)</f>
        <v>132.59202882532799</v>
      </c>
    </row>
    <row r="265" spans="1:5" ht="15">
      <c r="A265" s="14">
        <v>49919</v>
      </c>
      <c r="B265" s="4">
        <f>21.7191 * CHOOSE(CONTROL!$C$9, $C$13, 100%, $E$13) + CHOOSE(CONTROL!$C$28, 0.0255, 0)</f>
        <v>21.744600000000002</v>
      </c>
      <c r="C265" s="4">
        <f>21.4066 * CHOOSE(CONTROL!$C$9, $C$13, 100%, $E$13) + CHOOSE(CONTROL!$C$28, 0.0255, 0)</f>
        <v>21.432100000000002</v>
      </c>
      <c r="D265" s="4">
        <f>27.4968 * CHOOSE(CONTROL!$C$9, $C$13, 100%, $E$13) + CHOOSE(CONTROL!$C$28, 0, 0)</f>
        <v>27.4968</v>
      </c>
      <c r="E265" s="4">
        <f>127.308123691529 * CHOOSE(CONTROL!$C$9, $C$13, 100%, $E$13) + CHOOSE(CONTROL!$C$28, 0, 0)</f>
        <v>127.308123691529</v>
      </c>
    </row>
    <row r="266" spans="1:5" ht="15">
      <c r="A266" s="14">
        <v>49949</v>
      </c>
      <c r="B266" s="4">
        <f>21.0597 * CHOOSE(CONTROL!$C$9, $C$13, 100%, $E$13) + CHOOSE(CONTROL!$C$28, 0.0003, 0)</f>
        <v>21.06</v>
      </c>
      <c r="C266" s="4">
        <f>20.7472 * CHOOSE(CONTROL!$C$9, $C$13, 100%, $E$13) + CHOOSE(CONTROL!$C$28, 0.0003, 0)</f>
        <v>20.747499999999999</v>
      </c>
      <c r="D266" s="4">
        <f>27.1247 * CHOOSE(CONTROL!$C$9, $C$13, 100%, $E$13) + CHOOSE(CONTROL!$C$28, 0, 0)</f>
        <v>27.124700000000001</v>
      </c>
      <c r="E266" s="4">
        <f>123.078252915154 * CHOOSE(CONTROL!$C$9, $C$13, 100%, $E$13) + CHOOSE(CONTROL!$C$28, 0, 0)</f>
        <v>123.078252915154</v>
      </c>
    </row>
    <row r="267" spans="1:5" ht="15">
      <c r="A267" s="14">
        <v>49980</v>
      </c>
      <c r="B267" s="4">
        <f>20.6351 * CHOOSE(CONTROL!$C$9, $C$13, 100%, $E$13) + CHOOSE(CONTROL!$C$28, 0.0003, 0)</f>
        <v>20.635400000000001</v>
      </c>
      <c r="C267" s="4">
        <f>20.3226 * CHOOSE(CONTROL!$C$9, $C$13, 100%, $E$13) + CHOOSE(CONTROL!$C$28, 0.0003, 0)</f>
        <v>20.322900000000001</v>
      </c>
      <c r="D267" s="4">
        <f>26.9968 * CHOOSE(CONTROL!$C$9, $C$13, 100%, $E$13) + CHOOSE(CONTROL!$C$28, 0, 0)</f>
        <v>26.9968</v>
      </c>
      <c r="E267" s="4">
        <f>120.353900268196 * CHOOSE(CONTROL!$C$9, $C$13, 100%, $E$13) + CHOOSE(CONTROL!$C$28, 0, 0)</f>
        <v>120.353900268196</v>
      </c>
    </row>
    <row r="268" spans="1:5" ht="15">
      <c r="A268" s="14">
        <v>50010</v>
      </c>
      <c r="B268" s="4">
        <f>20.3413 * CHOOSE(CONTROL!$C$9, $C$13, 100%, $E$13) + CHOOSE(CONTROL!$C$28, 0.0003, 0)</f>
        <v>20.3416</v>
      </c>
      <c r="C268" s="4">
        <f>20.0288 * CHOOSE(CONTROL!$C$9, $C$13, 100%, $E$13) + CHOOSE(CONTROL!$C$28, 0.0003, 0)</f>
        <v>20.0291</v>
      </c>
      <c r="D268" s="4">
        <f>26.0552 * CHOOSE(CONTROL!$C$9, $C$13, 100%, $E$13) + CHOOSE(CONTROL!$C$28, 0, 0)</f>
        <v>26.055199999999999</v>
      </c>
      <c r="E268" s="4">
        <f>118.468998436841 * CHOOSE(CONTROL!$C$9, $C$13, 100%, $E$13) + CHOOSE(CONTROL!$C$28, 0, 0)</f>
        <v>118.46899843684101</v>
      </c>
    </row>
    <row r="269" spans="1:5" ht="15">
      <c r="A269" s="14">
        <v>50041</v>
      </c>
      <c r="B269" s="4">
        <f>19.8639 * CHOOSE(CONTROL!$C$9, $C$13, 100%, $E$13) + CHOOSE(CONTROL!$C$28, 0.0003, 0)</f>
        <v>19.8642</v>
      </c>
      <c r="C269" s="4">
        <f>19.5514 * CHOOSE(CONTROL!$C$9, $C$13, 100%, $E$13) + CHOOSE(CONTROL!$C$28, 0.0003, 0)</f>
        <v>19.5517</v>
      </c>
      <c r="D269" s="4">
        <f>25.1898 * CHOOSE(CONTROL!$C$9, $C$13, 100%, $E$13) + CHOOSE(CONTROL!$C$28, 0, 0)</f>
        <v>25.189800000000002</v>
      </c>
      <c r="E269" s="4">
        <f>115.071759011111 * CHOOSE(CONTROL!$C$9, $C$13, 100%, $E$13) + CHOOSE(CONTROL!$C$28, 0, 0)</f>
        <v>115.071759011111</v>
      </c>
    </row>
    <row r="270" spans="1:5" ht="15">
      <c r="A270" s="14">
        <v>50072</v>
      </c>
      <c r="B270" s="4">
        <f>20.291 * CHOOSE(CONTROL!$C$9, $C$13, 100%, $E$13) + CHOOSE(CONTROL!$C$28, 0.0003, 0)</f>
        <v>20.2913</v>
      </c>
      <c r="C270" s="4">
        <f>19.9785 * CHOOSE(CONTROL!$C$9, $C$13, 100%, $E$13) + CHOOSE(CONTROL!$C$28, 0.0003, 0)</f>
        <v>19.9788</v>
      </c>
      <c r="D270" s="4">
        <f>26.0613 * CHOOSE(CONTROL!$C$9, $C$13, 100%, $E$13) + CHOOSE(CONTROL!$C$28, 0, 0)</f>
        <v>26.061299999999999</v>
      </c>
      <c r="E270" s="4">
        <f>117.804016057416 * CHOOSE(CONTROL!$C$9, $C$13, 100%, $E$13) + CHOOSE(CONTROL!$C$28, 0, 0)</f>
        <v>117.80401605741601</v>
      </c>
    </row>
    <row r="271" spans="1:5" ht="15">
      <c r="A271" s="14">
        <v>50100</v>
      </c>
      <c r="B271" s="4">
        <f>21.4127 * CHOOSE(CONTROL!$C$9, $C$13, 100%, $E$13) + CHOOSE(CONTROL!$C$28, 0.0003, 0)</f>
        <v>21.413</v>
      </c>
      <c r="C271" s="4">
        <f>21.1002 * CHOOSE(CONTROL!$C$9, $C$13, 100%, $E$13) + CHOOSE(CONTROL!$C$28, 0.0003, 0)</f>
        <v>21.1005</v>
      </c>
      <c r="D271" s="4">
        <f>27.4256 * CHOOSE(CONTROL!$C$9, $C$13, 100%, $E$13) + CHOOSE(CONTROL!$C$28, 0, 0)</f>
        <v>27.425599999999999</v>
      </c>
      <c r="E271" s="4">
        <f>124.979068261971 * CHOOSE(CONTROL!$C$9, $C$13, 100%, $E$13) + CHOOSE(CONTROL!$C$28, 0, 0)</f>
        <v>124.97906826197099</v>
      </c>
    </row>
    <row r="272" spans="1:5" ht="15">
      <c r="A272" s="14">
        <v>50131</v>
      </c>
      <c r="B272" s="4">
        <f>22.2096 * CHOOSE(CONTROL!$C$9, $C$13, 100%, $E$13) + CHOOSE(CONTROL!$C$28, 0.0003, 0)</f>
        <v>22.209899999999998</v>
      </c>
      <c r="C272" s="4">
        <f>21.8971 * CHOOSE(CONTROL!$C$9, $C$13, 100%, $E$13) + CHOOSE(CONTROL!$C$28, 0.0003, 0)</f>
        <v>21.897399999999998</v>
      </c>
      <c r="D272" s="4">
        <f>28.2114 * CHOOSE(CONTROL!$C$9, $C$13, 100%, $E$13) + CHOOSE(CONTROL!$C$28, 0, 0)</f>
        <v>28.211400000000001</v>
      </c>
      <c r="E272" s="4">
        <f>130.07703847345 * CHOOSE(CONTROL!$C$9, $C$13, 100%, $E$13) + CHOOSE(CONTROL!$C$28, 0, 0)</f>
        <v>130.07703847344999</v>
      </c>
    </row>
    <row r="273" spans="1:5" ht="15">
      <c r="A273" s="14">
        <v>50161</v>
      </c>
      <c r="B273" s="4">
        <f>22.6966 * CHOOSE(CONTROL!$C$9, $C$13, 100%, $E$13) + CHOOSE(CONTROL!$C$28, 0.0255, 0)</f>
        <v>22.722100000000001</v>
      </c>
      <c r="C273" s="4">
        <f>22.3841 * CHOOSE(CONTROL!$C$9, $C$13, 100%, $E$13) + CHOOSE(CONTROL!$C$28, 0.0255, 0)</f>
        <v>22.409600000000001</v>
      </c>
      <c r="D273" s="4">
        <f>27.9009 * CHOOSE(CONTROL!$C$9, $C$13, 100%, $E$13) + CHOOSE(CONTROL!$C$28, 0, 0)</f>
        <v>27.9009</v>
      </c>
      <c r="E273" s="4">
        <f>133.191776091371 * CHOOSE(CONTROL!$C$9, $C$13, 100%, $E$13) + CHOOSE(CONTROL!$C$28, 0, 0)</f>
        <v>133.191776091371</v>
      </c>
    </row>
    <row r="274" spans="1:5" ht="15">
      <c r="A274" s="14">
        <v>50192</v>
      </c>
      <c r="B274" s="4">
        <f>22.7624 * CHOOSE(CONTROL!$C$9, $C$13, 100%, $E$13) + CHOOSE(CONTROL!$C$28, 0.0255, 0)</f>
        <v>22.7879</v>
      </c>
      <c r="C274" s="4">
        <f>22.4499 * CHOOSE(CONTROL!$C$9, $C$13, 100%, $E$13) + CHOOSE(CONTROL!$C$28, 0.0255, 0)</f>
        <v>22.4754</v>
      </c>
      <c r="D274" s="4">
        <f>28.1538 * CHOOSE(CONTROL!$C$9, $C$13, 100%, $E$13) + CHOOSE(CONTROL!$C$28, 0, 0)</f>
        <v>28.1538</v>
      </c>
      <c r="E274" s="4">
        <f>133.613213017502 * CHOOSE(CONTROL!$C$9, $C$13, 100%, $E$13) + CHOOSE(CONTROL!$C$28, 0, 0)</f>
        <v>133.61321301750201</v>
      </c>
    </row>
    <row r="275" spans="1:5" ht="15">
      <c r="A275" s="14">
        <v>50222</v>
      </c>
      <c r="B275" s="4">
        <f>22.7558 * CHOOSE(CONTROL!$C$9, $C$13, 100%, $E$13) + CHOOSE(CONTROL!$C$28, 0.0255, 0)</f>
        <v>22.781300000000002</v>
      </c>
      <c r="C275" s="4">
        <f>22.4433 * CHOOSE(CONTROL!$C$9, $C$13, 100%, $E$13) + CHOOSE(CONTROL!$C$28, 0.0255, 0)</f>
        <v>22.468800000000002</v>
      </c>
      <c r="D275" s="4">
        <f>28.6101 * CHOOSE(CONTROL!$C$9, $C$13, 100%, $E$13) + CHOOSE(CONTROL!$C$28, 0, 0)</f>
        <v>28.610099999999999</v>
      </c>
      <c r="E275" s="4">
        <f>133.570715176211 * CHOOSE(CONTROL!$C$9, $C$13, 100%, $E$13) + CHOOSE(CONTROL!$C$28, 0, 0)</f>
        <v>133.570715176211</v>
      </c>
    </row>
    <row r="276" spans="1:5" ht="15">
      <c r="A276" s="14">
        <v>50253</v>
      </c>
      <c r="B276" s="4">
        <f>23.2557 * CHOOSE(CONTROL!$C$9, $C$13, 100%, $E$13) + CHOOSE(CONTROL!$C$28, 0.0255, 0)</f>
        <v>23.281200000000002</v>
      </c>
      <c r="C276" s="4">
        <f>22.9432 * CHOOSE(CONTROL!$C$9, $C$13, 100%, $E$13) + CHOOSE(CONTROL!$C$28, 0.0255, 0)</f>
        <v>22.968700000000002</v>
      </c>
      <c r="D276" s="4">
        <f>28.3088 * CHOOSE(CONTROL!$C$9, $C$13, 100%, $E$13) + CHOOSE(CONTROL!$C$28, 0, 0)</f>
        <v>28.308800000000002</v>
      </c>
      <c r="E276" s="4">
        <f>136.768677733326 * CHOOSE(CONTROL!$C$9, $C$13, 100%, $E$13) + CHOOSE(CONTROL!$C$28, 0, 0)</f>
        <v>136.768677733326</v>
      </c>
    </row>
    <row r="277" spans="1:5" ht="15">
      <c r="A277" s="14">
        <v>50284</v>
      </c>
      <c r="B277" s="4">
        <f>22.4037 * CHOOSE(CONTROL!$C$9, $C$13, 100%, $E$13) + CHOOSE(CONTROL!$C$28, 0.0255, 0)</f>
        <v>22.429200000000002</v>
      </c>
      <c r="C277" s="4">
        <f>22.0912 * CHOOSE(CONTROL!$C$9, $C$13, 100%, $E$13) + CHOOSE(CONTROL!$C$28, 0.0255, 0)</f>
        <v>22.116700000000002</v>
      </c>
      <c r="D277" s="4">
        <f>28.1664 * CHOOSE(CONTROL!$C$9, $C$13, 100%, $E$13) + CHOOSE(CONTROL!$C$28, 0, 0)</f>
        <v>28.166399999999999</v>
      </c>
      <c r="E277" s="4">
        <f>131.318329587812 * CHOOSE(CONTROL!$C$9, $C$13, 100%, $E$13) + CHOOSE(CONTROL!$C$28, 0, 0)</f>
        <v>131.318329587812</v>
      </c>
    </row>
    <row r="278" spans="1:5" ht="15">
      <c r="A278" s="14">
        <v>50314</v>
      </c>
      <c r="B278" s="4">
        <f>21.7216 * CHOOSE(CONTROL!$C$9, $C$13, 100%, $E$13) + CHOOSE(CONTROL!$C$28, 0.0003, 0)</f>
        <v>21.721899999999998</v>
      </c>
      <c r="C278" s="4">
        <f>21.4091 * CHOOSE(CONTROL!$C$9, $C$13, 100%, $E$13) + CHOOSE(CONTROL!$C$28, 0.0003, 0)</f>
        <v>21.409399999999998</v>
      </c>
      <c r="D278" s="4">
        <f>27.7851 * CHOOSE(CONTROL!$C$9, $C$13, 100%, $E$13) + CHOOSE(CONTROL!$C$28, 0, 0)</f>
        <v>27.7851</v>
      </c>
      <c r="E278" s="4">
        <f>126.955217881982 * CHOOSE(CONTROL!$C$9, $C$13, 100%, $E$13) + CHOOSE(CONTROL!$C$28, 0, 0)</f>
        <v>126.95521788198199</v>
      </c>
    </row>
    <row r="279" spans="1:5" ht="15">
      <c r="A279" s="14">
        <v>50345</v>
      </c>
      <c r="B279" s="4">
        <f>21.2823 * CHOOSE(CONTROL!$C$9, $C$13, 100%, $E$13) + CHOOSE(CONTROL!$C$28, 0.0003, 0)</f>
        <v>21.282599999999999</v>
      </c>
      <c r="C279" s="4">
        <f>20.9698 * CHOOSE(CONTROL!$C$9, $C$13, 100%, $E$13) + CHOOSE(CONTROL!$C$28, 0.0003, 0)</f>
        <v>20.970099999999999</v>
      </c>
      <c r="D279" s="4">
        <f>27.654 * CHOOSE(CONTROL!$C$9, $C$13, 100%, $E$13) + CHOOSE(CONTROL!$C$28, 0, 0)</f>
        <v>27.654</v>
      </c>
      <c r="E279" s="4">
        <f>124.145048126644 * CHOOSE(CONTROL!$C$9, $C$13, 100%, $E$13) + CHOOSE(CONTROL!$C$28, 0, 0)</f>
        <v>124.145048126644</v>
      </c>
    </row>
    <row r="280" spans="1:5" ht="15">
      <c r="A280" s="14">
        <v>50375</v>
      </c>
      <c r="B280" s="4">
        <f>20.9784 * CHOOSE(CONTROL!$C$9, $C$13, 100%, $E$13) + CHOOSE(CONTROL!$C$28, 0.0003, 0)</f>
        <v>20.9787</v>
      </c>
      <c r="C280" s="4">
        <f>20.6659 * CHOOSE(CONTROL!$C$9, $C$13, 100%, $E$13) + CHOOSE(CONTROL!$C$28, 0.0003, 0)</f>
        <v>20.6662</v>
      </c>
      <c r="D280" s="4">
        <f>26.6891 * CHOOSE(CONTROL!$C$9, $C$13, 100%, $E$13) + CHOOSE(CONTROL!$C$28, 0, 0)</f>
        <v>26.6891</v>
      </c>
      <c r="E280" s="4">
        <f>122.200771887601 * CHOOSE(CONTROL!$C$9, $C$13, 100%, $E$13) + CHOOSE(CONTROL!$C$28, 0, 0)</f>
        <v>122.20077188760099</v>
      </c>
    </row>
    <row r="281" spans="1:5" ht="15">
      <c r="A281" s="13">
        <v>50436</v>
      </c>
      <c r="B281" s="4">
        <f>20.4845 * CHOOSE(CONTROL!$C$9, $C$13, 100%, $E$13) + CHOOSE(CONTROL!$C$28, 0.0003, 0)</f>
        <v>20.4848</v>
      </c>
      <c r="C281" s="4">
        <f>20.172 * CHOOSE(CONTROL!$C$9, $C$13, 100%, $E$13) + CHOOSE(CONTROL!$C$28, 0.0003, 0)</f>
        <v>20.1723</v>
      </c>
      <c r="D281" s="4">
        <f>25.8022 * CHOOSE(CONTROL!$C$9, $C$13, 100%, $E$13) + CHOOSE(CONTROL!$C$28, 0, 0)</f>
        <v>25.802199999999999</v>
      </c>
      <c r="E281" s="4">
        <f>118.696519419961 * CHOOSE(CONTROL!$C$9, $C$13, 100%, $E$13) + CHOOSE(CONTROL!$C$28, 0, 0)</f>
        <v>118.69651941996101</v>
      </c>
    </row>
    <row r="282" spans="1:5" ht="15">
      <c r="A282" s="13">
        <v>50464</v>
      </c>
      <c r="B282" s="4">
        <f>20.9264 * CHOOSE(CONTROL!$C$9, $C$13, 100%, $E$13) + CHOOSE(CONTROL!$C$28, 0.0003, 0)</f>
        <v>20.9267</v>
      </c>
      <c r="C282" s="4">
        <f>20.6139 * CHOOSE(CONTROL!$C$9, $C$13, 100%, $E$13) + CHOOSE(CONTROL!$C$28, 0.0003, 0)</f>
        <v>20.6142</v>
      </c>
      <c r="D282" s="4">
        <f>26.6953 * CHOOSE(CONTROL!$C$9, $C$13, 100%, $E$13) + CHOOSE(CONTROL!$C$28, 0, 0)</f>
        <v>26.6953</v>
      </c>
      <c r="E282" s="4">
        <f>121.514842563225 * CHOOSE(CONTROL!$C$9, $C$13, 100%, $E$13) + CHOOSE(CONTROL!$C$28, 0, 0)</f>
        <v>121.514842563225</v>
      </c>
    </row>
    <row r="283" spans="1:5" ht="15">
      <c r="A283" s="13">
        <v>50495</v>
      </c>
      <c r="B283" s="4">
        <f>22.0867 * CHOOSE(CONTROL!$C$9, $C$13, 100%, $E$13) + CHOOSE(CONTROL!$C$28, 0.0003, 0)</f>
        <v>22.087</v>
      </c>
      <c r="C283" s="4">
        <f>21.7742 * CHOOSE(CONTROL!$C$9, $C$13, 100%, $E$13) + CHOOSE(CONTROL!$C$28, 0.0003, 0)</f>
        <v>21.7745</v>
      </c>
      <c r="D283" s="4">
        <f>28.0934 * CHOOSE(CONTROL!$C$9, $C$13, 100%, $E$13) + CHOOSE(CONTROL!$C$28, 0, 0)</f>
        <v>28.093399999999999</v>
      </c>
      <c r="E283" s="4">
        <f>128.915908912223 * CHOOSE(CONTROL!$C$9, $C$13, 100%, $E$13) + CHOOSE(CONTROL!$C$28, 0, 0)</f>
        <v>128.91590891222299</v>
      </c>
    </row>
    <row r="284" spans="1:5" ht="15">
      <c r="A284" s="13">
        <v>50525</v>
      </c>
      <c r="B284" s="4">
        <f>22.9112 * CHOOSE(CONTROL!$C$9, $C$13, 100%, $E$13) + CHOOSE(CONTROL!$C$28, 0.0003, 0)</f>
        <v>22.9115</v>
      </c>
      <c r="C284" s="4">
        <f>22.5987 * CHOOSE(CONTROL!$C$9, $C$13, 100%, $E$13) + CHOOSE(CONTROL!$C$28, 0.0003, 0)</f>
        <v>22.599</v>
      </c>
      <c r="D284" s="4">
        <f>28.8987 * CHOOSE(CONTROL!$C$9, $C$13, 100%, $E$13) + CHOOSE(CONTROL!$C$28, 0, 0)</f>
        <v>28.898700000000002</v>
      </c>
      <c r="E284" s="4">
        <f>134.174465185364 * CHOOSE(CONTROL!$C$9, $C$13, 100%, $E$13) + CHOOSE(CONTROL!$C$28, 0, 0)</f>
        <v>134.174465185364</v>
      </c>
    </row>
    <row r="285" spans="1:5" ht="15">
      <c r="A285" s="13">
        <v>50556</v>
      </c>
      <c r="B285" s="4">
        <f>23.4149 * CHOOSE(CONTROL!$C$9, $C$13, 100%, $E$13) + CHOOSE(CONTROL!$C$28, 0.0255, 0)</f>
        <v>23.4404</v>
      </c>
      <c r="C285" s="4">
        <f>23.1024 * CHOOSE(CONTROL!$C$9, $C$13, 100%, $E$13) + CHOOSE(CONTROL!$C$28, 0.0255, 0)</f>
        <v>23.1279</v>
      </c>
      <c r="D285" s="4">
        <f>28.5805 * CHOOSE(CONTROL!$C$9, $C$13, 100%, $E$13) + CHOOSE(CONTROL!$C$28, 0, 0)</f>
        <v>28.580500000000001</v>
      </c>
      <c r="E285" s="4">
        <f>137.387317038249 * CHOOSE(CONTROL!$C$9, $C$13, 100%, $E$13) + CHOOSE(CONTROL!$C$28, 0, 0)</f>
        <v>137.38731703824899</v>
      </c>
    </row>
    <row r="286" spans="1:5" ht="15">
      <c r="A286" s="13">
        <v>50586</v>
      </c>
      <c r="B286" s="4">
        <f>23.4831 * CHOOSE(CONTROL!$C$9, $C$13, 100%, $E$13) + CHOOSE(CONTROL!$C$28, 0.0255, 0)</f>
        <v>23.508600000000001</v>
      </c>
      <c r="C286" s="4">
        <f>23.1706 * CHOOSE(CONTROL!$C$9, $C$13, 100%, $E$13) + CHOOSE(CONTROL!$C$28, 0.0255, 0)</f>
        <v>23.196100000000001</v>
      </c>
      <c r="D286" s="4">
        <f>28.8397 * CHOOSE(CONTROL!$C$9, $C$13, 100%, $E$13) + CHOOSE(CONTROL!$C$28, 0, 0)</f>
        <v>28.839700000000001</v>
      </c>
      <c r="E286" s="4">
        <f>137.822029227553 * CHOOSE(CONTROL!$C$9, $C$13, 100%, $E$13) + CHOOSE(CONTROL!$C$28, 0, 0)</f>
        <v>137.822029227553</v>
      </c>
    </row>
    <row r="287" spans="1:5" ht="15">
      <c r="A287" s="13">
        <v>50617</v>
      </c>
      <c r="B287" s="4">
        <f>23.4762 * CHOOSE(CONTROL!$C$9, $C$13, 100%, $E$13) + CHOOSE(CONTROL!$C$28, 0.0255, 0)</f>
        <v>23.5017</v>
      </c>
      <c r="C287" s="4">
        <f>23.1637 * CHOOSE(CONTROL!$C$9, $C$13, 100%, $E$13) + CHOOSE(CONTROL!$C$28, 0.0255, 0)</f>
        <v>23.1892</v>
      </c>
      <c r="D287" s="4">
        <f>29.3073 * CHOOSE(CONTROL!$C$9, $C$13, 100%, $E$13) + CHOOSE(CONTROL!$C$28, 0, 0)</f>
        <v>29.307300000000001</v>
      </c>
      <c r="E287" s="4">
        <f>137.778192704262 * CHOOSE(CONTROL!$C$9, $C$13, 100%, $E$13) + CHOOSE(CONTROL!$C$28, 0, 0)</f>
        <v>137.77819270426201</v>
      </c>
    </row>
    <row r="288" spans="1:5" ht="15">
      <c r="A288" s="13">
        <v>50648</v>
      </c>
      <c r="B288" s="4">
        <f>23.9934 * CHOOSE(CONTROL!$C$9, $C$13, 100%, $E$13) + CHOOSE(CONTROL!$C$28, 0.0255, 0)</f>
        <v>24.018900000000002</v>
      </c>
      <c r="C288" s="4">
        <f>23.6809 * CHOOSE(CONTROL!$C$9, $C$13, 100%, $E$13) + CHOOSE(CONTROL!$C$28, 0.0255, 0)</f>
        <v>23.706400000000002</v>
      </c>
      <c r="D288" s="4">
        <f>28.9985 * CHOOSE(CONTROL!$C$9, $C$13, 100%, $E$13) + CHOOSE(CONTROL!$C$28, 0, 0)</f>
        <v>28.9985</v>
      </c>
      <c r="E288" s="4">
        <f>141.076891081925 * CHOOSE(CONTROL!$C$9, $C$13, 100%, $E$13) + CHOOSE(CONTROL!$C$28, 0, 0)</f>
        <v>141.076891081925</v>
      </c>
    </row>
    <row r="289" spans="1:5" ht="15">
      <c r="A289" s="13">
        <v>50678</v>
      </c>
      <c r="B289" s="4">
        <f>23.1119 * CHOOSE(CONTROL!$C$9, $C$13, 100%, $E$13) + CHOOSE(CONTROL!$C$28, 0.0255, 0)</f>
        <v>23.1374</v>
      </c>
      <c r="C289" s="4">
        <f>22.7994 * CHOOSE(CONTROL!$C$9, $C$13, 100%, $E$13) + CHOOSE(CONTROL!$C$28, 0.0255, 0)</f>
        <v>22.8249</v>
      </c>
      <c r="D289" s="4">
        <f>28.8526 * CHOOSE(CONTROL!$C$9, $C$13, 100%, $E$13) + CHOOSE(CONTROL!$C$28, 0, 0)</f>
        <v>28.852599999999999</v>
      </c>
      <c r="E289" s="4">
        <f>135.454856969828 * CHOOSE(CONTROL!$C$9, $C$13, 100%, $E$13) + CHOOSE(CONTROL!$C$28, 0, 0)</f>
        <v>135.454856969828</v>
      </c>
    </row>
    <row r="290" spans="1:5" ht="15">
      <c r="A290" s="13">
        <v>50709</v>
      </c>
      <c r="B290" s="4">
        <f>22.4063 * CHOOSE(CONTROL!$C$9, $C$13, 100%, $E$13) + CHOOSE(CONTROL!$C$28, 0.0003, 0)</f>
        <v>22.406600000000001</v>
      </c>
      <c r="C290" s="4">
        <f>22.0938 * CHOOSE(CONTROL!$C$9, $C$13, 100%, $E$13) + CHOOSE(CONTROL!$C$28, 0.0003, 0)</f>
        <v>22.094100000000001</v>
      </c>
      <c r="D290" s="4">
        <f>28.4619 * CHOOSE(CONTROL!$C$9, $C$13, 100%, $E$13) + CHOOSE(CONTROL!$C$28, 0, 0)</f>
        <v>28.4619</v>
      </c>
      <c r="E290" s="4">
        <f>130.954307245264 * CHOOSE(CONTROL!$C$9, $C$13, 100%, $E$13) + CHOOSE(CONTROL!$C$28, 0, 0)</f>
        <v>130.954307245264</v>
      </c>
    </row>
    <row r="291" spans="1:5" ht="15">
      <c r="A291" s="13">
        <v>50739</v>
      </c>
      <c r="B291" s="4">
        <f>21.9519 * CHOOSE(CONTROL!$C$9, $C$13, 100%, $E$13) + CHOOSE(CONTROL!$C$28, 0.0003, 0)</f>
        <v>21.952199999999998</v>
      </c>
      <c r="C291" s="4">
        <f>21.6394 * CHOOSE(CONTROL!$C$9, $C$13, 100%, $E$13) + CHOOSE(CONTROL!$C$28, 0.0003, 0)</f>
        <v>21.639699999999998</v>
      </c>
      <c r="D291" s="4">
        <f>28.3275 * CHOOSE(CONTROL!$C$9, $C$13, 100%, $E$13) + CHOOSE(CONTROL!$C$28, 0, 0)</f>
        <v>28.327500000000001</v>
      </c>
      <c r="E291" s="4">
        <f>128.055617142633 * CHOOSE(CONTROL!$C$9, $C$13, 100%, $E$13) + CHOOSE(CONTROL!$C$28, 0, 0)</f>
        <v>128.055617142633</v>
      </c>
    </row>
    <row r="292" spans="1:5" ht="15">
      <c r="A292" s="13">
        <v>50770</v>
      </c>
      <c r="B292" s="4">
        <f>21.6374 * CHOOSE(CONTROL!$C$9, $C$13, 100%, $E$13) + CHOOSE(CONTROL!$C$28, 0.0003, 0)</f>
        <v>21.637699999999999</v>
      </c>
      <c r="C292" s="4">
        <f>21.3249 * CHOOSE(CONTROL!$C$9, $C$13, 100%, $E$13) + CHOOSE(CONTROL!$C$28, 0.0003, 0)</f>
        <v>21.325199999999999</v>
      </c>
      <c r="D292" s="4">
        <f>27.3386 * CHOOSE(CONTROL!$C$9, $C$13, 100%, $E$13) + CHOOSE(CONTROL!$C$28, 0, 0)</f>
        <v>27.3386</v>
      </c>
      <c r="E292" s="4">
        <f>126.050096202061 * CHOOSE(CONTROL!$C$9, $C$13, 100%, $E$13) + CHOOSE(CONTROL!$C$28, 0, 0)</f>
        <v>126.050096202061</v>
      </c>
    </row>
    <row r="293" spans="1:5" ht="15">
      <c r="A293" s="13">
        <v>50801</v>
      </c>
      <c r="B293" s="4">
        <f>21.1265 * CHOOSE(CONTROL!$C$9, $C$13, 100%, $E$13) + CHOOSE(CONTROL!$C$28, 0.0003, 0)</f>
        <v>21.126799999999999</v>
      </c>
      <c r="C293" s="4">
        <f>20.814 * CHOOSE(CONTROL!$C$9, $C$13, 100%, $E$13) + CHOOSE(CONTROL!$C$28, 0.0003, 0)</f>
        <v>20.814299999999999</v>
      </c>
      <c r="D293" s="4">
        <f>26.4297 * CHOOSE(CONTROL!$C$9, $C$13, 100%, $E$13) + CHOOSE(CONTROL!$C$28, 0, 0)</f>
        <v>26.4297</v>
      </c>
      <c r="E293" s="4">
        <f>122.435459781689 * CHOOSE(CONTROL!$C$9, $C$13, 100%, $E$13) + CHOOSE(CONTROL!$C$28, 0, 0)</f>
        <v>122.435459781689</v>
      </c>
    </row>
    <row r="294" spans="1:5" ht="15">
      <c r="A294" s="13">
        <v>50829</v>
      </c>
      <c r="B294" s="4">
        <f>21.5837 * CHOOSE(CONTROL!$C$9, $C$13, 100%, $E$13) + CHOOSE(CONTROL!$C$28, 0.0003, 0)</f>
        <v>21.584</v>
      </c>
      <c r="C294" s="4">
        <f>21.2712 * CHOOSE(CONTROL!$C$9, $C$13, 100%, $E$13) + CHOOSE(CONTROL!$C$28, 0.0003, 0)</f>
        <v>21.2715</v>
      </c>
      <c r="D294" s="4">
        <f>27.345 * CHOOSE(CONTROL!$C$9, $C$13, 100%, $E$13) + CHOOSE(CONTROL!$C$28, 0, 0)</f>
        <v>27.344999999999999</v>
      </c>
      <c r="E294" s="4">
        <f>125.342560103966 * CHOOSE(CONTROL!$C$9, $C$13, 100%, $E$13) + CHOOSE(CONTROL!$C$28, 0, 0)</f>
        <v>125.34256010396599</v>
      </c>
    </row>
    <row r="295" spans="1:5" ht="15">
      <c r="A295" s="13">
        <v>50860</v>
      </c>
      <c r="B295" s="4">
        <f>22.784 * CHOOSE(CONTROL!$C$9, $C$13, 100%, $E$13) + CHOOSE(CONTROL!$C$28, 0.0003, 0)</f>
        <v>22.784299999999998</v>
      </c>
      <c r="C295" s="4">
        <f>22.4715 * CHOOSE(CONTROL!$C$9, $C$13, 100%, $E$13) + CHOOSE(CONTROL!$C$28, 0.0003, 0)</f>
        <v>22.471799999999998</v>
      </c>
      <c r="D295" s="4">
        <f>28.7778 * CHOOSE(CONTROL!$C$9, $C$13, 100%, $E$13) + CHOOSE(CONTROL!$C$28, 0, 0)</f>
        <v>28.777799999999999</v>
      </c>
      <c r="E295" s="4">
        <f>132.976760042958 * CHOOSE(CONTROL!$C$9, $C$13, 100%, $E$13) + CHOOSE(CONTROL!$C$28, 0, 0)</f>
        <v>132.97676004295801</v>
      </c>
    </row>
    <row r="296" spans="1:5" ht="15">
      <c r="A296" s="13">
        <v>50890</v>
      </c>
      <c r="B296" s="4">
        <f>23.6369 * CHOOSE(CONTROL!$C$9, $C$13, 100%, $E$13) + CHOOSE(CONTROL!$C$28, 0.0003, 0)</f>
        <v>23.6372</v>
      </c>
      <c r="C296" s="4">
        <f>23.3244 * CHOOSE(CONTROL!$C$9, $C$13, 100%, $E$13) + CHOOSE(CONTROL!$C$28, 0.0003, 0)</f>
        <v>23.3247</v>
      </c>
      <c r="D296" s="4">
        <f>29.6031 * CHOOSE(CONTROL!$C$9, $C$13, 100%, $E$13) + CHOOSE(CONTROL!$C$28, 0, 0)</f>
        <v>29.603100000000001</v>
      </c>
      <c r="E296" s="4">
        <f>138.400960838703 * CHOOSE(CONTROL!$C$9, $C$13, 100%, $E$13) + CHOOSE(CONTROL!$C$28, 0, 0)</f>
        <v>138.40096083870301</v>
      </c>
    </row>
    <row r="297" spans="1:5" ht="15">
      <c r="A297" s="13">
        <v>50921</v>
      </c>
      <c r="B297" s="4">
        <f>24.158 * CHOOSE(CONTROL!$C$9, $C$13, 100%, $E$13) + CHOOSE(CONTROL!$C$28, 0.0255, 0)</f>
        <v>24.183500000000002</v>
      </c>
      <c r="C297" s="4">
        <f>23.8455 * CHOOSE(CONTROL!$C$9, $C$13, 100%, $E$13) + CHOOSE(CONTROL!$C$28, 0.0255, 0)</f>
        <v>23.871000000000002</v>
      </c>
      <c r="D297" s="4">
        <f>29.277 * CHOOSE(CONTROL!$C$9, $C$13, 100%, $E$13) + CHOOSE(CONTROL!$C$28, 0, 0)</f>
        <v>29.277000000000001</v>
      </c>
      <c r="E297" s="4">
        <f>141.715017524954 * CHOOSE(CONTROL!$C$9, $C$13, 100%, $E$13) + CHOOSE(CONTROL!$C$28, 0, 0)</f>
        <v>141.71501752495399</v>
      </c>
    </row>
    <row r="298" spans="1:5" ht="15">
      <c r="A298" s="13">
        <v>50951</v>
      </c>
      <c r="B298" s="4">
        <f>24.2285 * CHOOSE(CONTROL!$C$9, $C$13, 100%, $E$13) + CHOOSE(CONTROL!$C$28, 0.0255, 0)</f>
        <v>24.254000000000001</v>
      </c>
      <c r="C298" s="4">
        <f>23.916 * CHOOSE(CONTROL!$C$9, $C$13, 100%, $E$13) + CHOOSE(CONTROL!$C$28, 0.0255, 0)</f>
        <v>23.941500000000001</v>
      </c>
      <c r="D298" s="4">
        <f>29.5426 * CHOOSE(CONTROL!$C$9, $C$13, 100%, $E$13) + CHOOSE(CONTROL!$C$28, 0, 0)</f>
        <v>29.5426</v>
      </c>
      <c r="E298" s="4">
        <f>142.163423148221 * CHOOSE(CONTROL!$C$9, $C$13, 100%, $E$13) + CHOOSE(CONTROL!$C$28, 0, 0)</f>
        <v>142.163423148221</v>
      </c>
    </row>
    <row r="299" spans="1:5" ht="15">
      <c r="A299" s="13">
        <v>50982</v>
      </c>
      <c r="B299" s="4">
        <f>24.2214 * CHOOSE(CONTROL!$C$9, $C$13, 100%, $E$13) + CHOOSE(CONTROL!$C$28, 0.0255, 0)</f>
        <v>24.2469</v>
      </c>
      <c r="C299" s="4">
        <f>23.9089 * CHOOSE(CONTROL!$C$9, $C$13, 100%, $E$13) + CHOOSE(CONTROL!$C$28, 0.0255, 0)</f>
        <v>23.9344</v>
      </c>
      <c r="D299" s="4">
        <f>30.0218 * CHOOSE(CONTROL!$C$9, $C$13, 100%, $E$13) + CHOOSE(CONTROL!$C$28, 0, 0)</f>
        <v>30.021799999999999</v>
      </c>
      <c r="E299" s="4">
        <f>142.118205774446 * CHOOSE(CONTROL!$C$9, $C$13, 100%, $E$13) + CHOOSE(CONTROL!$C$28, 0, 0)</f>
        <v>142.11820577444601</v>
      </c>
    </row>
    <row r="300" spans="1:5" ht="15">
      <c r="A300" s="13">
        <v>51013</v>
      </c>
      <c r="B300" s="4">
        <f>24.7564 * CHOOSE(CONTROL!$C$9, $C$13, 100%, $E$13) + CHOOSE(CONTROL!$C$28, 0.0255, 0)</f>
        <v>24.7819</v>
      </c>
      <c r="C300" s="4">
        <f>24.4439 * CHOOSE(CONTROL!$C$9, $C$13, 100%, $E$13) + CHOOSE(CONTROL!$C$28, 0.0255, 0)</f>
        <v>24.4694</v>
      </c>
      <c r="D300" s="4">
        <f>29.7053 * CHOOSE(CONTROL!$C$9, $C$13, 100%, $E$13) + CHOOSE(CONTROL!$C$28, 0, 0)</f>
        <v>29.705300000000001</v>
      </c>
      <c r="E300" s="4">
        <f>145.520813151006 * CHOOSE(CONTROL!$C$9, $C$13, 100%, $E$13) + CHOOSE(CONTROL!$C$28, 0, 0)</f>
        <v>145.520813151006</v>
      </c>
    </row>
    <row r="301" spans="1:5" ht="15">
      <c r="A301" s="13">
        <v>51043</v>
      </c>
      <c r="B301" s="4">
        <f>23.8446 * CHOOSE(CONTROL!$C$9, $C$13, 100%, $E$13) + CHOOSE(CONTROL!$C$28, 0.0255, 0)</f>
        <v>23.870100000000001</v>
      </c>
      <c r="C301" s="4">
        <f>23.5321 * CHOOSE(CONTROL!$C$9, $C$13, 100%, $E$13) + CHOOSE(CONTROL!$C$28, 0.0255, 0)</f>
        <v>23.557600000000001</v>
      </c>
      <c r="D301" s="4">
        <f>29.5558 * CHOOSE(CONTROL!$C$9, $C$13, 100%, $E$13) + CHOOSE(CONTROL!$C$28, 0, 0)</f>
        <v>29.555800000000001</v>
      </c>
      <c r="E301" s="4">
        <f>139.721684964378 * CHOOSE(CONTROL!$C$9, $C$13, 100%, $E$13) + CHOOSE(CONTROL!$C$28, 0, 0)</f>
        <v>139.721684964378</v>
      </c>
    </row>
    <row r="302" spans="1:5" ht="15">
      <c r="A302" s="13">
        <v>51074</v>
      </c>
      <c r="B302" s="4">
        <f>23.1147 * CHOOSE(CONTROL!$C$9, $C$13, 100%, $E$13) + CHOOSE(CONTROL!$C$28, 0.0003, 0)</f>
        <v>23.114999999999998</v>
      </c>
      <c r="C302" s="4">
        <f>22.8022 * CHOOSE(CONTROL!$C$9, $C$13, 100%, $E$13) + CHOOSE(CONTROL!$C$28, 0.0003, 0)</f>
        <v>22.802499999999998</v>
      </c>
      <c r="D302" s="4">
        <f>29.1554 * CHOOSE(CONTROL!$C$9, $C$13, 100%, $E$13) + CHOOSE(CONTROL!$C$28, 0, 0)</f>
        <v>29.1554</v>
      </c>
      <c r="E302" s="4">
        <f>135.07936792349 * CHOOSE(CONTROL!$C$9, $C$13, 100%, $E$13) + CHOOSE(CONTROL!$C$28, 0, 0)</f>
        <v>135.07936792349</v>
      </c>
    </row>
    <row r="303" spans="1:5" ht="15">
      <c r="A303" s="13">
        <v>51104</v>
      </c>
      <c r="B303" s="4">
        <f>22.6445 * CHOOSE(CONTROL!$C$9, $C$13, 100%, $E$13) + CHOOSE(CONTROL!$C$28, 0.0003, 0)</f>
        <v>22.6448</v>
      </c>
      <c r="C303" s="4">
        <f>22.332 * CHOOSE(CONTROL!$C$9, $C$13, 100%, $E$13) + CHOOSE(CONTROL!$C$28, 0.0003, 0)</f>
        <v>22.3323</v>
      </c>
      <c r="D303" s="4">
        <f>29.0177 * CHOOSE(CONTROL!$C$9, $C$13, 100%, $E$13) + CHOOSE(CONTROL!$C$28, 0, 0)</f>
        <v>29.017700000000001</v>
      </c>
      <c r="E303" s="4">
        <f>132.089369082626 * CHOOSE(CONTROL!$C$9, $C$13, 100%, $E$13) + CHOOSE(CONTROL!$C$28, 0, 0)</f>
        <v>132.08936908262601</v>
      </c>
    </row>
    <row r="304" spans="1:5" ht="15">
      <c r="A304" s="13">
        <v>51135</v>
      </c>
      <c r="B304" s="4">
        <f>22.3192 * CHOOSE(CONTROL!$C$9, $C$13, 100%, $E$13) + CHOOSE(CONTROL!$C$28, 0.0003, 0)</f>
        <v>22.319499999999998</v>
      </c>
      <c r="C304" s="4">
        <f>22.0067 * CHOOSE(CONTROL!$C$9, $C$13, 100%, $E$13) + CHOOSE(CONTROL!$C$28, 0.0003, 0)</f>
        <v>22.006999999999998</v>
      </c>
      <c r="D304" s="4">
        <f>28.0043 * CHOOSE(CONTROL!$C$9, $C$13, 100%, $E$13) + CHOOSE(CONTROL!$C$28, 0, 0)</f>
        <v>28.004300000000001</v>
      </c>
      <c r="E304" s="4">
        <f>130.020674232426 * CHOOSE(CONTROL!$C$9, $C$13, 100%, $E$13) + CHOOSE(CONTROL!$C$28, 0, 0)</f>
        <v>130.02067423242599</v>
      </c>
    </row>
    <row r="305" spans="1:5" ht="15">
      <c r="A305" s="13">
        <v>51166</v>
      </c>
      <c r="B305" s="4">
        <f>21.7907 * CHOOSE(CONTROL!$C$9, $C$13, 100%, $E$13) + CHOOSE(CONTROL!$C$28, 0.0003, 0)</f>
        <v>21.791</v>
      </c>
      <c r="C305" s="4">
        <f>21.4782 * CHOOSE(CONTROL!$C$9, $C$13, 100%, $E$13) + CHOOSE(CONTROL!$C$28, 0.0003, 0)</f>
        <v>21.4785</v>
      </c>
      <c r="D305" s="4">
        <f>27.0729 * CHOOSE(CONTROL!$C$9, $C$13, 100%, $E$13) + CHOOSE(CONTROL!$C$28, 0, 0)</f>
        <v>27.072900000000001</v>
      </c>
      <c r="E305" s="4">
        <f>126.292176764813 * CHOOSE(CONTROL!$C$9, $C$13, 100%, $E$13) + CHOOSE(CONTROL!$C$28, 0, 0)</f>
        <v>126.29217676481299</v>
      </c>
    </row>
    <row r="306" spans="1:5" ht="15">
      <c r="A306" s="13">
        <v>51194</v>
      </c>
      <c r="B306" s="4">
        <f>22.2636 * CHOOSE(CONTROL!$C$9, $C$13, 100%, $E$13) + CHOOSE(CONTROL!$C$28, 0.0003, 0)</f>
        <v>22.2639</v>
      </c>
      <c r="C306" s="4">
        <f>21.9511 * CHOOSE(CONTROL!$C$9, $C$13, 100%, $E$13) + CHOOSE(CONTROL!$C$28, 0.0003, 0)</f>
        <v>21.9514</v>
      </c>
      <c r="D306" s="4">
        <f>28.0108 * CHOOSE(CONTROL!$C$9, $C$13, 100%, $E$13) + CHOOSE(CONTROL!$C$28, 0, 0)</f>
        <v>28.0108</v>
      </c>
      <c r="E306" s="4">
        <f>129.290850747241 * CHOOSE(CONTROL!$C$9, $C$13, 100%, $E$13) + CHOOSE(CONTROL!$C$28, 0, 0)</f>
        <v>129.290850747241</v>
      </c>
    </row>
    <row r="307" spans="1:5" ht="15">
      <c r="A307" s="13">
        <v>51226</v>
      </c>
      <c r="B307" s="4">
        <f>23.5054 * CHOOSE(CONTROL!$C$9, $C$13, 100%, $E$13) + CHOOSE(CONTROL!$C$28, 0.0003, 0)</f>
        <v>23.505700000000001</v>
      </c>
      <c r="C307" s="4">
        <f>23.1929 * CHOOSE(CONTROL!$C$9, $C$13, 100%, $E$13) + CHOOSE(CONTROL!$C$28, 0.0003, 0)</f>
        <v>23.193200000000001</v>
      </c>
      <c r="D307" s="4">
        <f>29.4791 * CHOOSE(CONTROL!$C$9, $C$13, 100%, $E$13) + CHOOSE(CONTROL!$C$28, 0, 0)</f>
        <v>29.479099999999999</v>
      </c>
      <c r="E307" s="4">
        <f>137.165527984311 * CHOOSE(CONTROL!$C$9, $C$13, 100%, $E$13) + CHOOSE(CONTROL!$C$28, 0, 0)</f>
        <v>137.16552798431101</v>
      </c>
    </row>
    <row r="308" spans="1:5" ht="15">
      <c r="A308" s="13">
        <v>51256</v>
      </c>
      <c r="B308" s="4">
        <f>24.3877 * CHOOSE(CONTROL!$C$9, $C$13, 100%, $E$13) + CHOOSE(CONTROL!$C$28, 0.0003, 0)</f>
        <v>24.387999999999998</v>
      </c>
      <c r="C308" s="4">
        <f>24.0752 * CHOOSE(CONTROL!$C$9, $C$13, 100%, $E$13) + CHOOSE(CONTROL!$C$28, 0.0003, 0)</f>
        <v>24.075499999999998</v>
      </c>
      <c r="D308" s="4">
        <f>30.3249 * CHOOSE(CONTROL!$C$9, $C$13, 100%, $E$13) + CHOOSE(CONTROL!$C$28, 0, 0)</f>
        <v>30.3249</v>
      </c>
      <c r="E308" s="4">
        <f>142.760591105122 * CHOOSE(CONTROL!$C$9, $C$13, 100%, $E$13) + CHOOSE(CONTROL!$C$28, 0, 0)</f>
        <v>142.76059110512199</v>
      </c>
    </row>
    <row r="309" spans="1:5" ht="15">
      <c r="A309" s="13">
        <v>51287</v>
      </c>
      <c r="B309" s="4">
        <f>24.9268 * CHOOSE(CONTROL!$C$9, $C$13, 100%, $E$13) + CHOOSE(CONTROL!$C$28, 0.0255, 0)</f>
        <v>24.952300000000001</v>
      </c>
      <c r="C309" s="4">
        <f>24.6143 * CHOOSE(CONTROL!$C$9, $C$13, 100%, $E$13) + CHOOSE(CONTROL!$C$28, 0.0255, 0)</f>
        <v>24.639800000000001</v>
      </c>
      <c r="D309" s="4">
        <f>29.9907 * CHOOSE(CONTROL!$C$9, $C$13, 100%, $E$13) + CHOOSE(CONTROL!$C$28, 0, 0)</f>
        <v>29.9907</v>
      </c>
      <c r="E309" s="4">
        <f>146.17904057699 * CHOOSE(CONTROL!$C$9, $C$13, 100%, $E$13) + CHOOSE(CONTROL!$C$28, 0, 0)</f>
        <v>146.17904057698999</v>
      </c>
    </row>
    <row r="310" spans="1:5" ht="15">
      <c r="A310" s="13">
        <v>51317</v>
      </c>
      <c r="B310" s="4">
        <f>24.9997 * CHOOSE(CONTROL!$C$9, $C$13, 100%, $E$13) + CHOOSE(CONTROL!$C$28, 0.0255, 0)</f>
        <v>25.025200000000002</v>
      </c>
      <c r="C310" s="4">
        <f>24.6872 * CHOOSE(CONTROL!$C$9, $C$13, 100%, $E$13) + CHOOSE(CONTROL!$C$28, 0.0255, 0)</f>
        <v>24.712700000000002</v>
      </c>
      <c r="D310" s="4">
        <f>30.2629 * CHOOSE(CONTROL!$C$9, $C$13, 100%, $E$13) + CHOOSE(CONTROL!$C$28, 0, 0)</f>
        <v>30.262899999999998</v>
      </c>
      <c r="E310" s="4">
        <f>146.64157097739 * CHOOSE(CONTROL!$C$9, $C$13, 100%, $E$13) + CHOOSE(CONTROL!$C$28, 0, 0)</f>
        <v>146.64157097738999</v>
      </c>
    </row>
    <row r="311" spans="1:5" ht="15">
      <c r="A311" s="13">
        <v>51348</v>
      </c>
      <c r="B311" s="4">
        <f>24.9924 * CHOOSE(CONTROL!$C$9, $C$13, 100%, $E$13) + CHOOSE(CONTROL!$C$28, 0.0255, 0)</f>
        <v>25.017900000000001</v>
      </c>
      <c r="C311" s="4">
        <f>24.6799 * CHOOSE(CONTROL!$C$9, $C$13, 100%, $E$13) + CHOOSE(CONTROL!$C$28, 0.0255, 0)</f>
        <v>24.705400000000001</v>
      </c>
      <c r="D311" s="4">
        <f>30.754 * CHOOSE(CONTROL!$C$9, $C$13, 100%, $E$13) + CHOOSE(CONTROL!$C$28, 0, 0)</f>
        <v>30.754000000000001</v>
      </c>
      <c r="E311" s="4">
        <f>146.594929256341 * CHOOSE(CONTROL!$C$9, $C$13, 100%, $E$13) + CHOOSE(CONTROL!$C$28, 0, 0)</f>
        <v>146.594929256341</v>
      </c>
    </row>
    <row r="312" spans="1:5" ht="15">
      <c r="A312" s="13">
        <v>51379</v>
      </c>
      <c r="B312" s="4">
        <f>25.5459 * CHOOSE(CONTROL!$C$9, $C$13, 100%, $E$13) + CHOOSE(CONTROL!$C$28, 0.0255, 0)</f>
        <v>25.571400000000001</v>
      </c>
      <c r="C312" s="4">
        <f>25.2334 * CHOOSE(CONTROL!$C$9, $C$13, 100%, $E$13) + CHOOSE(CONTROL!$C$28, 0.0255, 0)</f>
        <v>25.258900000000001</v>
      </c>
      <c r="D312" s="4">
        <f>30.4297 * CHOOSE(CONTROL!$C$9, $C$13, 100%, $E$13) + CHOOSE(CONTROL!$C$28, 0, 0)</f>
        <v>30.4297</v>
      </c>
      <c r="E312" s="4">
        <f>150.104718765263 * CHOOSE(CONTROL!$C$9, $C$13, 100%, $E$13) + CHOOSE(CONTROL!$C$28, 0, 0)</f>
        <v>150.10471876526299</v>
      </c>
    </row>
    <row r="313" spans="1:5" ht="15">
      <c r="A313" s="13">
        <v>51409</v>
      </c>
      <c r="B313" s="4">
        <f>24.6026 * CHOOSE(CONTROL!$C$9, $C$13, 100%, $E$13) + CHOOSE(CONTROL!$C$28, 0.0255, 0)</f>
        <v>24.6281</v>
      </c>
      <c r="C313" s="4">
        <f>24.2901 * CHOOSE(CONTROL!$C$9, $C$13, 100%, $E$13) + CHOOSE(CONTROL!$C$28, 0.0255, 0)</f>
        <v>24.3156</v>
      </c>
      <c r="D313" s="4">
        <f>30.2764 * CHOOSE(CONTROL!$C$9, $C$13, 100%, $E$13) + CHOOSE(CONTROL!$C$28, 0, 0)</f>
        <v>30.276399999999999</v>
      </c>
      <c r="E313" s="4">
        <f>144.122918040756 * CHOOSE(CONTROL!$C$9, $C$13, 100%, $E$13) + CHOOSE(CONTROL!$C$28, 0, 0)</f>
        <v>144.12291804075599</v>
      </c>
    </row>
    <row r="314" spans="1:5" ht="15">
      <c r="A314" s="13">
        <v>51440</v>
      </c>
      <c r="B314" s="4">
        <f>23.8474 * CHOOSE(CONTROL!$C$9, $C$13, 100%, $E$13) + CHOOSE(CONTROL!$C$28, 0.0003, 0)</f>
        <v>23.8477</v>
      </c>
      <c r="C314" s="4">
        <f>23.5349 * CHOOSE(CONTROL!$C$9, $C$13, 100%, $E$13) + CHOOSE(CONTROL!$C$28, 0.0003, 0)</f>
        <v>23.5352</v>
      </c>
      <c r="D314" s="4">
        <f>29.8661 * CHOOSE(CONTROL!$C$9, $C$13, 100%, $E$13) + CHOOSE(CONTROL!$C$28, 0, 0)</f>
        <v>29.866099999999999</v>
      </c>
      <c r="E314" s="4">
        <f>139.33436801308 * CHOOSE(CONTROL!$C$9, $C$13, 100%, $E$13) + CHOOSE(CONTROL!$C$28, 0, 0)</f>
        <v>139.33436801308</v>
      </c>
    </row>
    <row r="315" spans="1:5" ht="15">
      <c r="A315" s="13">
        <v>51470</v>
      </c>
      <c r="B315" s="4">
        <f>23.3611 * CHOOSE(CONTROL!$C$9, $C$13, 100%, $E$13) + CHOOSE(CONTROL!$C$28, 0.0003, 0)</f>
        <v>23.3614</v>
      </c>
      <c r="C315" s="4">
        <f>23.0486 * CHOOSE(CONTROL!$C$9, $C$13, 100%, $E$13) + CHOOSE(CONTROL!$C$28, 0.0003, 0)</f>
        <v>23.0489</v>
      </c>
      <c r="D315" s="4">
        <f>29.725 * CHOOSE(CONTROL!$C$9, $C$13, 100%, $E$13) + CHOOSE(CONTROL!$C$28, 0, 0)</f>
        <v>29.725000000000001</v>
      </c>
      <c r="E315" s="4">
        <f>136.250184208729 * CHOOSE(CONTROL!$C$9, $C$13, 100%, $E$13) + CHOOSE(CONTROL!$C$28, 0, 0)</f>
        <v>136.250184208729</v>
      </c>
    </row>
    <row r="316" spans="1:5" ht="15">
      <c r="A316" s="13">
        <v>51501</v>
      </c>
      <c r="B316" s="4">
        <f>23.0246 * CHOOSE(CONTROL!$C$9, $C$13, 100%, $E$13) + CHOOSE(CONTROL!$C$28, 0.0003, 0)</f>
        <v>23.024899999999999</v>
      </c>
      <c r="C316" s="4">
        <f>22.7121 * CHOOSE(CONTROL!$C$9, $C$13, 100%, $E$13) + CHOOSE(CONTROL!$C$28, 0.0003, 0)</f>
        <v>22.712399999999999</v>
      </c>
      <c r="D316" s="4">
        <f>28.6865 * CHOOSE(CONTROL!$C$9, $C$13, 100%, $E$13) + CHOOSE(CONTROL!$C$28, 0, 0)</f>
        <v>28.686499999999999</v>
      </c>
      <c r="E316" s="4">
        <f>134.116325470747 * CHOOSE(CONTROL!$C$9, $C$13, 100%, $E$13) + CHOOSE(CONTROL!$C$28, 0, 0)</f>
        <v>134.116325470747</v>
      </c>
    </row>
    <row r="317" spans="1:5" ht="15">
      <c r="A317" s="13">
        <v>51532</v>
      </c>
      <c r="B317" s="4">
        <f>22.4778 * CHOOSE(CONTROL!$C$9, $C$13, 100%, $E$13) + CHOOSE(CONTROL!$C$28, 0.0003, 0)</f>
        <v>22.478099999999998</v>
      </c>
      <c r="C317" s="4">
        <f>22.1653 * CHOOSE(CONTROL!$C$9, $C$13, 100%, $E$13) + CHOOSE(CONTROL!$C$28, 0.0003, 0)</f>
        <v>22.165599999999998</v>
      </c>
      <c r="D317" s="4">
        <f>27.7319 * CHOOSE(CONTROL!$C$9, $C$13, 100%, $E$13) + CHOOSE(CONTROL!$C$28, 0, 0)</f>
        <v>27.7319</v>
      </c>
      <c r="E317" s="4">
        <f>130.270380332904 * CHOOSE(CONTROL!$C$9, $C$13, 100%, $E$13) + CHOOSE(CONTROL!$C$28, 0, 0)</f>
        <v>130.27038033290401</v>
      </c>
    </row>
    <row r="318" spans="1:5" ht="15">
      <c r="A318" s="13">
        <v>51560</v>
      </c>
      <c r="B318" s="4">
        <f>22.967 * CHOOSE(CONTROL!$C$9, $C$13, 100%, $E$13) + CHOOSE(CONTROL!$C$28, 0.0003, 0)</f>
        <v>22.967299999999998</v>
      </c>
      <c r="C318" s="4">
        <f>22.6545 * CHOOSE(CONTROL!$C$9, $C$13, 100%, $E$13) + CHOOSE(CONTROL!$C$28, 0.0003, 0)</f>
        <v>22.654799999999998</v>
      </c>
      <c r="D318" s="4">
        <f>28.6932 * CHOOSE(CONTROL!$C$9, $C$13, 100%, $E$13) + CHOOSE(CONTROL!$C$28, 0, 0)</f>
        <v>28.693200000000001</v>
      </c>
      <c r="E318" s="4">
        <f>133.363512545779 * CHOOSE(CONTROL!$C$9, $C$13, 100%, $E$13) + CHOOSE(CONTROL!$C$28, 0, 0)</f>
        <v>133.363512545779</v>
      </c>
    </row>
    <row r="319" spans="1:5" ht="15">
      <c r="A319" s="13">
        <v>51591</v>
      </c>
      <c r="B319" s="4">
        <f>24.2517 * CHOOSE(CONTROL!$C$9, $C$13, 100%, $E$13) + CHOOSE(CONTROL!$C$28, 0.0003, 0)</f>
        <v>24.251999999999999</v>
      </c>
      <c r="C319" s="4">
        <f>23.9392 * CHOOSE(CONTROL!$C$9, $C$13, 100%, $E$13) + CHOOSE(CONTROL!$C$28, 0.0003, 0)</f>
        <v>23.939499999999999</v>
      </c>
      <c r="D319" s="4">
        <f>30.1979 * CHOOSE(CONTROL!$C$9, $C$13, 100%, $E$13) + CHOOSE(CONTROL!$C$28, 0, 0)</f>
        <v>30.197900000000001</v>
      </c>
      <c r="E319" s="4">
        <f>141.486242115817 * CHOOSE(CONTROL!$C$9, $C$13, 100%, $E$13) + CHOOSE(CONTROL!$C$28, 0, 0)</f>
        <v>141.48624211581699</v>
      </c>
    </row>
    <row r="320" spans="1:5" ht="15">
      <c r="A320" s="13">
        <v>51621</v>
      </c>
      <c r="B320" s="4">
        <f>25.1644 * CHOOSE(CONTROL!$C$9, $C$13, 100%, $E$13) + CHOOSE(CONTROL!$C$28, 0.0003, 0)</f>
        <v>25.1647</v>
      </c>
      <c r="C320" s="4">
        <f>24.8519 * CHOOSE(CONTROL!$C$9, $C$13, 100%, $E$13) + CHOOSE(CONTROL!$C$28, 0.0003, 0)</f>
        <v>24.8522</v>
      </c>
      <c r="D320" s="4">
        <f>31.0647 * CHOOSE(CONTROL!$C$9, $C$13, 100%, $E$13) + CHOOSE(CONTROL!$C$28, 0, 0)</f>
        <v>31.064699999999998</v>
      </c>
      <c r="E320" s="4">
        <f>147.257549724934 * CHOOSE(CONTROL!$C$9, $C$13, 100%, $E$13) + CHOOSE(CONTROL!$C$28, 0, 0)</f>
        <v>147.25754972493399</v>
      </c>
    </row>
    <row r="321" spans="1:5" ht="15">
      <c r="A321" s="13">
        <v>51652</v>
      </c>
      <c r="B321" s="4">
        <f>25.7221 * CHOOSE(CONTROL!$C$9, $C$13, 100%, $E$13) + CHOOSE(CONTROL!$C$28, 0.0255, 0)</f>
        <v>25.747600000000002</v>
      </c>
      <c r="C321" s="4">
        <f>25.4096 * CHOOSE(CONTROL!$C$9, $C$13, 100%, $E$13) + CHOOSE(CONTROL!$C$28, 0.0255, 0)</f>
        <v>25.435100000000002</v>
      </c>
      <c r="D321" s="4">
        <f>30.7222 * CHOOSE(CONTROL!$C$9, $C$13, 100%, $E$13) + CHOOSE(CONTROL!$C$28, 0, 0)</f>
        <v>30.722200000000001</v>
      </c>
      <c r="E321" s="4">
        <f>150.783680355165 * CHOOSE(CONTROL!$C$9, $C$13, 100%, $E$13) + CHOOSE(CONTROL!$C$28, 0, 0)</f>
        <v>150.78368035516499</v>
      </c>
    </row>
    <row r="322" spans="1:5" ht="15">
      <c r="A322" s="13">
        <v>51682</v>
      </c>
      <c r="B322" s="4">
        <f>25.7975 * CHOOSE(CONTROL!$C$9, $C$13, 100%, $E$13) + CHOOSE(CONTROL!$C$28, 0.0255, 0)</f>
        <v>25.823</v>
      </c>
      <c r="C322" s="4">
        <f>25.485 * CHOOSE(CONTROL!$C$9, $C$13, 100%, $E$13) + CHOOSE(CONTROL!$C$28, 0.0255, 0)</f>
        <v>25.5105</v>
      </c>
      <c r="D322" s="4">
        <f>31.0011 * CHOOSE(CONTROL!$C$9, $C$13, 100%, $E$13) + CHOOSE(CONTROL!$C$28, 0, 0)</f>
        <v>31.001100000000001</v>
      </c>
      <c r="E322" s="4">
        <f>151.260780463178 * CHOOSE(CONTROL!$C$9, $C$13, 100%, $E$13) + CHOOSE(CONTROL!$C$28, 0, 0)</f>
        <v>151.26078046317801</v>
      </c>
    </row>
    <row r="323" spans="1:5" ht="15">
      <c r="A323" s="13">
        <v>51713</v>
      </c>
      <c r="B323" s="4">
        <f>25.7899 * CHOOSE(CONTROL!$C$9, $C$13, 100%, $E$13) + CHOOSE(CONTROL!$C$28, 0.0255, 0)</f>
        <v>25.8154</v>
      </c>
      <c r="C323" s="4">
        <f>25.4774 * CHOOSE(CONTROL!$C$9, $C$13, 100%, $E$13) + CHOOSE(CONTROL!$C$28, 0.0255, 0)</f>
        <v>25.5029</v>
      </c>
      <c r="D323" s="4">
        <f>31.5044 * CHOOSE(CONTROL!$C$9, $C$13, 100%, $E$13) + CHOOSE(CONTROL!$C$28, 0, 0)</f>
        <v>31.5044</v>
      </c>
      <c r="E323" s="4">
        <f>151.212669527916 * CHOOSE(CONTROL!$C$9, $C$13, 100%, $E$13) + CHOOSE(CONTROL!$C$28, 0, 0)</f>
        <v>151.21266952791601</v>
      </c>
    </row>
    <row r="324" spans="1:5" ht="15">
      <c r="A324" s="13">
        <v>51744</v>
      </c>
      <c r="B324" s="4">
        <f>26.3625 * CHOOSE(CONTROL!$C$9, $C$13, 100%, $E$13) + CHOOSE(CONTROL!$C$28, 0.0255, 0)</f>
        <v>26.388000000000002</v>
      </c>
      <c r="C324" s="4">
        <f>26.05 * CHOOSE(CONTROL!$C$9, $C$13, 100%, $E$13) + CHOOSE(CONTROL!$C$28, 0.0255, 0)</f>
        <v>26.075500000000002</v>
      </c>
      <c r="D324" s="4">
        <f>31.172 * CHOOSE(CONTROL!$C$9, $C$13, 100%, $E$13) + CHOOSE(CONTROL!$C$28, 0, 0)</f>
        <v>31.172000000000001</v>
      </c>
      <c r="E324" s="4">
        <f>154.833017406369 * CHOOSE(CONTROL!$C$9, $C$13, 100%, $E$13) + CHOOSE(CONTROL!$C$28, 0, 0)</f>
        <v>154.83301740636901</v>
      </c>
    </row>
    <row r="325" spans="1:5" ht="15">
      <c r="A325" s="13">
        <v>51774</v>
      </c>
      <c r="B325" s="4">
        <f>25.3867 * CHOOSE(CONTROL!$C$9, $C$13, 100%, $E$13) + CHOOSE(CONTROL!$C$28, 0.0255, 0)</f>
        <v>25.412200000000002</v>
      </c>
      <c r="C325" s="4">
        <f>25.0742 * CHOOSE(CONTROL!$C$9, $C$13, 100%, $E$13) + CHOOSE(CONTROL!$C$28, 0.0255, 0)</f>
        <v>25.099700000000002</v>
      </c>
      <c r="D325" s="4">
        <f>31.015 * CHOOSE(CONTROL!$C$9, $C$13, 100%, $E$13) + CHOOSE(CONTROL!$C$28, 0, 0)</f>
        <v>31.015000000000001</v>
      </c>
      <c r="E325" s="4">
        <f>148.66278995904 * CHOOSE(CONTROL!$C$9, $C$13, 100%, $E$13) + CHOOSE(CONTROL!$C$28, 0, 0)</f>
        <v>148.66278995904</v>
      </c>
    </row>
    <row r="326" spans="1:5" ht="15">
      <c r="A326" s="13">
        <v>51805</v>
      </c>
      <c r="B326" s="4">
        <f>24.6055 * CHOOSE(CONTROL!$C$9, $C$13, 100%, $E$13) + CHOOSE(CONTROL!$C$28, 0.0003, 0)</f>
        <v>24.605799999999999</v>
      </c>
      <c r="C326" s="4">
        <f>24.293 * CHOOSE(CONTROL!$C$9, $C$13, 100%, $E$13) + CHOOSE(CONTROL!$C$28, 0.0003, 0)</f>
        <v>24.293299999999999</v>
      </c>
      <c r="D326" s="4">
        <f>30.5945 * CHOOSE(CONTROL!$C$9, $C$13, 100%, $E$13) + CHOOSE(CONTROL!$C$28, 0, 0)</f>
        <v>30.5945</v>
      </c>
      <c r="E326" s="4">
        <f>143.723400605492 * CHOOSE(CONTROL!$C$9, $C$13, 100%, $E$13) + CHOOSE(CONTROL!$C$28, 0, 0)</f>
        <v>143.723400605492</v>
      </c>
    </row>
    <row r="327" spans="1:5" ht="15">
      <c r="A327" s="13">
        <v>51835</v>
      </c>
      <c r="B327" s="4">
        <f>24.1023 * CHOOSE(CONTROL!$C$9, $C$13, 100%, $E$13) + CHOOSE(CONTROL!$C$28, 0.0003, 0)</f>
        <v>24.102599999999999</v>
      </c>
      <c r="C327" s="4">
        <f>23.7898 * CHOOSE(CONTROL!$C$9, $C$13, 100%, $E$13) + CHOOSE(CONTROL!$C$28, 0.0003, 0)</f>
        <v>23.790099999999999</v>
      </c>
      <c r="D327" s="4">
        <f>30.4499 * CHOOSE(CONTROL!$C$9, $C$13, 100%, $E$13) + CHOOSE(CONTROL!$C$28, 0, 0)</f>
        <v>30.4499</v>
      </c>
      <c r="E327" s="4">
        <f>140.542065011304 * CHOOSE(CONTROL!$C$9, $C$13, 100%, $E$13) + CHOOSE(CONTROL!$C$28, 0, 0)</f>
        <v>140.542065011304</v>
      </c>
    </row>
    <row r="328" spans="1:5" ht="15">
      <c r="A328" s="13">
        <v>51866</v>
      </c>
      <c r="B328" s="4">
        <f>23.7542 * CHOOSE(CONTROL!$C$9, $C$13, 100%, $E$13) + CHOOSE(CONTROL!$C$28, 0.0003, 0)</f>
        <v>23.7545</v>
      </c>
      <c r="C328" s="4">
        <f>23.4417 * CHOOSE(CONTROL!$C$9, $C$13, 100%, $E$13) + CHOOSE(CONTROL!$C$28, 0.0003, 0)</f>
        <v>23.442</v>
      </c>
      <c r="D328" s="4">
        <f>29.3856 * CHOOSE(CONTROL!$C$9, $C$13, 100%, $E$13) + CHOOSE(CONTROL!$C$28, 0, 0)</f>
        <v>29.3856</v>
      </c>
      <c r="E328" s="4">
        <f>138.340989723075 * CHOOSE(CONTROL!$C$9, $C$13, 100%, $E$13) + CHOOSE(CONTROL!$C$28, 0, 0)</f>
        <v>138.34098972307501</v>
      </c>
    </row>
    <row r="329" spans="1:5" ht="15">
      <c r="A329" s="13">
        <v>51897</v>
      </c>
      <c r="B329" s="4">
        <f>23.1886 * CHOOSE(CONTROL!$C$9, $C$13, 100%, $E$13) + CHOOSE(CONTROL!$C$28, 0.0003, 0)</f>
        <v>23.1889</v>
      </c>
      <c r="C329" s="4">
        <f>22.8761 * CHOOSE(CONTROL!$C$9, $C$13, 100%, $E$13) + CHOOSE(CONTROL!$C$28, 0.0003, 0)</f>
        <v>22.8764</v>
      </c>
      <c r="D329" s="4">
        <f>28.4074 * CHOOSE(CONTROL!$C$9, $C$13, 100%, $E$13) + CHOOSE(CONTROL!$C$28, 0, 0)</f>
        <v>28.407399999999999</v>
      </c>
      <c r="E329" s="4">
        <f>134.373897313391 * CHOOSE(CONTROL!$C$9, $C$13, 100%, $E$13) + CHOOSE(CONTROL!$C$28, 0, 0)</f>
        <v>134.37389731339101</v>
      </c>
    </row>
    <row r="330" spans="1:5" ht="15">
      <c r="A330" s="13">
        <v>51925</v>
      </c>
      <c r="B330" s="4">
        <f>23.6947 * CHOOSE(CONTROL!$C$9, $C$13, 100%, $E$13) + CHOOSE(CONTROL!$C$28, 0.0003, 0)</f>
        <v>23.695</v>
      </c>
      <c r="C330" s="4">
        <f>23.3822 * CHOOSE(CONTROL!$C$9, $C$13, 100%, $E$13) + CHOOSE(CONTROL!$C$28, 0.0003, 0)</f>
        <v>23.3825</v>
      </c>
      <c r="D330" s="4">
        <f>29.3924 * CHOOSE(CONTROL!$C$9, $C$13, 100%, $E$13) + CHOOSE(CONTROL!$C$28, 0, 0)</f>
        <v>29.392399999999999</v>
      </c>
      <c r="E330" s="4">
        <f>137.564463190971 * CHOOSE(CONTROL!$C$9, $C$13, 100%, $E$13) + CHOOSE(CONTROL!$C$28, 0, 0)</f>
        <v>137.564463190971</v>
      </c>
    </row>
    <row r="331" spans="1:5" ht="15">
      <c r="A331" s="13">
        <v>51956</v>
      </c>
      <c r="B331" s="4">
        <f>25.0236 * CHOOSE(CONTROL!$C$9, $C$13, 100%, $E$13) + CHOOSE(CONTROL!$C$28, 0.0003, 0)</f>
        <v>25.023899999999998</v>
      </c>
      <c r="C331" s="4">
        <f>24.7111 * CHOOSE(CONTROL!$C$9, $C$13, 100%, $E$13) + CHOOSE(CONTROL!$C$28, 0.0003, 0)</f>
        <v>24.711399999999998</v>
      </c>
      <c r="D331" s="4">
        <f>30.9345 * CHOOSE(CONTROL!$C$9, $C$13, 100%, $E$13) + CHOOSE(CONTROL!$C$28, 0, 0)</f>
        <v>30.9345</v>
      </c>
      <c r="E331" s="4">
        <f>145.943058742466 * CHOOSE(CONTROL!$C$9, $C$13, 100%, $E$13) + CHOOSE(CONTROL!$C$28, 0, 0)</f>
        <v>145.94305874246601</v>
      </c>
    </row>
    <row r="332" spans="1:5" ht="15">
      <c r="A332" s="13">
        <v>51986</v>
      </c>
      <c r="B332" s="4">
        <f>25.9679 * CHOOSE(CONTROL!$C$9, $C$13, 100%, $E$13) + CHOOSE(CONTROL!$C$28, 0.0003, 0)</f>
        <v>25.9682</v>
      </c>
      <c r="C332" s="4">
        <f>25.6554 * CHOOSE(CONTROL!$C$9, $C$13, 100%, $E$13) + CHOOSE(CONTROL!$C$28, 0.0003, 0)</f>
        <v>25.6557</v>
      </c>
      <c r="D332" s="4">
        <f>31.8227 * CHOOSE(CONTROL!$C$9, $C$13, 100%, $E$13) + CHOOSE(CONTROL!$C$28, 0, 0)</f>
        <v>31.822700000000001</v>
      </c>
      <c r="E332" s="4">
        <f>151.896162541269 * CHOOSE(CONTROL!$C$9, $C$13, 100%, $E$13) + CHOOSE(CONTROL!$C$28, 0, 0)</f>
        <v>151.89616254126901</v>
      </c>
    </row>
    <row r="333" spans="1:5" ht="15">
      <c r="A333" s="13">
        <v>52017</v>
      </c>
      <c r="B333" s="4">
        <f>26.5448 * CHOOSE(CONTROL!$C$9, $C$13, 100%, $E$13) + CHOOSE(CONTROL!$C$28, 0.0255, 0)</f>
        <v>26.5703</v>
      </c>
      <c r="C333" s="4">
        <f>26.2323 * CHOOSE(CONTROL!$C$9, $C$13, 100%, $E$13) + CHOOSE(CONTROL!$C$28, 0.0255, 0)</f>
        <v>26.2578</v>
      </c>
      <c r="D333" s="4">
        <f>31.4717 * CHOOSE(CONTROL!$C$9, $C$13, 100%, $E$13) + CHOOSE(CONTROL!$C$28, 0, 0)</f>
        <v>31.471699999999998</v>
      </c>
      <c r="E333" s="4">
        <f>155.533366286353 * CHOOSE(CONTROL!$C$9, $C$13, 100%, $E$13) + CHOOSE(CONTROL!$C$28, 0, 0)</f>
        <v>155.53336628635299</v>
      </c>
    </row>
    <row r="334" spans="1:5" ht="15">
      <c r="A334" s="13">
        <v>52047</v>
      </c>
      <c r="B334" s="4">
        <f>26.6229 * CHOOSE(CONTROL!$C$9, $C$13, 100%, $E$13) + CHOOSE(CONTROL!$C$28, 0.0255, 0)</f>
        <v>26.648400000000002</v>
      </c>
      <c r="C334" s="4">
        <f>26.3104 * CHOOSE(CONTROL!$C$9, $C$13, 100%, $E$13) + CHOOSE(CONTROL!$C$28, 0.0255, 0)</f>
        <v>26.335900000000002</v>
      </c>
      <c r="D334" s="4">
        <f>31.7576 * CHOOSE(CONTROL!$C$9, $C$13, 100%, $E$13) + CHOOSE(CONTROL!$C$28, 0, 0)</f>
        <v>31.7576</v>
      </c>
      <c r="E334" s="4">
        <f>156.025495047768 * CHOOSE(CONTROL!$C$9, $C$13, 100%, $E$13) + CHOOSE(CONTROL!$C$28, 0, 0)</f>
        <v>156.025495047768</v>
      </c>
    </row>
    <row r="335" spans="1:5" ht="15">
      <c r="A335" s="13">
        <v>52078</v>
      </c>
      <c r="B335" s="4">
        <f>26.615 * CHOOSE(CONTROL!$C$9, $C$13, 100%, $E$13) + CHOOSE(CONTROL!$C$28, 0.0255, 0)</f>
        <v>26.640499999999999</v>
      </c>
      <c r="C335" s="4">
        <f>26.3025 * CHOOSE(CONTROL!$C$9, $C$13, 100%, $E$13) + CHOOSE(CONTROL!$C$28, 0.0255, 0)</f>
        <v>26.327999999999999</v>
      </c>
      <c r="D335" s="4">
        <f>32.2734 * CHOOSE(CONTROL!$C$9, $C$13, 100%, $E$13) + CHOOSE(CONTROL!$C$28, 0, 0)</f>
        <v>32.273400000000002</v>
      </c>
      <c r="E335" s="4">
        <f>155.975868618046 * CHOOSE(CONTROL!$C$9, $C$13, 100%, $E$13) + CHOOSE(CONTROL!$C$28, 0, 0)</f>
        <v>155.97586861804601</v>
      </c>
    </row>
    <row r="336" spans="1:5" ht="15">
      <c r="A336" s="13">
        <v>52109</v>
      </c>
      <c r="B336" s="4">
        <f>27.2073 * CHOOSE(CONTROL!$C$9, $C$13, 100%, $E$13) + CHOOSE(CONTROL!$C$28, 0.0255, 0)</f>
        <v>27.232800000000001</v>
      </c>
      <c r="C336" s="4">
        <f>26.8948 * CHOOSE(CONTROL!$C$9, $C$13, 100%, $E$13) + CHOOSE(CONTROL!$C$28, 0.0255, 0)</f>
        <v>26.920300000000001</v>
      </c>
      <c r="D336" s="4">
        <f>31.9328 * CHOOSE(CONTROL!$C$9, $C$13, 100%, $E$13) + CHOOSE(CONTROL!$C$28, 0, 0)</f>
        <v>31.9328</v>
      </c>
      <c r="E336" s="4">
        <f>159.710257454669 * CHOOSE(CONTROL!$C$9, $C$13, 100%, $E$13) + CHOOSE(CONTROL!$C$28, 0, 0)</f>
        <v>159.71025745466901</v>
      </c>
    </row>
    <row r="337" spans="1:5" ht="15">
      <c r="A337" s="13">
        <v>52139</v>
      </c>
      <c r="B337" s="4">
        <f>26.1978 * CHOOSE(CONTROL!$C$9, $C$13, 100%, $E$13) + CHOOSE(CONTROL!$C$28, 0.0255, 0)</f>
        <v>26.223300000000002</v>
      </c>
      <c r="C337" s="4">
        <f>25.8853 * CHOOSE(CONTROL!$C$9, $C$13, 100%, $E$13) + CHOOSE(CONTROL!$C$28, 0.0255, 0)</f>
        <v>25.910800000000002</v>
      </c>
      <c r="D337" s="4">
        <f>31.7718 * CHOOSE(CONTROL!$C$9, $C$13, 100%, $E$13) + CHOOSE(CONTROL!$C$28, 0, 0)</f>
        <v>31.771799999999999</v>
      </c>
      <c r="E337" s="4">
        <f>153.345667842749 * CHOOSE(CONTROL!$C$9, $C$13, 100%, $E$13) + CHOOSE(CONTROL!$C$28, 0, 0)</f>
        <v>153.34566784274901</v>
      </c>
    </row>
    <row r="338" spans="1:5" ht="15">
      <c r="A338" s="13">
        <v>52170</v>
      </c>
      <c r="B338" s="4">
        <f>25.3897 * CHOOSE(CONTROL!$C$9, $C$13, 100%, $E$13) + CHOOSE(CONTROL!$C$28, 0.0003, 0)</f>
        <v>25.39</v>
      </c>
      <c r="C338" s="4">
        <f>25.0772 * CHOOSE(CONTROL!$C$9, $C$13, 100%, $E$13) + CHOOSE(CONTROL!$C$28, 0.0003, 0)</f>
        <v>25.077500000000001</v>
      </c>
      <c r="D338" s="4">
        <f>31.3409 * CHOOSE(CONTROL!$C$9, $C$13, 100%, $E$13) + CHOOSE(CONTROL!$C$28, 0, 0)</f>
        <v>31.340900000000001</v>
      </c>
      <c r="E338" s="4">
        <f>148.250687724565 * CHOOSE(CONTROL!$C$9, $C$13, 100%, $E$13) + CHOOSE(CONTROL!$C$28, 0, 0)</f>
        <v>148.25068772456501</v>
      </c>
    </row>
    <row r="339" spans="1:5" ht="15">
      <c r="A339" s="13">
        <v>52200</v>
      </c>
      <c r="B339" s="4">
        <f>24.8692 * CHOOSE(CONTROL!$C$9, $C$13, 100%, $E$13) + CHOOSE(CONTROL!$C$28, 0.0003, 0)</f>
        <v>24.869499999999999</v>
      </c>
      <c r="C339" s="4">
        <f>24.5567 * CHOOSE(CONTROL!$C$9, $C$13, 100%, $E$13) + CHOOSE(CONTROL!$C$28, 0.0003, 0)</f>
        <v>24.556999999999999</v>
      </c>
      <c r="D339" s="4">
        <f>31.1927 * CHOOSE(CONTROL!$C$9, $C$13, 100%, $E$13) + CHOOSE(CONTROL!$C$28, 0, 0)</f>
        <v>31.192699999999999</v>
      </c>
      <c r="E339" s="4">
        <f>144.96914005916 * CHOOSE(CONTROL!$C$9, $C$13, 100%, $E$13) + CHOOSE(CONTROL!$C$28, 0, 0)</f>
        <v>144.96914005916</v>
      </c>
    </row>
    <row r="340" spans="1:5" ht="15">
      <c r="A340" s="13">
        <v>52231</v>
      </c>
      <c r="B340" s="4">
        <f>24.5091 * CHOOSE(CONTROL!$C$9, $C$13, 100%, $E$13) + CHOOSE(CONTROL!$C$28, 0.0003, 0)</f>
        <v>24.509399999999999</v>
      </c>
      <c r="C340" s="4">
        <f>24.1966 * CHOOSE(CONTROL!$C$9, $C$13, 100%, $E$13) + CHOOSE(CONTROL!$C$28, 0.0003, 0)</f>
        <v>24.196899999999999</v>
      </c>
      <c r="D340" s="4">
        <f>30.102 * CHOOSE(CONTROL!$C$9, $C$13, 100%, $E$13) + CHOOSE(CONTROL!$C$28, 0, 0)</f>
        <v>30.102</v>
      </c>
      <c r="E340" s="4">
        <f>142.698730899352 * CHOOSE(CONTROL!$C$9, $C$13, 100%, $E$13) + CHOOSE(CONTROL!$C$28, 0, 0)</f>
        <v>142.698730899352</v>
      </c>
    </row>
    <row r="341" spans="1:5" ht="15">
      <c r="A341" s="13">
        <v>52262</v>
      </c>
      <c r="B341" s="4">
        <f>23.9239 * CHOOSE(CONTROL!$C$9, $C$13, 100%, $E$13) + CHOOSE(CONTROL!$C$28, 0.0003, 0)</f>
        <v>23.924199999999999</v>
      </c>
      <c r="C341" s="4">
        <f>23.6114 * CHOOSE(CONTROL!$C$9, $C$13, 100%, $E$13) + CHOOSE(CONTROL!$C$28, 0.0003, 0)</f>
        <v>23.611699999999999</v>
      </c>
      <c r="D341" s="4">
        <f>29.0995 * CHOOSE(CONTROL!$C$9, $C$13, 100%, $E$13) + CHOOSE(CONTROL!$C$28, 0, 0)</f>
        <v>29.099499999999999</v>
      </c>
      <c r="E341" s="4">
        <f>138.606675078763 * CHOOSE(CONTROL!$C$9, $C$13, 100%, $E$13) + CHOOSE(CONTROL!$C$28, 0, 0)</f>
        <v>138.606675078763</v>
      </c>
    </row>
    <row r="342" spans="1:5" ht="15">
      <c r="A342" s="13">
        <v>52290</v>
      </c>
      <c r="B342" s="4">
        <f>24.4475 * CHOOSE(CONTROL!$C$9, $C$13, 100%, $E$13) + CHOOSE(CONTROL!$C$28, 0.0003, 0)</f>
        <v>24.447800000000001</v>
      </c>
      <c r="C342" s="4">
        <f>24.135 * CHOOSE(CONTROL!$C$9, $C$13, 100%, $E$13) + CHOOSE(CONTROL!$C$28, 0.0003, 0)</f>
        <v>24.135300000000001</v>
      </c>
      <c r="D342" s="4">
        <f>30.109 * CHOOSE(CONTROL!$C$9, $C$13, 100%, $E$13) + CHOOSE(CONTROL!$C$28, 0, 0)</f>
        <v>30.109000000000002</v>
      </c>
      <c r="E342" s="4">
        <f>141.897743781487 * CHOOSE(CONTROL!$C$9, $C$13, 100%, $E$13) + CHOOSE(CONTROL!$C$28, 0, 0)</f>
        <v>141.89774378148701</v>
      </c>
    </row>
    <row r="343" spans="1:5" ht="15">
      <c r="A343" s="13">
        <v>52321</v>
      </c>
      <c r="B343" s="4">
        <f>25.8223 * CHOOSE(CONTROL!$C$9, $C$13, 100%, $E$13) + CHOOSE(CONTROL!$C$28, 0.0003, 0)</f>
        <v>25.822599999999998</v>
      </c>
      <c r="C343" s="4">
        <f>25.5098 * CHOOSE(CONTROL!$C$9, $C$13, 100%, $E$13) + CHOOSE(CONTROL!$C$28, 0.0003, 0)</f>
        <v>25.510099999999998</v>
      </c>
      <c r="D343" s="4">
        <f>31.6893 * CHOOSE(CONTROL!$C$9, $C$13, 100%, $E$13) + CHOOSE(CONTROL!$C$28, 0, 0)</f>
        <v>31.689299999999999</v>
      </c>
      <c r="E343" s="4">
        <f>150.540265092853 * CHOOSE(CONTROL!$C$9, $C$13, 100%, $E$13) + CHOOSE(CONTROL!$C$28, 0, 0)</f>
        <v>150.54026509285299</v>
      </c>
    </row>
    <row r="344" spans="1:5" ht="15">
      <c r="A344" s="13">
        <v>52351</v>
      </c>
      <c r="B344" s="4">
        <f>26.7991 * CHOOSE(CONTROL!$C$9, $C$13, 100%, $E$13) + CHOOSE(CONTROL!$C$28, 0.0003, 0)</f>
        <v>26.799399999999999</v>
      </c>
      <c r="C344" s="4">
        <f>26.4866 * CHOOSE(CONTROL!$C$9, $C$13, 100%, $E$13) + CHOOSE(CONTROL!$C$28, 0.0003, 0)</f>
        <v>26.486899999999999</v>
      </c>
      <c r="D344" s="4">
        <f>32.5996 * CHOOSE(CONTROL!$C$9, $C$13, 100%, $E$13) + CHOOSE(CONTROL!$C$28, 0, 0)</f>
        <v>32.599600000000002</v>
      </c>
      <c r="E344" s="4">
        <f>156.680891661319 * CHOOSE(CONTROL!$C$9, $C$13, 100%, $E$13) + CHOOSE(CONTROL!$C$28, 0, 0)</f>
        <v>156.68089166131901</v>
      </c>
    </row>
    <row r="345" spans="1:5" ht="15">
      <c r="A345" s="13">
        <v>52382</v>
      </c>
      <c r="B345" s="4">
        <f>27.3959 * CHOOSE(CONTROL!$C$9, $C$13, 100%, $E$13) + CHOOSE(CONTROL!$C$28, 0.0255, 0)</f>
        <v>27.421400000000002</v>
      </c>
      <c r="C345" s="4">
        <f>27.0834 * CHOOSE(CONTROL!$C$9, $C$13, 100%, $E$13) + CHOOSE(CONTROL!$C$28, 0.0255, 0)</f>
        <v>27.108900000000002</v>
      </c>
      <c r="D345" s="4">
        <f>32.2399 * CHOOSE(CONTROL!$C$9, $C$13, 100%, $E$13) + CHOOSE(CONTROL!$C$28, 0, 0)</f>
        <v>32.239899999999999</v>
      </c>
      <c r="E345" s="4">
        <f>160.432667324373 * CHOOSE(CONTROL!$C$9, $C$13, 100%, $E$13) + CHOOSE(CONTROL!$C$28, 0, 0)</f>
        <v>160.432667324373</v>
      </c>
    </row>
    <row r="346" spans="1:5" ht="15">
      <c r="A346" s="13">
        <v>52412</v>
      </c>
      <c r="B346" s="4">
        <f>27.4767 * CHOOSE(CONTROL!$C$9, $C$13, 100%, $E$13) + CHOOSE(CONTROL!$C$28, 0.0255, 0)</f>
        <v>27.502200000000002</v>
      </c>
      <c r="C346" s="4">
        <f>27.1642 * CHOOSE(CONTROL!$C$9, $C$13, 100%, $E$13) + CHOOSE(CONTROL!$C$28, 0.0255, 0)</f>
        <v>27.189700000000002</v>
      </c>
      <c r="D346" s="4">
        <f>32.5329 * CHOOSE(CONTROL!$C$9, $C$13, 100%, $E$13) + CHOOSE(CONTROL!$C$28, 0, 0)</f>
        <v>32.532899999999998</v>
      </c>
      <c r="E346" s="4">
        <f>160.940298141773 * CHOOSE(CONTROL!$C$9, $C$13, 100%, $E$13) + CHOOSE(CONTROL!$C$28, 0, 0)</f>
        <v>160.94029814177301</v>
      </c>
    </row>
    <row r="347" spans="1:5" ht="15">
      <c r="A347" s="13">
        <v>52443</v>
      </c>
      <c r="B347" s="4">
        <f>27.4685 * CHOOSE(CONTROL!$C$9, $C$13, 100%, $E$13) + CHOOSE(CONTROL!$C$28, 0.0255, 0)</f>
        <v>27.494</v>
      </c>
      <c r="C347" s="4">
        <f>27.156 * CHOOSE(CONTROL!$C$9, $C$13, 100%, $E$13) + CHOOSE(CONTROL!$C$28, 0.0255, 0)</f>
        <v>27.1815</v>
      </c>
      <c r="D347" s="4">
        <f>33.0615 * CHOOSE(CONTROL!$C$9, $C$13, 100%, $E$13) + CHOOSE(CONTROL!$C$28, 0, 0)</f>
        <v>33.061500000000002</v>
      </c>
      <c r="E347" s="4">
        <f>160.889108479514 * CHOOSE(CONTROL!$C$9, $C$13, 100%, $E$13) + CHOOSE(CONTROL!$C$28, 0, 0)</f>
        <v>160.88910847951399</v>
      </c>
    </row>
    <row r="348" spans="1:5" ht="15">
      <c r="A348" s="13">
        <v>52474</v>
      </c>
      <c r="B348" s="4">
        <f>28.0813 * CHOOSE(CONTROL!$C$9, $C$13, 100%, $E$13) + CHOOSE(CONTROL!$C$28, 0.0255, 0)</f>
        <v>28.1068</v>
      </c>
      <c r="C348" s="4">
        <f>27.7688 * CHOOSE(CONTROL!$C$9, $C$13, 100%, $E$13) + CHOOSE(CONTROL!$C$28, 0.0255, 0)</f>
        <v>27.7943</v>
      </c>
      <c r="D348" s="4">
        <f>32.7124 * CHOOSE(CONTROL!$C$9, $C$13, 100%, $E$13) + CHOOSE(CONTROL!$C$28, 0, 0)</f>
        <v>32.712400000000002</v>
      </c>
      <c r="E348" s="4">
        <f>164.741130564491 * CHOOSE(CONTROL!$C$9, $C$13, 100%, $E$13) + CHOOSE(CONTROL!$C$28, 0, 0)</f>
        <v>164.74113056449099</v>
      </c>
    </row>
    <row r="349" spans="1:5" ht="15">
      <c r="A349" s="13">
        <v>52504</v>
      </c>
      <c r="B349" s="4">
        <f>27.0369 * CHOOSE(CONTROL!$C$9, $C$13, 100%, $E$13) + CHOOSE(CONTROL!$C$28, 0.0255, 0)</f>
        <v>27.0624</v>
      </c>
      <c r="C349" s="4">
        <f>26.7244 * CHOOSE(CONTROL!$C$9, $C$13, 100%, $E$13) + CHOOSE(CONTROL!$C$28, 0.0255, 0)</f>
        <v>26.7499</v>
      </c>
      <c r="D349" s="4">
        <f>32.5474 * CHOOSE(CONTROL!$C$9, $C$13, 100%, $E$13) + CHOOSE(CONTROL!$C$28, 0, 0)</f>
        <v>32.547400000000003</v>
      </c>
      <c r="E349" s="4">
        <f>158.176056379796 * CHOOSE(CONTROL!$C$9, $C$13, 100%, $E$13) + CHOOSE(CONTROL!$C$28, 0, 0)</f>
        <v>158.17605637979599</v>
      </c>
    </row>
    <row r="350" spans="1:5" ht="15">
      <c r="A350" s="13">
        <v>52535</v>
      </c>
      <c r="B350" s="4">
        <f>26.2009 * CHOOSE(CONTROL!$C$9, $C$13, 100%, $E$13) + CHOOSE(CONTROL!$C$28, 0.0003, 0)</f>
        <v>26.2012</v>
      </c>
      <c r="C350" s="4">
        <f>25.8884 * CHOOSE(CONTROL!$C$9, $C$13, 100%, $E$13) + CHOOSE(CONTROL!$C$28, 0.0003, 0)</f>
        <v>25.8887</v>
      </c>
      <c r="D350" s="4">
        <f>32.1058 * CHOOSE(CONTROL!$C$9, $C$13, 100%, $E$13) + CHOOSE(CONTROL!$C$28, 0, 0)</f>
        <v>32.105800000000002</v>
      </c>
      <c r="E350" s="4">
        <f>152.920584387889 * CHOOSE(CONTROL!$C$9, $C$13, 100%, $E$13) + CHOOSE(CONTROL!$C$28, 0, 0)</f>
        <v>152.92058438788899</v>
      </c>
    </row>
    <row r="351" spans="1:5" ht="15">
      <c r="A351" s="13">
        <v>52565</v>
      </c>
      <c r="B351" s="4">
        <f>25.6625 * CHOOSE(CONTROL!$C$9, $C$13, 100%, $E$13) + CHOOSE(CONTROL!$C$28, 0.0003, 0)</f>
        <v>25.662800000000001</v>
      </c>
      <c r="C351" s="4">
        <f>25.35 * CHOOSE(CONTROL!$C$9, $C$13, 100%, $E$13) + CHOOSE(CONTROL!$C$28, 0.0003, 0)</f>
        <v>25.350300000000001</v>
      </c>
      <c r="D351" s="4">
        <f>31.954 * CHOOSE(CONTROL!$C$9, $C$13, 100%, $E$13) + CHOOSE(CONTROL!$C$28, 0, 0)</f>
        <v>31.954000000000001</v>
      </c>
      <c r="E351" s="4">
        <f>149.535667971024 * CHOOSE(CONTROL!$C$9, $C$13, 100%, $E$13) + CHOOSE(CONTROL!$C$28, 0, 0)</f>
        <v>149.535667971024</v>
      </c>
    </row>
    <row r="352" spans="1:5" ht="15">
      <c r="A352" s="13">
        <v>52596</v>
      </c>
      <c r="B352" s="4">
        <f>25.2899 * CHOOSE(CONTROL!$C$9, $C$13, 100%, $E$13) + CHOOSE(CONTROL!$C$28, 0.0003, 0)</f>
        <v>25.290199999999999</v>
      </c>
      <c r="C352" s="4">
        <f>24.9774 * CHOOSE(CONTROL!$C$9, $C$13, 100%, $E$13) + CHOOSE(CONTROL!$C$28, 0.0003, 0)</f>
        <v>24.977699999999999</v>
      </c>
      <c r="D352" s="4">
        <f>30.8362 * CHOOSE(CONTROL!$C$9, $C$13, 100%, $E$13) + CHOOSE(CONTROL!$C$28, 0, 0)</f>
        <v>30.836200000000002</v>
      </c>
      <c r="E352" s="4">
        <f>147.193740922682 * CHOOSE(CONTROL!$C$9, $C$13, 100%, $E$13) + CHOOSE(CONTROL!$C$28, 0, 0)</f>
        <v>147.193740922682</v>
      </c>
    </row>
    <row r="353" spans="1:5" ht="15">
      <c r="A353" s="13">
        <v>52627</v>
      </c>
      <c r="B353" s="4">
        <f>24.6846 * CHOOSE(CONTROL!$C$9, $C$13, 100%, $E$13) + CHOOSE(CONTROL!$C$28, 0.0003, 0)</f>
        <v>24.684899999999999</v>
      </c>
      <c r="C353" s="4">
        <f>24.3721 * CHOOSE(CONTROL!$C$9, $C$13, 100%, $E$13) + CHOOSE(CONTROL!$C$28, 0.0003, 0)</f>
        <v>24.372399999999999</v>
      </c>
      <c r="D353" s="4">
        <f>29.8089 * CHOOSE(CONTROL!$C$9, $C$13, 100%, $E$13) + CHOOSE(CONTROL!$C$28, 0, 0)</f>
        <v>29.808900000000001</v>
      </c>
      <c r="E353" s="4">
        <f>142.972785343744 * CHOOSE(CONTROL!$C$9, $C$13, 100%, $E$13) + CHOOSE(CONTROL!$C$28, 0, 0)</f>
        <v>142.97278534374399</v>
      </c>
    </row>
    <row r="354" spans="1:5" ht="15">
      <c r="A354" s="13">
        <v>52655</v>
      </c>
      <c r="B354" s="4">
        <f>25.2262 * CHOOSE(CONTROL!$C$9, $C$13, 100%, $E$13) + CHOOSE(CONTROL!$C$28, 0.0003, 0)</f>
        <v>25.226499999999998</v>
      </c>
      <c r="C354" s="4">
        <f>24.9137 * CHOOSE(CONTROL!$C$9, $C$13, 100%, $E$13) + CHOOSE(CONTROL!$C$28, 0.0003, 0)</f>
        <v>24.913999999999998</v>
      </c>
      <c r="D354" s="4">
        <f>30.8434 * CHOOSE(CONTROL!$C$9, $C$13, 100%, $E$13) + CHOOSE(CONTROL!$C$28, 0, 0)</f>
        <v>30.843399999999999</v>
      </c>
      <c r="E354" s="4">
        <f>146.367522710604 * CHOOSE(CONTROL!$C$9, $C$13, 100%, $E$13) + CHOOSE(CONTROL!$C$28, 0, 0)</f>
        <v>146.36752271060399</v>
      </c>
    </row>
    <row r="355" spans="1:5" ht="15">
      <c r="A355" s="13">
        <v>52687</v>
      </c>
      <c r="B355" s="4">
        <f>26.6485 * CHOOSE(CONTROL!$C$9, $C$13, 100%, $E$13) + CHOOSE(CONTROL!$C$28, 0.0003, 0)</f>
        <v>26.648799999999998</v>
      </c>
      <c r="C355" s="4">
        <f>26.336 * CHOOSE(CONTROL!$C$9, $C$13, 100%, $E$13) + CHOOSE(CONTROL!$C$28, 0.0003, 0)</f>
        <v>26.336299999999998</v>
      </c>
      <c r="D355" s="4">
        <f>32.4629 * CHOOSE(CONTROL!$C$9, $C$13, 100%, $E$13) + CHOOSE(CONTROL!$C$28, 0, 0)</f>
        <v>32.462899999999998</v>
      </c>
      <c r="E355" s="4">
        <f>155.282283443278 * CHOOSE(CONTROL!$C$9, $C$13, 100%, $E$13) + CHOOSE(CONTROL!$C$28, 0, 0)</f>
        <v>155.282283443278</v>
      </c>
    </row>
    <row r="356" spans="1:5" ht="15">
      <c r="A356" s="13">
        <v>52717</v>
      </c>
      <c r="B356" s="4">
        <f>27.659 * CHOOSE(CONTROL!$C$9, $C$13, 100%, $E$13) + CHOOSE(CONTROL!$C$28, 0.0003, 0)</f>
        <v>27.659299999999998</v>
      </c>
      <c r="C356" s="4">
        <f>27.3465 * CHOOSE(CONTROL!$C$9, $C$13, 100%, $E$13) + CHOOSE(CONTROL!$C$28, 0.0003, 0)</f>
        <v>27.346799999999998</v>
      </c>
      <c r="D356" s="4">
        <f>33.3958 * CHOOSE(CONTROL!$C$9, $C$13, 100%, $E$13) + CHOOSE(CONTROL!$C$28, 0, 0)</f>
        <v>33.395800000000001</v>
      </c>
      <c r="E356" s="4">
        <f>161.616339748651 * CHOOSE(CONTROL!$C$9, $C$13, 100%, $E$13) + CHOOSE(CONTROL!$C$28, 0, 0)</f>
        <v>161.616339748651</v>
      </c>
    </row>
    <row r="357" spans="1:5" ht="15">
      <c r="A357" s="13">
        <v>52748</v>
      </c>
      <c r="B357" s="4">
        <f>28.2764 * CHOOSE(CONTROL!$C$9, $C$13, 100%, $E$13) + CHOOSE(CONTROL!$C$28, 0.0255, 0)</f>
        <v>28.3019</v>
      </c>
      <c r="C357" s="4">
        <f>27.9639 * CHOOSE(CONTROL!$C$9, $C$13, 100%, $E$13) + CHOOSE(CONTROL!$C$28, 0.0255, 0)</f>
        <v>27.9894</v>
      </c>
      <c r="D357" s="4">
        <f>33.0271 * CHOOSE(CONTROL!$C$9, $C$13, 100%, $E$13) + CHOOSE(CONTROL!$C$28, 0, 0)</f>
        <v>33.027099999999997</v>
      </c>
      <c r="E357" s="4">
        <f>165.486296345091 * CHOOSE(CONTROL!$C$9, $C$13, 100%, $E$13) + CHOOSE(CONTROL!$C$28, 0, 0)</f>
        <v>165.48629634509101</v>
      </c>
    </row>
    <row r="358" spans="1:5" ht="15">
      <c r="A358" s="13">
        <v>52778</v>
      </c>
      <c r="B358" s="4">
        <f>28.3599 * CHOOSE(CONTROL!$C$9, $C$13, 100%, $E$13) + CHOOSE(CONTROL!$C$28, 0.0255, 0)</f>
        <v>28.385400000000001</v>
      </c>
      <c r="C358" s="4">
        <f>28.0474 * CHOOSE(CONTROL!$C$9, $C$13, 100%, $E$13) + CHOOSE(CONTROL!$C$28, 0.0255, 0)</f>
        <v>28.072900000000001</v>
      </c>
      <c r="D358" s="4">
        <f>33.3274 * CHOOSE(CONTROL!$C$9, $C$13, 100%, $E$13) + CHOOSE(CONTROL!$C$28, 0, 0)</f>
        <v>33.327399999999997</v>
      </c>
      <c r="E358" s="4">
        <f>166.009917533239 * CHOOSE(CONTROL!$C$9, $C$13, 100%, $E$13) + CHOOSE(CONTROL!$C$28, 0, 0)</f>
        <v>166.00991753323899</v>
      </c>
    </row>
    <row r="359" spans="1:5" ht="15">
      <c r="A359" s="13">
        <v>52809</v>
      </c>
      <c r="B359" s="4">
        <f>28.3515 * CHOOSE(CONTROL!$C$9, $C$13, 100%, $E$13) + CHOOSE(CONTROL!$C$28, 0.0255, 0)</f>
        <v>28.377000000000002</v>
      </c>
      <c r="C359" s="4">
        <f>28.039 * CHOOSE(CONTROL!$C$9, $C$13, 100%, $E$13) + CHOOSE(CONTROL!$C$28, 0.0255, 0)</f>
        <v>28.064500000000002</v>
      </c>
      <c r="D359" s="4">
        <f>33.8691 * CHOOSE(CONTROL!$C$9, $C$13, 100%, $E$13) + CHOOSE(CONTROL!$C$28, 0, 0)</f>
        <v>33.869100000000003</v>
      </c>
      <c r="E359" s="4">
        <f>165.957115396619 * CHOOSE(CONTROL!$C$9, $C$13, 100%, $E$13) + CHOOSE(CONTROL!$C$28, 0, 0)</f>
        <v>165.957115396619</v>
      </c>
    </row>
    <row r="360" spans="1:5" ht="15">
      <c r="A360" s="13">
        <v>52840</v>
      </c>
      <c r="B360" s="4">
        <f>28.9854 * CHOOSE(CONTROL!$C$9, $C$13, 100%, $E$13) + CHOOSE(CONTROL!$C$28, 0.0255, 0)</f>
        <v>29.010899999999999</v>
      </c>
      <c r="C360" s="4">
        <f>28.6729 * CHOOSE(CONTROL!$C$9, $C$13, 100%, $E$13) + CHOOSE(CONTROL!$C$28, 0.0255, 0)</f>
        <v>28.698399999999999</v>
      </c>
      <c r="D360" s="4">
        <f>33.5113 * CHOOSE(CONTROL!$C$9, $C$13, 100%, $E$13) + CHOOSE(CONTROL!$C$28, 0, 0)</f>
        <v>33.511299999999999</v>
      </c>
      <c r="E360" s="4">
        <f>169.930476177273 * CHOOSE(CONTROL!$C$9, $C$13, 100%, $E$13) + CHOOSE(CONTROL!$C$28, 0, 0)</f>
        <v>169.93047617727299</v>
      </c>
    </row>
    <row r="361" spans="1:5" ht="15">
      <c r="A361" s="13">
        <v>52870</v>
      </c>
      <c r="B361" s="4">
        <f>27.905 * CHOOSE(CONTROL!$C$9, $C$13, 100%, $E$13) + CHOOSE(CONTROL!$C$28, 0.0255, 0)</f>
        <v>27.930500000000002</v>
      </c>
      <c r="C361" s="4">
        <f>27.5925 * CHOOSE(CONTROL!$C$9, $C$13, 100%, $E$13) + CHOOSE(CONTROL!$C$28, 0.0255, 0)</f>
        <v>27.618000000000002</v>
      </c>
      <c r="D361" s="4">
        <f>33.3423 * CHOOSE(CONTROL!$C$9, $C$13, 100%, $E$13) + CHOOSE(CONTROL!$C$28, 0, 0)</f>
        <v>33.342300000000002</v>
      </c>
      <c r="E361" s="4">
        <f>163.15860215576 * CHOOSE(CONTROL!$C$9, $C$13, 100%, $E$13) + CHOOSE(CONTROL!$C$28, 0, 0)</f>
        <v>163.15860215576001</v>
      </c>
    </row>
    <row r="362" spans="1:5" ht="15">
      <c r="A362" s="13">
        <v>52901</v>
      </c>
      <c r="B362" s="4">
        <f>27.0402 * CHOOSE(CONTROL!$C$9, $C$13, 100%, $E$13) + CHOOSE(CONTROL!$C$28, 0.0003, 0)</f>
        <v>27.040499999999998</v>
      </c>
      <c r="C362" s="4">
        <f>26.7277 * CHOOSE(CONTROL!$C$9, $C$13, 100%, $E$13) + CHOOSE(CONTROL!$C$28, 0.0003, 0)</f>
        <v>26.727999999999998</v>
      </c>
      <c r="D362" s="4">
        <f>32.8897 * CHOOSE(CONTROL!$C$9, $C$13, 100%, $E$13) + CHOOSE(CONTROL!$C$28, 0, 0)</f>
        <v>32.889699999999998</v>
      </c>
      <c r="E362" s="4">
        <f>157.737582796107 * CHOOSE(CONTROL!$C$9, $C$13, 100%, $E$13) + CHOOSE(CONTROL!$C$28, 0, 0)</f>
        <v>157.73758279610701</v>
      </c>
    </row>
    <row r="363" spans="1:5" ht="15">
      <c r="A363" s="13">
        <v>52931</v>
      </c>
      <c r="B363" s="4">
        <f>26.4831 * CHOOSE(CONTROL!$C$9, $C$13, 100%, $E$13) + CHOOSE(CONTROL!$C$28, 0.0003, 0)</f>
        <v>26.4834</v>
      </c>
      <c r="C363" s="4">
        <f>26.1706 * CHOOSE(CONTROL!$C$9, $C$13, 100%, $E$13) + CHOOSE(CONTROL!$C$28, 0.0003, 0)</f>
        <v>26.1709</v>
      </c>
      <c r="D363" s="4">
        <f>32.7341 * CHOOSE(CONTROL!$C$9, $C$13, 100%, $E$13) + CHOOSE(CONTROL!$C$28, 0, 0)</f>
        <v>32.734099999999998</v>
      </c>
      <c r="E363" s="4">
        <f>154.246041512111 * CHOOSE(CONTROL!$C$9, $C$13, 100%, $E$13) + CHOOSE(CONTROL!$C$28, 0, 0)</f>
        <v>154.24604151211099</v>
      </c>
    </row>
    <row r="364" spans="1:5" ht="15">
      <c r="A364" s="13">
        <v>52962</v>
      </c>
      <c r="B364" s="4">
        <f>26.0977 * CHOOSE(CONTROL!$C$9, $C$13, 100%, $E$13) + CHOOSE(CONTROL!$C$28, 0.0003, 0)</f>
        <v>26.097999999999999</v>
      </c>
      <c r="C364" s="4">
        <f>25.7852 * CHOOSE(CONTROL!$C$9, $C$13, 100%, $E$13) + CHOOSE(CONTROL!$C$28, 0.0003, 0)</f>
        <v>25.785499999999999</v>
      </c>
      <c r="D364" s="4">
        <f>31.5886 * CHOOSE(CONTROL!$C$9, $C$13, 100%, $E$13) + CHOOSE(CONTROL!$C$28, 0, 0)</f>
        <v>31.5886</v>
      </c>
      <c r="E364" s="4">
        <f>151.830343761746 * CHOOSE(CONTROL!$C$9, $C$13, 100%, $E$13) + CHOOSE(CONTROL!$C$28, 0, 0)</f>
        <v>151.83034376174601</v>
      </c>
    </row>
    <row r="365" spans="1:5" ht="15">
      <c r="A365" s="13">
        <v>52993</v>
      </c>
      <c r="B365" s="4">
        <f>25.4716 * CHOOSE(CONTROL!$C$9, $C$13, 100%, $E$13) + CHOOSE(CONTROL!$C$28, 0.0003, 0)</f>
        <v>25.471899999999998</v>
      </c>
      <c r="C365" s="4">
        <f>25.1591 * CHOOSE(CONTROL!$C$9, $C$13, 100%, $E$13) + CHOOSE(CONTROL!$C$28, 0.0003, 0)</f>
        <v>25.159399999999998</v>
      </c>
      <c r="D365" s="4">
        <f>30.5358 * CHOOSE(CONTROL!$C$9, $C$13, 100%, $E$13) + CHOOSE(CONTROL!$C$28, 0, 0)</f>
        <v>30.535799999999998</v>
      </c>
      <c r="E365" s="4">
        <f>147.476428082072 * CHOOSE(CONTROL!$C$9, $C$13, 100%, $E$13) + CHOOSE(CONTROL!$C$28, 0, 0)</f>
        <v>147.476428082072</v>
      </c>
    </row>
    <row r="366" spans="1:5" ht="15">
      <c r="A366" s="13">
        <v>53021</v>
      </c>
      <c r="B366" s="4">
        <f>26.0318 * CHOOSE(CONTROL!$C$9, $C$13, 100%, $E$13) + CHOOSE(CONTROL!$C$28, 0.0003, 0)</f>
        <v>26.0321</v>
      </c>
      <c r="C366" s="4">
        <f>25.7193 * CHOOSE(CONTROL!$C$9, $C$13, 100%, $E$13) + CHOOSE(CONTROL!$C$28, 0.0003, 0)</f>
        <v>25.7196</v>
      </c>
      <c r="D366" s="4">
        <f>31.596 * CHOOSE(CONTROL!$C$9, $C$13, 100%, $E$13) + CHOOSE(CONTROL!$C$28, 0, 0)</f>
        <v>31.596</v>
      </c>
      <c r="E366" s="4">
        <f>150.978099675988 * CHOOSE(CONTROL!$C$9, $C$13, 100%, $E$13) + CHOOSE(CONTROL!$C$28, 0, 0)</f>
        <v>150.97809967598801</v>
      </c>
    </row>
    <row r="367" spans="1:5" ht="15">
      <c r="A367" s="13">
        <v>53052</v>
      </c>
      <c r="B367" s="4">
        <f>27.5031 * CHOOSE(CONTROL!$C$9, $C$13, 100%, $E$13) + CHOOSE(CONTROL!$C$28, 0.0003, 0)</f>
        <v>27.503399999999999</v>
      </c>
      <c r="C367" s="4">
        <f>27.1906 * CHOOSE(CONTROL!$C$9, $C$13, 100%, $E$13) + CHOOSE(CONTROL!$C$28, 0.0003, 0)</f>
        <v>27.190899999999999</v>
      </c>
      <c r="D367" s="4">
        <f>33.2556 * CHOOSE(CONTROL!$C$9, $C$13, 100%, $E$13) + CHOOSE(CONTROL!$C$28, 0, 0)</f>
        <v>33.255600000000001</v>
      </c>
      <c r="E367" s="4">
        <f>160.173675371741 * CHOOSE(CONTROL!$C$9, $C$13, 100%, $E$13) + CHOOSE(CONTROL!$C$28, 0, 0)</f>
        <v>160.17367537174101</v>
      </c>
    </row>
    <row r="368" spans="1:5" ht="15">
      <c r="A368" s="13">
        <v>53082</v>
      </c>
      <c r="B368" s="4">
        <f>28.5485 * CHOOSE(CONTROL!$C$9, $C$13, 100%, $E$13) + CHOOSE(CONTROL!$C$28, 0.0003, 0)</f>
        <v>28.5488</v>
      </c>
      <c r="C368" s="4">
        <f>28.236 * CHOOSE(CONTROL!$C$9, $C$13, 100%, $E$13) + CHOOSE(CONTROL!$C$28, 0.0003, 0)</f>
        <v>28.2363</v>
      </c>
      <c r="D368" s="4">
        <f>34.2117 * CHOOSE(CONTROL!$C$9, $C$13, 100%, $E$13) + CHOOSE(CONTROL!$C$28, 0, 0)</f>
        <v>34.2117</v>
      </c>
      <c r="E368" s="4">
        <f>166.707254450733 * CHOOSE(CONTROL!$C$9, $C$13, 100%, $E$13) + CHOOSE(CONTROL!$C$28, 0, 0)</f>
        <v>166.70725445073299</v>
      </c>
    </row>
    <row r="369" spans="1:5" ht="15">
      <c r="A369" s="13">
        <v>53113</v>
      </c>
      <c r="B369" s="4">
        <f>29.1872 * CHOOSE(CONTROL!$C$9, $C$13, 100%, $E$13) + CHOOSE(CONTROL!$C$28, 0.0255, 0)</f>
        <v>29.212700000000002</v>
      </c>
      <c r="C369" s="4">
        <f>28.8747 * CHOOSE(CONTROL!$C$9, $C$13, 100%, $E$13) + CHOOSE(CONTROL!$C$28, 0.0255, 0)</f>
        <v>28.900200000000002</v>
      </c>
      <c r="D369" s="4">
        <f>33.8339 * CHOOSE(CONTROL!$C$9, $C$13, 100%, $E$13) + CHOOSE(CONTROL!$C$28, 0, 0)</f>
        <v>33.8339</v>
      </c>
      <c r="E369" s="4">
        <f>170.699114679961 * CHOOSE(CONTROL!$C$9, $C$13, 100%, $E$13) + CHOOSE(CONTROL!$C$28, 0, 0)</f>
        <v>170.69911467996101</v>
      </c>
    </row>
    <row r="370" spans="1:5" ht="15">
      <c r="A370" s="13">
        <v>53143</v>
      </c>
      <c r="B370" s="4">
        <f>29.2737 * CHOOSE(CONTROL!$C$9, $C$13, 100%, $E$13) + CHOOSE(CONTROL!$C$28, 0.0255, 0)</f>
        <v>29.299200000000003</v>
      </c>
      <c r="C370" s="4">
        <f>28.9612 * CHOOSE(CONTROL!$C$9, $C$13, 100%, $E$13) + CHOOSE(CONTROL!$C$28, 0.0255, 0)</f>
        <v>28.986700000000003</v>
      </c>
      <c r="D370" s="4">
        <f>34.1415 * CHOOSE(CONTROL!$C$9, $C$13, 100%, $E$13) + CHOOSE(CONTROL!$C$28, 0, 0)</f>
        <v>34.141500000000001</v>
      </c>
      <c r="E370" s="4">
        <f>171.239229935536 * CHOOSE(CONTROL!$C$9, $C$13, 100%, $E$13) + CHOOSE(CONTROL!$C$28, 0, 0)</f>
        <v>171.239229935536</v>
      </c>
    </row>
    <row r="371" spans="1:5" ht="15">
      <c r="A371" s="13">
        <v>53174</v>
      </c>
      <c r="B371" s="4">
        <f>29.2649 * CHOOSE(CONTROL!$C$9, $C$13, 100%, $E$13) + CHOOSE(CONTROL!$C$28, 0.0255, 0)</f>
        <v>29.290400000000002</v>
      </c>
      <c r="C371" s="4">
        <f>28.9524 * CHOOSE(CONTROL!$C$9, $C$13, 100%, $E$13) + CHOOSE(CONTROL!$C$28, 0.0255, 0)</f>
        <v>28.977900000000002</v>
      </c>
      <c r="D371" s="4">
        <f>34.6967 * CHOOSE(CONTROL!$C$9, $C$13, 100%, $E$13) + CHOOSE(CONTROL!$C$28, 0, 0)</f>
        <v>34.6967</v>
      </c>
      <c r="E371" s="4">
        <f>171.184764531612 * CHOOSE(CONTROL!$C$9, $C$13, 100%, $E$13) + CHOOSE(CONTROL!$C$28, 0, 0)</f>
        <v>171.18476453161199</v>
      </c>
    </row>
    <row r="372" spans="1:5" ht="15">
      <c r="A372" s="13">
        <v>53205</v>
      </c>
      <c r="B372" s="4">
        <f>29.9207 * CHOOSE(CONTROL!$C$9, $C$13, 100%, $E$13) + CHOOSE(CONTROL!$C$28, 0.0255, 0)</f>
        <v>29.946200000000001</v>
      </c>
      <c r="C372" s="4">
        <f>29.6082 * CHOOSE(CONTROL!$C$9, $C$13, 100%, $E$13) + CHOOSE(CONTROL!$C$28, 0.0255, 0)</f>
        <v>29.633700000000001</v>
      </c>
      <c r="D372" s="4">
        <f>34.3301 * CHOOSE(CONTROL!$C$9, $C$13, 100%, $E$13) + CHOOSE(CONTROL!$C$28, 0, 0)</f>
        <v>34.330100000000002</v>
      </c>
      <c r="E372" s="4">
        <f>175.283286176857 * CHOOSE(CONTROL!$C$9, $C$13, 100%, $E$13) + CHOOSE(CONTROL!$C$28, 0, 0)</f>
        <v>175.28328617685699</v>
      </c>
    </row>
    <row r="373" spans="1:5" ht="15">
      <c r="A373" s="13">
        <v>53235</v>
      </c>
      <c r="B373" s="4">
        <f>28.8031 * CHOOSE(CONTROL!$C$9, $C$13, 100%, $E$13) + CHOOSE(CONTROL!$C$28, 0.0255, 0)</f>
        <v>28.828600000000002</v>
      </c>
      <c r="C373" s="4">
        <f>28.4906 * CHOOSE(CONTROL!$C$9, $C$13, 100%, $E$13) + CHOOSE(CONTROL!$C$28, 0.0255, 0)</f>
        <v>28.516100000000002</v>
      </c>
      <c r="D373" s="4">
        <f>34.1569 * CHOOSE(CONTROL!$C$9, $C$13, 100%, $E$13) + CHOOSE(CONTROL!$C$28, 0, 0)</f>
        <v>34.1569</v>
      </c>
      <c r="E373" s="4">
        <f>168.298098123666 * CHOOSE(CONTROL!$C$9, $C$13, 100%, $E$13) + CHOOSE(CONTROL!$C$28, 0, 0)</f>
        <v>168.29809812366599</v>
      </c>
    </row>
    <row r="374" spans="1:5" ht="15">
      <c r="A374" s="13">
        <v>53266</v>
      </c>
      <c r="B374" s="4">
        <f>27.9084 * CHOOSE(CONTROL!$C$9, $C$13, 100%, $E$13) + CHOOSE(CONTROL!$C$28, 0.0003, 0)</f>
        <v>27.9087</v>
      </c>
      <c r="C374" s="4">
        <f>27.5959 * CHOOSE(CONTROL!$C$9, $C$13, 100%, $E$13) + CHOOSE(CONTROL!$C$28, 0.0003, 0)</f>
        <v>27.5962</v>
      </c>
      <c r="D374" s="4">
        <f>33.6931 * CHOOSE(CONTROL!$C$9, $C$13, 100%, $E$13) + CHOOSE(CONTROL!$C$28, 0, 0)</f>
        <v>33.693100000000001</v>
      </c>
      <c r="E374" s="4">
        <f>162.706316654185 * CHOOSE(CONTROL!$C$9, $C$13, 100%, $E$13) + CHOOSE(CONTROL!$C$28, 0, 0)</f>
        <v>162.706316654185</v>
      </c>
    </row>
    <row r="375" spans="1:5" ht="15">
      <c r="A375" s="13">
        <v>53296</v>
      </c>
      <c r="B375" s="4">
        <f>27.3321 * CHOOSE(CONTROL!$C$9, $C$13, 100%, $E$13) + CHOOSE(CONTROL!$C$28, 0.0003, 0)</f>
        <v>27.3324</v>
      </c>
      <c r="C375" s="4">
        <f>27.0196 * CHOOSE(CONTROL!$C$9, $C$13, 100%, $E$13) + CHOOSE(CONTROL!$C$28, 0.0003, 0)</f>
        <v>27.0199</v>
      </c>
      <c r="D375" s="4">
        <f>33.5336 * CHOOSE(CONTROL!$C$9, $C$13, 100%, $E$13) + CHOOSE(CONTROL!$C$28, 0, 0)</f>
        <v>33.5336</v>
      </c>
      <c r="E375" s="4">
        <f>159.104791819742 * CHOOSE(CONTROL!$C$9, $C$13, 100%, $E$13) + CHOOSE(CONTROL!$C$28, 0, 0)</f>
        <v>159.10479181974199</v>
      </c>
    </row>
    <row r="376" spans="1:5" ht="15">
      <c r="A376" s="13">
        <v>53327</v>
      </c>
      <c r="B376" s="4">
        <f>26.9334 * CHOOSE(CONTROL!$C$9, $C$13, 100%, $E$13) + CHOOSE(CONTROL!$C$28, 0.0003, 0)</f>
        <v>26.933699999999998</v>
      </c>
      <c r="C376" s="4">
        <f>26.6209 * CHOOSE(CONTROL!$C$9, $C$13, 100%, $E$13) + CHOOSE(CONTROL!$C$28, 0.0003, 0)</f>
        <v>26.621199999999998</v>
      </c>
      <c r="D376" s="4">
        <f>32.3597 * CHOOSE(CONTROL!$C$9, $C$13, 100%, $E$13) + CHOOSE(CONTROL!$C$28, 0, 0)</f>
        <v>32.359699999999997</v>
      </c>
      <c r="E376" s="4">
        <f>156.612999590241 * CHOOSE(CONTROL!$C$9, $C$13, 100%, $E$13) + CHOOSE(CONTROL!$C$28, 0, 0)</f>
        <v>156.612999590241</v>
      </c>
    </row>
    <row r="377" spans="1:5" ht="15">
      <c r="A377" s="13">
        <v>53358</v>
      </c>
      <c r="B377" s="4">
        <f>26.2856 * CHOOSE(CONTROL!$C$9, $C$13, 100%, $E$13) + CHOOSE(CONTROL!$C$28, 0.0003, 0)</f>
        <v>26.285899999999998</v>
      </c>
      <c r="C377" s="4">
        <f>25.9731 * CHOOSE(CONTROL!$C$9, $C$13, 100%, $E$13) + CHOOSE(CONTROL!$C$28, 0.0003, 0)</f>
        <v>25.973399999999998</v>
      </c>
      <c r="D377" s="4">
        <f>31.2808 * CHOOSE(CONTROL!$C$9, $C$13, 100%, $E$13) + CHOOSE(CONTROL!$C$28, 0, 0)</f>
        <v>31.280799999999999</v>
      </c>
      <c r="E377" s="4">
        <f>152.121935566657 * CHOOSE(CONTROL!$C$9, $C$13, 100%, $E$13) + CHOOSE(CONTROL!$C$28, 0, 0)</f>
        <v>152.12193556665699</v>
      </c>
    </row>
    <row r="378" spans="1:5" ht="15">
      <c r="A378" s="13">
        <v>53386</v>
      </c>
      <c r="B378" s="4">
        <f>26.8652 * CHOOSE(CONTROL!$C$9, $C$13, 100%, $E$13) + CHOOSE(CONTROL!$C$28, 0.0003, 0)</f>
        <v>26.865500000000001</v>
      </c>
      <c r="C378" s="4">
        <f>26.5527 * CHOOSE(CONTROL!$C$9, $C$13, 100%, $E$13) + CHOOSE(CONTROL!$C$28, 0.0003, 0)</f>
        <v>26.553000000000001</v>
      </c>
      <c r="D378" s="4">
        <f>32.3673 * CHOOSE(CONTROL!$C$9, $C$13, 100%, $E$13) + CHOOSE(CONTROL!$C$28, 0, 0)</f>
        <v>32.3673</v>
      </c>
      <c r="E378" s="4">
        <f>155.733909815781 * CHOOSE(CONTROL!$C$9, $C$13, 100%, $E$13) + CHOOSE(CONTROL!$C$28, 0, 0)</f>
        <v>155.733909815781</v>
      </c>
    </row>
    <row r="379" spans="1:5" ht="15">
      <c r="A379" s="13">
        <v>53417</v>
      </c>
      <c r="B379" s="4">
        <f>28.3873 * CHOOSE(CONTROL!$C$9, $C$13, 100%, $E$13) + CHOOSE(CONTROL!$C$28, 0.0003, 0)</f>
        <v>28.387599999999999</v>
      </c>
      <c r="C379" s="4">
        <f>28.0748 * CHOOSE(CONTROL!$C$9, $C$13, 100%, $E$13) + CHOOSE(CONTROL!$C$28, 0.0003, 0)</f>
        <v>28.075099999999999</v>
      </c>
      <c r="D379" s="4">
        <f>34.0681 * CHOOSE(CONTROL!$C$9, $C$13, 100%, $E$13) + CHOOSE(CONTROL!$C$28, 0, 0)</f>
        <v>34.068100000000001</v>
      </c>
      <c r="E379" s="4">
        <f>165.219146145951 * CHOOSE(CONTROL!$C$9, $C$13, 100%, $E$13) + CHOOSE(CONTROL!$C$28, 0, 0)</f>
        <v>165.21914614595099</v>
      </c>
    </row>
    <row r="380" spans="1:5" ht="15">
      <c r="A380" s="13">
        <v>53447</v>
      </c>
      <c r="B380" s="4">
        <f>29.4688 * CHOOSE(CONTROL!$C$9, $C$13, 100%, $E$13) + CHOOSE(CONTROL!$C$28, 0.0003, 0)</f>
        <v>29.469100000000001</v>
      </c>
      <c r="C380" s="4">
        <f>29.1563 * CHOOSE(CONTROL!$C$9, $C$13, 100%, $E$13) + CHOOSE(CONTROL!$C$28, 0.0003, 0)</f>
        <v>29.156600000000001</v>
      </c>
      <c r="D380" s="4">
        <f>35.0478 * CHOOSE(CONTROL!$C$9, $C$13, 100%, $E$13) + CHOOSE(CONTROL!$C$28, 0, 0)</f>
        <v>35.047800000000002</v>
      </c>
      <c r="E380" s="4">
        <f>171.958532965931 * CHOOSE(CONTROL!$C$9, $C$13, 100%, $E$13) + CHOOSE(CONTROL!$C$28, 0, 0)</f>
        <v>171.958532965931</v>
      </c>
    </row>
    <row r="381" spans="1:5" ht="15">
      <c r="A381" s="13">
        <v>53478</v>
      </c>
      <c r="B381" s="4">
        <f>30.1295 * CHOOSE(CONTROL!$C$9, $C$13, 100%, $E$13) + CHOOSE(CONTROL!$C$28, 0.0255, 0)</f>
        <v>30.155000000000001</v>
      </c>
      <c r="C381" s="4">
        <f>29.817 * CHOOSE(CONTROL!$C$9, $C$13, 100%, $E$13) + CHOOSE(CONTROL!$C$28, 0.0255, 0)</f>
        <v>29.842500000000001</v>
      </c>
      <c r="D381" s="4">
        <f>34.6606 * CHOOSE(CONTROL!$C$9, $C$13, 100%, $E$13) + CHOOSE(CONTROL!$C$28, 0, 0)</f>
        <v>34.660600000000002</v>
      </c>
      <c r="E381" s="4">
        <f>176.07613679238 * CHOOSE(CONTROL!$C$9, $C$13, 100%, $E$13) + CHOOSE(CONTROL!$C$28, 0, 0)</f>
        <v>176.07613679238</v>
      </c>
    </row>
    <row r="382" spans="1:5" ht="15">
      <c r="A382" s="13">
        <v>53508</v>
      </c>
      <c r="B382" s="4">
        <f>30.2189 * CHOOSE(CONTROL!$C$9, $C$13, 100%, $E$13) + CHOOSE(CONTROL!$C$28, 0.0255, 0)</f>
        <v>30.244400000000002</v>
      </c>
      <c r="C382" s="4">
        <f>29.9064 * CHOOSE(CONTROL!$C$9, $C$13, 100%, $E$13) + CHOOSE(CONTROL!$C$28, 0.0255, 0)</f>
        <v>29.931900000000002</v>
      </c>
      <c r="D382" s="4">
        <f>34.9759 * CHOOSE(CONTROL!$C$9, $C$13, 100%, $E$13) + CHOOSE(CONTROL!$C$28, 0, 0)</f>
        <v>34.975900000000003</v>
      </c>
      <c r="E382" s="4">
        <f>176.633265678505 * CHOOSE(CONTROL!$C$9, $C$13, 100%, $E$13) + CHOOSE(CONTROL!$C$28, 0, 0)</f>
        <v>176.63326567850501</v>
      </c>
    </row>
    <row r="383" spans="1:5" ht="15">
      <c r="A383" s="13">
        <v>53539</v>
      </c>
      <c r="B383" s="4">
        <f>30.2099 * CHOOSE(CONTROL!$C$9, $C$13, 100%, $E$13) + CHOOSE(CONTROL!$C$28, 0.0255, 0)</f>
        <v>30.235400000000002</v>
      </c>
      <c r="C383" s="4">
        <f>29.8974 * CHOOSE(CONTROL!$C$9, $C$13, 100%, $E$13) + CHOOSE(CONTROL!$C$28, 0.0255, 0)</f>
        <v>29.922900000000002</v>
      </c>
      <c r="D383" s="4">
        <f>35.5448 * CHOOSE(CONTROL!$C$9, $C$13, 100%, $E$13) + CHOOSE(CONTROL!$C$28, 0, 0)</f>
        <v>35.544800000000002</v>
      </c>
      <c r="E383" s="4">
        <f>176.577084614358 * CHOOSE(CONTROL!$C$9, $C$13, 100%, $E$13) + CHOOSE(CONTROL!$C$28, 0, 0)</f>
        <v>176.577084614358</v>
      </c>
    </row>
    <row r="384" spans="1:5" ht="15">
      <c r="A384" s="13">
        <v>53570</v>
      </c>
      <c r="B384" s="4">
        <f>30.8883 * CHOOSE(CONTROL!$C$9, $C$13, 100%, $E$13) + CHOOSE(CONTROL!$C$28, 0.0255, 0)</f>
        <v>30.913800000000002</v>
      </c>
      <c r="C384" s="4">
        <f>30.5758 * CHOOSE(CONTROL!$C$9, $C$13, 100%, $E$13) + CHOOSE(CONTROL!$C$28, 0.0255, 0)</f>
        <v>30.601300000000002</v>
      </c>
      <c r="D384" s="4">
        <f>35.1691 * CHOOSE(CONTROL!$C$9, $C$13, 100%, $E$13) + CHOOSE(CONTROL!$C$28, 0, 0)</f>
        <v>35.1691</v>
      </c>
      <c r="E384" s="4">
        <f>180.804709691428 * CHOOSE(CONTROL!$C$9, $C$13, 100%, $E$13) + CHOOSE(CONTROL!$C$28, 0, 0)</f>
        <v>180.804709691428</v>
      </c>
    </row>
    <row r="385" spans="1:5" ht="15">
      <c r="A385" s="13">
        <v>53600</v>
      </c>
      <c r="B385" s="4">
        <f>29.7321 * CHOOSE(CONTROL!$C$9, $C$13, 100%, $E$13) + CHOOSE(CONTROL!$C$28, 0.0255, 0)</f>
        <v>29.7576</v>
      </c>
      <c r="C385" s="4">
        <f>29.4196 * CHOOSE(CONTROL!$C$9, $C$13, 100%, $E$13) + CHOOSE(CONTROL!$C$28, 0.0255, 0)</f>
        <v>29.4451</v>
      </c>
      <c r="D385" s="4">
        <f>34.9916 * CHOOSE(CONTROL!$C$9, $C$13, 100%, $E$13) + CHOOSE(CONTROL!$C$28, 0, 0)</f>
        <v>34.991599999999998</v>
      </c>
      <c r="E385" s="4">
        <f>173.599488214561 * CHOOSE(CONTROL!$C$9, $C$13, 100%, $E$13) + CHOOSE(CONTROL!$C$28, 0, 0)</f>
        <v>173.59948821456101</v>
      </c>
    </row>
    <row r="386" spans="1:5" ht="15">
      <c r="A386" s="13">
        <v>53631</v>
      </c>
      <c r="B386" s="4">
        <f>28.8065 * CHOOSE(CONTROL!$C$9, $C$13, 100%, $E$13) + CHOOSE(CONTROL!$C$28, 0.0003, 0)</f>
        <v>28.806799999999999</v>
      </c>
      <c r="C386" s="4">
        <f>28.494 * CHOOSE(CONTROL!$C$9, $C$13, 100%, $E$13) + CHOOSE(CONTROL!$C$28, 0.0003, 0)</f>
        <v>28.494299999999999</v>
      </c>
      <c r="D386" s="4">
        <f>34.5163 * CHOOSE(CONTROL!$C$9, $C$13, 100%, $E$13) + CHOOSE(CONTROL!$C$28, 0, 0)</f>
        <v>34.516300000000001</v>
      </c>
      <c r="E386" s="4">
        <f>167.831565628792 * CHOOSE(CONTROL!$C$9, $C$13, 100%, $E$13) + CHOOSE(CONTROL!$C$28, 0, 0)</f>
        <v>167.83156562879199</v>
      </c>
    </row>
    <row r="387" spans="1:5" ht="15">
      <c r="A387" s="13">
        <v>53661</v>
      </c>
      <c r="B387" s="4">
        <f>28.2104 * CHOOSE(CONTROL!$C$9, $C$13, 100%, $E$13) + CHOOSE(CONTROL!$C$28, 0.0003, 0)</f>
        <v>28.210699999999999</v>
      </c>
      <c r="C387" s="4">
        <f>27.8979 * CHOOSE(CONTROL!$C$9, $C$13, 100%, $E$13) + CHOOSE(CONTROL!$C$28, 0.0003, 0)</f>
        <v>27.898199999999999</v>
      </c>
      <c r="D387" s="4">
        <f>34.3529 * CHOOSE(CONTROL!$C$9, $C$13, 100%, $E$13) + CHOOSE(CONTROL!$C$28, 0, 0)</f>
        <v>34.352899999999998</v>
      </c>
      <c r="E387" s="4">
        <f>164.116592762064 * CHOOSE(CONTROL!$C$9, $C$13, 100%, $E$13) + CHOOSE(CONTROL!$C$28, 0, 0)</f>
        <v>164.11659276206399</v>
      </c>
    </row>
    <row r="388" spans="1:5" ht="15">
      <c r="A388" s="13">
        <v>53692</v>
      </c>
      <c r="B388" s="4">
        <f>27.7979 * CHOOSE(CONTROL!$C$9, $C$13, 100%, $E$13) + CHOOSE(CONTROL!$C$28, 0.0003, 0)</f>
        <v>27.798199999999998</v>
      </c>
      <c r="C388" s="4">
        <f>27.4854 * CHOOSE(CONTROL!$C$9, $C$13, 100%, $E$13) + CHOOSE(CONTROL!$C$28, 0.0003, 0)</f>
        <v>27.485699999999998</v>
      </c>
      <c r="D388" s="4">
        <f>33.1499 * CHOOSE(CONTROL!$C$9, $C$13, 100%, $E$13) + CHOOSE(CONTROL!$C$28, 0, 0)</f>
        <v>33.149900000000002</v>
      </c>
      <c r="E388" s="4">
        <f>161.546309077334 * CHOOSE(CONTROL!$C$9, $C$13, 100%, $E$13) + CHOOSE(CONTROL!$C$28, 0, 0)</f>
        <v>161.546309077334</v>
      </c>
    </row>
    <row r="389" spans="1:5" ht="15">
      <c r="A389" s="13">
        <v>53723</v>
      </c>
      <c r="B389" s="4">
        <f>27.1278 * CHOOSE(CONTROL!$C$9, $C$13, 100%, $E$13) + CHOOSE(CONTROL!$C$28, 0.0003, 0)</f>
        <v>27.1281</v>
      </c>
      <c r="C389" s="4">
        <f>26.8153 * CHOOSE(CONTROL!$C$9, $C$13, 100%, $E$13) + CHOOSE(CONTROL!$C$28, 0.0003, 0)</f>
        <v>26.8156</v>
      </c>
      <c r="D389" s="4">
        <f>32.0442 * CHOOSE(CONTROL!$C$9, $C$13, 100%, $E$13) + CHOOSE(CONTROL!$C$28, 0, 0)</f>
        <v>32.044199999999996</v>
      </c>
      <c r="E389" s="4">
        <f>156.913776537007 * CHOOSE(CONTROL!$C$9, $C$13, 100%, $E$13) + CHOOSE(CONTROL!$C$28, 0, 0)</f>
        <v>156.91377653700701</v>
      </c>
    </row>
    <row r="390" spans="1:5" ht="15">
      <c r="A390" s="13">
        <v>53751</v>
      </c>
      <c r="B390" s="4">
        <f>27.7274 * CHOOSE(CONTROL!$C$9, $C$13, 100%, $E$13) + CHOOSE(CONTROL!$C$28, 0.0003, 0)</f>
        <v>27.727699999999999</v>
      </c>
      <c r="C390" s="4">
        <f>27.4149 * CHOOSE(CONTROL!$C$9, $C$13, 100%, $E$13) + CHOOSE(CONTROL!$C$28, 0.0003, 0)</f>
        <v>27.415199999999999</v>
      </c>
      <c r="D390" s="4">
        <f>33.1576 * CHOOSE(CONTROL!$C$9, $C$13, 100%, $E$13) + CHOOSE(CONTROL!$C$28, 0, 0)</f>
        <v>33.157600000000002</v>
      </c>
      <c r="E390" s="4">
        <f>160.639527974978 * CHOOSE(CONTROL!$C$9, $C$13, 100%, $E$13) + CHOOSE(CONTROL!$C$28, 0, 0)</f>
        <v>160.63952797497799</v>
      </c>
    </row>
    <row r="391" spans="1:5" ht="15">
      <c r="A391" s="13">
        <v>53782</v>
      </c>
      <c r="B391" s="4">
        <f>29.302 * CHOOSE(CONTROL!$C$9, $C$13, 100%, $E$13) + CHOOSE(CONTROL!$C$28, 0.0003, 0)</f>
        <v>29.302299999999999</v>
      </c>
      <c r="C391" s="4">
        <f>28.9895 * CHOOSE(CONTROL!$C$9, $C$13, 100%, $E$13) + CHOOSE(CONTROL!$C$28, 0.0003, 0)</f>
        <v>28.989799999999999</v>
      </c>
      <c r="D391" s="4">
        <f>34.9006 * CHOOSE(CONTROL!$C$9, $C$13, 100%, $E$13) + CHOOSE(CONTROL!$C$28, 0, 0)</f>
        <v>34.900599999999997</v>
      </c>
      <c r="E391" s="4">
        <f>170.423549249549 * CHOOSE(CONTROL!$C$9, $C$13, 100%, $E$13) + CHOOSE(CONTROL!$C$28, 0, 0)</f>
        <v>170.42354924954901</v>
      </c>
    </row>
    <row r="392" spans="1:5" ht="15">
      <c r="A392" s="13">
        <v>53812</v>
      </c>
      <c r="B392" s="4">
        <f>30.4208 * CHOOSE(CONTROL!$C$9, $C$13, 100%, $E$13) + CHOOSE(CONTROL!$C$28, 0.0003, 0)</f>
        <v>30.421099999999999</v>
      </c>
      <c r="C392" s="4">
        <f>30.1083 * CHOOSE(CONTROL!$C$9, $C$13, 100%, $E$13) + CHOOSE(CONTROL!$C$28, 0.0003, 0)</f>
        <v>30.108599999999999</v>
      </c>
      <c r="D392" s="4">
        <f>35.9046 * CHOOSE(CONTROL!$C$9, $C$13, 100%, $E$13) + CHOOSE(CONTROL!$C$28, 0, 0)</f>
        <v>35.904600000000002</v>
      </c>
      <c r="E392" s="4">
        <f>177.375226754358 * CHOOSE(CONTROL!$C$9, $C$13, 100%, $E$13) + CHOOSE(CONTROL!$C$28, 0, 0)</f>
        <v>177.37522675435801</v>
      </c>
    </row>
    <row r="393" spans="1:5" ht="15">
      <c r="A393" s="13">
        <v>53843</v>
      </c>
      <c r="B393" s="4">
        <f>31.1043 * CHOOSE(CONTROL!$C$9, $C$13, 100%, $E$13) + CHOOSE(CONTROL!$C$28, 0.0255, 0)</f>
        <v>31.129799999999999</v>
      </c>
      <c r="C393" s="4">
        <f>30.7918 * CHOOSE(CONTROL!$C$9, $C$13, 100%, $E$13) + CHOOSE(CONTROL!$C$28, 0.0255, 0)</f>
        <v>30.817299999999999</v>
      </c>
      <c r="D393" s="4">
        <f>35.5079 * CHOOSE(CONTROL!$C$9, $C$13, 100%, $E$13) + CHOOSE(CONTROL!$C$28, 0, 0)</f>
        <v>35.507899999999999</v>
      </c>
      <c r="E393" s="4">
        <f>181.62253510134 * CHOOSE(CONTROL!$C$9, $C$13, 100%, $E$13) + CHOOSE(CONTROL!$C$28, 0, 0)</f>
        <v>181.62253510133999</v>
      </c>
    </row>
    <row r="394" spans="1:5" ht="15">
      <c r="A394" s="13">
        <v>53873</v>
      </c>
      <c r="B394" s="4">
        <f>31.1968 * CHOOSE(CONTROL!$C$9, $C$13, 100%, $E$13) + CHOOSE(CONTROL!$C$28, 0.0255, 0)</f>
        <v>31.222300000000001</v>
      </c>
      <c r="C394" s="4">
        <f>30.8843 * CHOOSE(CONTROL!$C$9, $C$13, 100%, $E$13) + CHOOSE(CONTROL!$C$28, 0.0255, 0)</f>
        <v>30.909800000000001</v>
      </c>
      <c r="D394" s="4">
        <f>35.831 * CHOOSE(CONTROL!$C$9, $C$13, 100%, $E$13) + CHOOSE(CONTROL!$C$28, 0, 0)</f>
        <v>35.831000000000003</v>
      </c>
      <c r="E394" s="4">
        <f>182.197213547378 * CHOOSE(CONTROL!$C$9, $C$13, 100%, $E$13) + CHOOSE(CONTROL!$C$28, 0, 0)</f>
        <v>182.197213547378</v>
      </c>
    </row>
    <row r="395" spans="1:5" ht="15">
      <c r="A395" s="13">
        <v>53904</v>
      </c>
      <c r="B395" s="4">
        <f>31.1874 * CHOOSE(CONTROL!$C$9, $C$13, 100%, $E$13) + CHOOSE(CONTROL!$C$28, 0.0255, 0)</f>
        <v>31.212900000000001</v>
      </c>
      <c r="C395" s="4">
        <f>30.8749 * CHOOSE(CONTROL!$C$9, $C$13, 100%, $E$13) + CHOOSE(CONTROL!$C$28, 0.0255, 0)</f>
        <v>30.900400000000001</v>
      </c>
      <c r="D395" s="4">
        <f>36.414 * CHOOSE(CONTROL!$C$9, $C$13, 100%, $E$13) + CHOOSE(CONTROL!$C$28, 0, 0)</f>
        <v>36.414000000000001</v>
      </c>
      <c r="E395" s="4">
        <f>182.13926277971 * CHOOSE(CONTROL!$C$9, $C$13, 100%, $E$13) + CHOOSE(CONTROL!$C$28, 0, 0)</f>
        <v>182.13926277971001</v>
      </c>
    </row>
    <row r="396" spans="1:5" ht="15">
      <c r="A396" s="13">
        <v>53935</v>
      </c>
      <c r="B396" s="4">
        <f>31.8893 * CHOOSE(CONTROL!$C$9, $C$13, 100%, $E$13) + CHOOSE(CONTROL!$C$28, 0.0255, 0)</f>
        <v>31.9148</v>
      </c>
      <c r="C396" s="4">
        <f>31.5768 * CHOOSE(CONTROL!$C$9, $C$13, 100%, $E$13) + CHOOSE(CONTROL!$C$28, 0.0255, 0)</f>
        <v>31.6023</v>
      </c>
      <c r="D396" s="4">
        <f>36.029 * CHOOSE(CONTROL!$C$9, $C$13, 100%, $E$13) + CHOOSE(CONTROL!$C$28, 0, 0)</f>
        <v>36.029000000000003</v>
      </c>
      <c r="E396" s="4">
        <f>186.500058046708 * CHOOSE(CONTROL!$C$9, $C$13, 100%, $E$13) + CHOOSE(CONTROL!$C$28, 0, 0)</f>
        <v>186.50005804670801</v>
      </c>
    </row>
    <row r="397" spans="1:5" ht="15">
      <c r="A397" s="13">
        <v>53965</v>
      </c>
      <c r="B397" s="4">
        <f>30.6932 * CHOOSE(CONTROL!$C$9, $C$13, 100%, $E$13) + CHOOSE(CONTROL!$C$28, 0.0255, 0)</f>
        <v>30.718700000000002</v>
      </c>
      <c r="C397" s="4">
        <f>30.3807 * CHOOSE(CONTROL!$C$9, $C$13, 100%, $E$13) + CHOOSE(CONTROL!$C$28, 0.0255, 0)</f>
        <v>30.406200000000002</v>
      </c>
      <c r="D397" s="4">
        <f>35.8471 * CHOOSE(CONTROL!$C$9, $C$13, 100%, $E$13) + CHOOSE(CONTROL!$C$28, 0, 0)</f>
        <v>35.847099999999998</v>
      </c>
      <c r="E397" s="4">
        <f>179.06787209332 * CHOOSE(CONTROL!$C$9, $C$13, 100%, $E$13) + CHOOSE(CONTROL!$C$28, 0, 0)</f>
        <v>179.06787209332001</v>
      </c>
    </row>
    <row r="398" spans="1:5" ht="15">
      <c r="A398" s="13">
        <v>53996</v>
      </c>
      <c r="B398" s="4">
        <f>29.7357 * CHOOSE(CONTROL!$C$9, $C$13, 100%, $E$13) + CHOOSE(CONTROL!$C$28, 0.0003, 0)</f>
        <v>29.736000000000001</v>
      </c>
      <c r="C398" s="4">
        <f>29.4232 * CHOOSE(CONTROL!$C$9, $C$13, 100%, $E$13) + CHOOSE(CONTROL!$C$28, 0.0003, 0)</f>
        <v>29.423500000000001</v>
      </c>
      <c r="D398" s="4">
        <f>35.36 * CHOOSE(CONTROL!$C$9, $C$13, 100%, $E$13) + CHOOSE(CONTROL!$C$28, 0, 0)</f>
        <v>35.36</v>
      </c>
      <c r="E398" s="4">
        <f>173.118259946099 * CHOOSE(CONTROL!$C$9, $C$13, 100%, $E$13) + CHOOSE(CONTROL!$C$28, 0, 0)</f>
        <v>173.11825994609899</v>
      </c>
    </row>
    <row r="399" spans="1:5" ht="15">
      <c r="A399" s="13">
        <v>54026</v>
      </c>
      <c r="B399" s="4">
        <f>29.119 * CHOOSE(CONTROL!$C$9, $C$13, 100%, $E$13) + CHOOSE(CONTROL!$C$28, 0.0003, 0)</f>
        <v>29.119299999999999</v>
      </c>
      <c r="C399" s="4">
        <f>28.8065 * CHOOSE(CONTROL!$C$9, $C$13, 100%, $E$13) + CHOOSE(CONTROL!$C$28, 0.0003, 0)</f>
        <v>28.806799999999999</v>
      </c>
      <c r="D399" s="4">
        <f>35.1925 * CHOOSE(CONTROL!$C$9, $C$13, 100%, $E$13) + CHOOSE(CONTROL!$C$28, 0, 0)</f>
        <v>35.192500000000003</v>
      </c>
      <c r="E399" s="4">
        <f>169.286265434069 * CHOOSE(CONTROL!$C$9, $C$13, 100%, $E$13) + CHOOSE(CONTROL!$C$28, 0, 0)</f>
        <v>169.28626543406901</v>
      </c>
    </row>
    <row r="400" spans="1:5" ht="15">
      <c r="A400" s="13">
        <v>54057</v>
      </c>
      <c r="B400" s="4">
        <f>28.6923 * CHOOSE(CONTROL!$C$9, $C$13, 100%, $E$13) + CHOOSE(CONTROL!$C$28, 0.0003, 0)</f>
        <v>28.692599999999999</v>
      </c>
      <c r="C400" s="4">
        <f>28.3798 * CHOOSE(CONTROL!$C$9, $C$13, 100%, $E$13) + CHOOSE(CONTROL!$C$28, 0.0003, 0)</f>
        <v>28.380099999999999</v>
      </c>
      <c r="D400" s="4">
        <f>33.9597 * CHOOSE(CONTROL!$C$9, $C$13, 100%, $E$13) + CHOOSE(CONTROL!$C$28, 0, 0)</f>
        <v>33.959699999999998</v>
      </c>
      <c r="E400" s="4">
        <f>166.63501781327 * CHOOSE(CONTROL!$C$9, $C$13, 100%, $E$13) + CHOOSE(CONTROL!$C$28, 0, 0)</f>
        <v>166.63501781327</v>
      </c>
    </row>
    <row r="401" spans="1:5" ht="15">
      <c r="A401" s="13">
        <v>54088</v>
      </c>
      <c r="B401" s="4">
        <f>27.999 * CHOOSE(CONTROL!$C$9, $C$13, 100%, $E$13) + CHOOSE(CONTROL!$C$28, 0.0003, 0)</f>
        <v>27.999299999999998</v>
      </c>
      <c r="C401" s="4">
        <f>27.6865 * CHOOSE(CONTROL!$C$9, $C$13, 100%, $E$13) + CHOOSE(CONTROL!$C$28, 0.0003, 0)</f>
        <v>27.686799999999998</v>
      </c>
      <c r="D401" s="4">
        <f>32.8266 * CHOOSE(CONTROL!$C$9, $C$13, 100%, $E$13) + CHOOSE(CONTROL!$C$28, 0, 0)</f>
        <v>32.826599999999999</v>
      </c>
      <c r="E401" s="4">
        <f>161.856560497922 * CHOOSE(CONTROL!$C$9, $C$13, 100%, $E$13) + CHOOSE(CONTROL!$C$28, 0, 0)</f>
        <v>161.856560497922</v>
      </c>
    </row>
    <row r="402" spans="1:5" ht="15">
      <c r="A402" s="13">
        <v>54116</v>
      </c>
      <c r="B402" s="4">
        <f>28.6193 * CHOOSE(CONTROL!$C$9, $C$13, 100%, $E$13) + CHOOSE(CONTROL!$C$28, 0.0003, 0)</f>
        <v>28.619599999999998</v>
      </c>
      <c r="C402" s="4">
        <f>28.3068 * CHOOSE(CONTROL!$C$9, $C$13, 100%, $E$13) + CHOOSE(CONTROL!$C$28, 0.0003, 0)</f>
        <v>28.307099999999998</v>
      </c>
      <c r="D402" s="4">
        <f>33.9676 * CHOOSE(CONTROL!$C$9, $C$13, 100%, $E$13) + CHOOSE(CONTROL!$C$28, 0, 0)</f>
        <v>33.967599999999997</v>
      </c>
      <c r="E402" s="4">
        <f>165.69967310619 * CHOOSE(CONTROL!$C$9, $C$13, 100%, $E$13) + CHOOSE(CONTROL!$C$28, 0, 0)</f>
        <v>165.69967310619001</v>
      </c>
    </row>
    <row r="403" spans="1:5" ht="15">
      <c r="A403" s="13">
        <v>54148</v>
      </c>
      <c r="B403" s="4">
        <f>30.2482 * CHOOSE(CONTROL!$C$9, $C$13, 100%, $E$13) + CHOOSE(CONTROL!$C$28, 0.0003, 0)</f>
        <v>30.2485</v>
      </c>
      <c r="C403" s="4">
        <f>29.9357 * CHOOSE(CONTROL!$C$9, $C$13, 100%, $E$13) + CHOOSE(CONTROL!$C$28, 0.0003, 0)</f>
        <v>29.936</v>
      </c>
      <c r="D403" s="4">
        <f>35.7538 * CHOOSE(CONTROL!$C$9, $C$13, 100%, $E$13) + CHOOSE(CONTROL!$C$28, 0, 0)</f>
        <v>35.753799999999998</v>
      </c>
      <c r="E403" s="4">
        <f>175.791891050909 * CHOOSE(CONTROL!$C$9, $C$13, 100%, $E$13) + CHOOSE(CONTROL!$C$28, 0, 0)</f>
        <v>175.79189105090899</v>
      </c>
    </row>
    <row r="404" spans="1:5" ht="15">
      <c r="A404" s="13">
        <v>54178</v>
      </c>
      <c r="B404" s="4">
        <f>31.4056 * CHOOSE(CONTROL!$C$9, $C$13, 100%, $E$13) + CHOOSE(CONTROL!$C$28, 0.0003, 0)</f>
        <v>31.405899999999999</v>
      </c>
      <c r="C404" s="4">
        <f>31.0931 * CHOOSE(CONTROL!$C$9, $C$13, 100%, $E$13) + CHOOSE(CONTROL!$C$28, 0.0003, 0)</f>
        <v>31.093399999999999</v>
      </c>
      <c r="D404" s="4">
        <f>36.7827 * CHOOSE(CONTROL!$C$9, $C$13, 100%, $E$13) + CHOOSE(CONTROL!$C$28, 0, 0)</f>
        <v>36.782699999999998</v>
      </c>
      <c r="E404" s="4">
        <f>182.96254639712 * CHOOSE(CONTROL!$C$9, $C$13, 100%, $E$13) + CHOOSE(CONTROL!$C$28, 0, 0)</f>
        <v>182.96254639712001</v>
      </c>
    </row>
    <row r="405" spans="1:5" ht="15">
      <c r="A405" s="13">
        <v>54209</v>
      </c>
      <c r="B405" s="4">
        <f>32.1127 * CHOOSE(CONTROL!$C$9, $C$13, 100%, $E$13) + CHOOSE(CONTROL!$C$28, 0.0255, 0)</f>
        <v>32.138199999999998</v>
      </c>
      <c r="C405" s="4">
        <f>31.8002 * CHOOSE(CONTROL!$C$9, $C$13, 100%, $E$13) + CHOOSE(CONTROL!$C$28, 0.0255, 0)</f>
        <v>31.825700000000001</v>
      </c>
      <c r="D405" s="4">
        <f>36.3762 * CHOOSE(CONTROL!$C$9, $C$13, 100%, $E$13) + CHOOSE(CONTROL!$C$28, 0, 0)</f>
        <v>36.376199999999997</v>
      </c>
      <c r="E405" s="4">
        <f>187.343644957032 * CHOOSE(CONTROL!$C$9, $C$13, 100%, $E$13) + CHOOSE(CONTROL!$C$28, 0, 0)</f>
        <v>187.34364495703201</v>
      </c>
    </row>
    <row r="406" spans="1:5" ht="15">
      <c r="A406" s="13">
        <v>54239</v>
      </c>
      <c r="B406" s="4">
        <f>32.2084 * CHOOSE(CONTROL!$C$9, $C$13, 100%, $E$13) + CHOOSE(CONTROL!$C$28, 0.0255, 0)</f>
        <v>32.233899999999998</v>
      </c>
      <c r="C406" s="4">
        <f>31.8959 * CHOOSE(CONTROL!$C$9, $C$13, 100%, $E$13) + CHOOSE(CONTROL!$C$28, 0.0255, 0)</f>
        <v>31.921400000000002</v>
      </c>
      <c r="D406" s="4">
        <f>36.7073 * CHOOSE(CONTROL!$C$9, $C$13, 100%, $E$13) + CHOOSE(CONTROL!$C$28, 0, 0)</f>
        <v>36.707299999999996</v>
      </c>
      <c r="E406" s="4">
        <f>187.93642577412 * CHOOSE(CONTROL!$C$9, $C$13, 100%, $E$13) + CHOOSE(CONTROL!$C$28, 0, 0)</f>
        <v>187.93642577412001</v>
      </c>
    </row>
    <row r="407" spans="1:5" ht="15">
      <c r="A407" s="13">
        <v>54270</v>
      </c>
      <c r="B407" s="4">
        <f>32.1987 * CHOOSE(CONTROL!$C$9, $C$13, 100%, $E$13) + CHOOSE(CONTROL!$C$28, 0.0255, 0)</f>
        <v>32.224200000000003</v>
      </c>
      <c r="C407" s="4">
        <f>31.8862 * CHOOSE(CONTROL!$C$9, $C$13, 100%, $E$13) + CHOOSE(CONTROL!$C$28, 0.0255, 0)</f>
        <v>31.9117</v>
      </c>
      <c r="D407" s="4">
        <f>37.3048 * CHOOSE(CONTROL!$C$9, $C$13, 100%, $E$13) + CHOOSE(CONTROL!$C$28, 0, 0)</f>
        <v>37.3048</v>
      </c>
      <c r="E407" s="4">
        <f>187.876649557271 * CHOOSE(CONTROL!$C$9, $C$13, 100%, $E$13) + CHOOSE(CONTROL!$C$28, 0, 0)</f>
        <v>187.87664955727101</v>
      </c>
    </row>
    <row r="408" spans="1:5" ht="15">
      <c r="A408" s="13">
        <v>54301</v>
      </c>
      <c r="B408" s="4">
        <f>32.9247 * CHOOSE(CONTROL!$C$9, $C$13, 100%, $E$13) + CHOOSE(CONTROL!$C$28, 0.0255, 0)</f>
        <v>32.950200000000002</v>
      </c>
      <c r="C408" s="4">
        <f>32.6122 * CHOOSE(CONTROL!$C$9, $C$13, 100%, $E$13) + CHOOSE(CONTROL!$C$28, 0.0255, 0)</f>
        <v>32.637700000000002</v>
      </c>
      <c r="D408" s="4">
        <f>36.9102 * CHOOSE(CONTROL!$C$9, $C$13, 100%, $E$13) + CHOOSE(CONTROL!$C$28, 0, 0)</f>
        <v>36.910200000000003</v>
      </c>
      <c r="E408" s="4">
        <f>192.374809875179 * CHOOSE(CONTROL!$C$9, $C$13, 100%, $E$13) + CHOOSE(CONTROL!$C$28, 0, 0)</f>
        <v>192.37480987517901</v>
      </c>
    </row>
    <row r="409" spans="1:5" ht="15">
      <c r="A409" s="13">
        <v>54331</v>
      </c>
      <c r="B409" s="4">
        <f>31.6874 * CHOOSE(CONTROL!$C$9, $C$13, 100%, $E$13) + CHOOSE(CONTROL!$C$28, 0.0255, 0)</f>
        <v>31.712900000000001</v>
      </c>
      <c r="C409" s="4">
        <f>31.3749 * CHOOSE(CONTROL!$C$9, $C$13, 100%, $E$13) + CHOOSE(CONTROL!$C$28, 0.0255, 0)</f>
        <v>31.400400000000001</v>
      </c>
      <c r="D409" s="4">
        <f>36.7238 * CHOOSE(CONTROL!$C$9, $C$13, 100%, $E$13) + CHOOSE(CONTROL!$C$28, 0, 0)</f>
        <v>36.723799999999997</v>
      </c>
      <c r="E409" s="4">
        <f>184.70851006426 * CHOOSE(CONTROL!$C$9, $C$13, 100%, $E$13) + CHOOSE(CONTROL!$C$28, 0, 0)</f>
        <v>184.70851006426</v>
      </c>
    </row>
    <row r="410" spans="1:5" ht="15">
      <c r="A410" s="13">
        <v>54362</v>
      </c>
      <c r="B410" s="4">
        <f>30.6969 * CHOOSE(CONTROL!$C$9, $C$13, 100%, $E$13) + CHOOSE(CONTROL!$C$28, 0.0003, 0)</f>
        <v>30.697199999999999</v>
      </c>
      <c r="C410" s="4">
        <f>30.3844 * CHOOSE(CONTROL!$C$9, $C$13, 100%, $E$13) + CHOOSE(CONTROL!$C$28, 0.0003, 0)</f>
        <v>30.384699999999999</v>
      </c>
      <c r="D410" s="4">
        <f>36.2246 * CHOOSE(CONTROL!$C$9, $C$13, 100%, $E$13) + CHOOSE(CONTROL!$C$28, 0, 0)</f>
        <v>36.224600000000002</v>
      </c>
      <c r="E410" s="4">
        <f>178.571485134401 * CHOOSE(CONTROL!$C$9, $C$13, 100%, $E$13) + CHOOSE(CONTROL!$C$28, 0, 0)</f>
        <v>178.571485134401</v>
      </c>
    </row>
    <row r="411" spans="1:5" ht="15">
      <c r="A411" s="13">
        <v>54392</v>
      </c>
      <c r="B411" s="4">
        <f>30.0589 * CHOOSE(CONTROL!$C$9, $C$13, 100%, $E$13) + CHOOSE(CONTROL!$C$28, 0.0003, 0)</f>
        <v>30.059200000000001</v>
      </c>
      <c r="C411" s="4">
        <f>29.7464 * CHOOSE(CONTROL!$C$9, $C$13, 100%, $E$13) + CHOOSE(CONTROL!$C$28, 0.0003, 0)</f>
        <v>29.746700000000001</v>
      </c>
      <c r="D411" s="4">
        <f>36.053 * CHOOSE(CONTROL!$C$9, $C$13, 100%, $E$13) + CHOOSE(CONTROL!$C$28, 0, 0)</f>
        <v>36.052999999999997</v>
      </c>
      <c r="E411" s="4">
        <f>174.618782795242 * CHOOSE(CONTROL!$C$9, $C$13, 100%, $E$13) + CHOOSE(CONTROL!$C$28, 0, 0)</f>
        <v>174.618782795242</v>
      </c>
    </row>
    <row r="412" spans="1:5" ht="15">
      <c r="A412" s="13">
        <v>54423</v>
      </c>
      <c r="B412" s="4">
        <f>29.6175 * CHOOSE(CONTROL!$C$9, $C$13, 100%, $E$13) + CHOOSE(CONTROL!$C$28, 0.0003, 0)</f>
        <v>29.617799999999999</v>
      </c>
      <c r="C412" s="4">
        <f>29.305 * CHOOSE(CONTROL!$C$9, $C$13, 100%, $E$13) + CHOOSE(CONTROL!$C$28, 0.0003, 0)</f>
        <v>29.305299999999999</v>
      </c>
      <c r="D412" s="4">
        <f>34.7896 * CHOOSE(CONTROL!$C$9, $C$13, 100%, $E$13) + CHOOSE(CONTROL!$C$28, 0, 0)</f>
        <v>34.7896</v>
      </c>
      <c r="E412" s="4">
        <f>171.884020874388 * CHOOSE(CONTROL!$C$9, $C$13, 100%, $E$13) + CHOOSE(CONTROL!$C$28, 0, 0)</f>
        <v>171.884020874388</v>
      </c>
    </row>
    <row r="413" spans="1:5" ht="15">
      <c r="A413" s="13">
        <v>54454</v>
      </c>
      <c r="B413" s="4">
        <f>28.9003 * CHOOSE(CONTROL!$C$9, $C$13, 100%, $E$13) + CHOOSE(CONTROL!$C$28, 0.0003, 0)</f>
        <v>28.900600000000001</v>
      </c>
      <c r="C413" s="4">
        <f>28.5878 * CHOOSE(CONTROL!$C$9, $C$13, 100%, $E$13) + CHOOSE(CONTROL!$C$28, 0.0003, 0)</f>
        <v>28.588100000000001</v>
      </c>
      <c r="D413" s="4">
        <f>33.6284 * CHOOSE(CONTROL!$C$9, $C$13, 100%, $E$13) + CHOOSE(CONTROL!$C$28, 0, 0)</f>
        <v>33.628399999999999</v>
      </c>
      <c r="E413" s="4">
        <f>166.955042153607 * CHOOSE(CONTROL!$C$9, $C$13, 100%, $E$13) + CHOOSE(CONTROL!$C$28, 0, 0)</f>
        <v>166.955042153607</v>
      </c>
    </row>
    <row r="414" spans="1:5" ht="15">
      <c r="A414" s="13">
        <v>54482</v>
      </c>
      <c r="B414" s="4">
        <f>29.542 * CHOOSE(CONTROL!$C$9, $C$13, 100%, $E$13) + CHOOSE(CONTROL!$C$28, 0.0003, 0)</f>
        <v>29.542300000000001</v>
      </c>
      <c r="C414" s="4">
        <f>29.2295 * CHOOSE(CONTROL!$C$9, $C$13, 100%, $E$13) + CHOOSE(CONTROL!$C$28, 0.0003, 0)</f>
        <v>29.229800000000001</v>
      </c>
      <c r="D414" s="4">
        <f>34.7977 * CHOOSE(CONTROL!$C$9, $C$13, 100%, $E$13) + CHOOSE(CONTROL!$C$28, 0, 0)</f>
        <v>34.797699999999999</v>
      </c>
      <c r="E414" s="4">
        <f>170.919212809035 * CHOOSE(CONTROL!$C$9, $C$13, 100%, $E$13) + CHOOSE(CONTROL!$C$28, 0, 0)</f>
        <v>170.919212809035</v>
      </c>
    </row>
    <row r="415" spans="1:5" ht="15">
      <c r="A415" s="13">
        <v>54513</v>
      </c>
      <c r="B415" s="4">
        <f>31.2271 * CHOOSE(CONTROL!$C$9, $C$13, 100%, $E$13) + CHOOSE(CONTROL!$C$28, 0.0003, 0)</f>
        <v>31.227399999999999</v>
      </c>
      <c r="C415" s="4">
        <f>30.9146 * CHOOSE(CONTROL!$C$9, $C$13, 100%, $E$13) + CHOOSE(CONTROL!$C$28, 0.0003, 0)</f>
        <v>30.914899999999999</v>
      </c>
      <c r="D415" s="4">
        <f>36.6282 * CHOOSE(CONTROL!$C$9, $C$13, 100%, $E$13) + CHOOSE(CONTROL!$C$28, 0, 0)</f>
        <v>36.6282</v>
      </c>
      <c r="E415" s="4">
        <f>181.329335619013 * CHOOSE(CONTROL!$C$9, $C$13, 100%, $E$13) + CHOOSE(CONTROL!$C$28, 0, 0)</f>
        <v>181.32933561901299</v>
      </c>
    </row>
    <row r="416" spans="1:5" ht="15">
      <c r="A416" s="13">
        <v>54543</v>
      </c>
      <c r="B416" s="4">
        <f>32.4244 * CHOOSE(CONTROL!$C$9, $C$13, 100%, $E$13) + CHOOSE(CONTROL!$C$28, 0.0003, 0)</f>
        <v>32.424700000000001</v>
      </c>
      <c r="C416" s="4">
        <f>32.1119 * CHOOSE(CONTROL!$C$9, $C$13, 100%, $E$13) + CHOOSE(CONTROL!$C$28, 0.0003, 0)</f>
        <v>32.112200000000001</v>
      </c>
      <c r="D416" s="4">
        <f>37.6826 * CHOOSE(CONTROL!$C$9, $C$13, 100%, $E$13) + CHOOSE(CONTROL!$C$28, 0, 0)</f>
        <v>37.682600000000001</v>
      </c>
      <c r="E416" s="4">
        <f>188.72586660863 * CHOOSE(CONTROL!$C$9, $C$13, 100%, $E$13) + CHOOSE(CONTROL!$C$28, 0, 0)</f>
        <v>188.72586660863001</v>
      </c>
    </row>
    <row r="417" spans="1:5" ht="15">
      <c r="A417" s="13">
        <v>54574</v>
      </c>
      <c r="B417" s="4">
        <f>33.1559 * CHOOSE(CONTROL!$C$9, $C$13, 100%, $E$13) + CHOOSE(CONTROL!$C$28, 0.0255, 0)</f>
        <v>33.181400000000004</v>
      </c>
      <c r="C417" s="4">
        <f>32.8434 * CHOOSE(CONTROL!$C$9, $C$13, 100%, $E$13) + CHOOSE(CONTROL!$C$28, 0.0255, 0)</f>
        <v>32.868900000000004</v>
      </c>
      <c r="D417" s="4">
        <f>37.266 * CHOOSE(CONTROL!$C$9, $C$13, 100%, $E$13) + CHOOSE(CONTROL!$C$28, 0, 0)</f>
        <v>37.265999999999998</v>
      </c>
      <c r="E417" s="4">
        <f>193.244969773178 * CHOOSE(CONTROL!$C$9, $C$13, 100%, $E$13) + CHOOSE(CONTROL!$C$28, 0, 0)</f>
        <v>193.24496977317801</v>
      </c>
    </row>
    <row r="418" spans="1:5" ht="15">
      <c r="A418" s="13">
        <v>54604</v>
      </c>
      <c r="B418" s="4">
        <f>33.2549 * CHOOSE(CONTROL!$C$9, $C$13, 100%, $E$13) + CHOOSE(CONTROL!$C$28, 0.0255, 0)</f>
        <v>33.2804</v>
      </c>
      <c r="C418" s="4">
        <f>32.9424 * CHOOSE(CONTROL!$C$9, $C$13, 100%, $E$13) + CHOOSE(CONTROL!$C$28, 0.0255, 0)</f>
        <v>32.9679</v>
      </c>
      <c r="D418" s="4">
        <f>37.6053 * CHOOSE(CONTROL!$C$9, $C$13, 100%, $E$13) + CHOOSE(CONTROL!$C$28, 0, 0)</f>
        <v>37.6053</v>
      </c>
      <c r="E418" s="4">
        <f>193.856423186005 * CHOOSE(CONTROL!$C$9, $C$13, 100%, $E$13) + CHOOSE(CONTROL!$C$28, 0, 0)</f>
        <v>193.856423186005</v>
      </c>
    </row>
    <row r="419" spans="1:5" ht="15">
      <c r="A419" s="13">
        <v>54635</v>
      </c>
      <c r="B419" s="4">
        <f>33.2449 * CHOOSE(CONTROL!$C$9, $C$13, 100%, $E$13) + CHOOSE(CONTROL!$C$28, 0.0255, 0)</f>
        <v>33.270400000000002</v>
      </c>
      <c r="C419" s="4">
        <f>32.9324 * CHOOSE(CONTROL!$C$9, $C$13, 100%, $E$13) + CHOOSE(CONTROL!$C$28, 0.0255, 0)</f>
        <v>32.957900000000002</v>
      </c>
      <c r="D419" s="4">
        <f>38.2176 * CHOOSE(CONTROL!$C$9, $C$13, 100%, $E$13) + CHOOSE(CONTROL!$C$28, 0, 0)</f>
        <v>38.217599999999997</v>
      </c>
      <c r="E419" s="4">
        <f>193.794764018325 * CHOOSE(CONTROL!$C$9, $C$13, 100%, $E$13) + CHOOSE(CONTROL!$C$28, 0, 0)</f>
        <v>193.794764018325</v>
      </c>
    </row>
    <row r="420" spans="1:5" ht="15">
      <c r="A420" s="13">
        <v>54666</v>
      </c>
      <c r="B420" s="4">
        <f>33.996 * CHOOSE(CONTROL!$C$9, $C$13, 100%, $E$13) + CHOOSE(CONTROL!$C$28, 0.0255, 0)</f>
        <v>34.021500000000003</v>
      </c>
      <c r="C420" s="4">
        <f>33.6835 * CHOOSE(CONTROL!$C$9, $C$13, 100%, $E$13) + CHOOSE(CONTROL!$C$28, 0.0255, 0)</f>
        <v>33.709000000000003</v>
      </c>
      <c r="D420" s="4">
        <f>37.8132 * CHOOSE(CONTROL!$C$9, $C$13, 100%, $E$13) + CHOOSE(CONTROL!$C$28, 0, 0)</f>
        <v>37.813200000000002</v>
      </c>
      <c r="E420" s="4">
        <f>198.434616386247 * CHOOSE(CONTROL!$C$9, $C$13, 100%, $E$13) + CHOOSE(CONTROL!$C$28, 0, 0)</f>
        <v>198.434616386247</v>
      </c>
    </row>
    <row r="421" spans="1:5" ht="15">
      <c r="A421" s="13">
        <v>54696</v>
      </c>
      <c r="B421" s="4">
        <f>32.7159 * CHOOSE(CONTROL!$C$9, $C$13, 100%, $E$13) + CHOOSE(CONTROL!$C$28, 0.0255, 0)</f>
        <v>32.741399999999999</v>
      </c>
      <c r="C421" s="4">
        <f>32.4034 * CHOOSE(CONTROL!$C$9, $C$13, 100%, $E$13) + CHOOSE(CONTROL!$C$28, 0.0255, 0)</f>
        <v>32.428899999999999</v>
      </c>
      <c r="D421" s="4">
        <f>37.6222 * CHOOSE(CONTROL!$C$9, $C$13, 100%, $E$13) + CHOOSE(CONTROL!$C$28, 0, 0)</f>
        <v>37.622199999999999</v>
      </c>
      <c r="E421" s="4">
        <f>190.526828131284 * CHOOSE(CONTROL!$C$9, $C$13, 100%, $E$13) + CHOOSE(CONTROL!$C$28, 0, 0)</f>
        <v>190.52682813128399</v>
      </c>
    </row>
    <row r="422" spans="1:5" ht="15">
      <c r="A422" s="13">
        <v>54727</v>
      </c>
      <c r="B422" s="4">
        <f>31.6912 * CHOOSE(CONTROL!$C$9, $C$13, 100%, $E$13) + CHOOSE(CONTROL!$C$28, 0.0003, 0)</f>
        <v>31.691499999999998</v>
      </c>
      <c r="C422" s="4">
        <f>31.3787 * CHOOSE(CONTROL!$C$9, $C$13, 100%, $E$13) + CHOOSE(CONTROL!$C$28, 0.0003, 0)</f>
        <v>31.378999999999998</v>
      </c>
      <c r="D422" s="4">
        <f>37.1106 * CHOOSE(CONTROL!$C$9, $C$13, 100%, $E$13) + CHOOSE(CONTROL!$C$28, 0, 0)</f>
        <v>37.110599999999998</v>
      </c>
      <c r="E422" s="4">
        <f>184.196486916134 * CHOOSE(CONTROL!$C$9, $C$13, 100%, $E$13) + CHOOSE(CONTROL!$C$28, 0, 0)</f>
        <v>184.19648691613401</v>
      </c>
    </row>
    <row r="423" spans="1:5" ht="15">
      <c r="A423" s="13">
        <v>54757</v>
      </c>
      <c r="B423" s="4">
        <f>31.0312 * CHOOSE(CONTROL!$C$9, $C$13, 100%, $E$13) + CHOOSE(CONTROL!$C$28, 0.0003, 0)</f>
        <v>31.031499999999998</v>
      </c>
      <c r="C423" s="4">
        <f>30.7187 * CHOOSE(CONTROL!$C$9, $C$13, 100%, $E$13) + CHOOSE(CONTROL!$C$28, 0.0003, 0)</f>
        <v>30.718999999999998</v>
      </c>
      <c r="D423" s="4">
        <f>36.9348 * CHOOSE(CONTROL!$C$9, $C$13, 100%, $E$13) + CHOOSE(CONTROL!$C$28, 0, 0)</f>
        <v>36.934800000000003</v>
      </c>
      <c r="E423" s="4">
        <f>180.119274453293 * CHOOSE(CONTROL!$C$9, $C$13, 100%, $E$13) + CHOOSE(CONTROL!$C$28, 0, 0)</f>
        <v>180.119274453293</v>
      </c>
    </row>
    <row r="424" spans="1:5" ht="15">
      <c r="A424" s="13">
        <v>54788</v>
      </c>
      <c r="B424" s="4">
        <f>30.5746 * CHOOSE(CONTROL!$C$9, $C$13, 100%, $E$13) + CHOOSE(CONTROL!$C$28, 0.0003, 0)</f>
        <v>30.5749</v>
      </c>
      <c r="C424" s="4">
        <f>30.2621 * CHOOSE(CONTROL!$C$9, $C$13, 100%, $E$13) + CHOOSE(CONTROL!$C$28, 0.0003, 0)</f>
        <v>30.2624</v>
      </c>
      <c r="D424" s="4">
        <f>35.64 * CHOOSE(CONTROL!$C$9, $C$13, 100%, $E$13) + CHOOSE(CONTROL!$C$28, 0, 0)</f>
        <v>35.64</v>
      </c>
      <c r="E424" s="4">
        <f>177.298367531931 * CHOOSE(CONTROL!$C$9, $C$13, 100%, $E$13) + CHOOSE(CONTROL!$C$28, 0, 0)</f>
        <v>177.29836753193101</v>
      </c>
    </row>
    <row r="425" spans="1:5" ht="15">
      <c r="A425" s="13">
        <v>54819</v>
      </c>
      <c r="B425" s="4">
        <f>29.8327 * CHOOSE(CONTROL!$C$9, $C$13, 100%, $E$13) + CHOOSE(CONTROL!$C$28, 0.0003, 0)</f>
        <v>29.832999999999998</v>
      </c>
      <c r="C425" s="4">
        <f>29.5202 * CHOOSE(CONTROL!$C$9, $C$13, 100%, $E$13) + CHOOSE(CONTROL!$C$28, 0.0003, 0)</f>
        <v>29.520499999999998</v>
      </c>
      <c r="D425" s="4">
        <f>34.45 * CHOOSE(CONTROL!$C$9, $C$13, 100%, $E$13) + CHOOSE(CONTROL!$C$28, 0, 0)</f>
        <v>34.450000000000003</v>
      </c>
      <c r="E425" s="4">
        <f>172.214125981445 * CHOOSE(CONTROL!$C$9, $C$13, 100%, $E$13) + CHOOSE(CONTROL!$C$28, 0, 0)</f>
        <v>172.21412598144499</v>
      </c>
    </row>
    <row r="426" spans="1:5" ht="15">
      <c r="A426" s="13">
        <v>54847</v>
      </c>
      <c r="B426" s="4">
        <f>30.4965 * CHOOSE(CONTROL!$C$9, $C$13, 100%, $E$13) + CHOOSE(CONTROL!$C$28, 0.0003, 0)</f>
        <v>30.4968</v>
      </c>
      <c r="C426" s="4">
        <f>30.184 * CHOOSE(CONTROL!$C$9, $C$13, 100%, $E$13) + CHOOSE(CONTROL!$C$28, 0.0003, 0)</f>
        <v>30.1843</v>
      </c>
      <c r="D426" s="4">
        <f>35.6484 * CHOOSE(CONTROL!$C$9, $C$13, 100%, $E$13) + CHOOSE(CONTROL!$C$28, 0, 0)</f>
        <v>35.648400000000002</v>
      </c>
      <c r="E426" s="4">
        <f>176.30316801252 * CHOOSE(CONTROL!$C$9, $C$13, 100%, $E$13) + CHOOSE(CONTROL!$C$28, 0, 0)</f>
        <v>176.30316801251999</v>
      </c>
    </row>
    <row r="427" spans="1:5" ht="15">
      <c r="A427" s="13">
        <v>54878</v>
      </c>
      <c r="B427" s="4">
        <f>32.2397 * CHOOSE(CONTROL!$C$9, $C$13, 100%, $E$13) + CHOOSE(CONTROL!$C$28, 0.0003, 0)</f>
        <v>32.24</v>
      </c>
      <c r="C427" s="4">
        <f>31.9272 * CHOOSE(CONTROL!$C$9, $C$13, 100%, $E$13) + CHOOSE(CONTROL!$C$28, 0.0003, 0)</f>
        <v>31.927499999999998</v>
      </c>
      <c r="D427" s="4">
        <f>37.5243 * CHOOSE(CONTROL!$C$9, $C$13, 100%, $E$13) + CHOOSE(CONTROL!$C$28, 0, 0)</f>
        <v>37.524299999999997</v>
      </c>
      <c r="E427" s="4">
        <f>187.041209691012 * CHOOSE(CONTROL!$C$9, $C$13, 100%, $E$13) + CHOOSE(CONTROL!$C$28, 0, 0)</f>
        <v>187.041209691012</v>
      </c>
    </row>
    <row r="428" spans="1:5" ht="15">
      <c r="A428" s="13">
        <v>54908</v>
      </c>
      <c r="B428" s="4">
        <f>33.4783 * CHOOSE(CONTROL!$C$9, $C$13, 100%, $E$13) + CHOOSE(CONTROL!$C$28, 0.0003, 0)</f>
        <v>33.4786</v>
      </c>
      <c r="C428" s="4">
        <f>33.1658 * CHOOSE(CONTROL!$C$9, $C$13, 100%, $E$13) + CHOOSE(CONTROL!$C$28, 0.0003, 0)</f>
        <v>33.1661</v>
      </c>
      <c r="D428" s="4">
        <f>38.6048 * CHOOSE(CONTROL!$C$9, $C$13, 100%, $E$13) + CHOOSE(CONTROL!$C$28, 0, 0)</f>
        <v>38.604799999999997</v>
      </c>
      <c r="E428" s="4">
        <f>194.670731406802 * CHOOSE(CONTROL!$C$9, $C$13, 100%, $E$13) + CHOOSE(CONTROL!$C$28, 0, 0)</f>
        <v>194.67073140680199</v>
      </c>
    </row>
    <row r="429" spans="1:5" ht="15">
      <c r="A429" s="13">
        <v>54939</v>
      </c>
      <c r="B429" s="4">
        <f>34.2351 * CHOOSE(CONTROL!$C$9, $C$13, 100%, $E$13) + CHOOSE(CONTROL!$C$28, 0.0255, 0)</f>
        <v>34.260600000000004</v>
      </c>
      <c r="C429" s="4">
        <f>33.9226 * CHOOSE(CONTROL!$C$9, $C$13, 100%, $E$13) + CHOOSE(CONTROL!$C$28, 0.0255, 0)</f>
        <v>33.948100000000004</v>
      </c>
      <c r="D429" s="4">
        <f>38.1778 * CHOOSE(CONTROL!$C$9, $C$13, 100%, $E$13) + CHOOSE(CONTROL!$C$28, 0, 0)</f>
        <v>38.177799999999998</v>
      </c>
      <c r="E429" s="4">
        <f>199.332186321034 * CHOOSE(CONTROL!$C$9, $C$13, 100%, $E$13) + CHOOSE(CONTROL!$C$28, 0, 0)</f>
        <v>199.33218632103399</v>
      </c>
    </row>
    <row r="430" spans="1:5" ht="15">
      <c r="A430" s="13">
        <v>54969</v>
      </c>
      <c r="B430" s="4">
        <f>34.3375 * CHOOSE(CONTROL!$C$9, $C$13, 100%, $E$13) + CHOOSE(CONTROL!$C$28, 0.0255, 0)</f>
        <v>34.363</v>
      </c>
      <c r="C430" s="4">
        <f>34.025 * CHOOSE(CONTROL!$C$9, $C$13, 100%, $E$13) + CHOOSE(CONTROL!$C$28, 0.0255, 0)</f>
        <v>34.0505</v>
      </c>
      <c r="D430" s="4">
        <f>38.5256 * CHOOSE(CONTROL!$C$9, $C$13, 100%, $E$13) + CHOOSE(CONTROL!$C$28, 0, 0)</f>
        <v>38.525599999999997</v>
      </c>
      <c r="E430" s="4">
        <f>199.962900516364 * CHOOSE(CONTROL!$C$9, $C$13, 100%, $E$13) + CHOOSE(CONTROL!$C$28, 0, 0)</f>
        <v>199.96290051636399</v>
      </c>
    </row>
    <row r="431" spans="1:5" ht="15">
      <c r="A431" s="13">
        <v>55000</v>
      </c>
      <c r="B431" s="4">
        <f>34.3272 * CHOOSE(CONTROL!$C$9, $C$13, 100%, $E$13) + CHOOSE(CONTROL!$C$28, 0.0255, 0)</f>
        <v>34.352699999999999</v>
      </c>
      <c r="C431" s="4">
        <f>34.0147 * CHOOSE(CONTROL!$C$9, $C$13, 100%, $E$13) + CHOOSE(CONTROL!$C$28, 0.0255, 0)</f>
        <v>34.040199999999999</v>
      </c>
      <c r="D431" s="4">
        <f>39.1531 * CHOOSE(CONTROL!$C$9, $C$13, 100%, $E$13) + CHOOSE(CONTROL!$C$28, 0, 0)</f>
        <v>39.153100000000002</v>
      </c>
      <c r="E431" s="4">
        <f>199.899299084903 * CHOOSE(CONTROL!$C$9, $C$13, 100%, $E$13) + CHOOSE(CONTROL!$C$28, 0, 0)</f>
        <v>199.89929908490299</v>
      </c>
    </row>
    <row r="432" spans="1:5" ht="15">
      <c r="A432" s="13">
        <v>55031</v>
      </c>
      <c r="B432" s="4">
        <f>35.1041 * CHOOSE(CONTROL!$C$9, $C$13, 100%, $E$13) + CHOOSE(CONTROL!$C$28, 0.0255, 0)</f>
        <v>35.129600000000003</v>
      </c>
      <c r="C432" s="4">
        <f>34.7916 * CHOOSE(CONTROL!$C$9, $C$13, 100%, $E$13) + CHOOSE(CONTROL!$C$28, 0.0255, 0)</f>
        <v>34.817100000000003</v>
      </c>
      <c r="D432" s="4">
        <f>38.7387 * CHOOSE(CONTROL!$C$9, $C$13, 100%, $E$13) + CHOOSE(CONTROL!$C$28, 0, 0)</f>
        <v>38.738700000000001</v>
      </c>
      <c r="E432" s="4">
        <f>204.685306802414 * CHOOSE(CONTROL!$C$9, $C$13, 100%, $E$13) + CHOOSE(CONTROL!$C$28, 0, 0)</f>
        <v>204.685306802414</v>
      </c>
    </row>
    <row r="433" spans="1:5" ht="15">
      <c r="A433" s="13">
        <v>55061</v>
      </c>
      <c r="B433" s="4">
        <f>33.7799 * CHOOSE(CONTROL!$C$9, $C$13, 100%, $E$13) + CHOOSE(CONTROL!$C$28, 0.0255, 0)</f>
        <v>33.805399999999999</v>
      </c>
      <c r="C433" s="4">
        <f>33.4674 * CHOOSE(CONTROL!$C$9, $C$13, 100%, $E$13) + CHOOSE(CONTROL!$C$28, 0.0255, 0)</f>
        <v>33.492899999999999</v>
      </c>
      <c r="D433" s="4">
        <f>38.5429 * CHOOSE(CONTROL!$C$9, $C$13, 100%, $E$13) + CHOOSE(CONTROL!$C$28, 0, 0)</f>
        <v>38.542900000000003</v>
      </c>
      <c r="E433" s="4">
        <f>196.528423217419 * CHOOSE(CONTROL!$C$9, $C$13, 100%, $E$13) + CHOOSE(CONTROL!$C$28, 0, 0)</f>
        <v>196.528423217419</v>
      </c>
    </row>
    <row r="434" spans="1:5" ht="15">
      <c r="A434" s="13">
        <v>55092</v>
      </c>
      <c r="B434" s="4">
        <f>32.7199 * CHOOSE(CONTROL!$C$9, $C$13, 100%, $E$13) + CHOOSE(CONTROL!$C$28, 0.0003, 0)</f>
        <v>32.720200000000006</v>
      </c>
      <c r="C434" s="4">
        <f>32.4074 * CHOOSE(CONTROL!$C$9, $C$13, 100%, $E$13) + CHOOSE(CONTROL!$C$28, 0.0003, 0)</f>
        <v>32.407700000000006</v>
      </c>
      <c r="D434" s="4">
        <f>38.0187 * CHOOSE(CONTROL!$C$9, $C$13, 100%, $E$13) + CHOOSE(CONTROL!$C$28, 0, 0)</f>
        <v>38.018700000000003</v>
      </c>
      <c r="E434" s="4">
        <f>189.998676253993 * CHOOSE(CONTROL!$C$9, $C$13, 100%, $E$13) + CHOOSE(CONTROL!$C$28, 0, 0)</f>
        <v>189.99867625399301</v>
      </c>
    </row>
    <row r="435" spans="1:5" ht="15">
      <c r="A435" s="13">
        <v>55122</v>
      </c>
      <c r="B435" s="4">
        <f>32.0371 * CHOOSE(CONTROL!$C$9, $C$13, 100%, $E$13) + CHOOSE(CONTROL!$C$28, 0.0003, 0)</f>
        <v>32.037400000000005</v>
      </c>
      <c r="C435" s="4">
        <f>31.7246 * CHOOSE(CONTROL!$C$9, $C$13, 100%, $E$13) + CHOOSE(CONTROL!$C$28, 0.0003, 0)</f>
        <v>31.724899999999998</v>
      </c>
      <c r="D435" s="4">
        <f>37.8384 * CHOOSE(CONTROL!$C$9, $C$13, 100%, $E$13) + CHOOSE(CONTROL!$C$28, 0, 0)</f>
        <v>37.8384</v>
      </c>
      <c r="E435" s="4">
        <f>185.793031598571 * CHOOSE(CONTROL!$C$9, $C$13, 100%, $E$13) + CHOOSE(CONTROL!$C$28, 0, 0)</f>
        <v>185.79303159857099</v>
      </c>
    </row>
    <row r="436" spans="1:5" ht="15">
      <c r="A436" s="13">
        <v>55153</v>
      </c>
      <c r="B436" s="4">
        <f>31.5647 * CHOOSE(CONTROL!$C$9, $C$13, 100%, $E$13) + CHOOSE(CONTROL!$C$28, 0.0003, 0)</f>
        <v>31.564999999999998</v>
      </c>
      <c r="C436" s="4">
        <f>31.2522 * CHOOSE(CONTROL!$C$9, $C$13, 100%, $E$13) + CHOOSE(CONTROL!$C$28, 0.0003, 0)</f>
        <v>31.252499999999998</v>
      </c>
      <c r="D436" s="4">
        <f>36.5116 * CHOOSE(CONTROL!$C$9, $C$13, 100%, $E$13) + CHOOSE(CONTROL!$C$28, 0, 0)</f>
        <v>36.511600000000001</v>
      </c>
      <c r="E436" s="4">
        <f>182.883266109187 * CHOOSE(CONTROL!$C$9, $C$13, 100%, $E$13) + CHOOSE(CONTROL!$C$28, 0, 0)</f>
        <v>182.88326610918699</v>
      </c>
    </row>
    <row r="437" spans="1:5" ht="15">
      <c r="A437" s="13">
        <v>55184</v>
      </c>
      <c r="B437" s="4">
        <f>30.7972 * CHOOSE(CONTROL!$C$9, $C$13, 100%, $E$13) + CHOOSE(CONTROL!$C$28, 0.0003, 0)</f>
        <v>30.797499999999999</v>
      </c>
      <c r="C437" s="4">
        <f>30.4847 * CHOOSE(CONTROL!$C$9, $C$13, 100%, $E$13) + CHOOSE(CONTROL!$C$28, 0.0003, 0)</f>
        <v>30.484999999999999</v>
      </c>
      <c r="D437" s="4">
        <f>35.2921 * CHOOSE(CONTROL!$C$9, $C$13, 100%, $E$13) + CHOOSE(CONTROL!$C$28, 0, 0)</f>
        <v>35.292099999999998</v>
      </c>
      <c r="E437" s="4">
        <f>177.638870949861 * CHOOSE(CONTROL!$C$9, $C$13, 100%, $E$13) + CHOOSE(CONTROL!$C$28, 0, 0)</f>
        <v>177.638870949861</v>
      </c>
    </row>
    <row r="438" spans="1:5" ht="15">
      <c r="A438" s="13">
        <v>55212</v>
      </c>
      <c r="B438" s="4">
        <f>31.4839 * CHOOSE(CONTROL!$C$9, $C$13, 100%, $E$13) + CHOOSE(CONTROL!$C$28, 0.0003, 0)</f>
        <v>31.484199999999998</v>
      </c>
      <c r="C438" s="4">
        <f>31.1714 * CHOOSE(CONTROL!$C$9, $C$13, 100%, $E$13) + CHOOSE(CONTROL!$C$28, 0.0003, 0)</f>
        <v>31.171699999999998</v>
      </c>
      <c r="D438" s="4">
        <f>36.5201 * CHOOSE(CONTROL!$C$9, $C$13, 100%, $E$13) + CHOOSE(CONTROL!$C$28, 0, 0)</f>
        <v>36.520099999999999</v>
      </c>
      <c r="E438" s="4">
        <f>181.856717804914 * CHOOSE(CONTROL!$C$9, $C$13, 100%, $E$13) + CHOOSE(CONTROL!$C$28, 0, 0)</f>
        <v>181.85671780491401</v>
      </c>
    </row>
    <row r="439" spans="1:5" ht="15">
      <c r="A439" s="13">
        <v>55243</v>
      </c>
      <c r="B439" s="4">
        <f>33.2873 * CHOOSE(CONTROL!$C$9, $C$13, 100%, $E$13) + CHOOSE(CONTROL!$C$28, 0.0003, 0)</f>
        <v>33.287600000000005</v>
      </c>
      <c r="C439" s="4">
        <f>32.9748 * CHOOSE(CONTROL!$C$9, $C$13, 100%, $E$13) + CHOOSE(CONTROL!$C$28, 0.0003, 0)</f>
        <v>32.975100000000005</v>
      </c>
      <c r="D439" s="4">
        <f>38.4425 * CHOOSE(CONTROL!$C$9, $C$13, 100%, $E$13) + CHOOSE(CONTROL!$C$28, 0, 0)</f>
        <v>38.442500000000003</v>
      </c>
      <c r="E439" s="4">
        <f>192.933007796279 * CHOOSE(CONTROL!$C$9, $C$13, 100%, $E$13) + CHOOSE(CONTROL!$C$28, 0, 0)</f>
        <v>192.93300779627901</v>
      </c>
    </row>
    <row r="440" spans="1:5" ht="15">
      <c r="A440" s="13">
        <v>55273</v>
      </c>
      <c r="B440" s="4">
        <f>34.5687 * CHOOSE(CONTROL!$C$9, $C$13, 100%, $E$13) + CHOOSE(CONTROL!$C$28, 0.0003, 0)</f>
        <v>34.569000000000003</v>
      </c>
      <c r="C440" s="4">
        <f>34.2562 * CHOOSE(CONTROL!$C$9, $C$13, 100%, $E$13) + CHOOSE(CONTROL!$C$28, 0.0003, 0)</f>
        <v>34.256500000000003</v>
      </c>
      <c r="D440" s="4">
        <f>39.5499 * CHOOSE(CONTROL!$C$9, $C$13, 100%, $E$13) + CHOOSE(CONTROL!$C$28, 0, 0)</f>
        <v>39.549900000000001</v>
      </c>
      <c r="E440" s="4">
        <f>200.802859446116 * CHOOSE(CONTROL!$C$9, $C$13, 100%, $E$13) + CHOOSE(CONTROL!$C$28, 0, 0)</f>
        <v>200.802859446116</v>
      </c>
    </row>
    <row r="441" spans="1:5" ht="15">
      <c r="A441" s="13">
        <v>55304</v>
      </c>
      <c r="B441" s="4">
        <f>35.3515 * CHOOSE(CONTROL!$C$9, $C$13, 100%, $E$13) + CHOOSE(CONTROL!$C$28, 0.0255, 0)</f>
        <v>35.377000000000002</v>
      </c>
      <c r="C441" s="4">
        <f>35.039 * CHOOSE(CONTROL!$C$9, $C$13, 100%, $E$13) + CHOOSE(CONTROL!$C$28, 0.0255, 0)</f>
        <v>35.064500000000002</v>
      </c>
      <c r="D441" s="4">
        <f>39.1123 * CHOOSE(CONTROL!$C$9, $C$13, 100%, $E$13) + CHOOSE(CONTROL!$C$28, 0, 0)</f>
        <v>39.112299999999998</v>
      </c>
      <c r="E441" s="4">
        <f>205.611150190146 * CHOOSE(CONTROL!$C$9, $C$13, 100%, $E$13) + CHOOSE(CONTROL!$C$28, 0, 0)</f>
        <v>205.61115019014599</v>
      </c>
    </row>
    <row r="442" spans="1:5" ht="15">
      <c r="A442" s="13">
        <v>55334</v>
      </c>
      <c r="B442" s="4">
        <f>35.4574 * CHOOSE(CONTROL!$C$9, $C$13, 100%, $E$13) + CHOOSE(CONTROL!$C$28, 0.0255, 0)</f>
        <v>35.482900000000001</v>
      </c>
      <c r="C442" s="4">
        <f>35.1449 * CHOOSE(CONTROL!$C$9, $C$13, 100%, $E$13) + CHOOSE(CONTROL!$C$28, 0.0255, 0)</f>
        <v>35.170400000000001</v>
      </c>
      <c r="D442" s="4">
        <f>39.4687 * CHOOSE(CONTROL!$C$9, $C$13, 100%, $E$13) + CHOOSE(CONTROL!$C$28, 0, 0)</f>
        <v>39.468699999999998</v>
      </c>
      <c r="E442" s="4">
        <f>206.26173188263 * CHOOSE(CONTROL!$C$9, $C$13, 100%, $E$13) + CHOOSE(CONTROL!$C$28, 0, 0)</f>
        <v>206.26173188262999</v>
      </c>
    </row>
    <row r="443" spans="1:5" ht="15">
      <c r="A443" s="13">
        <v>55365</v>
      </c>
      <c r="B443" s="4">
        <f>35.4468 * CHOOSE(CONTROL!$C$9, $C$13, 100%, $E$13) + CHOOSE(CONTROL!$C$28, 0.0255, 0)</f>
        <v>35.472300000000004</v>
      </c>
      <c r="C443" s="4">
        <f>35.1343 * CHOOSE(CONTROL!$C$9, $C$13, 100%, $E$13) + CHOOSE(CONTROL!$C$28, 0.0255, 0)</f>
        <v>35.159800000000004</v>
      </c>
      <c r="D443" s="4">
        <f>40.1117 * CHOOSE(CONTROL!$C$9, $C$13, 100%, $E$13) + CHOOSE(CONTROL!$C$28, 0, 0)</f>
        <v>40.111699999999999</v>
      </c>
      <c r="E443" s="4">
        <f>206.196127006077 * CHOOSE(CONTROL!$C$9, $C$13, 100%, $E$13) + CHOOSE(CONTROL!$C$28, 0, 0)</f>
        <v>206.19612700607701</v>
      </c>
    </row>
    <row r="444" spans="1:5" ht="15">
      <c r="A444" s="13">
        <v>55396</v>
      </c>
      <c r="B444" s="4">
        <f>36.2505 * CHOOSE(CONTROL!$C$9, $C$13, 100%, $E$13) + CHOOSE(CONTROL!$C$28, 0.0255, 0)</f>
        <v>36.276000000000003</v>
      </c>
      <c r="C444" s="4">
        <f>35.938 * CHOOSE(CONTROL!$C$9, $C$13, 100%, $E$13) + CHOOSE(CONTROL!$C$28, 0.0255, 0)</f>
        <v>35.963500000000003</v>
      </c>
      <c r="D444" s="4">
        <f>39.6871 * CHOOSE(CONTROL!$C$9, $C$13, 100%, $E$13) + CHOOSE(CONTROL!$C$28, 0, 0)</f>
        <v>39.687100000000001</v>
      </c>
      <c r="E444" s="4">
        <f>211.13289396669 * CHOOSE(CONTROL!$C$9, $C$13, 100%, $E$13) + CHOOSE(CONTROL!$C$28, 0, 0)</f>
        <v>211.13289396669001</v>
      </c>
    </row>
    <row r="445" spans="1:5" ht="15">
      <c r="A445" s="13">
        <v>55426</v>
      </c>
      <c r="B445" s="4">
        <f>34.8806 * CHOOSE(CONTROL!$C$9, $C$13, 100%, $E$13) + CHOOSE(CONTROL!$C$28, 0.0255, 0)</f>
        <v>34.906100000000002</v>
      </c>
      <c r="C445" s="4">
        <f>34.5681 * CHOOSE(CONTROL!$C$9, $C$13, 100%, $E$13) + CHOOSE(CONTROL!$C$28, 0.0255, 0)</f>
        <v>34.593600000000002</v>
      </c>
      <c r="D445" s="4">
        <f>39.4864 * CHOOSE(CONTROL!$C$9, $C$13, 100%, $E$13) + CHOOSE(CONTROL!$C$28, 0, 0)</f>
        <v>39.486400000000003</v>
      </c>
      <c r="E445" s="4">
        <f>202.719068548768 * CHOOSE(CONTROL!$C$9, $C$13, 100%, $E$13) + CHOOSE(CONTROL!$C$28, 0, 0)</f>
        <v>202.71906854876801</v>
      </c>
    </row>
    <row r="446" spans="1:5" ht="15">
      <c r="A446" s="13">
        <v>55457</v>
      </c>
      <c r="B446" s="4">
        <f>33.784 * CHOOSE(CONTROL!$C$9, $C$13, 100%, $E$13) + CHOOSE(CONTROL!$C$28, 0.0003, 0)</f>
        <v>33.784300000000002</v>
      </c>
      <c r="C446" s="4">
        <f>33.4715 * CHOOSE(CONTROL!$C$9, $C$13, 100%, $E$13) + CHOOSE(CONTROL!$C$28, 0.0003, 0)</f>
        <v>33.471800000000002</v>
      </c>
      <c r="D446" s="4">
        <f>38.9492 * CHOOSE(CONTROL!$C$9, $C$13, 100%, $E$13) + CHOOSE(CONTROL!$C$28, 0, 0)</f>
        <v>38.949199999999998</v>
      </c>
      <c r="E446" s="4">
        <f>195.983634555993 * CHOOSE(CONTROL!$C$9, $C$13, 100%, $E$13) + CHOOSE(CONTROL!$C$28, 0, 0)</f>
        <v>195.98363455599301</v>
      </c>
    </row>
    <row r="447" spans="1:5" ht="15">
      <c r="A447" s="13">
        <v>55487</v>
      </c>
      <c r="B447" s="4">
        <f>33.0777 * CHOOSE(CONTROL!$C$9, $C$13, 100%, $E$13) + CHOOSE(CONTROL!$C$28, 0.0003, 0)</f>
        <v>33.078000000000003</v>
      </c>
      <c r="C447" s="4">
        <f>32.7652 * CHOOSE(CONTROL!$C$9, $C$13, 100%, $E$13) + CHOOSE(CONTROL!$C$28, 0.0003, 0)</f>
        <v>32.765500000000003</v>
      </c>
      <c r="D447" s="4">
        <f>38.7645 * CHOOSE(CONTROL!$C$9, $C$13, 100%, $E$13) + CHOOSE(CONTROL!$C$28, 0, 0)</f>
        <v>38.764499999999998</v>
      </c>
      <c r="E447" s="4">
        <f>191.645512093926 * CHOOSE(CONTROL!$C$9, $C$13, 100%, $E$13) + CHOOSE(CONTROL!$C$28, 0, 0)</f>
        <v>191.64551209392599</v>
      </c>
    </row>
    <row r="448" spans="1:5" ht="15">
      <c r="A448" s="13">
        <v>55518</v>
      </c>
      <c r="B448" s="4">
        <f>32.589 * CHOOSE(CONTROL!$C$9, $C$13, 100%, $E$13) + CHOOSE(CONTROL!$C$28, 0.0003, 0)</f>
        <v>32.589300000000001</v>
      </c>
      <c r="C448" s="4">
        <f>32.2765 * CHOOSE(CONTROL!$C$9, $C$13, 100%, $E$13) + CHOOSE(CONTROL!$C$28, 0.0003, 0)</f>
        <v>32.276800000000001</v>
      </c>
      <c r="D448" s="4">
        <f>37.4047 * CHOOSE(CONTROL!$C$9, $C$13, 100%, $E$13) + CHOOSE(CONTROL!$C$28, 0, 0)</f>
        <v>37.404699999999998</v>
      </c>
      <c r="E448" s="4">
        <f>188.644088991627 * CHOOSE(CONTROL!$C$9, $C$13, 100%, $E$13) + CHOOSE(CONTROL!$C$28, 0, 0)</f>
        <v>188.644088991627</v>
      </c>
    </row>
    <row r="449" spans="1:5" ht="15">
      <c r="A449" s="13">
        <v>55549</v>
      </c>
      <c r="B449" s="4">
        <f>31.795 * CHOOSE(CONTROL!$C$9, $C$13, 100%, $E$13) + CHOOSE(CONTROL!$C$28, 0.0003, 0)</f>
        <v>31.795300000000001</v>
      </c>
      <c r="C449" s="4">
        <f>31.4825 * CHOOSE(CONTROL!$C$9, $C$13, 100%, $E$13) + CHOOSE(CONTROL!$C$28, 0.0003, 0)</f>
        <v>31.482800000000001</v>
      </c>
      <c r="D449" s="4">
        <f>36.155 * CHOOSE(CONTROL!$C$9, $C$13, 100%, $E$13) + CHOOSE(CONTROL!$C$28, 0, 0)</f>
        <v>36.155000000000001</v>
      </c>
      <c r="E449" s="4">
        <f>183.234495384782 * CHOOSE(CONTROL!$C$9, $C$13, 100%, $E$13) + CHOOSE(CONTROL!$C$28, 0, 0)</f>
        <v>183.23449538478201</v>
      </c>
    </row>
    <row r="450" spans="1:5" ht="15">
      <c r="A450" s="13">
        <v>55577</v>
      </c>
      <c r="B450" s="4">
        <f>32.5055 * CHOOSE(CONTROL!$C$9, $C$13, 100%, $E$13) + CHOOSE(CONTROL!$C$28, 0.0003, 0)</f>
        <v>32.505800000000001</v>
      </c>
      <c r="C450" s="4">
        <f>32.193 * CHOOSE(CONTROL!$C$9, $C$13, 100%, $E$13) + CHOOSE(CONTROL!$C$28, 0.0003, 0)</f>
        <v>32.193300000000001</v>
      </c>
      <c r="D450" s="4">
        <f>37.4135 * CHOOSE(CONTROL!$C$9, $C$13, 100%, $E$13) + CHOOSE(CONTROL!$C$28, 0, 0)</f>
        <v>37.413499999999999</v>
      </c>
      <c r="E450" s="4">
        <f>187.585204415769 * CHOOSE(CONTROL!$C$9, $C$13, 100%, $E$13) + CHOOSE(CONTROL!$C$28, 0, 0)</f>
        <v>187.585204415769</v>
      </c>
    </row>
    <row r="451" spans="1:5" ht="15">
      <c r="A451" s="13">
        <v>55609</v>
      </c>
      <c r="B451" s="4">
        <f>34.3711 * CHOOSE(CONTROL!$C$9, $C$13, 100%, $E$13) + CHOOSE(CONTROL!$C$28, 0.0003, 0)</f>
        <v>34.371400000000001</v>
      </c>
      <c r="C451" s="4">
        <f>34.0586 * CHOOSE(CONTROL!$C$9, $C$13, 100%, $E$13) + CHOOSE(CONTROL!$C$28, 0.0003, 0)</f>
        <v>34.058900000000001</v>
      </c>
      <c r="D451" s="4">
        <f>39.3836 * CHOOSE(CONTROL!$C$9, $C$13, 100%, $E$13) + CHOOSE(CONTROL!$C$28, 0, 0)</f>
        <v>39.383600000000001</v>
      </c>
      <c r="E451" s="4">
        <f>199.010397541862 * CHOOSE(CONTROL!$C$9, $C$13, 100%, $E$13) + CHOOSE(CONTROL!$C$28, 0, 0)</f>
        <v>199.01039754186201</v>
      </c>
    </row>
    <row r="452" spans="1:5" ht="15">
      <c r="A452" s="13">
        <v>55639</v>
      </c>
      <c r="B452" s="4">
        <f>35.6966 * CHOOSE(CONTROL!$C$9, $C$13, 100%, $E$13) + CHOOSE(CONTROL!$C$28, 0.0003, 0)</f>
        <v>35.696899999999999</v>
      </c>
      <c r="C452" s="4">
        <f>35.3841 * CHOOSE(CONTROL!$C$9, $C$13, 100%, $E$13) + CHOOSE(CONTROL!$C$28, 0.0003, 0)</f>
        <v>35.384399999999999</v>
      </c>
      <c r="D452" s="4">
        <f>40.5184 * CHOOSE(CONTROL!$C$9, $C$13, 100%, $E$13) + CHOOSE(CONTROL!$C$28, 0, 0)</f>
        <v>40.5184</v>
      </c>
      <c r="E452" s="4">
        <f>207.128149518669 * CHOOSE(CONTROL!$C$9, $C$13, 100%, $E$13) + CHOOSE(CONTROL!$C$28, 0, 0)</f>
        <v>207.12814951866901</v>
      </c>
    </row>
    <row r="453" spans="1:5" ht="15">
      <c r="A453" s="13">
        <v>55670</v>
      </c>
      <c r="B453" s="4">
        <f>36.5065 * CHOOSE(CONTROL!$C$9, $C$13, 100%, $E$13) + CHOOSE(CONTROL!$C$28, 0.0255, 0)</f>
        <v>36.532000000000004</v>
      </c>
      <c r="C453" s="4">
        <f>36.194 * CHOOSE(CONTROL!$C$9, $C$13, 100%, $E$13) + CHOOSE(CONTROL!$C$28, 0.0255, 0)</f>
        <v>36.219500000000004</v>
      </c>
      <c r="D453" s="4">
        <f>40.07 * CHOOSE(CONTROL!$C$9, $C$13, 100%, $E$13) + CHOOSE(CONTROL!$C$28, 0, 0)</f>
        <v>40.07</v>
      </c>
      <c r="E453" s="4">
        <f>212.087901421136 * CHOOSE(CONTROL!$C$9, $C$13, 100%, $E$13) + CHOOSE(CONTROL!$C$28, 0, 0)</f>
        <v>212.087901421136</v>
      </c>
    </row>
    <row r="454" spans="1:5" ht="15">
      <c r="A454" s="13">
        <v>55700</v>
      </c>
      <c r="B454" s="4">
        <f>36.616 * CHOOSE(CONTROL!$C$9, $C$13, 100%, $E$13) + CHOOSE(CONTROL!$C$28, 0.0255, 0)</f>
        <v>36.641500000000001</v>
      </c>
      <c r="C454" s="4">
        <f>36.3035 * CHOOSE(CONTROL!$C$9, $C$13, 100%, $E$13) + CHOOSE(CONTROL!$C$28, 0.0255, 0)</f>
        <v>36.329000000000001</v>
      </c>
      <c r="D454" s="4">
        <f>40.4352 * CHOOSE(CONTROL!$C$9, $C$13, 100%, $E$13) + CHOOSE(CONTROL!$C$28, 0, 0)</f>
        <v>40.435200000000002</v>
      </c>
      <c r="E454" s="4">
        <f>212.758976436933 * CHOOSE(CONTROL!$C$9, $C$13, 100%, $E$13) + CHOOSE(CONTROL!$C$28, 0, 0)</f>
        <v>212.75897643693301</v>
      </c>
    </row>
    <row r="455" spans="1:5" ht="15">
      <c r="A455" s="13">
        <v>55731</v>
      </c>
      <c r="B455" s="4">
        <f>36.605 * CHOOSE(CONTROL!$C$9, $C$13, 100%, $E$13) + CHOOSE(CONTROL!$C$28, 0.0255, 0)</f>
        <v>36.630499999999998</v>
      </c>
      <c r="C455" s="4">
        <f>36.2925 * CHOOSE(CONTROL!$C$9, $C$13, 100%, $E$13) + CHOOSE(CONTROL!$C$28, 0.0255, 0)</f>
        <v>36.317999999999998</v>
      </c>
      <c r="D455" s="4">
        <f>41.0942 * CHOOSE(CONTROL!$C$9, $C$13, 100%, $E$13) + CHOOSE(CONTROL!$C$28, 0, 0)</f>
        <v>41.094200000000001</v>
      </c>
      <c r="E455" s="4">
        <f>212.691305006768 * CHOOSE(CONTROL!$C$9, $C$13, 100%, $E$13) + CHOOSE(CONTROL!$C$28, 0, 0)</f>
        <v>212.691305006768</v>
      </c>
    </row>
    <row r="456" spans="1:5" ht="15">
      <c r="A456" s="13">
        <v>55762</v>
      </c>
      <c r="B456" s="4">
        <f>37.4365 * CHOOSE(CONTROL!$C$9, $C$13, 100%, $E$13) + CHOOSE(CONTROL!$C$28, 0.0255, 0)</f>
        <v>37.462000000000003</v>
      </c>
      <c r="C456" s="4">
        <f>37.124 * CHOOSE(CONTROL!$C$9, $C$13, 100%, $E$13) + CHOOSE(CONTROL!$C$28, 0.0255, 0)</f>
        <v>37.149500000000003</v>
      </c>
      <c r="D456" s="4">
        <f>40.659 * CHOOSE(CONTROL!$C$9, $C$13, 100%, $E$13) + CHOOSE(CONTROL!$C$28, 0, 0)</f>
        <v>40.658999999999999</v>
      </c>
      <c r="E456" s="4">
        <f>217.783580126641 * CHOOSE(CONTROL!$C$9, $C$13, 100%, $E$13) + CHOOSE(CONTROL!$C$28, 0, 0)</f>
        <v>217.783580126641</v>
      </c>
    </row>
    <row r="457" spans="1:5" ht="15">
      <c r="A457" s="13">
        <v>55792</v>
      </c>
      <c r="B457" s="4">
        <f>36.0193 * CHOOSE(CONTROL!$C$9, $C$13, 100%, $E$13) + CHOOSE(CONTROL!$C$28, 0.0255, 0)</f>
        <v>36.044800000000002</v>
      </c>
      <c r="C457" s="4">
        <f>35.7068 * CHOOSE(CONTROL!$C$9, $C$13, 100%, $E$13) + CHOOSE(CONTROL!$C$28, 0.0255, 0)</f>
        <v>35.732300000000002</v>
      </c>
      <c r="D457" s="4">
        <f>40.4534 * CHOOSE(CONTROL!$C$9, $C$13, 100%, $E$13) + CHOOSE(CONTROL!$C$28, 0, 0)</f>
        <v>40.453400000000002</v>
      </c>
      <c r="E457" s="4">
        <f>209.104719208054 * CHOOSE(CONTROL!$C$9, $C$13, 100%, $E$13) + CHOOSE(CONTROL!$C$28, 0, 0)</f>
        <v>209.10471920805401</v>
      </c>
    </row>
    <row r="458" spans="1:5" ht="15">
      <c r="A458" s="13">
        <v>55823</v>
      </c>
      <c r="B458" s="4">
        <f>34.8849 * CHOOSE(CONTROL!$C$9, $C$13, 100%, $E$13) + CHOOSE(CONTROL!$C$28, 0.0003, 0)</f>
        <v>34.885200000000005</v>
      </c>
      <c r="C458" s="4">
        <f>34.5724 * CHOOSE(CONTROL!$C$9, $C$13, 100%, $E$13) + CHOOSE(CONTROL!$C$28, 0.0003, 0)</f>
        <v>34.572700000000005</v>
      </c>
      <c r="D458" s="4">
        <f>39.9028 * CHOOSE(CONTROL!$C$9, $C$13, 100%, $E$13) + CHOOSE(CONTROL!$C$28, 0, 0)</f>
        <v>39.902799999999999</v>
      </c>
      <c r="E458" s="4">
        <f>202.157119044507 * CHOOSE(CONTROL!$C$9, $C$13, 100%, $E$13) + CHOOSE(CONTROL!$C$28, 0, 0)</f>
        <v>202.157119044507</v>
      </c>
    </row>
    <row r="459" spans="1:5" ht="15">
      <c r="A459" s="13">
        <v>55853</v>
      </c>
      <c r="B459" s="4">
        <f>34.1542 * CHOOSE(CONTROL!$C$9, $C$13, 100%, $E$13) + CHOOSE(CONTROL!$C$28, 0.0003, 0)</f>
        <v>34.154500000000006</v>
      </c>
      <c r="C459" s="4">
        <f>33.8417 * CHOOSE(CONTROL!$C$9, $C$13, 100%, $E$13) + CHOOSE(CONTROL!$C$28, 0.0003, 0)</f>
        <v>33.842000000000006</v>
      </c>
      <c r="D459" s="4">
        <f>39.7135 * CHOOSE(CONTROL!$C$9, $C$13, 100%, $E$13) + CHOOSE(CONTROL!$C$28, 0, 0)</f>
        <v>39.713500000000003</v>
      </c>
      <c r="E459" s="4">
        <f>197.682345724885 * CHOOSE(CONTROL!$C$9, $C$13, 100%, $E$13) + CHOOSE(CONTROL!$C$28, 0, 0)</f>
        <v>197.68234572488501</v>
      </c>
    </row>
    <row r="460" spans="1:5" ht="15">
      <c r="A460" s="13">
        <v>55884</v>
      </c>
      <c r="B460" s="4">
        <f>33.6487 * CHOOSE(CONTROL!$C$9, $C$13, 100%, $E$13) + CHOOSE(CONTROL!$C$28, 0.0003, 0)</f>
        <v>33.649000000000001</v>
      </c>
      <c r="C460" s="4">
        <f>33.3362 * CHOOSE(CONTROL!$C$9, $C$13, 100%, $E$13) + CHOOSE(CONTROL!$C$28, 0.0003, 0)</f>
        <v>33.336500000000001</v>
      </c>
      <c r="D460" s="4">
        <f>38.32 * CHOOSE(CONTROL!$C$9, $C$13, 100%, $E$13) + CHOOSE(CONTROL!$C$28, 0, 0)</f>
        <v>38.32</v>
      </c>
      <c r="E460" s="4">
        <f>194.586377794863 * CHOOSE(CONTROL!$C$9, $C$13, 100%, $E$13) + CHOOSE(CONTROL!$C$28, 0, 0)</f>
        <v>194.58637779486301</v>
      </c>
    </row>
    <row r="461" spans="1:5" ht="15">
      <c r="A461" s="13">
        <v>55915</v>
      </c>
      <c r="B461" s="4">
        <f>32.8273 * CHOOSE(CONTROL!$C$9, $C$13, 100%, $E$13) + CHOOSE(CONTROL!$C$28, 0.0003, 0)</f>
        <v>32.827600000000004</v>
      </c>
      <c r="C461" s="4">
        <f>32.5148 * CHOOSE(CONTROL!$C$9, $C$13, 100%, $E$13) + CHOOSE(CONTROL!$C$28, 0.0003, 0)</f>
        <v>32.515100000000004</v>
      </c>
      <c r="D461" s="4">
        <f>37.0393 * CHOOSE(CONTROL!$C$9, $C$13, 100%, $E$13) + CHOOSE(CONTROL!$C$28, 0, 0)</f>
        <v>37.039299999999997</v>
      </c>
      <c r="E461" s="4">
        <f>189.006381989402 * CHOOSE(CONTROL!$C$9, $C$13, 100%, $E$13) + CHOOSE(CONTROL!$C$28, 0, 0)</f>
        <v>189.006381989402</v>
      </c>
    </row>
    <row r="462" spans="1:5" ht="15">
      <c r="A462" s="13">
        <v>55943</v>
      </c>
      <c r="B462" s="4">
        <f>33.5622 * CHOOSE(CONTROL!$C$9, $C$13, 100%, $E$13) + CHOOSE(CONTROL!$C$28, 0.0003, 0)</f>
        <v>33.5625</v>
      </c>
      <c r="C462" s="4">
        <f>33.2497 * CHOOSE(CONTROL!$C$9, $C$13, 100%, $E$13) + CHOOSE(CONTROL!$C$28, 0.0003, 0)</f>
        <v>33.25</v>
      </c>
      <c r="D462" s="4">
        <f>38.329 * CHOOSE(CONTROL!$C$9, $C$13, 100%, $E$13) + CHOOSE(CONTROL!$C$28, 0, 0)</f>
        <v>38.329000000000001</v>
      </c>
      <c r="E462" s="4">
        <f>193.494138354866 * CHOOSE(CONTROL!$C$9, $C$13, 100%, $E$13) + CHOOSE(CONTROL!$C$28, 0, 0)</f>
        <v>193.49413835486601</v>
      </c>
    </row>
    <row r="463" spans="1:5" ht="15">
      <c r="A463" s="13">
        <v>55974</v>
      </c>
      <c r="B463" s="4">
        <f>35.4922 * CHOOSE(CONTROL!$C$9, $C$13, 100%, $E$13) + CHOOSE(CONTROL!$C$28, 0.0003, 0)</f>
        <v>35.4925</v>
      </c>
      <c r="C463" s="4">
        <f>35.1797 * CHOOSE(CONTROL!$C$9, $C$13, 100%, $E$13) + CHOOSE(CONTROL!$C$28, 0.0003, 0)</f>
        <v>35.18</v>
      </c>
      <c r="D463" s="4">
        <f>40.348 * CHOOSE(CONTROL!$C$9, $C$13, 100%, $E$13) + CHOOSE(CONTROL!$C$28, 0, 0)</f>
        <v>40.347999999999999</v>
      </c>
      <c r="E463" s="4">
        <f>205.27922506443 * CHOOSE(CONTROL!$C$9, $C$13, 100%, $E$13) + CHOOSE(CONTROL!$C$28, 0, 0)</f>
        <v>205.27922506442999</v>
      </c>
    </row>
    <row r="464" spans="1:5" ht="15">
      <c r="A464" s="13">
        <v>56004</v>
      </c>
      <c r="B464" s="4">
        <f>36.8634 * CHOOSE(CONTROL!$C$9, $C$13, 100%, $E$13) + CHOOSE(CONTROL!$C$28, 0.0003, 0)</f>
        <v>36.863700000000001</v>
      </c>
      <c r="C464" s="4">
        <f>36.5509 * CHOOSE(CONTROL!$C$9, $C$13, 100%, $E$13) + CHOOSE(CONTROL!$C$28, 0.0003, 0)</f>
        <v>36.551200000000001</v>
      </c>
      <c r="D464" s="4">
        <f>41.511 * CHOOSE(CONTROL!$C$9, $C$13, 100%, $E$13) + CHOOSE(CONTROL!$C$28, 0, 0)</f>
        <v>41.511000000000003</v>
      </c>
      <c r="E464" s="4">
        <f>213.652686228507 * CHOOSE(CONTROL!$C$9, $C$13, 100%, $E$13) + CHOOSE(CONTROL!$C$28, 0, 0)</f>
        <v>213.65268622850701</v>
      </c>
    </row>
    <row r="465" spans="1:5" ht="15">
      <c r="A465" s="13">
        <v>56035</v>
      </c>
      <c r="B465" s="4">
        <f>37.7012 * CHOOSE(CONTROL!$C$9, $C$13, 100%, $E$13) + CHOOSE(CONTROL!$C$28, 0.0255, 0)</f>
        <v>37.726700000000001</v>
      </c>
      <c r="C465" s="4">
        <f>37.3887 * CHOOSE(CONTROL!$C$9, $C$13, 100%, $E$13) + CHOOSE(CONTROL!$C$28, 0.0255, 0)</f>
        <v>37.414200000000001</v>
      </c>
      <c r="D465" s="4">
        <f>41.0514 * CHOOSE(CONTROL!$C$9, $C$13, 100%, $E$13) + CHOOSE(CONTROL!$C$28, 0, 0)</f>
        <v>41.051400000000001</v>
      </c>
      <c r="E465" s="4">
        <f>218.768670315901 * CHOOSE(CONTROL!$C$9, $C$13, 100%, $E$13) + CHOOSE(CONTROL!$C$28, 0, 0)</f>
        <v>218.76867031590101</v>
      </c>
    </row>
    <row r="466" spans="1:5" ht="15">
      <c r="A466" s="13">
        <v>56065</v>
      </c>
      <c r="B466" s="4">
        <f>37.8146 * CHOOSE(CONTROL!$C$9, $C$13, 100%, $E$13) + CHOOSE(CONTROL!$C$28, 0.0255, 0)</f>
        <v>37.8401</v>
      </c>
      <c r="C466" s="4">
        <f>37.5021 * CHOOSE(CONTROL!$C$9, $C$13, 100%, $E$13) + CHOOSE(CONTROL!$C$28, 0.0255, 0)</f>
        <v>37.5276</v>
      </c>
      <c r="D466" s="4">
        <f>41.4257 * CHOOSE(CONTROL!$C$9, $C$13, 100%, $E$13) + CHOOSE(CONTROL!$C$28, 0, 0)</f>
        <v>41.425699999999999</v>
      </c>
      <c r="E466" s="4">
        <f>219.460884194696 * CHOOSE(CONTROL!$C$9, $C$13, 100%, $E$13) + CHOOSE(CONTROL!$C$28, 0, 0)</f>
        <v>219.46088419469601</v>
      </c>
    </row>
    <row r="467" spans="1:5" ht="15">
      <c r="A467" s="13">
        <v>56096</v>
      </c>
      <c r="B467" s="4">
        <f>37.8032 * CHOOSE(CONTROL!$C$9, $C$13, 100%, $E$13) + CHOOSE(CONTROL!$C$28, 0.0255, 0)</f>
        <v>37.828699999999998</v>
      </c>
      <c r="C467" s="4">
        <f>37.4907 * CHOOSE(CONTROL!$C$9, $C$13, 100%, $E$13) + CHOOSE(CONTROL!$C$28, 0.0255, 0)</f>
        <v>37.516199999999998</v>
      </c>
      <c r="D467" s="4">
        <f>42.101 * CHOOSE(CONTROL!$C$9, $C$13, 100%, $E$13) + CHOOSE(CONTROL!$C$28, 0, 0)</f>
        <v>42.100999999999999</v>
      </c>
      <c r="E467" s="4">
        <f>219.391081114482 * CHOOSE(CONTROL!$C$9, $C$13, 100%, $E$13) + CHOOSE(CONTROL!$C$28, 0, 0)</f>
        <v>219.39108111448201</v>
      </c>
    </row>
    <row r="468" spans="1:5" ht="15">
      <c r="A468" s="13">
        <v>56127</v>
      </c>
      <c r="B468" s="4">
        <f>38.6634 * CHOOSE(CONTROL!$C$9, $C$13, 100%, $E$13) + CHOOSE(CONTROL!$C$28, 0.0255, 0)</f>
        <v>38.688900000000004</v>
      </c>
      <c r="C468" s="4">
        <f>38.3509 * CHOOSE(CONTROL!$C$9, $C$13, 100%, $E$13) + CHOOSE(CONTROL!$C$28, 0.0255, 0)</f>
        <v>38.376400000000004</v>
      </c>
      <c r="D468" s="4">
        <f>41.655 * CHOOSE(CONTROL!$C$9, $C$13, 100%, $E$13) + CHOOSE(CONTROL!$C$28, 0, 0)</f>
        <v>41.655000000000001</v>
      </c>
      <c r="E468" s="4">
        <f>224.64376290063 * CHOOSE(CONTROL!$C$9, $C$13, 100%, $E$13) + CHOOSE(CONTROL!$C$28, 0, 0)</f>
        <v>224.64376290063001</v>
      </c>
    </row>
    <row r="469" spans="1:5" ht="15">
      <c r="A469" s="13">
        <v>56157</v>
      </c>
      <c r="B469" s="4">
        <f>37.1973 * CHOOSE(CONTROL!$C$9, $C$13, 100%, $E$13) + CHOOSE(CONTROL!$C$28, 0.0255, 0)</f>
        <v>37.222799999999999</v>
      </c>
      <c r="C469" s="4">
        <f>36.8848 * CHOOSE(CONTROL!$C$9, $C$13, 100%, $E$13) + CHOOSE(CONTROL!$C$28, 0.0255, 0)</f>
        <v>36.910299999999999</v>
      </c>
      <c r="D469" s="4">
        <f>41.4443 * CHOOSE(CONTROL!$C$9, $C$13, 100%, $E$13) + CHOOSE(CONTROL!$C$28, 0, 0)</f>
        <v>41.444299999999998</v>
      </c>
      <c r="E469" s="4">
        <f>215.691517863108 * CHOOSE(CONTROL!$C$9, $C$13, 100%, $E$13) + CHOOSE(CONTROL!$C$28, 0, 0)</f>
        <v>215.691517863108</v>
      </c>
    </row>
    <row r="470" spans="1:5" ht="15">
      <c r="A470" s="13">
        <v>56188</v>
      </c>
      <c r="B470" s="4">
        <f>36.0237 * CHOOSE(CONTROL!$C$9, $C$13, 100%, $E$13) + CHOOSE(CONTROL!$C$28, 0.0003, 0)</f>
        <v>36.024000000000001</v>
      </c>
      <c r="C470" s="4">
        <f>35.7112 * CHOOSE(CONTROL!$C$9, $C$13, 100%, $E$13) + CHOOSE(CONTROL!$C$28, 0.0003, 0)</f>
        <v>35.711500000000001</v>
      </c>
      <c r="D470" s="4">
        <f>40.8801 * CHOOSE(CONTROL!$C$9, $C$13, 100%, $E$13) + CHOOSE(CONTROL!$C$28, 0, 0)</f>
        <v>40.880099999999999</v>
      </c>
      <c r="E470" s="4">
        <f>208.525068294409 * CHOOSE(CONTROL!$C$9, $C$13, 100%, $E$13) + CHOOSE(CONTROL!$C$28, 0, 0)</f>
        <v>208.52506829440901</v>
      </c>
    </row>
    <row r="471" spans="1:5" ht="15">
      <c r="A471" s="13">
        <v>56218</v>
      </c>
      <c r="B471" s="4">
        <f>35.2678 * CHOOSE(CONTROL!$C$9, $C$13, 100%, $E$13) + CHOOSE(CONTROL!$C$28, 0.0003, 0)</f>
        <v>35.268100000000004</v>
      </c>
      <c r="C471" s="4">
        <f>34.9553 * CHOOSE(CONTROL!$C$9, $C$13, 100%, $E$13) + CHOOSE(CONTROL!$C$28, 0.0003, 0)</f>
        <v>34.955600000000004</v>
      </c>
      <c r="D471" s="4">
        <f>40.6861 * CHOOSE(CONTROL!$C$9, $C$13, 100%, $E$13) + CHOOSE(CONTROL!$C$28, 0, 0)</f>
        <v>40.686100000000003</v>
      </c>
      <c r="E471" s="4">
        <f>203.909339615219 * CHOOSE(CONTROL!$C$9, $C$13, 100%, $E$13) + CHOOSE(CONTROL!$C$28, 0, 0)</f>
        <v>203.90933961521901</v>
      </c>
    </row>
    <row r="472" spans="1:5" ht="15">
      <c r="A472" s="13">
        <v>56249</v>
      </c>
      <c r="B472" s="4">
        <f>34.7449 * CHOOSE(CONTROL!$C$9, $C$13, 100%, $E$13) + CHOOSE(CONTROL!$C$28, 0.0003, 0)</f>
        <v>34.745200000000004</v>
      </c>
      <c r="C472" s="4">
        <f>34.4324 * CHOOSE(CONTROL!$C$9, $C$13, 100%, $E$13) + CHOOSE(CONTROL!$C$28, 0.0003, 0)</f>
        <v>34.432700000000004</v>
      </c>
      <c r="D472" s="4">
        <f>39.258 * CHOOSE(CONTROL!$C$9, $C$13, 100%, $E$13) + CHOOSE(CONTROL!$C$28, 0, 0)</f>
        <v>39.258000000000003</v>
      </c>
      <c r="E472" s="4">
        <f>200.715848695401 * CHOOSE(CONTROL!$C$9, $C$13, 100%, $E$13) + CHOOSE(CONTROL!$C$28, 0, 0)</f>
        <v>200.71584869540101</v>
      </c>
    </row>
    <row r="473" spans="1:5" ht="15">
      <c r="A473" s="13">
        <v>56280</v>
      </c>
      <c r="B473" s="4">
        <f>33.8951 * CHOOSE(CONTROL!$C$9, $C$13, 100%, $E$13) + CHOOSE(CONTROL!$C$28, 0.0003, 0)</f>
        <v>33.895400000000002</v>
      </c>
      <c r="C473" s="4">
        <f>33.5826 * CHOOSE(CONTROL!$C$9, $C$13, 100%, $E$13) + CHOOSE(CONTROL!$C$28, 0.0003, 0)</f>
        <v>33.582900000000002</v>
      </c>
      <c r="D473" s="4">
        <f>37.9455 * CHOOSE(CONTROL!$C$9, $C$13, 100%, $E$13) + CHOOSE(CONTROL!$C$28, 0, 0)</f>
        <v>37.945500000000003</v>
      </c>
      <c r="E473" s="4">
        <f>194.960083022068 * CHOOSE(CONTROL!$C$9, $C$13, 100%, $E$13) + CHOOSE(CONTROL!$C$28, 0, 0)</f>
        <v>194.96008302206801</v>
      </c>
    </row>
    <row r="474" spans="1:5" ht="15">
      <c r="A474" s="13">
        <v>56308</v>
      </c>
      <c r="B474" s="4">
        <f>34.6554 * CHOOSE(CONTROL!$C$9, $C$13, 100%, $E$13) + CHOOSE(CONTROL!$C$28, 0.0003, 0)</f>
        <v>34.655700000000003</v>
      </c>
      <c r="C474" s="4">
        <f>34.3429 * CHOOSE(CONTROL!$C$9, $C$13, 100%, $E$13) + CHOOSE(CONTROL!$C$28, 0.0003, 0)</f>
        <v>34.343200000000003</v>
      </c>
      <c r="D474" s="4">
        <f>39.2672 * CHOOSE(CONTROL!$C$9, $C$13, 100%, $E$13) + CHOOSE(CONTROL!$C$28, 0, 0)</f>
        <v>39.267200000000003</v>
      </c>
      <c r="E474" s="4">
        <f>199.589203713044 * CHOOSE(CONTROL!$C$9, $C$13, 100%, $E$13) + CHOOSE(CONTROL!$C$28, 0, 0)</f>
        <v>199.58920371304399</v>
      </c>
    </row>
    <row r="475" spans="1:5" ht="15">
      <c r="A475" s="13">
        <v>56339</v>
      </c>
      <c r="B475" s="4">
        <f>36.652 * CHOOSE(CONTROL!$C$9, $C$13, 100%, $E$13) + CHOOSE(CONTROL!$C$28, 0.0003, 0)</f>
        <v>36.652300000000004</v>
      </c>
      <c r="C475" s="4">
        <f>36.3395 * CHOOSE(CONTROL!$C$9, $C$13, 100%, $E$13) + CHOOSE(CONTROL!$C$28, 0.0003, 0)</f>
        <v>36.339800000000004</v>
      </c>
      <c r="D475" s="4">
        <f>41.3363 * CHOOSE(CONTROL!$C$9, $C$13, 100%, $E$13) + CHOOSE(CONTROL!$C$28, 0, 0)</f>
        <v>41.336300000000001</v>
      </c>
      <c r="E475" s="4">
        <f>211.74552065396 * CHOOSE(CONTROL!$C$9, $C$13, 100%, $E$13) + CHOOSE(CONTROL!$C$28, 0, 0)</f>
        <v>211.74552065396</v>
      </c>
    </row>
    <row r="476" spans="1:5" ht="15">
      <c r="A476" s="13">
        <v>56369</v>
      </c>
      <c r="B476" s="4">
        <f>38.0705 * CHOOSE(CONTROL!$C$9, $C$13, 100%, $E$13) + CHOOSE(CONTROL!$C$28, 0.0003, 0)</f>
        <v>38.070800000000006</v>
      </c>
      <c r="C476" s="4">
        <f>37.758 * CHOOSE(CONTROL!$C$9, $C$13, 100%, $E$13) + CHOOSE(CONTROL!$C$28, 0.0003, 0)</f>
        <v>37.758300000000006</v>
      </c>
      <c r="D476" s="4">
        <f>42.5281 * CHOOSE(CONTROL!$C$9, $C$13, 100%, $E$13) + CHOOSE(CONTROL!$C$28, 0, 0)</f>
        <v>42.528100000000002</v>
      </c>
      <c r="E476" s="4">
        <f>220.382745844705 * CHOOSE(CONTROL!$C$9, $C$13, 100%, $E$13) + CHOOSE(CONTROL!$C$28, 0, 0)</f>
        <v>220.382745844705</v>
      </c>
    </row>
    <row r="477" spans="1:5" ht="15">
      <c r="A477" s="13">
        <v>56400</v>
      </c>
      <c r="B477" s="4">
        <f>38.9372 * CHOOSE(CONTROL!$C$9, $C$13, 100%, $E$13) + CHOOSE(CONTROL!$C$28, 0.0255, 0)</f>
        <v>38.962699999999998</v>
      </c>
      <c r="C477" s="4">
        <f>38.6247 * CHOOSE(CONTROL!$C$9, $C$13, 100%, $E$13) + CHOOSE(CONTROL!$C$28, 0.0255, 0)</f>
        <v>38.650199999999998</v>
      </c>
      <c r="D477" s="4">
        <f>42.0571 * CHOOSE(CONTROL!$C$9, $C$13, 100%, $E$13) + CHOOSE(CONTROL!$C$28, 0, 0)</f>
        <v>42.057099999999998</v>
      </c>
      <c r="E477" s="4">
        <f>225.659883430852 * CHOOSE(CONTROL!$C$9, $C$13, 100%, $E$13) + CHOOSE(CONTROL!$C$28, 0, 0)</f>
        <v>225.65988343085201</v>
      </c>
    </row>
    <row r="478" spans="1:5" ht="15">
      <c r="A478" s="13">
        <v>56430</v>
      </c>
      <c r="B478" s="4">
        <f>39.0545 * CHOOSE(CONTROL!$C$9, $C$13, 100%, $E$13) + CHOOSE(CONTROL!$C$28, 0.0255, 0)</f>
        <v>39.08</v>
      </c>
      <c r="C478" s="4">
        <f>38.742 * CHOOSE(CONTROL!$C$9, $C$13, 100%, $E$13) + CHOOSE(CONTROL!$C$28, 0.0255, 0)</f>
        <v>38.767499999999998</v>
      </c>
      <c r="D478" s="4">
        <f>42.4407 * CHOOSE(CONTROL!$C$9, $C$13, 100%, $E$13) + CHOOSE(CONTROL!$C$28, 0, 0)</f>
        <v>42.4407</v>
      </c>
      <c r="E478" s="4">
        <f>226.373902046829 * CHOOSE(CONTROL!$C$9, $C$13, 100%, $E$13) + CHOOSE(CONTROL!$C$28, 0, 0)</f>
        <v>226.37390204682899</v>
      </c>
    </row>
    <row r="479" spans="1:5" ht="15">
      <c r="A479" s="13">
        <v>56461</v>
      </c>
      <c r="B479" s="4">
        <f>39.0427 * CHOOSE(CONTROL!$C$9, $C$13, 100%, $E$13) + CHOOSE(CONTROL!$C$28, 0.0255, 0)</f>
        <v>39.068200000000004</v>
      </c>
      <c r="C479" s="4">
        <f>38.7302 * CHOOSE(CONTROL!$C$9, $C$13, 100%, $E$13) + CHOOSE(CONTROL!$C$28, 0.0255, 0)</f>
        <v>38.755700000000004</v>
      </c>
      <c r="D479" s="4">
        <f>43.1328 * CHOOSE(CONTROL!$C$9, $C$13, 100%, $E$13) + CHOOSE(CONTROL!$C$28, 0, 0)</f>
        <v>43.132800000000003</v>
      </c>
      <c r="E479" s="4">
        <f>226.301900169588 * CHOOSE(CONTROL!$C$9, $C$13, 100%, $E$13) + CHOOSE(CONTROL!$C$28, 0, 0)</f>
        <v>226.30190016958801</v>
      </c>
    </row>
    <row r="480" spans="1:5" ht="15">
      <c r="A480" s="13">
        <v>56492</v>
      </c>
      <c r="B480" s="4">
        <f>39.9326 * CHOOSE(CONTROL!$C$9, $C$13, 100%, $E$13) + CHOOSE(CONTROL!$C$28, 0.0255, 0)</f>
        <v>39.958100000000002</v>
      </c>
      <c r="C480" s="4">
        <f>39.6201 * CHOOSE(CONTROL!$C$9, $C$13, 100%, $E$13) + CHOOSE(CONTROL!$C$28, 0.0255, 0)</f>
        <v>39.645600000000002</v>
      </c>
      <c r="D480" s="4">
        <f>42.6757 * CHOOSE(CONTROL!$C$9, $C$13, 100%, $E$13) + CHOOSE(CONTROL!$C$28, 0, 0)</f>
        <v>42.675699999999999</v>
      </c>
      <c r="E480" s="4">
        <f>231.720041432 * CHOOSE(CONTROL!$C$9, $C$13, 100%, $E$13) + CHOOSE(CONTROL!$C$28, 0, 0)</f>
        <v>231.72004143199999</v>
      </c>
    </row>
    <row r="481" spans="1:5" ht="15">
      <c r="A481" s="13">
        <v>56522</v>
      </c>
      <c r="B481" s="4">
        <f>38.4159 * CHOOSE(CONTROL!$C$9, $C$13, 100%, $E$13) + CHOOSE(CONTROL!$C$28, 0.0255, 0)</f>
        <v>38.441400000000002</v>
      </c>
      <c r="C481" s="4">
        <f>38.1034 * CHOOSE(CONTROL!$C$9, $C$13, 100%, $E$13) + CHOOSE(CONTROL!$C$28, 0.0255, 0)</f>
        <v>38.128900000000002</v>
      </c>
      <c r="D481" s="4">
        <f>42.4598 * CHOOSE(CONTROL!$C$9, $C$13, 100%, $E$13) + CHOOSE(CONTROL!$C$28, 0, 0)</f>
        <v>42.459800000000001</v>
      </c>
      <c r="E481" s="4">
        <f>222.485800675796 * CHOOSE(CONTROL!$C$9, $C$13, 100%, $E$13) + CHOOSE(CONTROL!$C$28, 0, 0)</f>
        <v>222.48580067579601</v>
      </c>
    </row>
    <row r="482" spans="1:5" ht="15">
      <c r="A482" s="13">
        <v>56553</v>
      </c>
      <c r="B482" s="4">
        <f>37.2018 * CHOOSE(CONTROL!$C$9, $C$13, 100%, $E$13) + CHOOSE(CONTROL!$C$28, 0.0003, 0)</f>
        <v>37.202100000000002</v>
      </c>
      <c r="C482" s="4">
        <f>36.8893 * CHOOSE(CONTROL!$C$9, $C$13, 100%, $E$13) + CHOOSE(CONTROL!$C$28, 0.0003, 0)</f>
        <v>36.889600000000002</v>
      </c>
      <c r="D482" s="4">
        <f>41.8816 * CHOOSE(CONTROL!$C$9, $C$13, 100%, $E$13) + CHOOSE(CONTROL!$C$28, 0, 0)</f>
        <v>41.881599999999999</v>
      </c>
      <c r="E482" s="4">
        <f>215.093607945683 * CHOOSE(CONTROL!$C$9, $C$13, 100%, $E$13) + CHOOSE(CONTROL!$C$28, 0, 0)</f>
        <v>215.093607945683</v>
      </c>
    </row>
    <row r="483" spans="1:5" ht="15">
      <c r="A483" s="13">
        <v>56583</v>
      </c>
      <c r="B483" s="4">
        <f>36.4199 * CHOOSE(CONTROL!$C$9, $C$13, 100%, $E$13) + CHOOSE(CONTROL!$C$28, 0.0003, 0)</f>
        <v>36.420200000000001</v>
      </c>
      <c r="C483" s="4">
        <f>36.1074 * CHOOSE(CONTROL!$C$9, $C$13, 100%, $E$13) + CHOOSE(CONTROL!$C$28, 0.0003, 0)</f>
        <v>36.107700000000001</v>
      </c>
      <c r="D483" s="4">
        <f>41.6828 * CHOOSE(CONTROL!$C$9, $C$13, 100%, $E$13) + CHOOSE(CONTROL!$C$28, 0, 0)</f>
        <v>41.6828</v>
      </c>
      <c r="E483" s="4">
        <f>210.332483813098 * CHOOSE(CONTROL!$C$9, $C$13, 100%, $E$13) + CHOOSE(CONTROL!$C$28, 0, 0)</f>
        <v>210.33248381309801</v>
      </c>
    </row>
    <row r="484" spans="1:5" ht="15">
      <c r="A484" s="13">
        <v>56614</v>
      </c>
      <c r="B484" s="4">
        <f>35.8789 * CHOOSE(CONTROL!$C$9, $C$13, 100%, $E$13) + CHOOSE(CONTROL!$C$28, 0.0003, 0)</f>
        <v>35.879200000000004</v>
      </c>
      <c r="C484" s="4">
        <f>35.5664 * CHOOSE(CONTROL!$C$9, $C$13, 100%, $E$13) + CHOOSE(CONTROL!$C$28, 0.0003, 0)</f>
        <v>35.566700000000004</v>
      </c>
      <c r="D484" s="4">
        <f>40.2193 * CHOOSE(CONTROL!$C$9, $C$13, 100%, $E$13) + CHOOSE(CONTROL!$C$28, 0, 0)</f>
        <v>40.219299999999997</v>
      </c>
      <c r="E484" s="4">
        <f>207.038397929306 * CHOOSE(CONTROL!$C$9, $C$13, 100%, $E$13) + CHOOSE(CONTROL!$C$28, 0, 0)</f>
        <v>207.038397929306</v>
      </c>
    </row>
    <row r="485" spans="1:5" ht="15">
      <c r="A485" s="13">
        <v>56645</v>
      </c>
      <c r="B485" s="4">
        <f>34.9998 * CHOOSE(CONTROL!$C$9, $C$13, 100%, $E$13) + CHOOSE(CONTROL!$C$28, 0.0003, 0)</f>
        <v>35.000100000000003</v>
      </c>
      <c r="C485" s="4">
        <f>34.6873 * CHOOSE(CONTROL!$C$9, $C$13, 100%, $E$13) + CHOOSE(CONTROL!$C$28, 0.0003, 0)</f>
        <v>34.687600000000003</v>
      </c>
      <c r="D485" s="4">
        <f>38.8743 * CHOOSE(CONTROL!$C$9, $C$13, 100%, $E$13) + CHOOSE(CONTROL!$C$28, 0, 0)</f>
        <v>38.874299999999998</v>
      </c>
      <c r="E485" s="4">
        <f>201.101325637264 * CHOOSE(CONTROL!$C$9, $C$13, 100%, $E$13) + CHOOSE(CONTROL!$C$28, 0, 0)</f>
        <v>201.10132563726401</v>
      </c>
    </row>
    <row r="486" spans="1:5" ht="15">
      <c r="A486" s="13">
        <v>56673</v>
      </c>
      <c r="B486" s="4">
        <f>35.7863 * CHOOSE(CONTROL!$C$9, $C$13, 100%, $E$13) + CHOOSE(CONTROL!$C$28, 0.0003, 0)</f>
        <v>35.7866</v>
      </c>
      <c r="C486" s="4">
        <f>35.4738 * CHOOSE(CONTROL!$C$9, $C$13, 100%, $E$13) + CHOOSE(CONTROL!$C$28, 0.0003, 0)</f>
        <v>35.4741</v>
      </c>
      <c r="D486" s="4">
        <f>40.2287 * CHOOSE(CONTROL!$C$9, $C$13, 100%, $E$13) + CHOOSE(CONTROL!$C$28, 0, 0)</f>
        <v>40.228700000000003</v>
      </c>
      <c r="E486" s="4">
        <f>205.876263630005 * CHOOSE(CONTROL!$C$9, $C$13, 100%, $E$13) + CHOOSE(CONTROL!$C$28, 0, 0)</f>
        <v>205.87626363000501</v>
      </c>
    </row>
    <row r="487" spans="1:5" ht="15">
      <c r="A487" s="13">
        <v>56704</v>
      </c>
      <c r="B487" s="4">
        <f>37.8518 * CHOOSE(CONTROL!$C$9, $C$13, 100%, $E$13) + CHOOSE(CONTROL!$C$28, 0.0003, 0)</f>
        <v>37.8521</v>
      </c>
      <c r="C487" s="4">
        <f>37.5393 * CHOOSE(CONTROL!$C$9, $C$13, 100%, $E$13) + CHOOSE(CONTROL!$C$28, 0.0003, 0)</f>
        <v>37.5396</v>
      </c>
      <c r="D487" s="4">
        <f>42.3491 * CHOOSE(CONTROL!$C$9, $C$13, 100%, $E$13) + CHOOSE(CONTROL!$C$28, 0, 0)</f>
        <v>42.3491</v>
      </c>
      <c r="E487" s="4">
        <f>218.41550455456 * CHOOSE(CONTROL!$C$9, $C$13, 100%, $E$13) + CHOOSE(CONTROL!$C$28, 0, 0)</f>
        <v>218.41550455455999</v>
      </c>
    </row>
    <row r="488" spans="1:5" ht="15">
      <c r="A488" s="13">
        <v>56734</v>
      </c>
      <c r="B488" s="4">
        <f>39.3193 * CHOOSE(CONTROL!$C$9, $C$13, 100%, $E$13) + CHOOSE(CONTROL!$C$28, 0.0003, 0)</f>
        <v>39.319600000000001</v>
      </c>
      <c r="C488" s="4">
        <f>39.0068 * CHOOSE(CONTROL!$C$9, $C$13, 100%, $E$13) + CHOOSE(CONTROL!$C$28, 0.0003, 0)</f>
        <v>39.007100000000001</v>
      </c>
      <c r="D488" s="4">
        <f>43.5705 * CHOOSE(CONTROL!$C$9, $C$13, 100%, $E$13) + CHOOSE(CONTROL!$C$28, 0, 0)</f>
        <v>43.570500000000003</v>
      </c>
      <c r="E488" s="4">
        <f>227.324802338813 * CHOOSE(CONTROL!$C$9, $C$13, 100%, $E$13) + CHOOSE(CONTROL!$C$28, 0, 0)</f>
        <v>227.32480233881299</v>
      </c>
    </row>
    <row r="489" spans="1:5" ht="15">
      <c r="A489" s="13">
        <v>56765</v>
      </c>
      <c r="B489" s="4">
        <f>40.2159 * CHOOSE(CONTROL!$C$9, $C$13, 100%, $E$13) + CHOOSE(CONTROL!$C$28, 0.0255, 0)</f>
        <v>40.241399999999999</v>
      </c>
      <c r="C489" s="4">
        <f>39.9034 * CHOOSE(CONTROL!$C$9, $C$13, 100%, $E$13) + CHOOSE(CONTROL!$C$28, 0.0255, 0)</f>
        <v>39.928899999999999</v>
      </c>
      <c r="D489" s="4">
        <f>43.0878 * CHOOSE(CONTROL!$C$9, $C$13, 100%, $E$13) + CHOOSE(CONTROL!$C$28, 0, 0)</f>
        <v>43.087800000000001</v>
      </c>
      <c r="E489" s="4">
        <f>232.768169758924 * CHOOSE(CONTROL!$C$9, $C$13, 100%, $E$13) + CHOOSE(CONTROL!$C$28, 0, 0)</f>
        <v>232.76816975892399</v>
      </c>
    </row>
    <row r="490" spans="1:5" ht="15">
      <c r="A490" s="13">
        <v>56795</v>
      </c>
      <c r="B490" s="4">
        <f>40.3372 * CHOOSE(CONTROL!$C$9, $C$13, 100%, $E$13) + CHOOSE(CONTROL!$C$28, 0.0255, 0)</f>
        <v>40.362700000000004</v>
      </c>
      <c r="C490" s="4">
        <f>40.0247 * CHOOSE(CONTROL!$C$9, $C$13, 100%, $E$13) + CHOOSE(CONTROL!$C$28, 0.0255, 0)</f>
        <v>40.050200000000004</v>
      </c>
      <c r="D490" s="4">
        <f>43.4809 * CHOOSE(CONTROL!$C$9, $C$13, 100%, $E$13) + CHOOSE(CONTROL!$C$28, 0, 0)</f>
        <v>43.480899999999998</v>
      </c>
      <c r="E490" s="4">
        <f>233.504679961304 * CHOOSE(CONTROL!$C$9, $C$13, 100%, $E$13) + CHOOSE(CONTROL!$C$28, 0, 0)</f>
        <v>233.50467996130399</v>
      </c>
    </row>
    <row r="491" spans="1:5" ht="15">
      <c r="A491" s="13">
        <v>56826</v>
      </c>
      <c r="B491" s="4">
        <f>40.325 * CHOOSE(CONTROL!$C$9, $C$13, 100%, $E$13) + CHOOSE(CONTROL!$C$28, 0.0255, 0)</f>
        <v>40.350500000000004</v>
      </c>
      <c r="C491" s="4">
        <f>40.0125 * CHOOSE(CONTROL!$C$9, $C$13, 100%, $E$13) + CHOOSE(CONTROL!$C$28, 0.0255, 0)</f>
        <v>40.038000000000004</v>
      </c>
      <c r="D491" s="4">
        <f>44.1901 * CHOOSE(CONTROL!$C$9, $C$13, 100%, $E$13) + CHOOSE(CONTROL!$C$28, 0, 0)</f>
        <v>44.190100000000001</v>
      </c>
      <c r="E491" s="4">
        <f>233.43041002493 * CHOOSE(CONTROL!$C$9, $C$13, 100%, $E$13) + CHOOSE(CONTROL!$C$28, 0, 0)</f>
        <v>233.43041002493001</v>
      </c>
    </row>
    <row r="492" spans="1:5" ht="15">
      <c r="A492" s="13">
        <v>56857</v>
      </c>
      <c r="B492" s="4">
        <f>41.2455 * CHOOSE(CONTROL!$C$9, $C$13, 100%, $E$13) + CHOOSE(CONTROL!$C$28, 0.0255, 0)</f>
        <v>41.271000000000001</v>
      </c>
      <c r="C492" s="4">
        <f>40.933 * CHOOSE(CONTROL!$C$9, $C$13, 100%, $E$13) + CHOOSE(CONTROL!$C$28, 0.0255, 0)</f>
        <v>40.958500000000001</v>
      </c>
      <c r="D492" s="4">
        <f>43.7218 * CHOOSE(CONTROL!$C$9, $C$13, 100%, $E$13) + CHOOSE(CONTROL!$C$28, 0, 0)</f>
        <v>43.721800000000002</v>
      </c>
      <c r="E492" s="4">
        <f>239.019222737108 * CHOOSE(CONTROL!$C$9, $C$13, 100%, $E$13) + CHOOSE(CONTROL!$C$28, 0, 0)</f>
        <v>239.01922273710801</v>
      </c>
    </row>
    <row r="493" spans="1:5" ht="15">
      <c r="A493" s="13">
        <v>56887</v>
      </c>
      <c r="B493" s="4">
        <f>39.6766 * CHOOSE(CONTROL!$C$9, $C$13, 100%, $E$13) + CHOOSE(CONTROL!$C$28, 0.0255, 0)</f>
        <v>39.702100000000002</v>
      </c>
      <c r="C493" s="4">
        <f>39.3641 * CHOOSE(CONTROL!$C$9, $C$13, 100%, $E$13) + CHOOSE(CONTROL!$C$28, 0.0255, 0)</f>
        <v>39.389600000000002</v>
      </c>
      <c r="D493" s="4">
        <f>43.5005 * CHOOSE(CONTROL!$C$9, $C$13, 100%, $E$13) + CHOOSE(CONTROL!$C$28, 0, 0)</f>
        <v>43.500500000000002</v>
      </c>
      <c r="E493" s="4">
        <f>229.494103397084 * CHOOSE(CONTROL!$C$9, $C$13, 100%, $E$13) + CHOOSE(CONTROL!$C$28, 0, 0)</f>
        <v>229.49410339708399</v>
      </c>
    </row>
    <row r="494" spans="1:5" ht="15">
      <c r="A494" s="13">
        <v>56918</v>
      </c>
      <c r="B494" s="4">
        <f>38.4206 * CHOOSE(CONTROL!$C$9, $C$13, 100%, $E$13) + CHOOSE(CONTROL!$C$28, 0.0003, 0)</f>
        <v>38.420900000000003</v>
      </c>
      <c r="C494" s="4">
        <f>38.1081 * CHOOSE(CONTROL!$C$9, $C$13, 100%, $E$13) + CHOOSE(CONTROL!$C$28, 0.0003, 0)</f>
        <v>38.108400000000003</v>
      </c>
      <c r="D494" s="4">
        <f>42.9079 * CHOOSE(CONTROL!$C$9, $C$13, 100%, $E$13) + CHOOSE(CONTROL!$C$28, 0, 0)</f>
        <v>42.907899999999998</v>
      </c>
      <c r="E494" s="4">
        <f>221.869056595972 * CHOOSE(CONTROL!$C$9, $C$13, 100%, $E$13) + CHOOSE(CONTROL!$C$28, 0, 0)</f>
        <v>221.86905659597201</v>
      </c>
    </row>
    <row r="495" spans="1:5" ht="15">
      <c r="A495" s="13">
        <v>56948</v>
      </c>
      <c r="B495" s="4">
        <f>37.6117 * CHOOSE(CONTROL!$C$9, $C$13, 100%, $E$13) + CHOOSE(CONTROL!$C$28, 0.0003, 0)</f>
        <v>37.612000000000002</v>
      </c>
      <c r="C495" s="4">
        <f>37.2992 * CHOOSE(CONTROL!$C$9, $C$13, 100%, $E$13) + CHOOSE(CONTROL!$C$28, 0.0003, 0)</f>
        <v>37.299500000000002</v>
      </c>
      <c r="D495" s="4">
        <f>42.7042 * CHOOSE(CONTROL!$C$9, $C$13, 100%, $E$13) + CHOOSE(CONTROL!$C$28, 0, 0)</f>
        <v>42.7042</v>
      </c>
      <c r="E495" s="4">
        <f>216.957957053211 * CHOOSE(CONTROL!$C$9, $C$13, 100%, $E$13) + CHOOSE(CONTROL!$C$28, 0, 0)</f>
        <v>216.957957053211</v>
      </c>
    </row>
    <row r="496" spans="1:5" ht="15">
      <c r="A496" s="13">
        <v>56979</v>
      </c>
      <c r="B496" s="4">
        <f>37.052 * CHOOSE(CONTROL!$C$9, $C$13, 100%, $E$13) + CHOOSE(CONTROL!$C$28, 0.0003, 0)</f>
        <v>37.052300000000002</v>
      </c>
      <c r="C496" s="4">
        <f>36.7395 * CHOOSE(CONTROL!$C$9, $C$13, 100%, $E$13) + CHOOSE(CONTROL!$C$28, 0.0003, 0)</f>
        <v>36.739800000000002</v>
      </c>
      <c r="D496" s="4">
        <f>41.2044 * CHOOSE(CONTROL!$C$9, $C$13, 100%, $E$13) + CHOOSE(CONTROL!$C$28, 0, 0)</f>
        <v>41.2044</v>
      </c>
      <c r="E496" s="4">
        <f>213.560107464079 * CHOOSE(CONTROL!$C$9, $C$13, 100%, $E$13) + CHOOSE(CONTROL!$C$28, 0, 0)</f>
        <v>213.56010746407901</v>
      </c>
    </row>
    <row r="497" spans="1:5" ht="15">
      <c r="A497" s="13">
        <v>57010</v>
      </c>
      <c r="B497" s="4">
        <f>36.1426 * CHOOSE(CONTROL!$C$9, $C$13, 100%, $E$13) + CHOOSE(CONTROL!$C$28, 0.0003, 0)</f>
        <v>36.142900000000004</v>
      </c>
      <c r="C497" s="4">
        <f>35.8301 * CHOOSE(CONTROL!$C$9, $C$13, 100%, $E$13) + CHOOSE(CONTROL!$C$28, 0.0003, 0)</f>
        <v>35.830400000000004</v>
      </c>
      <c r="D497" s="4">
        <f>39.826 * CHOOSE(CONTROL!$C$9, $C$13, 100%, $E$13) + CHOOSE(CONTROL!$C$28, 0, 0)</f>
        <v>39.826000000000001</v>
      </c>
      <c r="E497" s="4">
        <f>207.436017394837 * CHOOSE(CONTROL!$C$9, $C$13, 100%, $E$13) + CHOOSE(CONTROL!$C$28, 0, 0)</f>
        <v>207.43601739483699</v>
      </c>
    </row>
    <row r="498" spans="1:5" ht="15">
      <c r="A498" s="13">
        <v>57038</v>
      </c>
      <c r="B498" s="4">
        <f>36.9563 * CHOOSE(CONTROL!$C$9, $C$13, 100%, $E$13) + CHOOSE(CONTROL!$C$28, 0.0003, 0)</f>
        <v>36.956600000000002</v>
      </c>
      <c r="C498" s="4">
        <f>36.6438 * CHOOSE(CONTROL!$C$9, $C$13, 100%, $E$13) + CHOOSE(CONTROL!$C$28, 0.0003, 0)</f>
        <v>36.644100000000002</v>
      </c>
      <c r="D498" s="4">
        <f>41.2141 * CHOOSE(CONTROL!$C$9, $C$13, 100%, $E$13) + CHOOSE(CONTROL!$C$28, 0, 0)</f>
        <v>41.214100000000002</v>
      </c>
      <c r="E498" s="4">
        <f>212.36136593435 * CHOOSE(CONTROL!$C$9, $C$13, 100%, $E$13) + CHOOSE(CONTROL!$C$28, 0, 0)</f>
        <v>212.36136593435</v>
      </c>
    </row>
    <row r="499" spans="1:5" ht="15">
      <c r="A499" s="13">
        <v>57070</v>
      </c>
      <c r="B499" s="4">
        <f>39.093 * CHOOSE(CONTROL!$C$9, $C$13, 100%, $E$13) + CHOOSE(CONTROL!$C$28, 0.0003, 0)</f>
        <v>39.093300000000006</v>
      </c>
      <c r="C499" s="4">
        <f>38.7805 * CHOOSE(CONTROL!$C$9, $C$13, 100%, $E$13) + CHOOSE(CONTROL!$C$28, 0.0003, 0)</f>
        <v>38.780800000000006</v>
      </c>
      <c r="D499" s="4">
        <f>43.387 * CHOOSE(CONTROL!$C$9, $C$13, 100%, $E$13) + CHOOSE(CONTROL!$C$28, 0, 0)</f>
        <v>43.387</v>
      </c>
      <c r="E499" s="4">
        <f>225.295592948028 * CHOOSE(CONTROL!$C$9, $C$13, 100%, $E$13) + CHOOSE(CONTROL!$C$28, 0, 0)</f>
        <v>225.295592948028</v>
      </c>
    </row>
    <row r="500" spans="1:5" ht="15">
      <c r="A500" s="13">
        <v>57100</v>
      </c>
      <c r="B500" s="4">
        <f>40.6111 * CHOOSE(CONTROL!$C$9, $C$13, 100%, $E$13) + CHOOSE(CONTROL!$C$28, 0.0003, 0)</f>
        <v>40.611400000000003</v>
      </c>
      <c r="C500" s="4">
        <f>40.2986 * CHOOSE(CONTROL!$C$9, $C$13, 100%, $E$13) + CHOOSE(CONTROL!$C$28, 0.0003, 0)</f>
        <v>40.298900000000003</v>
      </c>
      <c r="D500" s="4">
        <f>44.6387 * CHOOSE(CONTROL!$C$9, $C$13, 100%, $E$13) + CHOOSE(CONTROL!$C$28, 0, 0)</f>
        <v>44.6387</v>
      </c>
      <c r="E500" s="4">
        <f>234.485533612485 * CHOOSE(CONTROL!$C$9, $C$13, 100%, $E$13) + CHOOSE(CONTROL!$C$28, 0, 0)</f>
        <v>234.485533612485</v>
      </c>
    </row>
    <row r="501" spans="1:5" ht="15">
      <c r="A501" s="13">
        <v>57131</v>
      </c>
      <c r="B501" s="4">
        <f>41.5387 * CHOOSE(CONTROL!$C$9, $C$13, 100%, $E$13) + CHOOSE(CONTROL!$C$28, 0.0255, 0)</f>
        <v>41.5642</v>
      </c>
      <c r="C501" s="4">
        <f>41.2262 * CHOOSE(CONTROL!$C$9, $C$13, 100%, $E$13) + CHOOSE(CONTROL!$C$28, 0.0255, 0)</f>
        <v>41.2517</v>
      </c>
      <c r="D501" s="4">
        <f>44.1441 * CHOOSE(CONTROL!$C$9, $C$13, 100%, $E$13) + CHOOSE(CONTROL!$C$28, 0, 0)</f>
        <v>44.144100000000002</v>
      </c>
      <c r="E501" s="4">
        <f>240.10036710633 * CHOOSE(CONTROL!$C$9, $C$13, 100%, $E$13) + CHOOSE(CONTROL!$C$28, 0, 0)</f>
        <v>240.10036710633</v>
      </c>
    </row>
    <row r="502" spans="1:5" ht="15">
      <c r="A502" s="13">
        <v>57161</v>
      </c>
      <c r="B502" s="4">
        <f>41.6642 * CHOOSE(CONTROL!$C$9, $C$13, 100%, $E$13) + CHOOSE(CONTROL!$C$28, 0.0255, 0)</f>
        <v>41.689700000000002</v>
      </c>
      <c r="C502" s="4">
        <f>41.3517 * CHOOSE(CONTROL!$C$9, $C$13, 100%, $E$13) + CHOOSE(CONTROL!$C$28, 0.0255, 0)</f>
        <v>41.377200000000002</v>
      </c>
      <c r="D502" s="4">
        <f>44.5469 * CHOOSE(CONTROL!$C$9, $C$13, 100%, $E$13) + CHOOSE(CONTROL!$C$28, 0, 0)</f>
        <v>44.546900000000001</v>
      </c>
      <c r="E502" s="4">
        <f>240.860077380085 * CHOOSE(CONTROL!$C$9, $C$13, 100%, $E$13) + CHOOSE(CONTROL!$C$28, 0, 0)</f>
        <v>240.86007738008499</v>
      </c>
    </row>
    <row r="503" spans="1:5" ht="15">
      <c r="A503" s="13">
        <v>57192</v>
      </c>
      <c r="B503" s="4">
        <f>41.6515 * CHOOSE(CONTROL!$C$9, $C$13, 100%, $E$13) + CHOOSE(CONTROL!$C$28, 0.0255, 0)</f>
        <v>41.677</v>
      </c>
      <c r="C503" s="4">
        <f>41.339 * CHOOSE(CONTROL!$C$9, $C$13, 100%, $E$13) + CHOOSE(CONTROL!$C$28, 0.0255, 0)</f>
        <v>41.3645</v>
      </c>
      <c r="D503" s="4">
        <f>45.2737 * CHOOSE(CONTROL!$C$9, $C$13, 100%, $E$13) + CHOOSE(CONTROL!$C$28, 0, 0)</f>
        <v>45.273699999999998</v>
      </c>
      <c r="E503" s="4">
        <f>240.783467940715 * CHOOSE(CONTROL!$C$9, $C$13, 100%, $E$13) + CHOOSE(CONTROL!$C$28, 0, 0)</f>
        <v>240.78346794071501</v>
      </c>
    </row>
    <row r="504" spans="1:5" ht="15">
      <c r="A504" s="13">
        <v>57223</v>
      </c>
      <c r="B504" s="4">
        <f>42.6038 * CHOOSE(CONTROL!$C$9, $C$13, 100%, $E$13) + CHOOSE(CONTROL!$C$28, 0.0255, 0)</f>
        <v>42.629300000000001</v>
      </c>
      <c r="C504" s="4">
        <f>42.2913 * CHOOSE(CONTROL!$C$9, $C$13, 100%, $E$13) + CHOOSE(CONTROL!$C$28, 0.0255, 0)</f>
        <v>42.316800000000001</v>
      </c>
      <c r="D504" s="4">
        <f>44.7937 * CHOOSE(CONTROL!$C$9, $C$13, 100%, $E$13) + CHOOSE(CONTROL!$C$28, 0, 0)</f>
        <v>44.793700000000001</v>
      </c>
      <c r="E504" s="4">
        <f>246.548328253327 * CHOOSE(CONTROL!$C$9, $C$13, 100%, $E$13) + CHOOSE(CONTROL!$C$28, 0, 0)</f>
        <v>246.54832825332701</v>
      </c>
    </row>
    <row r="505" spans="1:5" ht="15">
      <c r="A505" s="13">
        <v>57253</v>
      </c>
      <c r="B505" s="4">
        <f>40.9808 * CHOOSE(CONTROL!$C$9, $C$13, 100%, $E$13) + CHOOSE(CONTROL!$C$28, 0.0255, 0)</f>
        <v>41.006300000000003</v>
      </c>
      <c r="C505" s="4">
        <f>40.6683 * CHOOSE(CONTROL!$C$9, $C$13, 100%, $E$13) + CHOOSE(CONTROL!$C$28, 0.0255, 0)</f>
        <v>40.693800000000003</v>
      </c>
      <c r="D505" s="4">
        <f>44.5669 * CHOOSE(CONTROL!$C$9, $C$13, 100%, $E$13) + CHOOSE(CONTROL!$C$28, 0, 0)</f>
        <v>44.566899999999997</v>
      </c>
      <c r="E505" s="4">
        <f>236.723167654092 * CHOOSE(CONTROL!$C$9, $C$13, 100%, $E$13) + CHOOSE(CONTROL!$C$28, 0, 0)</f>
        <v>236.72316765409201</v>
      </c>
    </row>
    <row r="506" spans="1:5" ht="15">
      <c r="A506" s="13">
        <v>57284</v>
      </c>
      <c r="B506" s="4">
        <f>39.6814 * CHOOSE(CONTROL!$C$9, $C$13, 100%, $E$13) + CHOOSE(CONTROL!$C$28, 0.0003, 0)</f>
        <v>39.681699999999999</v>
      </c>
      <c r="C506" s="4">
        <f>39.3689 * CHOOSE(CONTROL!$C$9, $C$13, 100%, $E$13) + CHOOSE(CONTROL!$C$28, 0.0003, 0)</f>
        <v>39.369199999999999</v>
      </c>
      <c r="D506" s="4">
        <f>43.9597 * CHOOSE(CONTROL!$C$9, $C$13, 100%, $E$13) + CHOOSE(CONTROL!$C$28, 0, 0)</f>
        <v>43.959699999999998</v>
      </c>
      <c r="E506" s="4">
        <f>228.857931878745 * CHOOSE(CONTROL!$C$9, $C$13, 100%, $E$13) + CHOOSE(CONTROL!$C$28, 0, 0)</f>
        <v>228.85793187874501</v>
      </c>
    </row>
    <row r="507" spans="1:5" ht="15">
      <c r="A507" s="13">
        <v>57314</v>
      </c>
      <c r="B507" s="4">
        <f>38.8446 * CHOOSE(CONTROL!$C$9, $C$13, 100%, $E$13) + CHOOSE(CONTROL!$C$28, 0.0003, 0)</f>
        <v>38.844900000000003</v>
      </c>
      <c r="C507" s="4">
        <f>38.5321 * CHOOSE(CONTROL!$C$9, $C$13, 100%, $E$13) + CHOOSE(CONTROL!$C$28, 0.0003, 0)</f>
        <v>38.532400000000003</v>
      </c>
      <c r="D507" s="4">
        <f>43.7509 * CHOOSE(CONTROL!$C$9, $C$13, 100%, $E$13) + CHOOSE(CONTROL!$C$28, 0, 0)</f>
        <v>43.750900000000001</v>
      </c>
      <c r="E507" s="4">
        <f>223.792132700387 * CHOOSE(CONTROL!$C$9, $C$13, 100%, $E$13) + CHOOSE(CONTROL!$C$28, 0, 0)</f>
        <v>223.79213270038699</v>
      </c>
    </row>
    <row r="508" spans="1:5" ht="15">
      <c r="A508" s="13">
        <v>57345</v>
      </c>
      <c r="B508" s="4">
        <f>38.2656 * CHOOSE(CONTROL!$C$9, $C$13, 100%, $E$13) + CHOOSE(CONTROL!$C$28, 0.0003, 0)</f>
        <v>38.265900000000002</v>
      </c>
      <c r="C508" s="4">
        <f>37.9531 * CHOOSE(CONTROL!$C$9, $C$13, 100%, $E$13) + CHOOSE(CONTROL!$C$28, 0.0003, 0)</f>
        <v>37.953400000000002</v>
      </c>
      <c r="D508" s="4">
        <f>42.214 * CHOOSE(CONTROL!$C$9, $C$13, 100%, $E$13) + CHOOSE(CONTROL!$C$28, 0, 0)</f>
        <v>42.213999999999999</v>
      </c>
      <c r="E508" s="4">
        <f>220.287250849198 * CHOOSE(CONTROL!$C$9, $C$13, 100%, $E$13) + CHOOSE(CONTROL!$C$28, 0, 0)</f>
        <v>220.28725084919799</v>
      </c>
    </row>
    <row r="509" spans="1:5" ht="15">
      <c r="A509" s="13">
        <v>57376</v>
      </c>
      <c r="B509" s="4">
        <f>37.3249 * CHOOSE(CONTROL!$C$9, $C$13, 100%, $E$13) + CHOOSE(CONTROL!$C$28, 0.0003, 0)</f>
        <v>37.325200000000002</v>
      </c>
      <c r="C509" s="4">
        <f>37.0124 * CHOOSE(CONTROL!$C$9, $C$13, 100%, $E$13) + CHOOSE(CONTROL!$C$28, 0.0003, 0)</f>
        <v>37.012700000000002</v>
      </c>
      <c r="D509" s="4">
        <f>40.8014 * CHOOSE(CONTROL!$C$9, $C$13, 100%, $E$13) + CHOOSE(CONTROL!$C$28, 0, 0)</f>
        <v>40.801400000000001</v>
      </c>
      <c r="E509" s="4">
        <f>213.970251942775 * CHOOSE(CONTROL!$C$9, $C$13, 100%, $E$13) + CHOOSE(CONTROL!$C$28, 0, 0)</f>
        <v>213.97025194277501</v>
      </c>
    </row>
    <row r="510" spans="1:5" ht="15">
      <c r="A510" s="13">
        <v>57404</v>
      </c>
      <c r="B510" s="4">
        <f>38.1666 * CHOOSE(CONTROL!$C$9, $C$13, 100%, $E$13) + CHOOSE(CONTROL!$C$28, 0.0003, 0)</f>
        <v>38.166900000000005</v>
      </c>
      <c r="C510" s="4">
        <f>37.8541 * CHOOSE(CONTROL!$C$9, $C$13, 100%, $E$13) + CHOOSE(CONTROL!$C$28, 0.0003, 0)</f>
        <v>37.854400000000005</v>
      </c>
      <c r="D510" s="4">
        <f>42.2239 * CHOOSE(CONTROL!$C$9, $C$13, 100%, $E$13) + CHOOSE(CONTROL!$C$28, 0, 0)</f>
        <v>42.2239</v>
      </c>
      <c r="E510" s="4">
        <f>219.050748961282 * CHOOSE(CONTROL!$C$9, $C$13, 100%, $E$13) + CHOOSE(CONTROL!$C$28, 0, 0)</f>
        <v>219.05074896128201</v>
      </c>
    </row>
    <row r="511" spans="1:5" ht="15">
      <c r="A511" s="13">
        <v>57435</v>
      </c>
      <c r="B511" s="4">
        <f>40.377 * CHOOSE(CONTROL!$C$9, $C$13, 100%, $E$13) + CHOOSE(CONTROL!$C$28, 0.0003, 0)</f>
        <v>40.377300000000005</v>
      </c>
      <c r="C511" s="4">
        <f>40.0645 * CHOOSE(CONTROL!$C$9, $C$13, 100%, $E$13) + CHOOSE(CONTROL!$C$28, 0.0003, 0)</f>
        <v>40.064800000000005</v>
      </c>
      <c r="D511" s="4">
        <f>44.4507 * CHOOSE(CONTROL!$C$9, $C$13, 100%, $E$13) + CHOOSE(CONTROL!$C$28, 0, 0)</f>
        <v>44.450699999999998</v>
      </c>
      <c r="E511" s="4">
        <f>232.392404125891 * CHOOSE(CONTROL!$C$9, $C$13, 100%, $E$13) + CHOOSE(CONTROL!$C$28, 0, 0)</f>
        <v>232.39240412589101</v>
      </c>
    </row>
    <row r="512" spans="1:5" ht="15">
      <c r="A512" s="13">
        <v>57465</v>
      </c>
      <c r="B512" s="4">
        <f>41.9475 * CHOOSE(CONTROL!$C$9, $C$13, 100%, $E$13) + CHOOSE(CONTROL!$C$28, 0.0003, 0)</f>
        <v>41.947800000000001</v>
      </c>
      <c r="C512" s="4">
        <f>41.635 * CHOOSE(CONTROL!$C$9, $C$13, 100%, $E$13) + CHOOSE(CONTROL!$C$28, 0.0003, 0)</f>
        <v>41.635300000000001</v>
      </c>
      <c r="D512" s="4">
        <f>45.7334 * CHOOSE(CONTROL!$C$9, $C$13, 100%, $E$13) + CHOOSE(CONTROL!$C$28, 0, 0)</f>
        <v>45.733400000000003</v>
      </c>
      <c r="E512" s="4">
        <f>241.871827921279 * CHOOSE(CONTROL!$C$9, $C$13, 100%, $E$13) + CHOOSE(CONTROL!$C$28, 0, 0)</f>
        <v>241.87182792127899</v>
      </c>
    </row>
    <row r="513" spans="1:5" ht="15">
      <c r="A513" s="13">
        <v>57496</v>
      </c>
      <c r="B513" s="4">
        <f>42.907 * CHOOSE(CONTROL!$C$9, $C$13, 100%, $E$13) + CHOOSE(CONTROL!$C$28, 0.0255, 0)</f>
        <v>42.932499999999997</v>
      </c>
      <c r="C513" s="4">
        <f>42.5945 * CHOOSE(CONTROL!$C$9, $C$13, 100%, $E$13) + CHOOSE(CONTROL!$C$28, 0.0255, 0)</f>
        <v>42.62</v>
      </c>
      <c r="D513" s="4">
        <f>45.2265 * CHOOSE(CONTROL!$C$9, $C$13, 100%, $E$13) + CHOOSE(CONTROL!$C$28, 0, 0)</f>
        <v>45.226500000000001</v>
      </c>
      <c r="E513" s="4">
        <f>247.66352867018 * CHOOSE(CONTROL!$C$9, $C$13, 100%, $E$13) + CHOOSE(CONTROL!$C$28, 0, 0)</f>
        <v>247.66352867018</v>
      </c>
    </row>
    <row r="514" spans="1:5" ht="15">
      <c r="A514" s="13">
        <v>57526</v>
      </c>
      <c r="B514" s="4">
        <f>43.0369 * CHOOSE(CONTROL!$C$9, $C$13, 100%, $E$13) + CHOOSE(CONTROL!$C$28, 0.0255, 0)</f>
        <v>43.062400000000004</v>
      </c>
      <c r="C514" s="4">
        <f>42.7244 * CHOOSE(CONTROL!$C$9, $C$13, 100%, $E$13) + CHOOSE(CONTROL!$C$28, 0.0255, 0)</f>
        <v>42.749900000000004</v>
      </c>
      <c r="D514" s="4">
        <f>45.6393 * CHOOSE(CONTROL!$C$9, $C$13, 100%, $E$13) + CHOOSE(CONTROL!$C$28, 0, 0)</f>
        <v>45.639299999999999</v>
      </c>
      <c r="E514" s="4">
        <f>248.447169817558 * CHOOSE(CONTROL!$C$9, $C$13, 100%, $E$13) + CHOOSE(CONTROL!$C$28, 0, 0)</f>
        <v>248.44716981755801</v>
      </c>
    </row>
    <row r="515" spans="1:5" ht="15">
      <c r="A515" s="13">
        <v>57557</v>
      </c>
      <c r="B515" s="4">
        <f>43.0238 * CHOOSE(CONTROL!$C$9, $C$13, 100%, $E$13) + CHOOSE(CONTROL!$C$28, 0.0255, 0)</f>
        <v>43.049300000000002</v>
      </c>
      <c r="C515" s="4">
        <f>42.7113 * CHOOSE(CONTROL!$C$9, $C$13, 100%, $E$13) + CHOOSE(CONTROL!$C$28, 0.0255, 0)</f>
        <v>42.736800000000002</v>
      </c>
      <c r="D515" s="4">
        <f>46.3842 * CHOOSE(CONTROL!$C$9, $C$13, 100%, $E$13) + CHOOSE(CONTROL!$C$28, 0, 0)</f>
        <v>46.3842</v>
      </c>
      <c r="E515" s="4">
        <f>248.368147180848 * CHOOSE(CONTROL!$C$9, $C$13, 100%, $E$13) + CHOOSE(CONTROL!$C$28, 0, 0)</f>
        <v>248.36814718084801</v>
      </c>
    </row>
    <row r="516" spans="1:5" ht="15">
      <c r="A516" s="13">
        <v>57588</v>
      </c>
      <c r="B516" s="4">
        <f>44.009 * CHOOSE(CONTROL!$C$9, $C$13, 100%, $E$13) + CHOOSE(CONTROL!$C$28, 0.0255, 0)</f>
        <v>44.034500000000001</v>
      </c>
      <c r="C516" s="4">
        <f>43.6965 * CHOOSE(CONTROL!$C$9, $C$13, 100%, $E$13) + CHOOSE(CONTROL!$C$28, 0.0255, 0)</f>
        <v>43.722000000000001</v>
      </c>
      <c r="D516" s="4">
        <f>45.8923 * CHOOSE(CONTROL!$C$9, $C$13, 100%, $E$13) + CHOOSE(CONTROL!$C$28, 0, 0)</f>
        <v>45.892299999999999</v>
      </c>
      <c r="E516" s="4">
        <f>254.314600593307 * CHOOSE(CONTROL!$C$9, $C$13, 100%, $E$13) + CHOOSE(CONTROL!$C$28, 0, 0)</f>
        <v>254.31460059330701</v>
      </c>
    </row>
    <row r="517" spans="1:5" ht="15">
      <c r="A517" s="13">
        <v>57618</v>
      </c>
      <c r="B517" s="4">
        <f>42.3299 * CHOOSE(CONTROL!$C$9, $C$13, 100%, $E$13) + CHOOSE(CONTROL!$C$28, 0.0255, 0)</f>
        <v>42.355400000000003</v>
      </c>
      <c r="C517" s="4">
        <f>42.0174 * CHOOSE(CONTROL!$C$9, $C$13, 100%, $E$13) + CHOOSE(CONTROL!$C$28, 0.0255, 0)</f>
        <v>42.042900000000003</v>
      </c>
      <c r="D517" s="4">
        <f>45.6599 * CHOOSE(CONTROL!$C$9, $C$13, 100%, $E$13) + CHOOSE(CONTROL!$C$28, 0, 0)</f>
        <v>45.6599</v>
      </c>
      <c r="E517" s="4">
        <f>244.179947435196 * CHOOSE(CONTROL!$C$9, $C$13, 100%, $E$13) + CHOOSE(CONTROL!$C$28, 0, 0)</f>
        <v>244.179947435196</v>
      </c>
    </row>
    <row r="518" spans="1:5" ht="15">
      <c r="A518" s="13">
        <v>57649</v>
      </c>
      <c r="B518" s="4">
        <f>40.9858 * CHOOSE(CONTROL!$C$9, $C$13, 100%, $E$13) + CHOOSE(CONTROL!$C$28, 0.0003, 0)</f>
        <v>40.9861</v>
      </c>
      <c r="C518" s="4">
        <f>40.6733 * CHOOSE(CONTROL!$C$9, $C$13, 100%, $E$13) + CHOOSE(CONTROL!$C$28, 0.0003, 0)</f>
        <v>40.6736</v>
      </c>
      <c r="D518" s="4">
        <f>45.0376 * CHOOSE(CONTROL!$C$9, $C$13, 100%, $E$13) + CHOOSE(CONTROL!$C$28, 0, 0)</f>
        <v>45.037599999999998</v>
      </c>
      <c r="E518" s="4">
        <f>236.066956732926 * CHOOSE(CONTROL!$C$9, $C$13, 100%, $E$13) + CHOOSE(CONTROL!$C$28, 0, 0)</f>
        <v>236.066956732926</v>
      </c>
    </row>
    <row r="519" spans="1:5" ht="15">
      <c r="A519" s="13">
        <v>57679</v>
      </c>
      <c r="B519" s="4">
        <f>40.12 * CHOOSE(CONTROL!$C$9, $C$13, 100%, $E$13) + CHOOSE(CONTROL!$C$28, 0.0003, 0)</f>
        <v>40.1203</v>
      </c>
      <c r="C519" s="4">
        <f>39.8075 * CHOOSE(CONTROL!$C$9, $C$13, 100%, $E$13) + CHOOSE(CONTROL!$C$28, 0.0003, 0)</f>
        <v>39.8078</v>
      </c>
      <c r="D519" s="4">
        <f>44.8236 * CHOOSE(CONTROL!$C$9, $C$13, 100%, $E$13) + CHOOSE(CONTROL!$C$28, 0, 0)</f>
        <v>44.823599999999999</v>
      </c>
      <c r="E519" s="4">
        <f>230.841584880449 * CHOOSE(CONTROL!$C$9, $C$13, 100%, $E$13) + CHOOSE(CONTROL!$C$28, 0, 0)</f>
        <v>230.84158488044901</v>
      </c>
    </row>
    <row r="520" spans="1:5" ht="15">
      <c r="A520" s="13">
        <v>57710</v>
      </c>
      <c r="B520" s="4">
        <f>39.5211 * CHOOSE(CONTROL!$C$9, $C$13, 100%, $E$13) + CHOOSE(CONTROL!$C$28, 0.0003, 0)</f>
        <v>39.5214</v>
      </c>
      <c r="C520" s="4">
        <f>39.2086 * CHOOSE(CONTROL!$C$9, $C$13, 100%, $E$13) + CHOOSE(CONTROL!$C$28, 0.0003, 0)</f>
        <v>39.2089</v>
      </c>
      <c r="D520" s="4">
        <f>43.2486 * CHOOSE(CONTROL!$C$9, $C$13, 100%, $E$13) + CHOOSE(CONTROL!$C$28, 0, 0)</f>
        <v>43.248600000000003</v>
      </c>
      <c r="E520" s="4">
        <f>227.226299250948 * CHOOSE(CONTROL!$C$9, $C$13, 100%, $E$13) + CHOOSE(CONTROL!$C$28, 0, 0)</f>
        <v>227.22629925094799</v>
      </c>
    </row>
    <row r="521" spans="1:5" ht="15">
      <c r="A521" s="13">
        <v>57741</v>
      </c>
      <c r="B521" s="4">
        <f>38.5479 * CHOOSE(CONTROL!$C$9, $C$13, 100%, $E$13) + CHOOSE(CONTROL!$C$28, 0.0003, 0)</f>
        <v>38.548200000000001</v>
      </c>
      <c r="C521" s="4">
        <f>38.2354 * CHOOSE(CONTROL!$C$9, $C$13, 100%, $E$13) + CHOOSE(CONTROL!$C$28, 0.0003, 0)</f>
        <v>38.235700000000001</v>
      </c>
      <c r="D521" s="4">
        <f>41.8009 * CHOOSE(CONTROL!$C$9, $C$13, 100%, $E$13) + CHOOSE(CONTROL!$C$28, 0, 0)</f>
        <v>41.800899999999999</v>
      </c>
      <c r="E521" s="4">
        <f>220.710314878972 * CHOOSE(CONTROL!$C$9, $C$13, 100%, $E$13) + CHOOSE(CONTROL!$C$28, 0, 0)</f>
        <v>220.71031487897201</v>
      </c>
    </row>
    <row r="522" spans="1:5" ht="15">
      <c r="A522" s="13">
        <v>57769</v>
      </c>
      <c r="B522" s="4">
        <f>39.4186 * CHOOSE(CONTROL!$C$9, $C$13, 100%, $E$13) + CHOOSE(CONTROL!$C$28, 0.0003, 0)</f>
        <v>39.418900000000001</v>
      </c>
      <c r="C522" s="4">
        <f>39.1061 * CHOOSE(CONTROL!$C$9, $C$13, 100%, $E$13) + CHOOSE(CONTROL!$C$28, 0.0003, 0)</f>
        <v>39.106400000000001</v>
      </c>
      <c r="D522" s="4">
        <f>43.2587 * CHOOSE(CONTROL!$C$9, $C$13, 100%, $E$13) + CHOOSE(CONTROL!$C$28, 0, 0)</f>
        <v>43.258699999999997</v>
      </c>
      <c r="E522" s="4">
        <f>225.950847553563 * CHOOSE(CONTROL!$C$9, $C$13, 100%, $E$13) + CHOOSE(CONTROL!$C$28, 0, 0)</f>
        <v>225.95084755356299</v>
      </c>
    </row>
    <row r="523" spans="1:5" ht="15">
      <c r="A523" s="13">
        <v>57800</v>
      </c>
      <c r="B523" s="4">
        <f>41.7053 * CHOOSE(CONTROL!$C$9, $C$13, 100%, $E$13) + CHOOSE(CONTROL!$C$28, 0.0003, 0)</f>
        <v>41.705600000000004</v>
      </c>
      <c r="C523" s="4">
        <f>41.3928 * CHOOSE(CONTROL!$C$9, $C$13, 100%, $E$13) + CHOOSE(CONTROL!$C$28, 0.0003, 0)</f>
        <v>41.393100000000004</v>
      </c>
      <c r="D523" s="4">
        <f>45.5407 * CHOOSE(CONTROL!$C$9, $C$13, 100%, $E$13) + CHOOSE(CONTROL!$C$28, 0, 0)</f>
        <v>45.540700000000001</v>
      </c>
      <c r="E523" s="4">
        <f>239.712764855857 * CHOOSE(CONTROL!$C$9, $C$13, 100%, $E$13) + CHOOSE(CONTROL!$C$28, 0, 0)</f>
        <v>239.71276485585699</v>
      </c>
    </row>
    <row r="524" spans="1:5" ht="15">
      <c r="A524" s="13">
        <v>57830</v>
      </c>
      <c r="B524" s="4">
        <f>43.33 * CHOOSE(CONTROL!$C$9, $C$13, 100%, $E$13) + CHOOSE(CONTROL!$C$28, 0.0003, 0)</f>
        <v>43.330300000000001</v>
      </c>
      <c r="C524" s="4">
        <f>43.0175 * CHOOSE(CONTROL!$C$9, $C$13, 100%, $E$13) + CHOOSE(CONTROL!$C$28, 0.0003, 0)</f>
        <v>43.017800000000001</v>
      </c>
      <c r="D524" s="4">
        <f>46.8553 * CHOOSE(CONTROL!$C$9, $C$13, 100%, $E$13) + CHOOSE(CONTROL!$C$28, 0, 0)</f>
        <v>46.8553</v>
      </c>
      <c r="E524" s="4">
        <f>249.490790500799 * CHOOSE(CONTROL!$C$9, $C$13, 100%, $E$13) + CHOOSE(CONTROL!$C$28, 0, 0)</f>
        <v>249.49079050079899</v>
      </c>
    </row>
    <row r="525" spans="1:5" ht="15">
      <c r="A525" s="13">
        <v>57861</v>
      </c>
      <c r="B525" s="4">
        <f>44.3227 * CHOOSE(CONTROL!$C$9, $C$13, 100%, $E$13) + CHOOSE(CONTROL!$C$28, 0.0255, 0)</f>
        <v>44.348199999999999</v>
      </c>
      <c r="C525" s="4">
        <f>44.0102 * CHOOSE(CONTROL!$C$9, $C$13, 100%, $E$13) + CHOOSE(CONTROL!$C$28, 0.0255, 0)</f>
        <v>44.035699999999999</v>
      </c>
      <c r="D525" s="4">
        <f>46.3358 * CHOOSE(CONTROL!$C$9, $C$13, 100%, $E$13) + CHOOSE(CONTROL!$C$28, 0, 0)</f>
        <v>46.335799999999999</v>
      </c>
      <c r="E525" s="4">
        <f>255.464929823291 * CHOOSE(CONTROL!$C$9, $C$13, 100%, $E$13) + CHOOSE(CONTROL!$C$28, 0, 0)</f>
        <v>255.46492982329099</v>
      </c>
    </row>
    <row r="526" spans="1:5" ht="15">
      <c r="A526" s="13">
        <v>57891</v>
      </c>
      <c r="B526" s="4">
        <f>44.457 * CHOOSE(CONTROL!$C$9, $C$13, 100%, $E$13) + CHOOSE(CONTROL!$C$28, 0.0255, 0)</f>
        <v>44.482500000000002</v>
      </c>
      <c r="C526" s="4">
        <f>44.1445 * CHOOSE(CONTROL!$C$9, $C$13, 100%, $E$13) + CHOOSE(CONTROL!$C$28, 0.0255, 0)</f>
        <v>44.17</v>
      </c>
      <c r="D526" s="4">
        <f>46.7589 * CHOOSE(CONTROL!$C$9, $C$13, 100%, $E$13) + CHOOSE(CONTROL!$C$28, 0, 0)</f>
        <v>46.758899999999997</v>
      </c>
      <c r="E526" s="4">
        <f>256.273255666811 * CHOOSE(CONTROL!$C$9, $C$13, 100%, $E$13) + CHOOSE(CONTROL!$C$28, 0, 0)</f>
        <v>256.273255666811</v>
      </c>
    </row>
    <row r="527" spans="1:5" ht="15">
      <c r="A527" s="13">
        <v>57922</v>
      </c>
      <c r="B527" s="4">
        <f>44.4434 * CHOOSE(CONTROL!$C$9, $C$13, 100%, $E$13) + CHOOSE(CONTROL!$C$28, 0.0255, 0)</f>
        <v>44.468899999999998</v>
      </c>
      <c r="C527" s="4">
        <f>44.1309 * CHOOSE(CONTROL!$C$9, $C$13, 100%, $E$13) + CHOOSE(CONTROL!$C$28, 0.0255, 0)</f>
        <v>44.156399999999998</v>
      </c>
      <c r="D527" s="4">
        <f>47.5222 * CHOOSE(CONTROL!$C$9, $C$13, 100%, $E$13) + CHOOSE(CONTROL!$C$28, 0, 0)</f>
        <v>47.522199999999998</v>
      </c>
      <c r="E527" s="4">
        <f>256.191743817044 * CHOOSE(CONTROL!$C$9, $C$13, 100%, $E$13) + CHOOSE(CONTROL!$C$28, 0, 0)</f>
        <v>256.19174381704403</v>
      </c>
    </row>
    <row r="528" spans="1:5" ht="15">
      <c r="A528" s="13">
        <v>57953</v>
      </c>
      <c r="B528" s="4">
        <f>45.4626 * CHOOSE(CONTROL!$C$9, $C$13, 100%, $E$13) + CHOOSE(CONTROL!$C$28, 0.0255, 0)</f>
        <v>45.488100000000003</v>
      </c>
      <c r="C528" s="4">
        <f>45.1501 * CHOOSE(CONTROL!$C$9, $C$13, 100%, $E$13) + CHOOSE(CONTROL!$C$28, 0.0255, 0)</f>
        <v>45.175600000000003</v>
      </c>
      <c r="D528" s="4">
        <f>47.0181 * CHOOSE(CONTROL!$C$9, $C$13, 100%, $E$13) + CHOOSE(CONTROL!$C$28, 0, 0)</f>
        <v>47.018099999999997</v>
      </c>
      <c r="E528" s="4">
        <f>262.325510511996 * CHOOSE(CONTROL!$C$9, $C$13, 100%, $E$13) + CHOOSE(CONTROL!$C$28, 0, 0)</f>
        <v>262.32551051199601</v>
      </c>
    </row>
    <row r="529" spans="1:5" ht="15">
      <c r="A529" s="13">
        <v>57983</v>
      </c>
      <c r="B529" s="4">
        <f>43.7256 * CHOOSE(CONTROL!$C$9, $C$13, 100%, $E$13) + CHOOSE(CONTROL!$C$28, 0.0255, 0)</f>
        <v>43.751100000000001</v>
      </c>
      <c r="C529" s="4">
        <f>43.4131 * CHOOSE(CONTROL!$C$9, $C$13, 100%, $E$13) + CHOOSE(CONTROL!$C$28, 0.0255, 0)</f>
        <v>43.438600000000001</v>
      </c>
      <c r="D529" s="4">
        <f>46.7799 * CHOOSE(CONTROL!$C$9, $C$13, 100%, $E$13) + CHOOSE(CONTROL!$C$28, 0, 0)</f>
        <v>46.779899999999998</v>
      </c>
      <c r="E529" s="4">
        <f>251.871615779404 * CHOOSE(CONTROL!$C$9, $C$13, 100%, $E$13) + CHOOSE(CONTROL!$C$28, 0, 0)</f>
        <v>251.87161577940401</v>
      </c>
    </row>
    <row r="530" spans="1:5" ht="15">
      <c r="A530" s="13">
        <v>58014</v>
      </c>
      <c r="B530" s="4">
        <f>42.3351 * CHOOSE(CONTROL!$C$9, $C$13, 100%, $E$13) + CHOOSE(CONTROL!$C$28, 0.0003, 0)</f>
        <v>42.3354</v>
      </c>
      <c r="C530" s="4">
        <f>42.0226 * CHOOSE(CONTROL!$C$9, $C$13, 100%, $E$13) + CHOOSE(CONTROL!$C$28, 0.0003, 0)</f>
        <v>42.0229</v>
      </c>
      <c r="D530" s="4">
        <f>46.1422 * CHOOSE(CONTROL!$C$9, $C$13, 100%, $E$13) + CHOOSE(CONTROL!$C$28, 0, 0)</f>
        <v>46.142200000000003</v>
      </c>
      <c r="E530" s="4">
        <f>243.503065870013 * CHOOSE(CONTROL!$C$9, $C$13, 100%, $E$13) + CHOOSE(CONTROL!$C$28, 0, 0)</f>
        <v>243.50306587001299</v>
      </c>
    </row>
    <row r="531" spans="1:5" ht="15">
      <c r="A531" s="13">
        <v>58044</v>
      </c>
      <c r="B531" s="4">
        <f>41.4395 * CHOOSE(CONTROL!$C$9, $C$13, 100%, $E$13) + CHOOSE(CONTROL!$C$28, 0.0003, 0)</f>
        <v>41.439800000000005</v>
      </c>
      <c r="C531" s="4">
        <f>41.127 * CHOOSE(CONTROL!$C$9, $C$13, 100%, $E$13) + CHOOSE(CONTROL!$C$28, 0.0003, 0)</f>
        <v>41.127300000000005</v>
      </c>
      <c r="D531" s="4">
        <f>45.9229 * CHOOSE(CONTROL!$C$9, $C$13, 100%, $E$13) + CHOOSE(CONTROL!$C$28, 0, 0)</f>
        <v>45.922899999999998</v>
      </c>
      <c r="E531" s="4">
        <f>238.113094804184 * CHOOSE(CONTROL!$C$9, $C$13, 100%, $E$13) + CHOOSE(CONTROL!$C$28, 0, 0)</f>
        <v>238.11309480418399</v>
      </c>
    </row>
    <row r="532" spans="1:5" ht="15">
      <c r="A532" s="13">
        <v>58075</v>
      </c>
      <c r="B532" s="4">
        <f>40.8199 * CHOOSE(CONTROL!$C$9, $C$13, 100%, $E$13) + CHOOSE(CONTROL!$C$28, 0.0003, 0)</f>
        <v>40.8202</v>
      </c>
      <c r="C532" s="4">
        <f>40.5074 * CHOOSE(CONTROL!$C$9, $C$13, 100%, $E$13) + CHOOSE(CONTROL!$C$28, 0.0003, 0)</f>
        <v>40.5077</v>
      </c>
      <c r="D532" s="4">
        <f>44.3088 * CHOOSE(CONTROL!$C$9, $C$13, 100%, $E$13) + CHOOSE(CONTROL!$C$28, 0, 0)</f>
        <v>44.308799999999998</v>
      </c>
      <c r="E532" s="4">
        <f>234.383927677353 * CHOOSE(CONTROL!$C$9, $C$13, 100%, $E$13) + CHOOSE(CONTROL!$C$28, 0, 0)</f>
        <v>234.383927677353</v>
      </c>
    </row>
    <row r="533" spans="1:5" ht="15">
      <c r="A533" s="13">
        <v>58106</v>
      </c>
      <c r="B533" s="4">
        <f>39.8131 * CHOOSE(CONTROL!$C$9, $C$13, 100%, $E$13) + CHOOSE(CONTROL!$C$28, 0.0003, 0)</f>
        <v>39.813400000000001</v>
      </c>
      <c r="C533" s="4">
        <f>39.5006 * CHOOSE(CONTROL!$C$9, $C$13, 100%, $E$13) + CHOOSE(CONTROL!$C$28, 0.0003, 0)</f>
        <v>39.500900000000001</v>
      </c>
      <c r="D533" s="4">
        <f>42.8253 * CHOOSE(CONTROL!$C$9, $C$13, 100%, $E$13) + CHOOSE(CONTROL!$C$28, 0, 0)</f>
        <v>42.825299999999999</v>
      </c>
      <c r="E533" s="4">
        <f>227.66268979766 * CHOOSE(CONTROL!$C$9, $C$13, 100%, $E$13) + CHOOSE(CONTROL!$C$28, 0, 0)</f>
        <v>227.66268979765999</v>
      </c>
    </row>
    <row r="534" spans="1:5" ht="15">
      <c r="A534" s="13">
        <v>58134</v>
      </c>
      <c r="B534" s="4">
        <f>40.7139 * CHOOSE(CONTROL!$C$9, $C$13, 100%, $E$13) + CHOOSE(CONTROL!$C$28, 0.0003, 0)</f>
        <v>40.714200000000005</v>
      </c>
      <c r="C534" s="4">
        <f>40.4014 * CHOOSE(CONTROL!$C$9, $C$13, 100%, $E$13) + CHOOSE(CONTROL!$C$28, 0.0003, 0)</f>
        <v>40.401700000000005</v>
      </c>
      <c r="D534" s="4">
        <f>44.3192 * CHOOSE(CONTROL!$C$9, $C$13, 100%, $E$13) + CHOOSE(CONTROL!$C$28, 0, 0)</f>
        <v>44.319200000000002</v>
      </c>
      <c r="E534" s="4">
        <f>233.0682992515 * CHOOSE(CONTROL!$C$9, $C$13, 100%, $E$13) + CHOOSE(CONTROL!$C$28, 0, 0)</f>
        <v>233.06829925150001</v>
      </c>
    </row>
    <row r="535" spans="1:5" ht="15">
      <c r="A535" s="13">
        <v>58165</v>
      </c>
      <c r="B535" s="4">
        <f>43.0794 * CHOOSE(CONTROL!$C$9, $C$13, 100%, $E$13) + CHOOSE(CONTROL!$C$28, 0.0003, 0)</f>
        <v>43.079700000000003</v>
      </c>
      <c r="C535" s="4">
        <f>42.7669 * CHOOSE(CONTROL!$C$9, $C$13, 100%, $E$13) + CHOOSE(CONTROL!$C$28, 0.0003, 0)</f>
        <v>42.767200000000003</v>
      </c>
      <c r="D535" s="4">
        <f>46.6578 * CHOOSE(CONTROL!$C$9, $C$13, 100%, $E$13) + CHOOSE(CONTROL!$C$28, 0, 0)</f>
        <v>46.657800000000002</v>
      </c>
      <c r="E535" s="4">
        <f>247.263716948816 * CHOOSE(CONTROL!$C$9, $C$13, 100%, $E$13) + CHOOSE(CONTROL!$C$28, 0, 0)</f>
        <v>247.26371694881601</v>
      </c>
    </row>
    <row r="536" spans="1:5" ht="15">
      <c r="A536" s="13">
        <v>58195</v>
      </c>
      <c r="B536" s="4">
        <f>44.7602 * CHOOSE(CONTROL!$C$9, $C$13, 100%, $E$13) + CHOOSE(CONTROL!$C$28, 0.0003, 0)</f>
        <v>44.7605</v>
      </c>
      <c r="C536" s="4">
        <f>44.4477 * CHOOSE(CONTROL!$C$9, $C$13, 100%, $E$13) + CHOOSE(CONTROL!$C$28, 0.0003, 0)</f>
        <v>44.448</v>
      </c>
      <c r="D536" s="4">
        <f>48.005 * CHOOSE(CONTROL!$C$9, $C$13, 100%, $E$13) + CHOOSE(CONTROL!$C$28, 0, 0)</f>
        <v>48.005000000000003</v>
      </c>
      <c r="E536" s="4">
        <f>257.349750401574 * CHOOSE(CONTROL!$C$9, $C$13, 100%, $E$13) + CHOOSE(CONTROL!$C$28, 0, 0)</f>
        <v>257.349750401574</v>
      </c>
    </row>
    <row r="537" spans="1:5" ht="15">
      <c r="A537" s="13">
        <v>58226</v>
      </c>
      <c r="B537" s="4">
        <f>45.7871 * CHOOSE(CONTROL!$C$9, $C$13, 100%, $E$13) + CHOOSE(CONTROL!$C$28, 0.0255, 0)</f>
        <v>45.812600000000003</v>
      </c>
      <c r="C537" s="4">
        <f>45.4746 * CHOOSE(CONTROL!$C$9, $C$13, 100%, $E$13) + CHOOSE(CONTROL!$C$28, 0.0255, 0)</f>
        <v>45.500100000000003</v>
      </c>
      <c r="D537" s="4">
        <f>47.4726 * CHOOSE(CONTROL!$C$9, $C$13, 100%, $E$13) + CHOOSE(CONTROL!$C$28, 0, 0)</f>
        <v>47.4726</v>
      </c>
      <c r="E537" s="4">
        <f>263.512075112724 * CHOOSE(CONTROL!$C$9, $C$13, 100%, $E$13) + CHOOSE(CONTROL!$C$28, 0, 0)</f>
        <v>263.51207511272401</v>
      </c>
    </row>
    <row r="538" spans="1:5" ht="15">
      <c r="A538" s="13">
        <v>58256</v>
      </c>
      <c r="B538" s="4">
        <f>45.926 * CHOOSE(CONTROL!$C$9, $C$13, 100%, $E$13) + CHOOSE(CONTROL!$C$28, 0.0255, 0)</f>
        <v>45.951500000000003</v>
      </c>
      <c r="C538" s="4">
        <f>45.6135 * CHOOSE(CONTROL!$C$9, $C$13, 100%, $E$13) + CHOOSE(CONTROL!$C$28, 0.0255, 0)</f>
        <v>45.639000000000003</v>
      </c>
      <c r="D538" s="4">
        <f>47.9062 * CHOOSE(CONTROL!$C$9, $C$13, 100%, $E$13) + CHOOSE(CONTROL!$C$28, 0, 0)</f>
        <v>47.906199999999998</v>
      </c>
      <c r="E538" s="4">
        <f>264.345863220316 * CHOOSE(CONTROL!$C$9, $C$13, 100%, $E$13) + CHOOSE(CONTROL!$C$28, 0, 0)</f>
        <v>264.34586322031601</v>
      </c>
    </row>
    <row r="539" spans="1:5" ht="15">
      <c r="A539" s="13">
        <v>58287</v>
      </c>
      <c r="B539" s="4">
        <f>45.912 * CHOOSE(CONTROL!$C$9, $C$13, 100%, $E$13) + CHOOSE(CONTROL!$C$28, 0.0255, 0)</f>
        <v>45.9375</v>
      </c>
      <c r="C539" s="4">
        <f>45.5995 * CHOOSE(CONTROL!$C$9, $C$13, 100%, $E$13) + CHOOSE(CONTROL!$C$28, 0.0255, 0)</f>
        <v>45.625</v>
      </c>
      <c r="D539" s="4">
        <f>48.6884 * CHOOSE(CONTROL!$C$9, $C$13, 100%, $E$13) + CHOOSE(CONTROL!$C$28, 0, 0)</f>
        <v>48.688400000000001</v>
      </c>
      <c r="E539" s="4">
        <f>264.261783747281 * CHOOSE(CONTROL!$C$9, $C$13, 100%, $E$13) + CHOOSE(CONTROL!$C$28, 0, 0)</f>
        <v>264.26178374728102</v>
      </c>
    </row>
    <row r="540" spans="1:5" ht="15">
      <c r="A540" s="13">
        <v>58318</v>
      </c>
      <c r="B540" s="4">
        <f>46.9664 * CHOOSE(CONTROL!$C$9, $C$13, 100%, $E$13) + CHOOSE(CONTROL!$C$28, 0.0255, 0)</f>
        <v>46.991900000000001</v>
      </c>
      <c r="C540" s="4">
        <f>46.6539 * CHOOSE(CONTROL!$C$9, $C$13, 100%, $E$13) + CHOOSE(CONTROL!$C$28, 0.0255, 0)</f>
        <v>46.679400000000001</v>
      </c>
      <c r="D540" s="4">
        <f>48.1718 * CHOOSE(CONTROL!$C$9, $C$13, 100%, $E$13) + CHOOSE(CONTROL!$C$28, 0, 0)</f>
        <v>48.171799999999998</v>
      </c>
      <c r="E540" s="4">
        <f>270.588764093124 * CHOOSE(CONTROL!$C$9, $C$13, 100%, $E$13) + CHOOSE(CONTROL!$C$28, 0, 0)</f>
        <v>270.58876409312398</v>
      </c>
    </row>
    <row r="541" spans="1:5" ht="15">
      <c r="A541" s="13">
        <v>58348</v>
      </c>
      <c r="B541" s="4">
        <f>45.1694 * CHOOSE(CONTROL!$C$9, $C$13, 100%, $E$13) + CHOOSE(CONTROL!$C$28, 0.0255, 0)</f>
        <v>45.194900000000004</v>
      </c>
      <c r="C541" s="4">
        <f>44.8569 * CHOOSE(CONTROL!$C$9, $C$13, 100%, $E$13) + CHOOSE(CONTROL!$C$28, 0.0255, 0)</f>
        <v>44.882400000000004</v>
      </c>
      <c r="D541" s="4">
        <f>47.9277 * CHOOSE(CONTROL!$C$9, $C$13, 100%, $E$13) + CHOOSE(CONTROL!$C$28, 0, 0)</f>
        <v>47.927700000000002</v>
      </c>
      <c r="E541" s="4">
        <f>259.805571676456 * CHOOSE(CONTROL!$C$9, $C$13, 100%, $E$13) + CHOOSE(CONTROL!$C$28, 0, 0)</f>
        <v>259.805571676456</v>
      </c>
    </row>
    <row r="542" spans="1:5" ht="15">
      <c r="A542" s="13">
        <v>58379</v>
      </c>
      <c r="B542" s="4">
        <f>43.731 * CHOOSE(CONTROL!$C$9, $C$13, 100%, $E$13) + CHOOSE(CONTROL!$C$28, 0.0003, 0)</f>
        <v>43.731300000000005</v>
      </c>
      <c r="C542" s="4">
        <f>43.4185 * CHOOSE(CONTROL!$C$9, $C$13, 100%, $E$13) + CHOOSE(CONTROL!$C$28, 0.0003, 0)</f>
        <v>43.418800000000005</v>
      </c>
      <c r="D542" s="4">
        <f>47.2742 * CHOOSE(CONTROL!$C$9, $C$13, 100%, $E$13) + CHOOSE(CONTROL!$C$28, 0, 0)</f>
        <v>47.2742</v>
      </c>
      <c r="E542" s="4">
        <f>251.173412444918 * CHOOSE(CONTROL!$C$9, $C$13, 100%, $E$13) + CHOOSE(CONTROL!$C$28, 0, 0)</f>
        <v>251.173412444918</v>
      </c>
    </row>
    <row r="543" spans="1:5" ht="15">
      <c r="A543" s="13">
        <v>58409</v>
      </c>
      <c r="B543" s="4">
        <f>42.8045 * CHOOSE(CONTROL!$C$9, $C$13, 100%, $E$13) + CHOOSE(CONTROL!$C$28, 0.0003, 0)</f>
        <v>42.8048</v>
      </c>
      <c r="C543" s="4">
        <f>42.492 * CHOOSE(CONTROL!$C$9, $C$13, 100%, $E$13) + CHOOSE(CONTROL!$C$28, 0.0003, 0)</f>
        <v>42.4923</v>
      </c>
      <c r="D543" s="4">
        <f>47.0495 * CHOOSE(CONTROL!$C$9, $C$13, 100%, $E$13) + CHOOSE(CONTROL!$C$28, 0, 0)</f>
        <v>47.049500000000002</v>
      </c>
      <c r="E543" s="4">
        <f>245.613657290515 * CHOOSE(CONTROL!$C$9, $C$13, 100%, $E$13) + CHOOSE(CONTROL!$C$28, 0, 0)</f>
        <v>245.61365729051499</v>
      </c>
    </row>
    <row r="544" spans="1:5" ht="15">
      <c r="A544" s="13">
        <v>58440</v>
      </c>
      <c r="B544" s="4">
        <f>42.1635 * CHOOSE(CONTROL!$C$9, $C$13, 100%, $E$13) + CHOOSE(CONTROL!$C$28, 0.0003, 0)</f>
        <v>42.163800000000002</v>
      </c>
      <c r="C544" s="4">
        <f>41.851 * CHOOSE(CONTROL!$C$9, $C$13, 100%, $E$13) + CHOOSE(CONTROL!$C$28, 0.0003, 0)</f>
        <v>41.851300000000002</v>
      </c>
      <c r="D544" s="4">
        <f>45.3953 * CHOOSE(CONTROL!$C$9, $C$13, 100%, $E$13) + CHOOSE(CONTROL!$C$28, 0, 0)</f>
        <v>45.395299999999999</v>
      </c>
      <c r="E544" s="4">
        <f>241.767021399189 * CHOOSE(CONTROL!$C$9, $C$13, 100%, $E$13) + CHOOSE(CONTROL!$C$28, 0, 0)</f>
        <v>241.76702139918899</v>
      </c>
    </row>
    <row r="545" spans="1:5" ht="15">
      <c r="A545" s="13">
        <v>58471</v>
      </c>
      <c r="B545" s="4">
        <f>41.122 * CHOOSE(CONTROL!$C$9, $C$13, 100%, $E$13) + CHOOSE(CONTROL!$C$28, 0.0003, 0)</f>
        <v>41.122300000000003</v>
      </c>
      <c r="C545" s="4">
        <f>40.8095 * CHOOSE(CONTROL!$C$9, $C$13, 100%, $E$13) + CHOOSE(CONTROL!$C$28, 0.0003, 0)</f>
        <v>40.809800000000003</v>
      </c>
      <c r="D545" s="4">
        <f>43.875 * CHOOSE(CONTROL!$C$9, $C$13, 100%, $E$13) + CHOOSE(CONTROL!$C$28, 0, 0)</f>
        <v>43.875</v>
      </c>
      <c r="E545" s="4">
        <f>234.834064526286 * CHOOSE(CONTROL!$C$9, $C$13, 100%, $E$13) + CHOOSE(CONTROL!$C$28, 0, 0)</f>
        <v>234.834064526286</v>
      </c>
    </row>
    <row r="546" spans="1:5" ht="15">
      <c r="A546" s="13">
        <v>58499</v>
      </c>
      <c r="B546" s="4">
        <f>42.0538 * CHOOSE(CONTROL!$C$9, $C$13, 100%, $E$13) + CHOOSE(CONTROL!$C$28, 0.0003, 0)</f>
        <v>42.054100000000005</v>
      </c>
      <c r="C546" s="4">
        <f>41.7413 * CHOOSE(CONTROL!$C$9, $C$13, 100%, $E$13) + CHOOSE(CONTROL!$C$28, 0.0003, 0)</f>
        <v>41.741600000000005</v>
      </c>
      <c r="D546" s="4">
        <f>45.406 * CHOOSE(CONTROL!$C$9, $C$13, 100%, $E$13) + CHOOSE(CONTROL!$C$28, 0, 0)</f>
        <v>45.405999999999999</v>
      </c>
      <c r="E546" s="4">
        <f>240.409950677922 * CHOOSE(CONTROL!$C$9, $C$13, 100%, $E$13) + CHOOSE(CONTROL!$C$28, 0, 0)</f>
        <v>240.40995067792201</v>
      </c>
    </row>
    <row r="547" spans="1:5" ht="15">
      <c r="A547" s="13">
        <v>58531</v>
      </c>
      <c r="B547" s="4">
        <f>44.501 * CHOOSE(CONTROL!$C$9, $C$13, 100%, $E$13) + CHOOSE(CONTROL!$C$28, 0.0003, 0)</f>
        <v>44.501300000000001</v>
      </c>
      <c r="C547" s="4">
        <f>44.1885 * CHOOSE(CONTROL!$C$9, $C$13, 100%, $E$13) + CHOOSE(CONTROL!$C$28, 0.0003, 0)</f>
        <v>44.188800000000001</v>
      </c>
      <c r="D547" s="4">
        <f>47.8026 * CHOOSE(CONTROL!$C$9, $C$13, 100%, $E$13) + CHOOSE(CONTROL!$C$28, 0, 0)</f>
        <v>47.802599999999998</v>
      </c>
      <c r="E547" s="4">
        <f>255.052524032704 * CHOOSE(CONTROL!$C$9, $C$13, 100%, $E$13) + CHOOSE(CONTROL!$C$28, 0, 0)</f>
        <v>255.05252403270401</v>
      </c>
    </row>
    <row r="548" spans="1:5" ht="15">
      <c r="A548" s="13">
        <v>58561</v>
      </c>
      <c r="B548" s="4">
        <f>46.2397 * CHOOSE(CONTROL!$C$9, $C$13, 100%, $E$13) + CHOOSE(CONTROL!$C$28, 0.0003, 0)</f>
        <v>46.24</v>
      </c>
      <c r="C548" s="4">
        <f>45.9272 * CHOOSE(CONTROL!$C$9, $C$13, 100%, $E$13) + CHOOSE(CONTROL!$C$28, 0.0003, 0)</f>
        <v>45.927500000000002</v>
      </c>
      <c r="D548" s="4">
        <f>49.1832 * CHOOSE(CONTROL!$C$9, $C$13, 100%, $E$13) + CHOOSE(CONTROL!$C$28, 0, 0)</f>
        <v>49.183199999999999</v>
      </c>
      <c r="E548" s="4">
        <f>265.456267539224 * CHOOSE(CONTROL!$C$9, $C$13, 100%, $E$13) + CHOOSE(CONTROL!$C$28, 0, 0)</f>
        <v>265.45626753922397</v>
      </c>
    </row>
    <row r="549" spans="1:5" ht="15">
      <c r="A549" s="13">
        <v>58592</v>
      </c>
      <c r="B549" s="4">
        <f>47.3021 * CHOOSE(CONTROL!$C$9, $C$13, 100%, $E$13) + CHOOSE(CONTROL!$C$28, 0.0255, 0)</f>
        <v>47.327600000000004</v>
      </c>
      <c r="C549" s="4">
        <f>46.9896 * CHOOSE(CONTROL!$C$9, $C$13, 100%, $E$13) + CHOOSE(CONTROL!$C$28, 0.0255, 0)</f>
        <v>47.015100000000004</v>
      </c>
      <c r="D549" s="4">
        <f>48.6376 * CHOOSE(CONTROL!$C$9, $C$13, 100%, $E$13) + CHOOSE(CONTROL!$C$28, 0, 0)</f>
        <v>48.637599999999999</v>
      </c>
      <c r="E549" s="4">
        <f>271.812705478775 * CHOOSE(CONTROL!$C$9, $C$13, 100%, $E$13) + CHOOSE(CONTROL!$C$28, 0, 0)</f>
        <v>271.812705478775</v>
      </c>
    </row>
    <row r="550" spans="1:5" ht="15">
      <c r="A550" s="13">
        <v>58622</v>
      </c>
      <c r="B550" s="4">
        <f>47.4458 * CHOOSE(CONTROL!$C$9, $C$13, 100%, $E$13) + CHOOSE(CONTROL!$C$28, 0.0255, 0)</f>
        <v>47.471299999999999</v>
      </c>
      <c r="C550" s="4">
        <f>47.1333 * CHOOSE(CONTROL!$C$9, $C$13, 100%, $E$13) + CHOOSE(CONTROL!$C$28, 0.0255, 0)</f>
        <v>47.158799999999999</v>
      </c>
      <c r="D550" s="4">
        <f>49.0819 * CHOOSE(CONTROL!$C$9, $C$13, 100%, $E$13) + CHOOSE(CONTROL!$C$28, 0, 0)</f>
        <v>49.081899999999997</v>
      </c>
      <c r="E550" s="4">
        <f>272.672757911756 * CHOOSE(CONTROL!$C$9, $C$13, 100%, $E$13) + CHOOSE(CONTROL!$C$28, 0, 0)</f>
        <v>272.67275791175598</v>
      </c>
    </row>
    <row r="551" spans="1:5" ht="15">
      <c r="A551" s="13">
        <v>58653</v>
      </c>
      <c r="B551" s="4">
        <f>47.4313 * CHOOSE(CONTROL!$C$9, $C$13, 100%, $E$13) + CHOOSE(CONTROL!$C$28, 0.0255, 0)</f>
        <v>47.456800000000001</v>
      </c>
      <c r="C551" s="4">
        <f>47.1188 * CHOOSE(CONTROL!$C$9, $C$13, 100%, $E$13) + CHOOSE(CONTROL!$C$28, 0.0255, 0)</f>
        <v>47.144300000000001</v>
      </c>
      <c r="D551" s="4">
        <f>49.8836 * CHOOSE(CONTROL!$C$9, $C$13, 100%, $E$13) + CHOOSE(CONTROL!$C$28, 0, 0)</f>
        <v>49.883600000000001</v>
      </c>
      <c r="E551" s="4">
        <f>272.586029935321 * CHOOSE(CONTROL!$C$9, $C$13, 100%, $E$13) + CHOOSE(CONTROL!$C$28, 0, 0)</f>
        <v>272.58602993532099</v>
      </c>
    </row>
    <row r="552" spans="1:5" ht="15">
      <c r="A552" s="13">
        <v>58684</v>
      </c>
      <c r="B552" s="4">
        <f>48.522 * CHOOSE(CONTROL!$C$9, $C$13, 100%, $E$13) + CHOOSE(CONTROL!$C$28, 0.0255, 0)</f>
        <v>48.547499999999999</v>
      </c>
      <c r="C552" s="4">
        <f>48.2095 * CHOOSE(CONTROL!$C$9, $C$13, 100%, $E$13) + CHOOSE(CONTROL!$C$28, 0.0255, 0)</f>
        <v>48.234999999999999</v>
      </c>
      <c r="D552" s="4">
        <f>49.3542 * CHOOSE(CONTROL!$C$9, $C$13, 100%, $E$13) + CHOOSE(CONTROL!$C$28, 0, 0)</f>
        <v>49.354199999999999</v>
      </c>
      <c r="E552" s="4">
        <f>279.112310162057 * CHOOSE(CONTROL!$C$9, $C$13, 100%, $E$13) + CHOOSE(CONTROL!$C$28, 0, 0)</f>
        <v>279.11231016205699</v>
      </c>
    </row>
    <row r="553" spans="1:5" ht="15">
      <c r="A553" s="13">
        <v>58714</v>
      </c>
      <c r="B553" s="4">
        <f>46.6631 * CHOOSE(CONTROL!$C$9, $C$13, 100%, $E$13) + CHOOSE(CONTROL!$C$28, 0.0255, 0)</f>
        <v>46.688600000000001</v>
      </c>
      <c r="C553" s="4">
        <f>46.3506 * CHOOSE(CONTROL!$C$9, $C$13, 100%, $E$13) + CHOOSE(CONTROL!$C$28, 0.0255, 0)</f>
        <v>46.376100000000001</v>
      </c>
      <c r="D553" s="4">
        <f>49.104 * CHOOSE(CONTROL!$C$9, $C$13, 100%, $E$13) + CHOOSE(CONTROL!$C$28, 0, 0)</f>
        <v>49.103999999999999</v>
      </c>
      <c r="E553" s="4">
        <f>267.989447184264 * CHOOSE(CONTROL!$C$9, $C$13, 100%, $E$13) + CHOOSE(CONTROL!$C$28, 0, 0)</f>
        <v>267.98944718426401</v>
      </c>
    </row>
    <row r="554" spans="1:5" ht="15">
      <c r="A554" s="13">
        <v>58745</v>
      </c>
      <c r="B554" s="4">
        <f>45.175 * CHOOSE(CONTROL!$C$9, $C$13, 100%, $E$13) + CHOOSE(CONTROL!$C$28, 0.0003, 0)</f>
        <v>45.1753</v>
      </c>
      <c r="C554" s="4">
        <f>44.8625 * CHOOSE(CONTROL!$C$9, $C$13, 100%, $E$13) + CHOOSE(CONTROL!$C$28, 0.0003, 0)</f>
        <v>44.8628</v>
      </c>
      <c r="D554" s="4">
        <f>48.4343 * CHOOSE(CONTROL!$C$9, $C$13, 100%, $E$13) + CHOOSE(CONTROL!$C$28, 0, 0)</f>
        <v>48.4343</v>
      </c>
      <c r="E554" s="4">
        <f>259.085374936933 * CHOOSE(CONTROL!$C$9, $C$13, 100%, $E$13) + CHOOSE(CONTROL!$C$28, 0, 0)</f>
        <v>259.08537493693302</v>
      </c>
    </row>
    <row r="555" spans="1:5" ht="15">
      <c r="A555" s="13">
        <v>58775</v>
      </c>
      <c r="B555" s="4">
        <f>44.2165 * CHOOSE(CONTROL!$C$9, $C$13, 100%, $E$13) + CHOOSE(CONTROL!$C$28, 0.0003, 0)</f>
        <v>44.216800000000006</v>
      </c>
      <c r="C555" s="4">
        <f>43.904 * CHOOSE(CONTROL!$C$9, $C$13, 100%, $E$13) + CHOOSE(CONTROL!$C$28, 0.0003, 0)</f>
        <v>43.904300000000006</v>
      </c>
      <c r="D555" s="4">
        <f>48.204 * CHOOSE(CONTROL!$C$9, $C$13, 100%, $E$13) + CHOOSE(CONTROL!$C$28, 0, 0)</f>
        <v>48.204000000000001</v>
      </c>
      <c r="E555" s="4">
        <f>253.350487495167 * CHOOSE(CONTROL!$C$9, $C$13, 100%, $E$13) + CHOOSE(CONTROL!$C$28, 0, 0)</f>
        <v>253.35048749516699</v>
      </c>
    </row>
    <row r="556" spans="1:5" ht="15">
      <c r="A556" s="13">
        <v>58806</v>
      </c>
      <c r="B556" s="4">
        <f>43.5534 * CHOOSE(CONTROL!$C$9, $C$13, 100%, $E$13) + CHOOSE(CONTROL!$C$28, 0.0003, 0)</f>
        <v>43.553700000000006</v>
      </c>
      <c r="C556" s="4">
        <f>43.2409 * CHOOSE(CONTROL!$C$9, $C$13, 100%, $E$13) + CHOOSE(CONTROL!$C$28, 0.0003, 0)</f>
        <v>43.241200000000006</v>
      </c>
      <c r="D556" s="4">
        <f>46.5088 * CHOOSE(CONTROL!$C$9, $C$13, 100%, $E$13) + CHOOSE(CONTROL!$C$28, 0, 0)</f>
        <v>46.508800000000001</v>
      </c>
      <c r="E556" s="4">
        <f>249.382682573264 * CHOOSE(CONTROL!$C$9, $C$13, 100%, $E$13) + CHOOSE(CONTROL!$C$28, 0, 0)</f>
        <v>249.38268257326399</v>
      </c>
    </row>
    <row r="557" spans="1:5" ht="15">
      <c r="A557" s="13">
        <v>58837</v>
      </c>
      <c r="B557" s="4">
        <f>42.476 * CHOOSE(CONTROL!$C$9, $C$13, 100%, $E$13) + CHOOSE(CONTROL!$C$28, 0.0003, 0)</f>
        <v>42.476300000000002</v>
      </c>
      <c r="C557" s="4">
        <f>42.1635 * CHOOSE(CONTROL!$C$9, $C$13, 100%, $E$13) + CHOOSE(CONTROL!$C$28, 0.0003, 0)</f>
        <v>42.163800000000002</v>
      </c>
      <c r="D557" s="4">
        <f>44.9508 * CHOOSE(CONTROL!$C$9, $C$13, 100%, $E$13) + CHOOSE(CONTROL!$C$28, 0, 0)</f>
        <v>44.950800000000001</v>
      </c>
      <c r="E557" s="4">
        <f>242.231337558864 * CHOOSE(CONTROL!$C$9, $C$13, 100%, $E$13) + CHOOSE(CONTROL!$C$28, 0, 0)</f>
        <v>242.231337558864</v>
      </c>
    </row>
    <row r="558" spans="1:5" ht="15">
      <c r="A558" s="13">
        <v>58865</v>
      </c>
      <c r="B558" s="4">
        <f>43.44 * CHOOSE(CONTROL!$C$9, $C$13, 100%, $E$13) + CHOOSE(CONTROL!$C$28, 0.0003, 0)</f>
        <v>43.440300000000001</v>
      </c>
      <c r="C558" s="4">
        <f>43.1275 * CHOOSE(CONTROL!$C$9, $C$13, 100%, $E$13) + CHOOSE(CONTROL!$C$28, 0.0003, 0)</f>
        <v>43.127800000000001</v>
      </c>
      <c r="D558" s="4">
        <f>46.5197 * CHOOSE(CONTROL!$C$9, $C$13, 100%, $E$13) + CHOOSE(CONTROL!$C$28, 0, 0)</f>
        <v>46.5197</v>
      </c>
      <c r="E558" s="4">
        <f>247.982864124277 * CHOOSE(CONTROL!$C$9, $C$13, 100%, $E$13) + CHOOSE(CONTROL!$C$28, 0, 0)</f>
        <v>247.982864124277</v>
      </c>
    </row>
    <row r="559" spans="1:5" ht="15">
      <c r="A559" s="13">
        <v>58893</v>
      </c>
      <c r="B559" s="4">
        <f>45.9716 * CHOOSE(CONTROL!$C$9, $C$13, 100%, $E$13) + CHOOSE(CONTROL!$C$28, 0.0003, 0)</f>
        <v>45.971900000000005</v>
      </c>
      <c r="C559" s="4">
        <f>45.6591 * CHOOSE(CONTROL!$C$9, $C$13, 100%, $E$13) + CHOOSE(CONTROL!$C$28, 0.0003, 0)</f>
        <v>45.659400000000005</v>
      </c>
      <c r="D559" s="4">
        <f>48.9758 * CHOOSE(CONTROL!$C$9, $C$13, 100%, $E$13) + CHOOSE(CONTROL!$C$28, 0, 0)</f>
        <v>48.9758</v>
      </c>
      <c r="E559" s="4">
        <f>263.086678539734 * CHOOSE(CONTROL!$C$9, $C$13, 100%, $E$13) + CHOOSE(CONTROL!$C$28, 0, 0)</f>
        <v>263.08667853973401</v>
      </c>
    </row>
    <row r="560" spans="1:5" ht="15">
      <c r="A560" s="13">
        <v>58926</v>
      </c>
      <c r="B560" s="4">
        <f>47.7703 * CHOOSE(CONTROL!$C$9, $C$13, 100%, $E$13) + CHOOSE(CONTROL!$C$28, 0.0003, 0)</f>
        <v>47.770600000000002</v>
      </c>
      <c r="C560" s="4">
        <f>47.4578 * CHOOSE(CONTROL!$C$9, $C$13, 100%, $E$13) + CHOOSE(CONTROL!$C$28, 0.0003, 0)</f>
        <v>47.458100000000002</v>
      </c>
      <c r="D560" s="4">
        <f>50.3906 * CHOOSE(CONTROL!$C$9, $C$13, 100%, $E$13) + CHOOSE(CONTROL!$C$28, 0, 0)</f>
        <v>50.390599999999999</v>
      </c>
      <c r="E560" s="4">
        <f>273.818139966709 * CHOOSE(CONTROL!$C$9, $C$13, 100%, $E$13) + CHOOSE(CONTROL!$C$28, 0, 0)</f>
        <v>273.818139966709</v>
      </c>
    </row>
    <row r="561" spans="1:5" ht="15">
      <c r="A561" s="13">
        <v>58957</v>
      </c>
      <c r="B561" s="4">
        <f>48.8693 * CHOOSE(CONTROL!$C$9, $C$13, 100%, $E$13) + CHOOSE(CONTROL!$C$28, 0.0255, 0)</f>
        <v>48.894800000000004</v>
      </c>
      <c r="C561" s="4">
        <f>48.5568 * CHOOSE(CONTROL!$C$9, $C$13, 100%, $E$13) + CHOOSE(CONTROL!$C$28, 0.0255, 0)</f>
        <v>48.582300000000004</v>
      </c>
      <c r="D561" s="4">
        <f>49.8315 * CHOOSE(CONTROL!$C$9, $C$13, 100%, $E$13) + CHOOSE(CONTROL!$C$28, 0, 0)</f>
        <v>49.831499999999998</v>
      </c>
      <c r="E561" s="4">
        <f>280.374805701357 * CHOOSE(CONTROL!$C$9, $C$13, 100%, $E$13) + CHOOSE(CONTROL!$C$28, 0, 0)</f>
        <v>280.37480570135699</v>
      </c>
    </row>
    <row r="562" spans="1:5" ht="15">
      <c r="A562" s="13">
        <v>58987</v>
      </c>
      <c r="B562" s="4">
        <f>49.018 * CHOOSE(CONTROL!$C$9, $C$13, 100%, $E$13) + CHOOSE(CONTROL!$C$28, 0.0255, 0)</f>
        <v>49.043500000000002</v>
      </c>
      <c r="C562" s="4">
        <f>48.7055 * CHOOSE(CONTROL!$C$9, $C$13, 100%, $E$13) + CHOOSE(CONTROL!$C$28, 0.0255, 0)</f>
        <v>48.731000000000002</v>
      </c>
      <c r="D562" s="4">
        <f>50.2868 * CHOOSE(CONTROL!$C$9, $C$13, 100%, $E$13) + CHOOSE(CONTROL!$C$28, 0, 0)</f>
        <v>50.286799999999999</v>
      </c>
      <c r="E562" s="4">
        <f>281.261949785976 * CHOOSE(CONTROL!$C$9, $C$13, 100%, $E$13) + CHOOSE(CONTROL!$C$28, 0, 0)</f>
        <v>281.26194978597601</v>
      </c>
    </row>
    <row r="563" spans="1:5" ht="15">
      <c r="A563" s="13">
        <v>59018</v>
      </c>
      <c r="B563" s="4">
        <f>49.003 * CHOOSE(CONTROL!$C$9, $C$13, 100%, $E$13) + CHOOSE(CONTROL!$C$28, 0.0255, 0)</f>
        <v>49.028500000000001</v>
      </c>
      <c r="C563" s="4">
        <f>48.6905 * CHOOSE(CONTROL!$C$9, $C$13, 100%, $E$13) + CHOOSE(CONTROL!$C$28, 0.0255, 0)</f>
        <v>48.716000000000001</v>
      </c>
      <c r="D563" s="4">
        <f>51.1084 * CHOOSE(CONTROL!$C$9, $C$13, 100%, $E$13) + CHOOSE(CONTROL!$C$28, 0, 0)</f>
        <v>51.108400000000003</v>
      </c>
      <c r="E563" s="4">
        <f>281.172489878283 * CHOOSE(CONTROL!$C$9, $C$13, 100%, $E$13) + CHOOSE(CONTROL!$C$28, 0, 0)</f>
        <v>281.17248987828299</v>
      </c>
    </row>
    <row r="564" spans="1:5" ht="15">
      <c r="A564" s="13">
        <v>59049</v>
      </c>
      <c r="B564" s="4">
        <f>50.1313 * CHOOSE(CONTROL!$C$9, $C$13, 100%, $E$13) + CHOOSE(CONTROL!$C$28, 0.0255, 0)</f>
        <v>50.156800000000004</v>
      </c>
      <c r="C564" s="4">
        <f>49.8188 * CHOOSE(CONTROL!$C$9, $C$13, 100%, $E$13) + CHOOSE(CONTROL!$C$28, 0.0255, 0)</f>
        <v>49.844300000000004</v>
      </c>
      <c r="D564" s="4">
        <f>50.5658 * CHOOSE(CONTROL!$C$9, $C$13, 100%, $E$13) + CHOOSE(CONTROL!$C$28, 0, 0)</f>
        <v>50.565800000000003</v>
      </c>
      <c r="E564" s="4">
        <f>287.904347932162 * CHOOSE(CONTROL!$C$9, $C$13, 100%, $E$13) + CHOOSE(CONTROL!$C$28, 0, 0)</f>
        <v>287.90434793216201</v>
      </c>
    </row>
    <row r="565" spans="1:5" ht="15">
      <c r="A565" s="13">
        <v>59079</v>
      </c>
      <c r="B565" s="4">
        <f>48.2083 * CHOOSE(CONTROL!$C$9, $C$13, 100%, $E$13) + CHOOSE(CONTROL!$C$28, 0.0255, 0)</f>
        <v>48.233800000000002</v>
      </c>
      <c r="C565" s="4">
        <f>47.8958 * CHOOSE(CONTROL!$C$9, $C$13, 100%, $E$13) + CHOOSE(CONTROL!$C$28, 0.0255, 0)</f>
        <v>47.921300000000002</v>
      </c>
      <c r="D565" s="4">
        <f>50.3095 * CHOOSE(CONTROL!$C$9, $C$13, 100%, $E$13) + CHOOSE(CONTROL!$C$28, 0, 0)</f>
        <v>50.3095</v>
      </c>
      <c r="E565" s="4">
        <f>276.431114770568 * CHOOSE(CONTROL!$C$9, $C$13, 100%, $E$13) + CHOOSE(CONTROL!$C$28, 0, 0)</f>
        <v>276.431114770568</v>
      </c>
    </row>
    <row r="566" spans="1:5" ht="15">
      <c r="A566" s="13">
        <v>59110</v>
      </c>
      <c r="B566" s="4">
        <f>46.6688 * CHOOSE(CONTROL!$C$9, $C$13, 100%, $E$13) + CHOOSE(CONTROL!$C$28, 0.0003, 0)</f>
        <v>46.6691</v>
      </c>
      <c r="C566" s="4">
        <f>46.3563 * CHOOSE(CONTROL!$C$9, $C$13, 100%, $E$13) + CHOOSE(CONTROL!$C$28, 0.0003, 0)</f>
        <v>46.3566</v>
      </c>
      <c r="D566" s="4">
        <f>49.6231 * CHOOSE(CONTROL!$C$9, $C$13, 100%, $E$13) + CHOOSE(CONTROL!$C$28, 0, 0)</f>
        <v>49.623100000000001</v>
      </c>
      <c r="E566" s="4">
        <f>267.246564247447 * CHOOSE(CONTROL!$C$9, $C$13, 100%, $E$13) + CHOOSE(CONTROL!$C$28, 0, 0)</f>
        <v>267.246564247447</v>
      </c>
    </row>
    <row r="567" spans="1:5" ht="15">
      <c r="A567" s="13">
        <v>59140</v>
      </c>
      <c r="B567" s="4">
        <f>45.6773 * CHOOSE(CONTROL!$C$9, $C$13, 100%, $E$13) + CHOOSE(CONTROL!$C$28, 0.0003, 0)</f>
        <v>45.677600000000005</v>
      </c>
      <c r="C567" s="4">
        <f>45.3648 * CHOOSE(CONTROL!$C$9, $C$13, 100%, $E$13) + CHOOSE(CONTROL!$C$28, 0.0003, 0)</f>
        <v>45.365100000000005</v>
      </c>
      <c r="D567" s="4">
        <f>49.3871 * CHOOSE(CONTROL!$C$9, $C$13, 100%, $E$13) + CHOOSE(CONTROL!$C$28, 0, 0)</f>
        <v>49.387099999999997</v>
      </c>
      <c r="E567" s="4">
        <f>261.331027851264 * CHOOSE(CONTROL!$C$9, $C$13, 100%, $E$13) + CHOOSE(CONTROL!$C$28, 0, 0)</f>
        <v>261.33102785126403</v>
      </c>
    </row>
    <row r="568" spans="1:5" ht="15">
      <c r="A568" s="13">
        <v>59171</v>
      </c>
      <c r="B568" s="4">
        <f>44.9913 * CHOOSE(CONTROL!$C$9, $C$13, 100%, $E$13) + CHOOSE(CONTROL!$C$28, 0.0003, 0)</f>
        <v>44.991600000000005</v>
      </c>
      <c r="C568" s="4">
        <f>44.6788 * CHOOSE(CONTROL!$C$9, $C$13, 100%, $E$13) + CHOOSE(CONTROL!$C$28, 0.0003, 0)</f>
        <v>44.679100000000005</v>
      </c>
      <c r="D568" s="4">
        <f>47.6499 * CHOOSE(CONTROL!$C$9, $C$13, 100%, $E$13) + CHOOSE(CONTROL!$C$28, 0, 0)</f>
        <v>47.649900000000002</v>
      </c>
      <c r="E568" s="4">
        <f>257.238237074321 * CHOOSE(CONTROL!$C$9, $C$13, 100%, $E$13) + CHOOSE(CONTROL!$C$28, 0, 0)</f>
        <v>257.23823707432098</v>
      </c>
    </row>
    <row r="569" spans="1:5" ht="15">
      <c r="A569" s="13">
        <v>59202</v>
      </c>
      <c r="B569" s="4">
        <f>43.8767 * CHOOSE(CONTROL!$C$9, $C$13, 100%, $E$13) + CHOOSE(CONTROL!$C$28, 0.0003, 0)</f>
        <v>43.877000000000002</v>
      </c>
      <c r="C569" s="4">
        <f>43.5642 * CHOOSE(CONTROL!$C$9, $C$13, 100%, $E$13) + CHOOSE(CONTROL!$C$28, 0.0003, 0)</f>
        <v>43.564500000000002</v>
      </c>
      <c r="D569" s="4">
        <f>46.0532 * CHOOSE(CONTROL!$C$9, $C$13, 100%, $E$13) + CHOOSE(CONTROL!$C$28, 0, 0)</f>
        <v>46.053199999999997</v>
      </c>
      <c r="E569" s="4">
        <f>249.861624691968 * CHOOSE(CONTROL!$C$9, $C$13, 100%, $E$13) + CHOOSE(CONTROL!$C$28, 0, 0)</f>
        <v>249.86162469196799</v>
      </c>
    </row>
    <row r="570" spans="1:5" ht="15">
      <c r="A570" s="13">
        <v>59230</v>
      </c>
      <c r="B570" s="4">
        <f>44.874 * CHOOSE(CONTROL!$C$9, $C$13, 100%, $E$13) + CHOOSE(CONTROL!$C$28, 0.0003, 0)</f>
        <v>44.874300000000005</v>
      </c>
      <c r="C570" s="4">
        <f>44.5615 * CHOOSE(CONTROL!$C$9, $C$13, 100%, $E$13) + CHOOSE(CONTROL!$C$28, 0.0003, 0)</f>
        <v>44.561800000000005</v>
      </c>
      <c r="D570" s="4">
        <f>47.6611 * CHOOSE(CONTROL!$C$9, $C$13, 100%, $E$13) + CHOOSE(CONTROL!$C$28, 0, 0)</f>
        <v>47.661099999999998</v>
      </c>
      <c r="E570" s="4">
        <f>255.794324344191 * CHOOSE(CONTROL!$C$9, $C$13, 100%, $E$13) + CHOOSE(CONTROL!$C$28, 0, 0)</f>
        <v>255.79432434419101</v>
      </c>
    </row>
    <row r="571" spans="1:5" ht="15">
      <c r="A571" s="13">
        <v>59261</v>
      </c>
      <c r="B571" s="4">
        <f>47.4929 * CHOOSE(CONTROL!$C$9, $C$13, 100%, $E$13) + CHOOSE(CONTROL!$C$28, 0.0003, 0)</f>
        <v>47.493200000000002</v>
      </c>
      <c r="C571" s="4">
        <f>47.1804 * CHOOSE(CONTROL!$C$9, $C$13, 100%, $E$13) + CHOOSE(CONTROL!$C$28, 0.0003, 0)</f>
        <v>47.180700000000002</v>
      </c>
      <c r="D571" s="4">
        <f>50.1781 * CHOOSE(CONTROL!$C$9, $C$13, 100%, $E$13) + CHOOSE(CONTROL!$C$28, 0, 0)</f>
        <v>50.178100000000001</v>
      </c>
      <c r="E571" s="4">
        <f>271.373908913736 * CHOOSE(CONTROL!$C$9, $C$13, 100%, $E$13) + CHOOSE(CONTROL!$C$28, 0, 0)</f>
        <v>271.37390891373599</v>
      </c>
    </row>
    <row r="572" spans="1:5" ht="15">
      <c r="A572" s="13">
        <v>59291</v>
      </c>
      <c r="B572" s="4">
        <f>49.3537 * CHOOSE(CONTROL!$C$9, $C$13, 100%, $E$13) + CHOOSE(CONTROL!$C$28, 0.0003, 0)</f>
        <v>49.354000000000006</v>
      </c>
      <c r="C572" s="4">
        <f>49.0412 * CHOOSE(CONTROL!$C$9, $C$13, 100%, $E$13) + CHOOSE(CONTROL!$C$28, 0.0003, 0)</f>
        <v>49.041500000000006</v>
      </c>
      <c r="D572" s="4">
        <f>51.6279 * CHOOSE(CONTROL!$C$9, $C$13, 100%, $E$13) + CHOOSE(CONTROL!$C$28, 0, 0)</f>
        <v>51.627899999999997</v>
      </c>
      <c r="E572" s="4">
        <f>282.443411375661 * CHOOSE(CONTROL!$C$9, $C$13, 100%, $E$13) + CHOOSE(CONTROL!$C$28, 0, 0)</f>
        <v>282.44341137566101</v>
      </c>
    </row>
    <row r="573" spans="1:5" ht="15">
      <c r="A573" s="13">
        <v>59322</v>
      </c>
      <c r="B573" s="4">
        <f>50.4906 * CHOOSE(CONTROL!$C$9, $C$13, 100%, $E$13) + CHOOSE(CONTROL!$C$28, 0.0255, 0)</f>
        <v>50.516100000000002</v>
      </c>
      <c r="C573" s="4">
        <f>50.1781 * CHOOSE(CONTROL!$C$9, $C$13, 100%, $E$13) + CHOOSE(CONTROL!$C$28, 0.0255, 0)</f>
        <v>50.203600000000002</v>
      </c>
      <c r="D573" s="4">
        <f>51.055 * CHOOSE(CONTROL!$C$9, $C$13, 100%, $E$13) + CHOOSE(CONTROL!$C$28, 0, 0)</f>
        <v>51.055</v>
      </c>
      <c r="E573" s="4">
        <f>289.206612080949 * CHOOSE(CONTROL!$C$9, $C$13, 100%, $E$13) + CHOOSE(CONTROL!$C$28, 0, 0)</f>
        <v>289.20661208094901</v>
      </c>
    </row>
    <row r="574" spans="1:5" ht="15">
      <c r="A574" s="13">
        <v>59352</v>
      </c>
      <c r="B574" s="4">
        <f>50.6444 * CHOOSE(CONTROL!$C$9, $C$13, 100%, $E$13) + CHOOSE(CONTROL!$C$28, 0.0255, 0)</f>
        <v>50.669899999999998</v>
      </c>
      <c r="C574" s="4">
        <f>50.3319 * CHOOSE(CONTROL!$C$9, $C$13, 100%, $E$13) + CHOOSE(CONTROL!$C$28, 0.0255, 0)</f>
        <v>50.357399999999998</v>
      </c>
      <c r="D574" s="4">
        <f>51.5216 * CHOOSE(CONTROL!$C$9, $C$13, 100%, $E$13) + CHOOSE(CONTROL!$C$28, 0, 0)</f>
        <v>51.521599999999999</v>
      </c>
      <c r="E574" s="4">
        <f>290.121701204234 * CHOOSE(CONTROL!$C$9, $C$13, 100%, $E$13) + CHOOSE(CONTROL!$C$28, 0, 0)</f>
        <v>290.121701204234</v>
      </c>
    </row>
    <row r="575" spans="1:5" ht="15">
      <c r="A575" s="13">
        <v>59383</v>
      </c>
      <c r="B575" s="4">
        <f>50.6289 * CHOOSE(CONTROL!$C$9, $C$13, 100%, $E$13) + CHOOSE(CONTROL!$C$28, 0.0255, 0)</f>
        <v>50.654400000000003</v>
      </c>
      <c r="C575" s="4">
        <f>50.3164 * CHOOSE(CONTROL!$C$9, $C$13, 100%, $E$13) + CHOOSE(CONTROL!$C$28, 0.0255, 0)</f>
        <v>50.341900000000003</v>
      </c>
      <c r="D575" s="4">
        <f>52.3635 * CHOOSE(CONTROL!$C$9, $C$13, 100%, $E$13) + CHOOSE(CONTROL!$C$28, 0, 0)</f>
        <v>52.363500000000002</v>
      </c>
      <c r="E575" s="4">
        <f>290.029423309449 * CHOOSE(CONTROL!$C$9, $C$13, 100%, $E$13) + CHOOSE(CONTROL!$C$28, 0, 0)</f>
        <v>290.02942330944899</v>
      </c>
    </row>
    <row r="576" spans="1:5" ht="15">
      <c r="A576" s="13">
        <v>59414</v>
      </c>
      <c r="B576" s="4">
        <f>51.7962 * CHOOSE(CONTROL!$C$9, $C$13, 100%, $E$13) + CHOOSE(CONTROL!$C$28, 0.0255, 0)</f>
        <v>51.8217</v>
      </c>
      <c r="C576" s="4">
        <f>51.4837 * CHOOSE(CONTROL!$C$9, $C$13, 100%, $E$13) + CHOOSE(CONTROL!$C$28, 0.0255, 0)</f>
        <v>51.5092</v>
      </c>
      <c r="D576" s="4">
        <f>51.8075 * CHOOSE(CONTROL!$C$9, $C$13, 100%, $E$13) + CHOOSE(CONTROL!$C$28, 0, 0)</f>
        <v>51.807499999999997</v>
      </c>
      <c r="E576" s="4">
        <f>296.973334892025 * CHOOSE(CONTROL!$C$9, $C$13, 100%, $E$13) + CHOOSE(CONTROL!$C$28, 0, 0)</f>
        <v>296.97333489202498</v>
      </c>
    </row>
    <row r="577" spans="1:5" ht="15">
      <c r="A577" s="13">
        <v>59444</v>
      </c>
      <c r="B577" s="4">
        <f>49.8068 * CHOOSE(CONTROL!$C$9, $C$13, 100%, $E$13) + CHOOSE(CONTROL!$C$28, 0.0255, 0)</f>
        <v>49.832300000000004</v>
      </c>
      <c r="C577" s="4">
        <f>49.4943 * CHOOSE(CONTROL!$C$9, $C$13, 100%, $E$13) + CHOOSE(CONTROL!$C$28, 0.0255, 0)</f>
        <v>49.519800000000004</v>
      </c>
      <c r="D577" s="4">
        <f>51.5448 * CHOOSE(CONTROL!$C$9, $C$13, 100%, $E$13) + CHOOSE(CONTROL!$C$28, 0, 0)</f>
        <v>51.544800000000002</v>
      </c>
      <c r="E577" s="4">
        <f>285.138694885841 * CHOOSE(CONTROL!$C$9, $C$13, 100%, $E$13) + CHOOSE(CONTROL!$C$28, 0, 0)</f>
        <v>285.13869488584101</v>
      </c>
    </row>
    <row r="578" spans="1:5" ht="15">
      <c r="A578" s="13">
        <v>59475</v>
      </c>
      <c r="B578" s="4">
        <f>48.2142 * CHOOSE(CONTROL!$C$9, $C$13, 100%, $E$13) + CHOOSE(CONTROL!$C$28, 0.0003, 0)</f>
        <v>48.214500000000001</v>
      </c>
      <c r="C578" s="4">
        <f>47.9017 * CHOOSE(CONTROL!$C$9, $C$13, 100%, $E$13) + CHOOSE(CONTROL!$C$28, 0.0003, 0)</f>
        <v>47.902000000000001</v>
      </c>
      <c r="D578" s="4">
        <f>50.8414 * CHOOSE(CONTROL!$C$9, $C$13, 100%, $E$13) + CHOOSE(CONTROL!$C$28, 0, 0)</f>
        <v>50.8414</v>
      </c>
      <c r="E578" s="4">
        <f>275.664831021241 * CHOOSE(CONTROL!$C$9, $C$13, 100%, $E$13) + CHOOSE(CONTROL!$C$28, 0, 0)</f>
        <v>275.66483102124101</v>
      </c>
    </row>
    <row r="579" spans="1:5" ht="15">
      <c r="A579" s="13">
        <v>59505</v>
      </c>
      <c r="B579" s="4">
        <f>47.1885 * CHOOSE(CONTROL!$C$9, $C$13, 100%, $E$13) + CHOOSE(CONTROL!$C$28, 0.0003, 0)</f>
        <v>47.188800000000001</v>
      </c>
      <c r="C579" s="4">
        <f>46.876 * CHOOSE(CONTROL!$C$9, $C$13, 100%, $E$13) + CHOOSE(CONTROL!$C$28, 0.0003, 0)</f>
        <v>46.876300000000001</v>
      </c>
      <c r="D579" s="4">
        <f>50.5996 * CHOOSE(CONTROL!$C$9, $C$13, 100%, $E$13) + CHOOSE(CONTROL!$C$28, 0, 0)</f>
        <v>50.599600000000002</v>
      </c>
      <c r="E579" s="4">
        <f>269.562955228579 * CHOOSE(CONTROL!$C$9, $C$13, 100%, $E$13) + CHOOSE(CONTROL!$C$28, 0, 0)</f>
        <v>269.56295522857903</v>
      </c>
    </row>
    <row r="580" spans="1:5" ht="15">
      <c r="A580" s="13">
        <v>59536</v>
      </c>
      <c r="B580" s="4">
        <f>46.4788 * CHOOSE(CONTROL!$C$9, $C$13, 100%, $E$13) + CHOOSE(CONTROL!$C$28, 0.0003, 0)</f>
        <v>46.479100000000003</v>
      </c>
      <c r="C580" s="4">
        <f>46.1663 * CHOOSE(CONTROL!$C$9, $C$13, 100%, $E$13) + CHOOSE(CONTROL!$C$28, 0.0003, 0)</f>
        <v>46.166600000000003</v>
      </c>
      <c r="D580" s="4">
        <f>48.8193 * CHOOSE(CONTROL!$C$9, $C$13, 100%, $E$13) + CHOOSE(CONTROL!$C$28, 0, 0)</f>
        <v>48.819299999999998</v>
      </c>
      <c r="E580" s="4">
        <f>265.341241542163 * CHOOSE(CONTROL!$C$9, $C$13, 100%, $E$13) + CHOOSE(CONTROL!$C$28, 0, 0)</f>
        <v>265.341241542163</v>
      </c>
    </row>
    <row r="581" spans="1:5" ht="15">
      <c r="A581" s="13">
        <v>59567</v>
      </c>
      <c r="B581" s="4">
        <f>45.3258 * CHOOSE(CONTROL!$C$9, $C$13, 100%, $E$13) + CHOOSE(CONTROL!$C$28, 0.0003, 0)</f>
        <v>45.326100000000004</v>
      </c>
      <c r="C581" s="4">
        <f>45.0133 * CHOOSE(CONTROL!$C$9, $C$13, 100%, $E$13) + CHOOSE(CONTROL!$C$28, 0.0003, 0)</f>
        <v>45.013600000000004</v>
      </c>
      <c r="D581" s="4">
        <f>47.183 * CHOOSE(CONTROL!$C$9, $C$13, 100%, $E$13) + CHOOSE(CONTROL!$C$28, 0, 0)</f>
        <v>47.183</v>
      </c>
      <c r="E581" s="4">
        <f>257.732265869766 * CHOOSE(CONTROL!$C$9, $C$13, 100%, $E$13) + CHOOSE(CONTROL!$C$28, 0, 0)</f>
        <v>257.73226586976602</v>
      </c>
    </row>
    <row r="582" spans="1:5" ht="15">
      <c r="A582" s="13">
        <v>59595</v>
      </c>
      <c r="B582" s="4">
        <f>46.3575 * CHOOSE(CONTROL!$C$9, $C$13, 100%, $E$13) + CHOOSE(CONTROL!$C$28, 0.0003, 0)</f>
        <v>46.357800000000005</v>
      </c>
      <c r="C582" s="4">
        <f>46.045 * CHOOSE(CONTROL!$C$9, $C$13, 100%, $E$13) + CHOOSE(CONTROL!$C$28, 0.0003, 0)</f>
        <v>46.045300000000005</v>
      </c>
      <c r="D582" s="4">
        <f>48.8308 * CHOOSE(CONTROL!$C$9, $C$13, 100%, $E$13) + CHOOSE(CONTROL!$C$28, 0, 0)</f>
        <v>48.830800000000004</v>
      </c>
      <c r="E582" s="4">
        <f>263.851845561034 * CHOOSE(CONTROL!$C$9, $C$13, 100%, $E$13) + CHOOSE(CONTROL!$C$28, 0, 0)</f>
        <v>263.851845561034</v>
      </c>
    </row>
    <row r="583" spans="1:5" ht="15">
      <c r="A583" s="13">
        <v>59626</v>
      </c>
      <c r="B583" s="4">
        <f>49.0667 * CHOOSE(CONTROL!$C$9, $C$13, 100%, $E$13) + CHOOSE(CONTROL!$C$28, 0.0003, 0)</f>
        <v>49.067</v>
      </c>
      <c r="C583" s="4">
        <f>48.7542 * CHOOSE(CONTROL!$C$9, $C$13, 100%, $E$13) + CHOOSE(CONTROL!$C$28, 0.0003, 0)</f>
        <v>48.7545</v>
      </c>
      <c r="D583" s="4">
        <f>51.4102 * CHOOSE(CONTROL!$C$9, $C$13, 100%, $E$13) + CHOOSE(CONTROL!$C$28, 0, 0)</f>
        <v>51.410200000000003</v>
      </c>
      <c r="E583" s="4">
        <f>279.922187044519 * CHOOSE(CONTROL!$C$9, $C$13, 100%, $E$13) + CHOOSE(CONTROL!$C$28, 0, 0)</f>
        <v>279.92218704451898</v>
      </c>
    </row>
    <row r="584" spans="1:5" ht="15">
      <c r="A584" s="13">
        <v>59656</v>
      </c>
      <c r="B584" s="4">
        <f>50.9917 * CHOOSE(CONTROL!$C$9, $C$13, 100%, $E$13) + CHOOSE(CONTROL!$C$28, 0.0003, 0)</f>
        <v>50.992000000000004</v>
      </c>
      <c r="C584" s="4">
        <f>50.6792 * CHOOSE(CONTROL!$C$9, $C$13, 100%, $E$13) + CHOOSE(CONTROL!$C$28, 0.0003, 0)</f>
        <v>50.679500000000004</v>
      </c>
      <c r="D584" s="4">
        <f>52.896 * CHOOSE(CONTROL!$C$9, $C$13, 100%, $E$13) + CHOOSE(CONTROL!$C$28, 0, 0)</f>
        <v>52.896000000000001</v>
      </c>
      <c r="E584" s="4">
        <f>291.340378833994 * CHOOSE(CONTROL!$C$9, $C$13, 100%, $E$13) + CHOOSE(CONTROL!$C$28, 0, 0)</f>
        <v>291.34037883399401</v>
      </c>
    </row>
    <row r="585" spans="1:5" ht="15">
      <c r="A585" s="13">
        <v>59687</v>
      </c>
      <c r="B585" s="4">
        <f>52.1678 * CHOOSE(CONTROL!$C$9, $C$13, 100%, $E$13) + CHOOSE(CONTROL!$C$28, 0.0255, 0)</f>
        <v>52.193300000000001</v>
      </c>
      <c r="C585" s="4">
        <f>51.8553 * CHOOSE(CONTROL!$C$9, $C$13, 100%, $E$13) + CHOOSE(CONTROL!$C$28, 0.0255, 0)</f>
        <v>51.880800000000001</v>
      </c>
      <c r="D585" s="4">
        <f>52.3089 * CHOOSE(CONTROL!$C$9, $C$13, 100%, $E$13) + CHOOSE(CONTROL!$C$28, 0, 0)</f>
        <v>52.308900000000001</v>
      </c>
      <c r="E585" s="4">
        <f>298.316620361499 * CHOOSE(CONTROL!$C$9, $C$13, 100%, $E$13) + CHOOSE(CONTROL!$C$28, 0, 0)</f>
        <v>298.31662036149902</v>
      </c>
    </row>
    <row r="586" spans="1:5" ht="15">
      <c r="A586" s="13">
        <v>59717</v>
      </c>
      <c r="B586" s="4">
        <f>52.327 * CHOOSE(CONTROL!$C$9, $C$13, 100%, $E$13) + CHOOSE(CONTROL!$C$28, 0.0255, 0)</f>
        <v>52.352499999999999</v>
      </c>
      <c r="C586" s="4">
        <f>52.0145 * CHOOSE(CONTROL!$C$9, $C$13, 100%, $E$13) + CHOOSE(CONTROL!$C$28, 0.0255, 0)</f>
        <v>52.04</v>
      </c>
      <c r="D586" s="4">
        <f>52.787 * CHOOSE(CONTROL!$C$9, $C$13, 100%, $E$13) + CHOOSE(CONTROL!$C$28, 0, 0)</f>
        <v>52.786999999999999</v>
      </c>
      <c r="E586" s="4">
        <f>299.260534792168 * CHOOSE(CONTROL!$C$9, $C$13, 100%, $E$13) + CHOOSE(CONTROL!$C$28, 0, 0)</f>
        <v>299.26053479216802</v>
      </c>
    </row>
    <row r="587" spans="1:5" ht="15">
      <c r="A587" s="13">
        <v>59748</v>
      </c>
      <c r="B587" s="4">
        <f>52.3109 * CHOOSE(CONTROL!$C$9, $C$13, 100%, $E$13) + CHOOSE(CONTROL!$C$28, 0.0255, 0)</f>
        <v>52.336399999999998</v>
      </c>
      <c r="C587" s="4">
        <f>51.9984 * CHOOSE(CONTROL!$C$9, $C$13, 100%, $E$13) + CHOOSE(CONTROL!$C$28, 0.0255, 0)</f>
        <v>52.023899999999998</v>
      </c>
      <c r="D587" s="4">
        <f>53.6498 * CHOOSE(CONTROL!$C$9, $C$13, 100%, $E$13) + CHOOSE(CONTROL!$C$28, 0, 0)</f>
        <v>53.649799999999999</v>
      </c>
      <c r="E587" s="4">
        <f>299.165350143697 * CHOOSE(CONTROL!$C$9, $C$13, 100%, $E$13) + CHOOSE(CONTROL!$C$28, 0, 0)</f>
        <v>299.16535014369703</v>
      </c>
    </row>
    <row r="588" spans="1:5" ht="15">
      <c r="A588" s="13">
        <v>59779</v>
      </c>
      <c r="B588" s="4">
        <f>53.5185 * CHOOSE(CONTROL!$C$9, $C$13, 100%, $E$13) + CHOOSE(CONTROL!$C$28, 0.0255, 0)</f>
        <v>53.544000000000004</v>
      </c>
      <c r="C588" s="4">
        <f>53.206 * CHOOSE(CONTROL!$C$9, $C$13, 100%, $E$13) + CHOOSE(CONTROL!$C$28, 0.0255, 0)</f>
        <v>53.231500000000004</v>
      </c>
      <c r="D588" s="4">
        <f>53.08 * CHOOSE(CONTROL!$C$9, $C$13, 100%, $E$13) + CHOOSE(CONTROL!$C$28, 0, 0)</f>
        <v>53.08</v>
      </c>
      <c r="E588" s="4">
        <f>306.327994941124 * CHOOSE(CONTROL!$C$9, $C$13, 100%, $E$13) + CHOOSE(CONTROL!$C$28, 0, 0)</f>
        <v>306.32799494112402</v>
      </c>
    </row>
    <row r="589" spans="1:5" ht="15">
      <c r="A589" s="13">
        <v>59809</v>
      </c>
      <c r="B589" s="4">
        <f>51.4604 * CHOOSE(CONTROL!$C$9, $C$13, 100%, $E$13) + CHOOSE(CONTROL!$C$28, 0.0255, 0)</f>
        <v>51.485900000000001</v>
      </c>
      <c r="C589" s="4">
        <f>51.1479 * CHOOSE(CONTROL!$C$9, $C$13, 100%, $E$13) + CHOOSE(CONTROL!$C$28, 0.0255, 0)</f>
        <v>51.173400000000001</v>
      </c>
      <c r="D589" s="4">
        <f>52.8108 * CHOOSE(CONTROL!$C$9, $C$13, 100%, $E$13) + CHOOSE(CONTROL!$C$28, 0, 0)</f>
        <v>52.8108</v>
      </c>
      <c r="E589" s="4">
        <f>294.120563774745 * CHOOSE(CONTROL!$C$9, $C$13, 100%, $E$13) + CHOOSE(CONTROL!$C$28, 0, 0)</f>
        <v>294.12056377474499</v>
      </c>
    </row>
    <row r="590" spans="1:5" ht="15">
      <c r="A590" s="13">
        <v>59840</v>
      </c>
      <c r="B590" s="4">
        <f>49.8129 * CHOOSE(CONTROL!$C$9, $C$13, 100%, $E$13) + CHOOSE(CONTROL!$C$28, 0.0003, 0)</f>
        <v>49.813200000000002</v>
      </c>
      <c r="C590" s="4">
        <f>49.5004 * CHOOSE(CONTROL!$C$9, $C$13, 100%, $E$13) + CHOOSE(CONTROL!$C$28, 0.0003, 0)</f>
        <v>49.500700000000002</v>
      </c>
      <c r="D590" s="4">
        <f>52.09 * CHOOSE(CONTROL!$C$9, $C$13, 100%, $E$13) + CHOOSE(CONTROL!$C$28, 0, 0)</f>
        <v>52.09</v>
      </c>
      <c r="E590" s="4">
        <f>284.348273198411 * CHOOSE(CONTROL!$C$9, $C$13, 100%, $E$13) + CHOOSE(CONTROL!$C$28, 0, 0)</f>
        <v>284.34827319841099</v>
      </c>
    </row>
    <row r="591" spans="1:5" ht="15">
      <c r="A591" s="13">
        <v>59870</v>
      </c>
      <c r="B591" s="4">
        <f>48.7518 * CHOOSE(CONTROL!$C$9, $C$13, 100%, $E$13) + CHOOSE(CONTROL!$C$28, 0.0003, 0)</f>
        <v>48.752100000000006</v>
      </c>
      <c r="C591" s="4">
        <f>48.4393 * CHOOSE(CONTROL!$C$9, $C$13, 100%, $E$13) + CHOOSE(CONTROL!$C$28, 0.0003, 0)</f>
        <v>48.439600000000006</v>
      </c>
      <c r="D591" s="4">
        <f>51.8422 * CHOOSE(CONTROL!$C$9, $C$13, 100%, $E$13) + CHOOSE(CONTROL!$C$28, 0, 0)</f>
        <v>51.842199999999998</v>
      </c>
      <c r="E591" s="4">
        <f>278.054188318279 * CHOOSE(CONTROL!$C$9, $C$13, 100%, $E$13) + CHOOSE(CONTROL!$C$28, 0, 0)</f>
        <v>278.05418831827899</v>
      </c>
    </row>
    <row r="592" spans="1:5" ht="15">
      <c r="A592" s="13">
        <v>59901</v>
      </c>
      <c r="B592" s="4">
        <f>48.0177 * CHOOSE(CONTROL!$C$9, $C$13, 100%, $E$13) + CHOOSE(CONTROL!$C$28, 0.0003, 0)</f>
        <v>48.018000000000001</v>
      </c>
      <c r="C592" s="4">
        <f>47.7052 * CHOOSE(CONTROL!$C$9, $C$13, 100%, $E$13) + CHOOSE(CONTROL!$C$28, 0.0003, 0)</f>
        <v>47.705500000000001</v>
      </c>
      <c r="D592" s="4">
        <f>50.0177 * CHOOSE(CONTROL!$C$9, $C$13, 100%, $E$13) + CHOOSE(CONTROL!$C$28, 0, 0)</f>
        <v>50.017699999999998</v>
      </c>
      <c r="E592" s="4">
        <f>273.699490650741 * CHOOSE(CONTROL!$C$9, $C$13, 100%, $E$13) + CHOOSE(CONTROL!$C$28, 0, 0)</f>
        <v>273.69949065074098</v>
      </c>
    </row>
    <row r="593" spans="1:5" ht="15">
      <c r="A593" s="13">
        <v>59932</v>
      </c>
      <c r="B593" s="4">
        <f>46.8248 * CHOOSE(CONTROL!$C$9, $C$13, 100%, $E$13) + CHOOSE(CONTROL!$C$28, 0.0003, 0)</f>
        <v>46.825100000000006</v>
      </c>
      <c r="C593" s="4">
        <f>46.5123 * CHOOSE(CONTROL!$C$9, $C$13, 100%, $E$13) + CHOOSE(CONTROL!$C$28, 0.0003, 0)</f>
        <v>46.512600000000006</v>
      </c>
      <c r="D593" s="4">
        <f>48.3408 * CHOOSE(CONTROL!$C$9, $C$13, 100%, $E$13) + CHOOSE(CONTROL!$C$28, 0, 0)</f>
        <v>48.340800000000002</v>
      </c>
      <c r="E593" s="4">
        <f>265.850832244663 * CHOOSE(CONTROL!$C$9, $C$13, 100%, $E$13) + CHOOSE(CONTROL!$C$28, 0, 0)</f>
        <v>265.85083224466302</v>
      </c>
    </row>
    <row r="594" spans="1:5" ht="15">
      <c r="A594" s="13">
        <v>59961</v>
      </c>
      <c r="B594" s="4">
        <f>47.8921 * CHOOSE(CONTROL!$C$9, $C$13, 100%, $E$13) + CHOOSE(CONTROL!$C$28, 0.0003, 0)</f>
        <v>47.892400000000002</v>
      </c>
      <c r="C594" s="4">
        <f>47.5796 * CHOOSE(CONTROL!$C$9, $C$13, 100%, $E$13) + CHOOSE(CONTROL!$C$28, 0.0003, 0)</f>
        <v>47.579900000000002</v>
      </c>
      <c r="D594" s="4">
        <f>50.0294 * CHOOSE(CONTROL!$C$9, $C$13, 100%, $E$13) + CHOOSE(CONTROL!$C$28, 0, 0)</f>
        <v>50.029400000000003</v>
      </c>
      <c r="E594" s="4">
        <f>272.163178696206 * CHOOSE(CONTROL!$C$9, $C$13, 100%, $E$13) + CHOOSE(CONTROL!$C$28, 0, 0)</f>
        <v>272.16317869620599</v>
      </c>
    </row>
    <row r="595" spans="1:5" ht="15">
      <c r="A595" s="13">
        <v>59992</v>
      </c>
      <c r="B595" s="4">
        <f>50.6949 * CHOOSE(CONTROL!$C$9, $C$13, 100%, $E$13) + CHOOSE(CONTROL!$C$28, 0.0003, 0)</f>
        <v>50.6952</v>
      </c>
      <c r="C595" s="4">
        <f>50.3824 * CHOOSE(CONTROL!$C$9, $C$13, 100%, $E$13) + CHOOSE(CONTROL!$C$28, 0.0003, 0)</f>
        <v>50.3827</v>
      </c>
      <c r="D595" s="4">
        <f>52.6728 * CHOOSE(CONTROL!$C$9, $C$13, 100%, $E$13) + CHOOSE(CONTROL!$C$28, 0, 0)</f>
        <v>52.672800000000002</v>
      </c>
      <c r="E595" s="4">
        <f>288.739735936421 * CHOOSE(CONTROL!$C$9, $C$13, 100%, $E$13) + CHOOSE(CONTROL!$C$28, 0, 0)</f>
        <v>288.73973593642103</v>
      </c>
    </row>
    <row r="596" spans="1:5" ht="15">
      <c r="A596" s="13">
        <v>60022</v>
      </c>
      <c r="B596" s="4">
        <f>52.6863 * CHOOSE(CONTROL!$C$9, $C$13, 100%, $E$13) + CHOOSE(CONTROL!$C$28, 0.0003, 0)</f>
        <v>52.686600000000006</v>
      </c>
      <c r="C596" s="4">
        <f>52.3738 * CHOOSE(CONTROL!$C$9, $C$13, 100%, $E$13) + CHOOSE(CONTROL!$C$28, 0.0003, 0)</f>
        <v>52.374100000000006</v>
      </c>
      <c r="D596" s="4">
        <f>54.1955 * CHOOSE(CONTROL!$C$9, $C$13, 100%, $E$13) + CHOOSE(CONTROL!$C$28, 0, 0)</f>
        <v>54.195500000000003</v>
      </c>
      <c r="E596" s="4">
        <f>300.517600767265 * CHOOSE(CONTROL!$C$9, $C$13, 100%, $E$13) + CHOOSE(CONTROL!$C$28, 0, 0)</f>
        <v>300.51760076726498</v>
      </c>
    </row>
    <row r="597" spans="1:5" ht="15">
      <c r="A597" s="13">
        <v>60053</v>
      </c>
      <c r="B597" s="4">
        <f>53.9029 * CHOOSE(CONTROL!$C$9, $C$13, 100%, $E$13) + CHOOSE(CONTROL!$C$28, 0.0255, 0)</f>
        <v>53.928400000000003</v>
      </c>
      <c r="C597" s="4">
        <f>53.5904 * CHOOSE(CONTROL!$C$9, $C$13, 100%, $E$13) + CHOOSE(CONTROL!$C$28, 0.0255, 0)</f>
        <v>53.615900000000003</v>
      </c>
      <c r="D597" s="4">
        <f>53.5938 * CHOOSE(CONTROL!$C$9, $C$13, 100%, $E$13) + CHOOSE(CONTROL!$C$28, 0, 0)</f>
        <v>53.593800000000002</v>
      </c>
      <c r="E597" s="4">
        <f>307.713593902886 * CHOOSE(CONTROL!$C$9, $C$13, 100%, $E$13) + CHOOSE(CONTROL!$C$28, 0, 0)</f>
        <v>307.71359390288598</v>
      </c>
    </row>
    <row r="598" spans="1:5" ht="15">
      <c r="A598" s="13">
        <v>60083</v>
      </c>
      <c r="B598" s="4">
        <f>54.0676 * CHOOSE(CONTROL!$C$9, $C$13, 100%, $E$13) + CHOOSE(CONTROL!$C$28, 0.0255, 0)</f>
        <v>54.0931</v>
      </c>
      <c r="C598" s="4">
        <f>53.7551 * CHOOSE(CONTROL!$C$9, $C$13, 100%, $E$13) + CHOOSE(CONTROL!$C$28, 0.0255, 0)</f>
        <v>53.7806</v>
      </c>
      <c r="D598" s="4">
        <f>54.0838 * CHOOSE(CONTROL!$C$9, $C$13, 100%, $E$13) + CHOOSE(CONTROL!$C$28, 0, 0)</f>
        <v>54.083799999999997</v>
      </c>
      <c r="E598" s="4">
        <f>308.687241638121 * CHOOSE(CONTROL!$C$9, $C$13, 100%, $E$13) + CHOOSE(CONTROL!$C$28, 0, 0)</f>
        <v>308.68724163812101</v>
      </c>
    </row>
    <row r="599" spans="1:5" ht="15">
      <c r="A599" s="13">
        <v>60114</v>
      </c>
      <c r="B599" s="4">
        <f>54.051 * CHOOSE(CONTROL!$C$9, $C$13, 100%, $E$13) + CHOOSE(CONTROL!$C$28, 0.0255, 0)</f>
        <v>54.076500000000003</v>
      </c>
      <c r="C599" s="4">
        <f>53.7385 * CHOOSE(CONTROL!$C$9, $C$13, 100%, $E$13) + CHOOSE(CONTROL!$C$28, 0.0255, 0)</f>
        <v>53.764000000000003</v>
      </c>
      <c r="D599" s="4">
        <f>54.968 * CHOOSE(CONTROL!$C$9, $C$13, 100%, $E$13) + CHOOSE(CONTROL!$C$28, 0, 0)</f>
        <v>54.968000000000004</v>
      </c>
      <c r="E599" s="4">
        <f>308.589058673224 * CHOOSE(CONTROL!$C$9, $C$13, 100%, $E$13) + CHOOSE(CONTROL!$C$28, 0, 0)</f>
        <v>308.58905867322397</v>
      </c>
    </row>
    <row r="600" spans="1:5" ht="15">
      <c r="A600" s="13">
        <v>60145</v>
      </c>
      <c r="B600" s="4">
        <f>55.3002 * CHOOSE(CONTROL!$C$9, $C$13, 100%, $E$13) + CHOOSE(CONTROL!$C$28, 0.0255, 0)</f>
        <v>55.325699999999998</v>
      </c>
      <c r="C600" s="4">
        <f>54.9877 * CHOOSE(CONTROL!$C$9, $C$13, 100%, $E$13) + CHOOSE(CONTROL!$C$28, 0.0255, 0)</f>
        <v>55.013199999999998</v>
      </c>
      <c r="D600" s="4">
        <f>54.3841 * CHOOSE(CONTROL!$C$9, $C$13, 100%, $E$13) + CHOOSE(CONTROL!$C$28, 0, 0)</f>
        <v>54.384099999999997</v>
      </c>
      <c r="E600" s="4">
        <f>315.97732678177 * CHOOSE(CONTROL!$C$9, $C$13, 100%, $E$13) + CHOOSE(CONTROL!$C$28, 0, 0)</f>
        <v>315.97732678176999</v>
      </c>
    </row>
    <row r="601" spans="1:5" ht="15">
      <c r="A601" s="13">
        <v>60175</v>
      </c>
      <c r="B601" s="4">
        <f>53.1711 * CHOOSE(CONTROL!$C$9, $C$13, 100%, $E$13) + CHOOSE(CONTROL!$C$28, 0.0255, 0)</f>
        <v>53.196600000000004</v>
      </c>
      <c r="C601" s="4">
        <f>52.8586 * CHOOSE(CONTROL!$C$9, $C$13, 100%, $E$13) + CHOOSE(CONTROL!$C$28, 0.0255, 0)</f>
        <v>52.884100000000004</v>
      </c>
      <c r="D601" s="4">
        <f>54.1082 * CHOOSE(CONTROL!$C$9, $C$13, 100%, $E$13) + CHOOSE(CONTROL!$C$28, 0, 0)</f>
        <v>54.108199999999997</v>
      </c>
      <c r="E601" s="4">
        <f>303.38536153365 * CHOOSE(CONTROL!$C$9, $C$13, 100%, $E$13) + CHOOSE(CONTROL!$C$28, 0, 0)</f>
        <v>303.38536153364998</v>
      </c>
    </row>
    <row r="602" spans="1:5" ht="15">
      <c r="A602" s="13">
        <v>60206</v>
      </c>
      <c r="B602" s="4">
        <f>51.4668 * CHOOSE(CONTROL!$C$9, $C$13, 100%, $E$13) + CHOOSE(CONTROL!$C$28, 0.0003, 0)</f>
        <v>51.467100000000002</v>
      </c>
      <c r="C602" s="4">
        <f>51.1543 * CHOOSE(CONTROL!$C$9, $C$13, 100%, $E$13) + CHOOSE(CONTROL!$C$28, 0.0003, 0)</f>
        <v>51.154600000000002</v>
      </c>
      <c r="D602" s="4">
        <f>53.3695 * CHOOSE(CONTROL!$C$9, $C$13, 100%, $E$13) + CHOOSE(CONTROL!$C$28, 0, 0)</f>
        <v>53.369500000000002</v>
      </c>
      <c r="E602" s="4">
        <f>293.305243804161 * CHOOSE(CONTROL!$C$9, $C$13, 100%, $E$13) + CHOOSE(CONTROL!$C$28, 0, 0)</f>
        <v>293.30524380416102</v>
      </c>
    </row>
    <row r="603" spans="1:5" ht="15">
      <c r="A603" s="13">
        <v>60236</v>
      </c>
      <c r="B603" s="4">
        <f>50.3691 * CHOOSE(CONTROL!$C$9, $C$13, 100%, $E$13) + CHOOSE(CONTROL!$C$28, 0.0003, 0)</f>
        <v>50.369400000000006</v>
      </c>
      <c r="C603" s="4">
        <f>50.0566 * CHOOSE(CONTROL!$C$9, $C$13, 100%, $E$13) + CHOOSE(CONTROL!$C$28, 0.0003, 0)</f>
        <v>50.056900000000006</v>
      </c>
      <c r="D603" s="4">
        <f>53.1155 * CHOOSE(CONTROL!$C$9, $C$13, 100%, $E$13) + CHOOSE(CONTROL!$C$28, 0, 0)</f>
        <v>53.115499999999997</v>
      </c>
      <c r="E603" s="4">
        <f>286.812895250305 * CHOOSE(CONTROL!$C$9, $C$13, 100%, $E$13) + CHOOSE(CONTROL!$C$28, 0, 0)</f>
        <v>286.81289525030502</v>
      </c>
    </row>
    <row r="604" spans="1:5" ht="15">
      <c r="A604" s="13">
        <v>60267</v>
      </c>
      <c r="B604" s="4">
        <f>49.6096 * CHOOSE(CONTROL!$C$9, $C$13, 100%, $E$13) + CHOOSE(CONTROL!$C$28, 0.0003, 0)</f>
        <v>49.609900000000003</v>
      </c>
      <c r="C604" s="4">
        <f>49.2971 * CHOOSE(CONTROL!$C$9, $C$13, 100%, $E$13) + CHOOSE(CONTROL!$C$28, 0.0003, 0)</f>
        <v>49.297400000000003</v>
      </c>
      <c r="D604" s="4">
        <f>51.2458 * CHOOSE(CONTROL!$C$9, $C$13, 100%, $E$13) + CHOOSE(CONTROL!$C$28, 0, 0)</f>
        <v>51.245800000000003</v>
      </c>
      <c r="E604" s="4">
        <f>282.321024606239 * CHOOSE(CONTROL!$C$9, $C$13, 100%, $E$13) + CHOOSE(CONTROL!$C$28, 0, 0)</f>
        <v>282.32102460623901</v>
      </c>
    </row>
    <row r="605" spans="1:5" ht="15">
      <c r="A605" s="13">
        <v>60298</v>
      </c>
      <c r="B605" s="4">
        <f>48.3756 * CHOOSE(CONTROL!$C$9, $C$13, 100%, $E$13) + CHOOSE(CONTROL!$C$28, 0.0003, 0)</f>
        <v>48.375900000000001</v>
      </c>
      <c r="C605" s="4">
        <f>48.0631 * CHOOSE(CONTROL!$C$9, $C$13, 100%, $E$13) + CHOOSE(CONTROL!$C$28, 0.0003, 0)</f>
        <v>48.063400000000001</v>
      </c>
      <c r="D605" s="4">
        <f>49.5274 * CHOOSE(CONTROL!$C$9, $C$13, 100%, $E$13) + CHOOSE(CONTROL!$C$28, 0, 0)</f>
        <v>49.5274</v>
      </c>
      <c r="E605" s="4">
        <f>274.22513346037 * CHOOSE(CONTROL!$C$9, $C$13, 100%, $E$13) + CHOOSE(CONTROL!$C$28, 0, 0)</f>
        <v>274.22513346036999</v>
      </c>
    </row>
    <row r="606" spans="1:5" ht="15">
      <c r="A606" s="13">
        <v>60326</v>
      </c>
      <c r="B606" s="4">
        <f>49.4797 * CHOOSE(CONTROL!$C$9, $C$13, 100%, $E$13) + CHOOSE(CONTROL!$C$28, 0.0003, 0)</f>
        <v>49.480000000000004</v>
      </c>
      <c r="C606" s="4">
        <f>49.1672 * CHOOSE(CONTROL!$C$9, $C$13, 100%, $E$13) + CHOOSE(CONTROL!$C$28, 0.0003, 0)</f>
        <v>49.167500000000004</v>
      </c>
      <c r="D606" s="4">
        <f>51.2578 * CHOOSE(CONTROL!$C$9, $C$13, 100%, $E$13) + CHOOSE(CONTROL!$C$28, 0, 0)</f>
        <v>51.257800000000003</v>
      </c>
      <c r="E606" s="4">
        <f>280.736318825137 * CHOOSE(CONTROL!$C$9, $C$13, 100%, $E$13) + CHOOSE(CONTROL!$C$28, 0, 0)</f>
        <v>280.736318825137</v>
      </c>
    </row>
    <row r="607" spans="1:5" ht="15">
      <c r="A607" s="13">
        <v>60357</v>
      </c>
      <c r="B607" s="4">
        <f>52.3791 * CHOOSE(CONTROL!$C$9, $C$13, 100%, $E$13) + CHOOSE(CONTROL!$C$28, 0.0003, 0)</f>
        <v>52.379400000000004</v>
      </c>
      <c r="C607" s="4">
        <f>52.0666 * CHOOSE(CONTROL!$C$9, $C$13, 100%, $E$13) + CHOOSE(CONTROL!$C$28, 0.0003, 0)</f>
        <v>52.066900000000004</v>
      </c>
      <c r="D607" s="4">
        <f>53.9668 * CHOOSE(CONTROL!$C$9, $C$13, 100%, $E$13) + CHOOSE(CONTROL!$C$28, 0, 0)</f>
        <v>53.966799999999999</v>
      </c>
      <c r="E607" s="4">
        <f>297.835037618418 * CHOOSE(CONTROL!$C$9, $C$13, 100%, $E$13) + CHOOSE(CONTROL!$C$28, 0, 0)</f>
        <v>297.83503761841803</v>
      </c>
    </row>
    <row r="608" spans="1:5" ht="15">
      <c r="A608" s="13">
        <v>60387</v>
      </c>
      <c r="B608" s="4">
        <f>54.4392 * CHOOSE(CONTROL!$C$9, $C$13, 100%, $E$13) + CHOOSE(CONTROL!$C$28, 0.0003, 0)</f>
        <v>54.439500000000002</v>
      </c>
      <c r="C608" s="4">
        <f>54.1267 * CHOOSE(CONTROL!$C$9, $C$13, 100%, $E$13) + CHOOSE(CONTROL!$C$28, 0.0003, 0)</f>
        <v>54.127000000000002</v>
      </c>
      <c r="D608" s="4">
        <f>55.5272 * CHOOSE(CONTROL!$C$9, $C$13, 100%, $E$13) + CHOOSE(CONTROL!$C$28, 0, 0)</f>
        <v>55.527200000000001</v>
      </c>
      <c r="E608" s="4">
        <f>309.983905191434 * CHOOSE(CONTROL!$C$9, $C$13, 100%, $E$13) + CHOOSE(CONTROL!$C$28, 0, 0)</f>
        <v>309.98390519143402</v>
      </c>
    </row>
    <row r="609" spans="1:5" ht="15">
      <c r="A609" s="13">
        <v>60418</v>
      </c>
      <c r="B609" s="4">
        <f>55.6979 * CHOOSE(CONTROL!$C$9, $C$13, 100%, $E$13) + CHOOSE(CONTROL!$C$28, 0.0255, 0)</f>
        <v>55.723399999999998</v>
      </c>
      <c r="C609" s="4">
        <f>55.3854 * CHOOSE(CONTROL!$C$9, $C$13, 100%, $E$13) + CHOOSE(CONTROL!$C$28, 0.0255, 0)</f>
        <v>55.410899999999998</v>
      </c>
      <c r="D609" s="4">
        <f>54.9106 * CHOOSE(CONTROL!$C$9, $C$13, 100%, $E$13) + CHOOSE(CONTROL!$C$28, 0, 0)</f>
        <v>54.910600000000002</v>
      </c>
      <c r="E609" s="4">
        <f>317.406572110827 * CHOOSE(CONTROL!$C$9, $C$13, 100%, $E$13) + CHOOSE(CONTROL!$C$28, 0, 0)</f>
        <v>317.40657211082703</v>
      </c>
    </row>
    <row r="610" spans="1:5" ht="15">
      <c r="A610" s="13">
        <v>60448</v>
      </c>
      <c r="B610" s="4">
        <f>55.8682 * CHOOSE(CONTROL!$C$9, $C$13, 100%, $E$13) + CHOOSE(CONTROL!$C$28, 0.0255, 0)</f>
        <v>55.893700000000003</v>
      </c>
      <c r="C610" s="4">
        <f>55.5557 * CHOOSE(CONTROL!$C$9, $C$13, 100%, $E$13) + CHOOSE(CONTROL!$C$28, 0.0255, 0)</f>
        <v>55.581200000000003</v>
      </c>
      <c r="D610" s="4">
        <f>55.4128 * CHOOSE(CONTROL!$C$9, $C$13, 100%, $E$13) + CHOOSE(CONTROL!$C$28, 0, 0)</f>
        <v>55.412799999999997</v>
      </c>
      <c r="E610" s="4">
        <f>318.410889749722 * CHOOSE(CONTROL!$C$9, $C$13, 100%, $E$13) + CHOOSE(CONTROL!$C$28, 0, 0)</f>
        <v>318.410889749722</v>
      </c>
    </row>
    <row r="611" spans="1:5" ht="15">
      <c r="A611" s="13">
        <v>60479</v>
      </c>
      <c r="B611" s="4">
        <f>55.851 * CHOOSE(CONTROL!$C$9, $C$13, 100%, $E$13) + CHOOSE(CONTROL!$C$28, 0.0255, 0)</f>
        <v>55.8765</v>
      </c>
      <c r="C611" s="4">
        <f>55.5385 * CHOOSE(CONTROL!$C$9, $C$13, 100%, $E$13) + CHOOSE(CONTROL!$C$28, 0.0255, 0)</f>
        <v>55.564</v>
      </c>
      <c r="D611" s="4">
        <f>56.3189 * CHOOSE(CONTROL!$C$9, $C$13, 100%, $E$13) + CHOOSE(CONTROL!$C$28, 0, 0)</f>
        <v>56.318899999999999</v>
      </c>
      <c r="E611" s="4">
        <f>318.30961402143 * CHOOSE(CONTROL!$C$9, $C$13, 100%, $E$13) + CHOOSE(CONTROL!$C$28, 0, 0)</f>
        <v>318.30961402142998</v>
      </c>
    </row>
    <row r="612" spans="1:5" ht="15">
      <c r="A612" s="13">
        <v>60510</v>
      </c>
      <c r="B612" s="4">
        <f>57.1433 * CHOOSE(CONTROL!$C$9, $C$13, 100%, $E$13) + CHOOSE(CONTROL!$C$28, 0.0255, 0)</f>
        <v>57.168800000000005</v>
      </c>
      <c r="C612" s="4">
        <f>56.8308 * CHOOSE(CONTROL!$C$9, $C$13, 100%, $E$13) + CHOOSE(CONTROL!$C$28, 0.0255, 0)</f>
        <v>56.856300000000005</v>
      </c>
      <c r="D612" s="4">
        <f>55.7205 * CHOOSE(CONTROL!$C$9, $C$13, 100%, $E$13) + CHOOSE(CONTROL!$C$28, 0, 0)</f>
        <v>55.720500000000001</v>
      </c>
      <c r="E612" s="4">
        <f>325.930612575395 * CHOOSE(CONTROL!$C$9, $C$13, 100%, $E$13) + CHOOSE(CONTROL!$C$28, 0, 0)</f>
        <v>325.930612575395</v>
      </c>
    </row>
    <row r="613" spans="1:5" ht="15">
      <c r="A613" s="13">
        <v>60540</v>
      </c>
      <c r="B613" s="4">
        <f>54.9408 * CHOOSE(CONTROL!$C$9, $C$13, 100%, $E$13) + CHOOSE(CONTROL!$C$28, 0.0255, 0)</f>
        <v>54.966300000000004</v>
      </c>
      <c r="C613" s="4">
        <f>54.6283 * CHOOSE(CONTROL!$C$9, $C$13, 100%, $E$13) + CHOOSE(CONTROL!$C$28, 0.0255, 0)</f>
        <v>54.653800000000004</v>
      </c>
      <c r="D613" s="4">
        <f>55.4378 * CHOOSE(CONTROL!$C$9, $C$13, 100%, $E$13) + CHOOSE(CONTROL!$C$28, 0, 0)</f>
        <v>55.437800000000003</v>
      </c>
      <c r="E613" s="4">
        <f>312.94200042196 * CHOOSE(CONTROL!$C$9, $C$13, 100%, $E$13) + CHOOSE(CONTROL!$C$28, 0, 0)</f>
        <v>312.94200042196002</v>
      </c>
    </row>
    <row r="614" spans="1:5" ht="15">
      <c r="A614" s="13">
        <v>60571</v>
      </c>
      <c r="B614" s="4">
        <f>53.1777 * CHOOSE(CONTROL!$C$9, $C$13, 100%, $E$13) + CHOOSE(CONTROL!$C$28, 0.0003, 0)</f>
        <v>53.178000000000004</v>
      </c>
      <c r="C614" s="4">
        <f>52.8652 * CHOOSE(CONTROL!$C$9, $C$13, 100%, $E$13) + CHOOSE(CONTROL!$C$28, 0.0003, 0)</f>
        <v>52.865500000000004</v>
      </c>
      <c r="D614" s="4">
        <f>54.6807 * CHOOSE(CONTROL!$C$9, $C$13, 100%, $E$13) + CHOOSE(CONTROL!$C$28, 0, 0)</f>
        <v>54.680700000000002</v>
      </c>
      <c r="E614" s="4">
        <f>302.544358983992 * CHOOSE(CONTROL!$C$9, $C$13, 100%, $E$13) + CHOOSE(CONTROL!$C$28, 0, 0)</f>
        <v>302.54435898399203</v>
      </c>
    </row>
    <row r="615" spans="1:5" ht="15">
      <c r="A615" s="13">
        <v>60601</v>
      </c>
      <c r="B615" s="4">
        <f>52.0421 * CHOOSE(CONTROL!$C$9, $C$13, 100%, $E$13) + CHOOSE(CONTROL!$C$28, 0.0003, 0)</f>
        <v>52.042400000000001</v>
      </c>
      <c r="C615" s="4">
        <f>51.7296 * CHOOSE(CONTROL!$C$9, $C$13, 100%, $E$13) + CHOOSE(CONTROL!$C$28, 0.0003, 0)</f>
        <v>51.729900000000001</v>
      </c>
      <c r="D615" s="4">
        <f>54.4205 * CHOOSE(CONTROL!$C$9, $C$13, 100%, $E$13) + CHOOSE(CONTROL!$C$28, 0, 0)</f>
        <v>54.420499999999997</v>
      </c>
      <c r="E615" s="4">
        <f>295.84750145069 * CHOOSE(CONTROL!$C$9, $C$13, 100%, $E$13) + CHOOSE(CONTROL!$C$28, 0, 0)</f>
        <v>295.84750145069</v>
      </c>
    </row>
    <row r="616" spans="1:5" ht="15">
      <c r="A616" s="13">
        <v>60632</v>
      </c>
      <c r="B616" s="4">
        <f>51.2564 * CHOOSE(CONTROL!$C$9, $C$13, 100%, $E$13) + CHOOSE(CONTROL!$C$28, 0.0003, 0)</f>
        <v>51.256700000000002</v>
      </c>
      <c r="C616" s="4">
        <f>50.9439 * CHOOSE(CONTROL!$C$9, $C$13, 100%, $E$13) + CHOOSE(CONTROL!$C$28, 0.0003, 0)</f>
        <v>50.944200000000002</v>
      </c>
      <c r="D616" s="4">
        <f>52.5044 * CHOOSE(CONTROL!$C$9, $C$13, 100%, $E$13) + CHOOSE(CONTROL!$C$28, 0, 0)</f>
        <v>52.504399999999997</v>
      </c>
      <c r="E616" s="4">
        <f>291.214136881336 * CHOOSE(CONTROL!$C$9, $C$13, 100%, $E$13) + CHOOSE(CONTROL!$C$28, 0, 0)</f>
        <v>291.214136881336</v>
      </c>
    </row>
    <row r="617" spans="1:5" ht="15">
      <c r="A617" s="13">
        <v>60663</v>
      </c>
      <c r="B617" s="4">
        <f>49.9799 * CHOOSE(CONTROL!$C$9, $C$13, 100%, $E$13) + CHOOSE(CONTROL!$C$28, 0.0003, 0)</f>
        <v>49.980200000000004</v>
      </c>
      <c r="C617" s="4">
        <f>49.6674 * CHOOSE(CONTROL!$C$9, $C$13, 100%, $E$13) + CHOOSE(CONTROL!$C$28, 0.0003, 0)</f>
        <v>49.667700000000004</v>
      </c>
      <c r="D617" s="4">
        <f>50.7433 * CHOOSE(CONTROL!$C$9, $C$13, 100%, $E$13) + CHOOSE(CONTROL!$C$28, 0, 0)</f>
        <v>50.743299999999998</v>
      </c>
      <c r="E617" s="4">
        <f>282.863225164372 * CHOOSE(CONTROL!$C$9, $C$13, 100%, $E$13) + CHOOSE(CONTROL!$C$28, 0, 0)</f>
        <v>282.86322516437201</v>
      </c>
    </row>
    <row r="618" spans="1:5" ht="15">
      <c r="A618" s="13">
        <v>60691</v>
      </c>
      <c r="B618" s="4">
        <f>51.1221 * CHOOSE(CONTROL!$C$9, $C$13, 100%, $E$13) + CHOOSE(CONTROL!$C$28, 0.0003, 0)</f>
        <v>51.122400000000006</v>
      </c>
      <c r="C618" s="4">
        <f>50.8096 * CHOOSE(CONTROL!$C$9, $C$13, 100%, $E$13) + CHOOSE(CONTROL!$C$28, 0.0003, 0)</f>
        <v>50.809900000000006</v>
      </c>
      <c r="D618" s="4">
        <f>52.5167 * CHOOSE(CONTROL!$C$9, $C$13, 100%, $E$13) + CHOOSE(CONTROL!$C$28, 0, 0)</f>
        <v>52.5167</v>
      </c>
      <c r="E618" s="4">
        <f>289.579512868128 * CHOOSE(CONTROL!$C$9, $C$13, 100%, $E$13) + CHOOSE(CONTROL!$C$28, 0, 0)</f>
        <v>289.57951286812801</v>
      </c>
    </row>
    <row r="619" spans="1:5" ht="15">
      <c r="A619" s="13">
        <v>60722</v>
      </c>
      <c r="B619" s="4">
        <f>54.1215 * CHOOSE(CONTROL!$C$9, $C$13, 100%, $E$13) + CHOOSE(CONTROL!$C$28, 0.0003, 0)</f>
        <v>54.1218</v>
      </c>
      <c r="C619" s="4">
        <f>53.809 * CHOOSE(CONTROL!$C$9, $C$13, 100%, $E$13) + CHOOSE(CONTROL!$C$28, 0.0003, 0)</f>
        <v>53.8093</v>
      </c>
      <c r="D619" s="4">
        <f>55.2928 * CHOOSE(CONTROL!$C$9, $C$13, 100%, $E$13) + CHOOSE(CONTROL!$C$28, 0, 0)</f>
        <v>55.2928</v>
      </c>
      <c r="E619" s="4">
        <f>307.216841303399 * CHOOSE(CONTROL!$C$9, $C$13, 100%, $E$13) + CHOOSE(CONTROL!$C$28, 0, 0)</f>
        <v>307.21684130339901</v>
      </c>
    </row>
    <row r="620" spans="1:5" ht="15">
      <c r="A620" s="13">
        <v>60752</v>
      </c>
      <c r="B620" s="4">
        <f>56.2527 * CHOOSE(CONTROL!$C$9, $C$13, 100%, $E$13) + CHOOSE(CONTROL!$C$28, 0.0003, 0)</f>
        <v>56.253</v>
      </c>
      <c r="C620" s="4">
        <f>55.9402 * CHOOSE(CONTROL!$C$9, $C$13, 100%, $E$13) + CHOOSE(CONTROL!$C$28, 0.0003, 0)</f>
        <v>55.9405</v>
      </c>
      <c r="D620" s="4">
        <f>56.8919 * CHOOSE(CONTROL!$C$9, $C$13, 100%, $E$13) + CHOOSE(CONTROL!$C$28, 0, 0)</f>
        <v>56.8919</v>
      </c>
      <c r="E620" s="4">
        <f>319.748398204964 * CHOOSE(CONTROL!$C$9, $C$13, 100%, $E$13) + CHOOSE(CONTROL!$C$28, 0, 0)</f>
        <v>319.74839820496402</v>
      </c>
    </row>
    <row r="621" spans="1:5" ht="15">
      <c r="A621" s="13">
        <v>60783</v>
      </c>
      <c r="B621" s="4">
        <f>57.5548 * CHOOSE(CONTROL!$C$9, $C$13, 100%, $E$13) + CHOOSE(CONTROL!$C$28, 0.0255, 0)</f>
        <v>57.580300000000001</v>
      </c>
      <c r="C621" s="4">
        <f>57.2423 * CHOOSE(CONTROL!$C$9, $C$13, 100%, $E$13) + CHOOSE(CONTROL!$C$28, 0.0255, 0)</f>
        <v>57.267800000000001</v>
      </c>
      <c r="D621" s="4">
        <f>56.2601 * CHOOSE(CONTROL!$C$9, $C$13, 100%, $E$13) + CHOOSE(CONTROL!$C$28, 0, 0)</f>
        <v>56.260100000000001</v>
      </c>
      <c r="E621" s="4">
        <f>327.404879132319 * CHOOSE(CONTROL!$C$9, $C$13, 100%, $E$13) + CHOOSE(CONTROL!$C$28, 0, 0)</f>
        <v>327.40487913231902</v>
      </c>
    </row>
    <row r="622" spans="1:5" ht="15">
      <c r="A622" s="13">
        <v>60813</v>
      </c>
      <c r="B622" s="4">
        <f>57.731 * CHOOSE(CONTROL!$C$9, $C$13, 100%, $E$13) + CHOOSE(CONTROL!$C$28, 0.0255, 0)</f>
        <v>57.756500000000003</v>
      </c>
      <c r="C622" s="4">
        <f>57.4185 * CHOOSE(CONTROL!$C$9, $C$13, 100%, $E$13) + CHOOSE(CONTROL!$C$28, 0.0255, 0)</f>
        <v>57.444000000000003</v>
      </c>
      <c r="D622" s="4">
        <f>56.7747 * CHOOSE(CONTROL!$C$9, $C$13, 100%, $E$13) + CHOOSE(CONTROL!$C$28, 0, 0)</f>
        <v>56.774700000000003</v>
      </c>
      <c r="E622" s="4">
        <f>328.440832776838 * CHOOSE(CONTROL!$C$9, $C$13, 100%, $E$13) + CHOOSE(CONTROL!$C$28, 0, 0)</f>
        <v>328.44083277683802</v>
      </c>
    </row>
    <row r="623" spans="1:5" ht="15">
      <c r="A623" s="13">
        <v>60844</v>
      </c>
      <c r="B623" s="4">
        <f>57.7132 * CHOOSE(CONTROL!$C$9, $C$13, 100%, $E$13) + CHOOSE(CONTROL!$C$28, 0.0255, 0)</f>
        <v>57.738700000000001</v>
      </c>
      <c r="C623" s="4">
        <f>57.4007 * CHOOSE(CONTROL!$C$9, $C$13, 100%, $E$13) + CHOOSE(CONTROL!$C$28, 0.0255, 0)</f>
        <v>57.426200000000001</v>
      </c>
      <c r="D623" s="4">
        <f>57.7033 * CHOOSE(CONTROL!$C$9, $C$13, 100%, $E$13) + CHOOSE(CONTROL!$C$28, 0, 0)</f>
        <v>57.703299999999999</v>
      </c>
      <c r="E623" s="4">
        <f>328.336366863105 * CHOOSE(CONTROL!$C$9, $C$13, 100%, $E$13) + CHOOSE(CONTROL!$C$28, 0, 0)</f>
        <v>328.33636686310501</v>
      </c>
    </row>
    <row r="624" spans="1:5" ht="15">
      <c r="A624" s="13">
        <v>60875</v>
      </c>
      <c r="B624" s="4">
        <f>59.0501 * CHOOSE(CONTROL!$C$9, $C$13, 100%, $E$13) + CHOOSE(CONTROL!$C$28, 0.0255, 0)</f>
        <v>59.075600000000001</v>
      </c>
      <c r="C624" s="4">
        <f>58.7376 * CHOOSE(CONTROL!$C$9, $C$13, 100%, $E$13) + CHOOSE(CONTROL!$C$28, 0.0255, 0)</f>
        <v>58.763100000000001</v>
      </c>
      <c r="D624" s="4">
        <f>57.09 * CHOOSE(CONTROL!$C$9, $C$13, 100%, $E$13) + CHOOSE(CONTROL!$C$28, 0, 0)</f>
        <v>57.09</v>
      </c>
      <c r="E624" s="4">
        <f>336.19742687152 * CHOOSE(CONTROL!$C$9, $C$13, 100%, $E$13) + CHOOSE(CONTROL!$C$28, 0, 0)</f>
        <v>336.19742687152001</v>
      </c>
    </row>
    <row r="625" spans="1:5" ht="15">
      <c r="A625" s="13">
        <v>60905</v>
      </c>
      <c r="B625" s="4">
        <f>56.7716 * CHOOSE(CONTROL!$C$9, $C$13, 100%, $E$13) + CHOOSE(CONTROL!$C$28, 0.0255, 0)</f>
        <v>56.7971</v>
      </c>
      <c r="C625" s="4">
        <f>56.4591 * CHOOSE(CONTROL!$C$9, $C$13, 100%, $E$13) + CHOOSE(CONTROL!$C$28, 0.0255, 0)</f>
        <v>56.4846</v>
      </c>
      <c r="D625" s="4">
        <f>56.8003 * CHOOSE(CONTROL!$C$9, $C$13, 100%, $E$13) + CHOOSE(CONTROL!$C$28, 0, 0)</f>
        <v>56.8003</v>
      </c>
      <c r="E625" s="4">
        <f>322.799673435251 * CHOOSE(CONTROL!$C$9, $C$13, 100%, $E$13) + CHOOSE(CONTROL!$C$28, 0, 0)</f>
        <v>322.79967343525101</v>
      </c>
    </row>
    <row r="626" spans="1:5" ht="15">
      <c r="A626" s="13">
        <v>60936</v>
      </c>
      <c r="B626" s="4">
        <f>54.9477 * CHOOSE(CONTROL!$C$9, $C$13, 100%, $E$13) + CHOOSE(CONTROL!$C$28, 0.0003, 0)</f>
        <v>54.948</v>
      </c>
      <c r="C626" s="4">
        <f>54.6352 * CHOOSE(CONTROL!$C$9, $C$13, 100%, $E$13) + CHOOSE(CONTROL!$C$28, 0.0003, 0)</f>
        <v>54.6355</v>
      </c>
      <c r="D626" s="4">
        <f>56.0245 * CHOOSE(CONTROL!$C$9, $C$13, 100%, $E$13) + CHOOSE(CONTROL!$C$28, 0, 0)</f>
        <v>56.024500000000003</v>
      </c>
      <c r="E626" s="4">
        <f>312.074506291987 * CHOOSE(CONTROL!$C$9, $C$13, 100%, $E$13) + CHOOSE(CONTROL!$C$28, 0, 0)</f>
        <v>312.07450629198701</v>
      </c>
    </row>
    <row r="627" spans="1:5" ht="15">
      <c r="A627" s="13">
        <v>60966</v>
      </c>
      <c r="B627" s="4">
        <f>53.7729 * CHOOSE(CONTROL!$C$9, $C$13, 100%, $E$13) + CHOOSE(CONTROL!$C$28, 0.0003, 0)</f>
        <v>53.773200000000003</v>
      </c>
      <c r="C627" s="4">
        <f>53.4604 * CHOOSE(CONTROL!$C$9, $C$13, 100%, $E$13) + CHOOSE(CONTROL!$C$28, 0.0003, 0)</f>
        <v>53.460700000000003</v>
      </c>
      <c r="D627" s="4">
        <f>55.7578 * CHOOSE(CONTROL!$C$9, $C$13, 100%, $E$13) + CHOOSE(CONTROL!$C$28, 0, 0)</f>
        <v>55.757800000000003</v>
      </c>
      <c r="E627" s="4">
        <f>305.166697746387 * CHOOSE(CONTROL!$C$9, $C$13, 100%, $E$13) + CHOOSE(CONTROL!$C$28, 0, 0)</f>
        <v>305.166697746387</v>
      </c>
    </row>
    <row r="628" spans="1:5" ht="15">
      <c r="A628" s="13">
        <v>60997</v>
      </c>
      <c r="B628" s="4">
        <f>52.9601 * CHOOSE(CONTROL!$C$9, $C$13, 100%, $E$13) + CHOOSE(CONTROL!$C$28, 0.0003, 0)</f>
        <v>52.9604</v>
      </c>
      <c r="C628" s="4">
        <f>52.6476 * CHOOSE(CONTROL!$C$9, $C$13, 100%, $E$13) + CHOOSE(CONTROL!$C$28, 0.0003, 0)</f>
        <v>52.6479</v>
      </c>
      <c r="D628" s="4">
        <f>53.7942 * CHOOSE(CONTROL!$C$9, $C$13, 100%, $E$13) + CHOOSE(CONTROL!$C$28, 0, 0)</f>
        <v>53.794199999999996</v>
      </c>
      <c r="E628" s="4">
        <f>300.387382193098 * CHOOSE(CONTROL!$C$9, $C$13, 100%, $E$13) + CHOOSE(CONTROL!$C$28, 0, 0)</f>
        <v>300.38738219309801</v>
      </c>
    </row>
    <row r="629" spans="1:5" ht="15">
      <c r="A629" s="13">
        <v>61028</v>
      </c>
      <c r="B629" s="4">
        <f>51.6395 * CHOOSE(CONTROL!$C$9, $C$13, 100%, $E$13) + CHOOSE(CONTROL!$C$28, 0.0003, 0)</f>
        <v>51.639800000000001</v>
      </c>
      <c r="C629" s="4">
        <f>51.327 * CHOOSE(CONTROL!$C$9, $C$13, 100%, $E$13) + CHOOSE(CONTROL!$C$28, 0.0003, 0)</f>
        <v>51.327300000000001</v>
      </c>
      <c r="D629" s="4">
        <f>51.9894 * CHOOSE(CONTROL!$C$9, $C$13, 100%, $E$13) + CHOOSE(CONTROL!$C$28, 0, 0)</f>
        <v>51.989400000000003</v>
      </c>
      <c r="E629" s="4">
        <f>291.773416757049 * CHOOSE(CONTROL!$C$9, $C$13, 100%, $E$13) + CHOOSE(CONTROL!$C$28, 0, 0)</f>
        <v>291.77341675704901</v>
      </c>
    </row>
    <row r="630" spans="1:5" ht="15">
      <c r="A630" s="13">
        <v>61056</v>
      </c>
      <c r="B630" s="4">
        <f>52.8211 * CHOOSE(CONTROL!$C$9, $C$13, 100%, $E$13) + CHOOSE(CONTROL!$C$28, 0.0003, 0)</f>
        <v>52.821400000000004</v>
      </c>
      <c r="C630" s="4">
        <f>52.5086 * CHOOSE(CONTROL!$C$9, $C$13, 100%, $E$13) + CHOOSE(CONTROL!$C$28, 0.0003, 0)</f>
        <v>52.508900000000004</v>
      </c>
      <c r="D630" s="4">
        <f>53.8068 * CHOOSE(CONTROL!$C$9, $C$13, 100%, $E$13) + CHOOSE(CONTROL!$C$28, 0, 0)</f>
        <v>53.806800000000003</v>
      </c>
      <c r="E630" s="4">
        <f>298.701267523475 * CHOOSE(CONTROL!$C$9, $C$13, 100%, $E$13) + CHOOSE(CONTROL!$C$28, 0, 0)</f>
        <v>298.701267523475</v>
      </c>
    </row>
    <row r="631" spans="1:5" ht="15">
      <c r="A631" s="13">
        <v>61087</v>
      </c>
      <c r="B631" s="4">
        <f>55.924 * CHOOSE(CONTROL!$C$9, $C$13, 100%, $E$13) + CHOOSE(CONTROL!$C$28, 0.0003, 0)</f>
        <v>55.924300000000002</v>
      </c>
      <c r="C631" s="4">
        <f>55.6115 * CHOOSE(CONTROL!$C$9, $C$13, 100%, $E$13) + CHOOSE(CONTROL!$C$28, 0.0003, 0)</f>
        <v>55.611800000000002</v>
      </c>
      <c r="D631" s="4">
        <f>56.6518 * CHOOSE(CONTROL!$C$9, $C$13, 100%, $E$13) + CHOOSE(CONTROL!$C$28, 0, 0)</f>
        <v>56.651800000000001</v>
      </c>
      <c r="E631" s="4">
        <f>316.894171804456 * CHOOSE(CONTROL!$C$9, $C$13, 100%, $E$13) + CHOOSE(CONTROL!$C$28, 0, 0)</f>
        <v>316.89417180445599</v>
      </c>
    </row>
    <row r="632" spans="1:5" ht="15">
      <c r="A632" s="13">
        <v>61117</v>
      </c>
      <c r="B632" s="4">
        <f>58.1287 * CHOOSE(CONTROL!$C$9, $C$13, 100%, $E$13) + CHOOSE(CONTROL!$C$28, 0.0003, 0)</f>
        <v>58.129000000000005</v>
      </c>
      <c r="C632" s="4">
        <f>57.8162 * CHOOSE(CONTROL!$C$9, $C$13, 100%, $E$13) + CHOOSE(CONTROL!$C$28, 0.0003, 0)</f>
        <v>57.816500000000005</v>
      </c>
      <c r="D632" s="4">
        <f>58.2905 * CHOOSE(CONTROL!$C$9, $C$13, 100%, $E$13) + CHOOSE(CONTROL!$C$28, 0, 0)</f>
        <v>58.290500000000002</v>
      </c>
      <c r="E632" s="4">
        <f>329.82047274842 * CHOOSE(CONTROL!$C$9, $C$13, 100%, $E$13) + CHOOSE(CONTROL!$C$28, 0, 0)</f>
        <v>329.82047274842</v>
      </c>
    </row>
    <row r="633" spans="1:5" ht="15">
      <c r="A633" s="13">
        <v>61148</v>
      </c>
      <c r="B633" s="4">
        <f>59.4758 * CHOOSE(CONTROL!$C$9, $C$13, 100%, $E$13) + CHOOSE(CONTROL!$C$28, 0.0255, 0)</f>
        <v>59.501300000000001</v>
      </c>
      <c r="C633" s="4">
        <f>59.1633 * CHOOSE(CONTROL!$C$9, $C$13, 100%, $E$13) + CHOOSE(CONTROL!$C$28, 0.0255, 0)</f>
        <v>59.188800000000001</v>
      </c>
      <c r="D633" s="4">
        <f>57.643 * CHOOSE(CONTROL!$C$9, $C$13, 100%, $E$13) + CHOOSE(CONTROL!$C$28, 0, 0)</f>
        <v>57.643000000000001</v>
      </c>
      <c r="E633" s="4">
        <f>337.718132824987 * CHOOSE(CONTROL!$C$9, $C$13, 100%, $E$13) + CHOOSE(CONTROL!$C$28, 0, 0)</f>
        <v>337.71813282498698</v>
      </c>
    </row>
    <row r="634" spans="1:5" ht="15">
      <c r="A634" s="13">
        <v>61178</v>
      </c>
      <c r="B634" s="4">
        <f>59.658 * CHOOSE(CONTROL!$C$9, $C$13, 100%, $E$13) + CHOOSE(CONTROL!$C$28, 0.0255, 0)</f>
        <v>59.683500000000002</v>
      </c>
      <c r="C634" s="4">
        <f>59.3455 * CHOOSE(CONTROL!$C$9, $C$13, 100%, $E$13) + CHOOSE(CONTROL!$C$28, 0.0255, 0)</f>
        <v>59.371000000000002</v>
      </c>
      <c r="D634" s="4">
        <f>58.1704 * CHOOSE(CONTROL!$C$9, $C$13, 100%, $E$13) + CHOOSE(CONTROL!$C$28, 0, 0)</f>
        <v>58.170400000000001</v>
      </c>
      <c r="E634" s="4">
        <f>338.786719009309 * CHOOSE(CONTROL!$C$9, $C$13, 100%, $E$13) + CHOOSE(CONTROL!$C$28, 0, 0)</f>
        <v>338.78671900930902</v>
      </c>
    </row>
    <row r="635" spans="1:5" ht="15">
      <c r="A635" s="13">
        <v>61209</v>
      </c>
      <c r="B635" s="4">
        <f>59.6396 * CHOOSE(CONTROL!$C$9, $C$13, 100%, $E$13) + CHOOSE(CONTROL!$C$28, 0.0255, 0)</f>
        <v>59.665100000000002</v>
      </c>
      <c r="C635" s="4">
        <f>59.3271 * CHOOSE(CONTROL!$C$9, $C$13, 100%, $E$13) + CHOOSE(CONTROL!$C$28, 0.0255, 0)</f>
        <v>59.352600000000002</v>
      </c>
      <c r="D635" s="4">
        <f>59.122 * CHOOSE(CONTROL!$C$9, $C$13, 100%, $E$13) + CHOOSE(CONTROL!$C$28, 0, 0)</f>
        <v>59.122</v>
      </c>
      <c r="E635" s="4">
        <f>338.678962419293 * CHOOSE(CONTROL!$C$9, $C$13, 100%, $E$13) + CHOOSE(CONTROL!$C$28, 0, 0)</f>
        <v>338.67896241929299</v>
      </c>
    </row>
    <row r="636" spans="1:5" ht="15">
      <c r="A636" s="13">
        <v>61240</v>
      </c>
      <c r="B636" s="4">
        <f>61.0226 * CHOOSE(CONTROL!$C$9, $C$13, 100%, $E$13) + CHOOSE(CONTROL!$C$28, 0.0255, 0)</f>
        <v>61.048099999999998</v>
      </c>
      <c r="C636" s="4">
        <f>60.7101 * CHOOSE(CONTROL!$C$9, $C$13, 100%, $E$13) + CHOOSE(CONTROL!$C$28, 0.0255, 0)</f>
        <v>60.735599999999998</v>
      </c>
      <c r="D636" s="4">
        <f>58.4935 * CHOOSE(CONTROL!$C$9, $C$13, 100%, $E$13) + CHOOSE(CONTROL!$C$28, 0, 0)</f>
        <v>58.493499999999997</v>
      </c>
      <c r="E636" s="4">
        <f>346.787645817973 * CHOOSE(CONTROL!$C$9, $C$13, 100%, $E$13) + CHOOSE(CONTROL!$C$28, 0, 0)</f>
        <v>346.78764581797299</v>
      </c>
    </row>
    <row r="637" spans="1:5" ht="15">
      <c r="A637" s="13">
        <v>61270</v>
      </c>
      <c r="B637" s="4">
        <f>58.6656 * CHOOSE(CONTROL!$C$9, $C$13, 100%, $E$13) + CHOOSE(CONTROL!$C$28, 0.0255, 0)</f>
        <v>58.691099999999999</v>
      </c>
      <c r="C637" s="4">
        <f>58.3531 * CHOOSE(CONTROL!$C$9, $C$13, 100%, $E$13) + CHOOSE(CONTROL!$C$28, 0.0255, 0)</f>
        <v>58.378599999999999</v>
      </c>
      <c r="D637" s="4">
        <f>58.1966 * CHOOSE(CONTROL!$C$9, $C$13, 100%, $E$13) + CHOOSE(CONTROL!$C$28, 0, 0)</f>
        <v>58.196599999999997</v>
      </c>
      <c r="E637" s="4">
        <f>332.967863148462 * CHOOSE(CONTROL!$C$9, $C$13, 100%, $E$13) + CHOOSE(CONTROL!$C$28, 0, 0)</f>
        <v>332.96786314846202</v>
      </c>
    </row>
    <row r="638" spans="1:5" ht="15">
      <c r="A638" s="13">
        <v>61301</v>
      </c>
      <c r="B638" s="4">
        <f>56.7787 * CHOOSE(CONTROL!$C$9, $C$13, 100%, $E$13) + CHOOSE(CONTROL!$C$28, 0.0003, 0)</f>
        <v>56.779000000000003</v>
      </c>
      <c r="C638" s="4">
        <f>56.4662 * CHOOSE(CONTROL!$C$9, $C$13, 100%, $E$13) + CHOOSE(CONTROL!$C$28, 0.0003, 0)</f>
        <v>56.466500000000003</v>
      </c>
      <c r="D638" s="4">
        <f>57.4016 * CHOOSE(CONTROL!$C$9, $C$13, 100%, $E$13) + CHOOSE(CONTROL!$C$28, 0, 0)</f>
        <v>57.401600000000002</v>
      </c>
      <c r="E638" s="4">
        <f>321.904853240185 * CHOOSE(CONTROL!$C$9, $C$13, 100%, $E$13) + CHOOSE(CONTROL!$C$28, 0, 0)</f>
        <v>321.90485324018499</v>
      </c>
    </row>
    <row r="639" spans="1:5" ht="15">
      <c r="A639" s="13">
        <v>61331</v>
      </c>
      <c r="B639" s="4">
        <f>55.5634 * CHOOSE(CONTROL!$C$9, $C$13, 100%, $E$13) + CHOOSE(CONTROL!$C$28, 0.0003, 0)</f>
        <v>55.563700000000004</v>
      </c>
      <c r="C639" s="4">
        <f>55.2509 * CHOOSE(CONTROL!$C$9, $C$13, 100%, $E$13) + CHOOSE(CONTROL!$C$28, 0.0003, 0)</f>
        <v>55.251200000000004</v>
      </c>
      <c r="D639" s="4">
        <f>57.1282 * CHOOSE(CONTROL!$C$9, $C$13, 100%, $E$13) + CHOOSE(CONTROL!$C$28, 0, 0)</f>
        <v>57.1282</v>
      </c>
      <c r="E639" s="4">
        <f>314.779448725398 * CHOOSE(CONTROL!$C$9, $C$13, 100%, $E$13) + CHOOSE(CONTROL!$C$28, 0, 0)</f>
        <v>314.77944872539803</v>
      </c>
    </row>
    <row r="640" spans="1:5" ht="15">
      <c r="A640" s="13">
        <v>61362</v>
      </c>
      <c r="B640" s="4">
        <f>54.7225 * CHOOSE(CONTROL!$C$9, $C$13, 100%, $E$13) + CHOOSE(CONTROL!$C$28, 0.0003, 0)</f>
        <v>54.722799999999999</v>
      </c>
      <c r="C640" s="4">
        <f>54.41 * CHOOSE(CONTROL!$C$9, $C$13, 100%, $E$13) + CHOOSE(CONTROL!$C$28, 0.0003, 0)</f>
        <v>54.410299999999999</v>
      </c>
      <c r="D640" s="4">
        <f>55.1159 * CHOOSE(CONTROL!$C$9, $C$13, 100%, $E$13) + CHOOSE(CONTROL!$C$28, 0, 0)</f>
        <v>55.115900000000003</v>
      </c>
      <c r="E640" s="4">
        <f>309.84958473218 * CHOOSE(CONTROL!$C$9, $C$13, 100%, $E$13) + CHOOSE(CONTROL!$C$28, 0, 0)</f>
        <v>309.84958473218001</v>
      </c>
    </row>
    <row r="641" spans="1:5" ht="15">
      <c r="A641" s="13">
        <v>61393</v>
      </c>
      <c r="B641" s="4">
        <f>53.3564 * CHOOSE(CONTROL!$C$9, $C$13, 100%, $E$13) + CHOOSE(CONTROL!$C$28, 0.0003, 0)</f>
        <v>53.356700000000004</v>
      </c>
      <c r="C641" s="4">
        <f>53.0439 * CHOOSE(CONTROL!$C$9, $C$13, 100%, $E$13) + CHOOSE(CONTROL!$C$28, 0.0003, 0)</f>
        <v>53.044200000000004</v>
      </c>
      <c r="D641" s="4">
        <f>53.2664 * CHOOSE(CONTROL!$C$9, $C$13, 100%, $E$13) + CHOOSE(CONTROL!$C$28, 0, 0)</f>
        <v>53.266399999999997</v>
      </c>
      <c r="E641" s="4">
        <f>300.964279384897 * CHOOSE(CONTROL!$C$9, $C$13, 100%, $E$13) + CHOOSE(CONTROL!$C$28, 0, 0)</f>
        <v>300.964279384897</v>
      </c>
    </row>
    <row r="642" spans="1:5" ht="15">
      <c r="A642" s="13">
        <v>61422</v>
      </c>
      <c r="B642" s="4">
        <f>54.5787 * CHOOSE(CONTROL!$C$9, $C$13, 100%, $E$13) + CHOOSE(CONTROL!$C$28, 0.0003, 0)</f>
        <v>54.579000000000001</v>
      </c>
      <c r="C642" s="4">
        <f>54.2662 * CHOOSE(CONTROL!$C$9, $C$13, 100%, $E$13) + CHOOSE(CONTROL!$C$28, 0.0003, 0)</f>
        <v>54.266500000000001</v>
      </c>
      <c r="D642" s="4">
        <f>55.1289 * CHOOSE(CONTROL!$C$9, $C$13, 100%, $E$13) + CHOOSE(CONTROL!$C$28, 0, 0)</f>
        <v>55.128900000000002</v>
      </c>
      <c r="E642" s="4">
        <f>308.110357450464 * CHOOSE(CONTROL!$C$9, $C$13, 100%, $E$13) + CHOOSE(CONTROL!$C$28, 0, 0)</f>
        <v>308.11035745046399</v>
      </c>
    </row>
    <row r="643" spans="1:5" ht="15">
      <c r="A643" s="13">
        <v>61453</v>
      </c>
      <c r="B643" s="4">
        <f>57.7887 * CHOOSE(CONTROL!$C$9, $C$13, 100%, $E$13) + CHOOSE(CONTROL!$C$28, 0.0003, 0)</f>
        <v>57.789000000000001</v>
      </c>
      <c r="C643" s="4">
        <f>57.4762 * CHOOSE(CONTROL!$C$9, $C$13, 100%, $E$13) + CHOOSE(CONTROL!$C$28, 0.0003, 0)</f>
        <v>57.476500000000001</v>
      </c>
      <c r="D643" s="4">
        <f>58.0444 * CHOOSE(CONTROL!$C$9, $C$13, 100%, $E$13) + CHOOSE(CONTROL!$C$28, 0, 0)</f>
        <v>58.044400000000003</v>
      </c>
      <c r="E643" s="4">
        <f>326.876338216296 * CHOOSE(CONTROL!$C$9, $C$13, 100%, $E$13) + CHOOSE(CONTROL!$C$28, 0, 0)</f>
        <v>326.87633821629601</v>
      </c>
    </row>
    <row r="644" spans="1:5" ht="15">
      <c r="A644" s="13">
        <v>61483</v>
      </c>
      <c r="B644" s="4">
        <f>60.0695 * CHOOSE(CONTROL!$C$9, $C$13, 100%, $E$13) + CHOOSE(CONTROL!$C$28, 0.0003, 0)</f>
        <v>60.069800000000001</v>
      </c>
      <c r="C644" s="4">
        <f>59.757 * CHOOSE(CONTROL!$C$9, $C$13, 100%, $E$13) + CHOOSE(CONTROL!$C$28, 0.0003, 0)</f>
        <v>59.757300000000001</v>
      </c>
      <c r="D644" s="4">
        <f>59.7238 * CHOOSE(CONTROL!$C$9, $C$13, 100%, $E$13) + CHOOSE(CONTROL!$C$28, 0, 0)</f>
        <v>59.723799999999997</v>
      </c>
      <c r="E644" s="4">
        <f>340.209817639996 * CHOOSE(CONTROL!$C$9, $C$13, 100%, $E$13) + CHOOSE(CONTROL!$C$28, 0, 0)</f>
        <v>340.209817639996</v>
      </c>
    </row>
    <row r="645" spans="1:5" ht="15">
      <c r="A645" s="13">
        <v>61514</v>
      </c>
      <c r="B645" s="4">
        <f>61.463 * CHOOSE(CONTROL!$C$9, $C$13, 100%, $E$13) + CHOOSE(CONTROL!$C$28, 0.0255, 0)</f>
        <v>61.488500000000002</v>
      </c>
      <c r="C645" s="4">
        <f>61.1505 * CHOOSE(CONTROL!$C$9, $C$13, 100%, $E$13) + CHOOSE(CONTROL!$C$28, 0.0255, 0)</f>
        <v>61.176000000000002</v>
      </c>
      <c r="D645" s="4">
        <f>59.0602 * CHOOSE(CONTROL!$C$9, $C$13, 100%, $E$13) + CHOOSE(CONTROL!$C$28, 0, 0)</f>
        <v>59.060200000000002</v>
      </c>
      <c r="E645" s="4">
        <f>348.356254008974 * CHOOSE(CONTROL!$C$9, $C$13, 100%, $E$13) + CHOOSE(CONTROL!$C$28, 0, 0)</f>
        <v>348.35625400897402</v>
      </c>
    </row>
    <row r="646" spans="1:5" ht="15">
      <c r="A646" s="13">
        <v>61544</v>
      </c>
      <c r="B646" s="4">
        <f>61.6515 * CHOOSE(CONTROL!$C$9, $C$13, 100%, $E$13) + CHOOSE(CONTROL!$C$28, 0.0255, 0)</f>
        <v>61.677</v>
      </c>
      <c r="C646" s="4">
        <f>61.339 * CHOOSE(CONTROL!$C$9, $C$13, 100%, $E$13) + CHOOSE(CONTROL!$C$28, 0.0255, 0)</f>
        <v>61.3645</v>
      </c>
      <c r="D646" s="4">
        <f>59.6007 * CHOOSE(CONTROL!$C$9, $C$13, 100%, $E$13) + CHOOSE(CONTROL!$C$28, 0, 0)</f>
        <v>59.600700000000003</v>
      </c>
      <c r="E646" s="4">
        <f>349.458500658102 * CHOOSE(CONTROL!$C$9, $C$13, 100%, $E$13) + CHOOSE(CONTROL!$C$28, 0, 0)</f>
        <v>349.45850065810203</v>
      </c>
    </row>
    <row r="647" spans="1:5" ht="15">
      <c r="A647" s="13">
        <v>61575</v>
      </c>
      <c r="B647" s="4">
        <f>61.6325 * CHOOSE(CONTROL!$C$9, $C$13, 100%, $E$13) + CHOOSE(CONTROL!$C$28, 0.0255, 0)</f>
        <v>61.658000000000001</v>
      </c>
      <c r="C647" s="4">
        <f>61.32 * CHOOSE(CONTROL!$C$9, $C$13, 100%, $E$13) + CHOOSE(CONTROL!$C$28, 0.0255, 0)</f>
        <v>61.345500000000001</v>
      </c>
      <c r="D647" s="4">
        <f>60.5759 * CHOOSE(CONTROL!$C$9, $C$13, 100%, $E$13) + CHOOSE(CONTROL!$C$28, 0, 0)</f>
        <v>60.575899999999997</v>
      </c>
      <c r="E647" s="4">
        <f>349.347349735501 * CHOOSE(CONTROL!$C$9, $C$13, 100%, $E$13) + CHOOSE(CONTROL!$C$28, 0, 0)</f>
        <v>349.34734973550098</v>
      </c>
    </row>
    <row r="648" spans="1:5" ht="15">
      <c r="A648" s="13">
        <v>61606</v>
      </c>
      <c r="B648" s="4">
        <f>63.0632 * CHOOSE(CONTROL!$C$9, $C$13, 100%, $E$13) + CHOOSE(CONTROL!$C$28, 0.0255, 0)</f>
        <v>63.088700000000003</v>
      </c>
      <c r="C648" s="4">
        <f>62.7507 * CHOOSE(CONTROL!$C$9, $C$13, 100%, $E$13) + CHOOSE(CONTROL!$C$28, 0.0255, 0)</f>
        <v>62.776200000000003</v>
      </c>
      <c r="D648" s="4">
        <f>59.9318 * CHOOSE(CONTROL!$C$9, $C$13, 100%, $E$13) + CHOOSE(CONTROL!$C$28, 0, 0)</f>
        <v>59.931800000000003</v>
      </c>
      <c r="E648" s="4">
        <f>357.711456661239 * CHOOSE(CONTROL!$C$9, $C$13, 100%, $E$13) + CHOOSE(CONTROL!$C$28, 0, 0)</f>
        <v>357.71145666123903</v>
      </c>
    </row>
    <row r="649" spans="1:5" ht="15">
      <c r="A649" s="13">
        <v>61636</v>
      </c>
      <c r="B649" s="4">
        <f>60.6248 * CHOOSE(CONTROL!$C$9, $C$13, 100%, $E$13) + CHOOSE(CONTROL!$C$28, 0.0255, 0)</f>
        <v>60.650300000000001</v>
      </c>
      <c r="C649" s="4">
        <f>60.3123 * CHOOSE(CONTROL!$C$9, $C$13, 100%, $E$13) + CHOOSE(CONTROL!$C$28, 0.0255, 0)</f>
        <v>60.337800000000001</v>
      </c>
      <c r="D649" s="4">
        <f>59.6276 * CHOOSE(CONTROL!$C$9, $C$13, 100%, $E$13) + CHOOSE(CONTROL!$C$28, 0, 0)</f>
        <v>59.627600000000001</v>
      </c>
      <c r="E649" s="4">
        <f>343.456350837638 * CHOOSE(CONTROL!$C$9, $C$13, 100%, $E$13) + CHOOSE(CONTROL!$C$28, 0, 0)</f>
        <v>343.45635083763801</v>
      </c>
    </row>
    <row r="650" spans="1:5" ht="15">
      <c r="A650" s="13">
        <v>61667</v>
      </c>
      <c r="B650" s="4">
        <f>58.6728 * CHOOSE(CONTROL!$C$9, $C$13, 100%, $E$13) + CHOOSE(CONTROL!$C$28, 0.0003, 0)</f>
        <v>58.673100000000005</v>
      </c>
      <c r="C650" s="4">
        <f>58.3603 * CHOOSE(CONTROL!$C$9, $C$13, 100%, $E$13) + CHOOSE(CONTROL!$C$28, 0.0003, 0)</f>
        <v>58.360600000000005</v>
      </c>
      <c r="D650" s="4">
        <f>58.8128 * CHOOSE(CONTROL!$C$9, $C$13, 100%, $E$13) + CHOOSE(CONTROL!$C$28, 0, 0)</f>
        <v>58.812800000000003</v>
      </c>
      <c r="E650" s="4">
        <f>332.044856117251 * CHOOSE(CONTROL!$C$9, $C$13, 100%, $E$13) + CHOOSE(CONTROL!$C$28, 0, 0)</f>
        <v>332.04485611725102</v>
      </c>
    </row>
    <row r="651" spans="1:5" ht="15">
      <c r="A651" s="13">
        <v>61697</v>
      </c>
      <c r="B651" s="4">
        <f>57.4156 * CHOOSE(CONTROL!$C$9, $C$13, 100%, $E$13) + CHOOSE(CONTROL!$C$28, 0.0003, 0)</f>
        <v>57.415900000000001</v>
      </c>
      <c r="C651" s="4">
        <f>57.1031 * CHOOSE(CONTROL!$C$9, $C$13, 100%, $E$13) + CHOOSE(CONTROL!$C$28, 0.0003, 0)</f>
        <v>57.103400000000001</v>
      </c>
      <c r="D651" s="4">
        <f>58.5327 * CHOOSE(CONTROL!$C$9, $C$13, 100%, $E$13) + CHOOSE(CONTROL!$C$28, 0, 0)</f>
        <v>58.532699999999998</v>
      </c>
      <c r="E651" s="4">
        <f>324.695001360248 * CHOOSE(CONTROL!$C$9, $C$13, 100%, $E$13) + CHOOSE(CONTROL!$C$28, 0, 0)</f>
        <v>324.695001360248</v>
      </c>
    </row>
    <row r="652" spans="1:5" ht="15">
      <c r="A652" s="13">
        <v>61728</v>
      </c>
      <c r="B652" s="4">
        <f>56.5458 * CHOOSE(CONTROL!$C$9, $C$13, 100%, $E$13) + CHOOSE(CONTROL!$C$28, 0.0003, 0)</f>
        <v>56.546100000000003</v>
      </c>
      <c r="C652" s="4">
        <f>56.2333 * CHOOSE(CONTROL!$C$9, $C$13, 100%, $E$13) + CHOOSE(CONTROL!$C$28, 0.0003, 0)</f>
        <v>56.233600000000003</v>
      </c>
      <c r="D652" s="4">
        <f>56.4705 * CHOOSE(CONTROL!$C$9, $C$13, 100%, $E$13) + CHOOSE(CONTROL!$C$28, 0, 0)</f>
        <v>56.470500000000001</v>
      </c>
      <c r="E652" s="4">
        <f>319.609846651244 * CHOOSE(CONTROL!$C$9, $C$13, 100%, $E$13) + CHOOSE(CONTROL!$C$28, 0, 0)</f>
        <v>319.60984665124403</v>
      </c>
    </row>
    <row r="653" spans="1:5" ht="15">
      <c r="A653" s="13">
        <v>61759</v>
      </c>
      <c r="B653" s="4">
        <f>55.1325 * CHOOSE(CONTROL!$C$9, $C$13, 100%, $E$13) + CHOOSE(CONTROL!$C$28, 0.0003, 0)</f>
        <v>55.132800000000003</v>
      </c>
      <c r="C653" s="4">
        <f>54.82 * CHOOSE(CONTROL!$C$9, $C$13, 100%, $E$13) + CHOOSE(CONTROL!$C$28, 0.0003, 0)</f>
        <v>54.820300000000003</v>
      </c>
      <c r="D653" s="4">
        <f>54.5751 * CHOOSE(CONTROL!$C$9, $C$13, 100%, $E$13) + CHOOSE(CONTROL!$C$28, 0, 0)</f>
        <v>54.575099999999999</v>
      </c>
      <c r="E653" s="4">
        <f>310.444654185521 * CHOOSE(CONTROL!$C$9, $C$13, 100%, $E$13) + CHOOSE(CONTROL!$C$28, 0, 0)</f>
        <v>310.44465418552102</v>
      </c>
    </row>
    <row r="654" spans="1:5" ht="15">
      <c r="A654" s="13">
        <v>61787</v>
      </c>
      <c r="B654" s="4">
        <f>56.397 * CHOOSE(CONTROL!$C$9, $C$13, 100%, $E$13) + CHOOSE(CONTROL!$C$28, 0.0003, 0)</f>
        <v>56.397300000000001</v>
      </c>
      <c r="C654" s="4">
        <f>56.0845 * CHOOSE(CONTROL!$C$9, $C$13, 100%, $E$13) + CHOOSE(CONTROL!$C$28, 0.0003, 0)</f>
        <v>56.084800000000001</v>
      </c>
      <c r="D654" s="4">
        <f>56.4838 * CHOOSE(CONTROL!$C$9, $C$13, 100%, $E$13) + CHOOSE(CONTROL!$C$28, 0, 0)</f>
        <v>56.483800000000002</v>
      </c>
      <c r="E654" s="4">
        <f>317.815833710154 * CHOOSE(CONTROL!$C$9, $C$13, 100%, $E$13) + CHOOSE(CONTROL!$C$28, 0, 0)</f>
        <v>317.81583371015398</v>
      </c>
    </row>
    <row r="655" spans="1:5" ht="15">
      <c r="A655" s="13">
        <v>61818</v>
      </c>
      <c r="B655" s="4">
        <f>59.7178 * CHOOSE(CONTROL!$C$9, $C$13, 100%, $E$13) + CHOOSE(CONTROL!$C$28, 0.0003, 0)</f>
        <v>59.7181</v>
      </c>
      <c r="C655" s="4">
        <f>59.4053 * CHOOSE(CONTROL!$C$9, $C$13, 100%, $E$13) + CHOOSE(CONTROL!$C$28, 0.0003, 0)</f>
        <v>59.4056</v>
      </c>
      <c r="D655" s="4">
        <f>59.4716 * CHOOSE(CONTROL!$C$9, $C$13, 100%, $E$13) + CHOOSE(CONTROL!$C$28, 0, 0)</f>
        <v>59.471600000000002</v>
      </c>
      <c r="E655" s="4">
        <f>337.172942870109 * CHOOSE(CONTROL!$C$9, $C$13, 100%, $E$13) + CHOOSE(CONTROL!$C$28, 0, 0)</f>
        <v>337.17294287010901</v>
      </c>
    </row>
    <row r="656" spans="1:5" ht="15">
      <c r="A656" s="13">
        <v>61848</v>
      </c>
      <c r="B656" s="4">
        <f>62.0772 * CHOOSE(CONTROL!$C$9, $C$13, 100%, $E$13) + CHOOSE(CONTROL!$C$28, 0.0003, 0)</f>
        <v>62.077500000000001</v>
      </c>
      <c r="C656" s="4">
        <f>61.7647 * CHOOSE(CONTROL!$C$9, $C$13, 100%, $E$13) + CHOOSE(CONTROL!$C$28, 0.0003, 0)</f>
        <v>61.765000000000001</v>
      </c>
      <c r="D656" s="4">
        <f>61.1926 * CHOOSE(CONTROL!$C$9, $C$13, 100%, $E$13) + CHOOSE(CONTROL!$C$28, 0, 0)</f>
        <v>61.192599999999999</v>
      </c>
      <c r="E656" s="4">
        <f>350.926426895656 * CHOOSE(CONTROL!$C$9, $C$13, 100%, $E$13) + CHOOSE(CONTROL!$C$28, 0, 0)</f>
        <v>350.92642689565599</v>
      </c>
    </row>
    <row r="657" spans="1:5" ht="15">
      <c r="A657" s="13">
        <v>61879</v>
      </c>
      <c r="B657" s="4">
        <f>63.5188 * CHOOSE(CONTROL!$C$9, $C$13, 100%, $E$13) + CHOOSE(CONTROL!$C$28, 0.0255, 0)</f>
        <v>63.5443</v>
      </c>
      <c r="C657" s="4">
        <f>63.2063 * CHOOSE(CONTROL!$C$9, $C$13, 100%, $E$13) + CHOOSE(CONTROL!$C$28, 0.0255, 0)</f>
        <v>63.2318</v>
      </c>
      <c r="D657" s="4">
        <f>60.5126 * CHOOSE(CONTROL!$C$9, $C$13, 100%, $E$13) + CHOOSE(CONTROL!$C$28, 0, 0)</f>
        <v>60.512599999999999</v>
      </c>
      <c r="E657" s="4">
        <f>359.329476010256 * CHOOSE(CONTROL!$C$9, $C$13, 100%, $E$13) + CHOOSE(CONTROL!$C$28, 0, 0)</f>
        <v>359.32947601025597</v>
      </c>
    </row>
    <row r="658" spans="1:5" ht="15">
      <c r="A658" s="13">
        <v>61909</v>
      </c>
      <c r="B658" s="4">
        <f>63.7138 * CHOOSE(CONTROL!$C$9, $C$13, 100%, $E$13) + CHOOSE(CONTROL!$C$28, 0.0255, 0)</f>
        <v>63.7393</v>
      </c>
      <c r="C658" s="4">
        <f>63.4013 * CHOOSE(CONTROL!$C$9, $C$13, 100%, $E$13) + CHOOSE(CONTROL!$C$28, 0.0255, 0)</f>
        <v>63.4268</v>
      </c>
      <c r="D658" s="4">
        <f>61.0664 * CHOOSE(CONTROL!$C$9, $C$13, 100%, $E$13) + CHOOSE(CONTROL!$C$28, 0, 0)</f>
        <v>61.066400000000002</v>
      </c>
      <c r="E658" s="4">
        <f>360.466443428832 * CHOOSE(CONTROL!$C$9, $C$13, 100%, $E$13) + CHOOSE(CONTROL!$C$28, 0, 0)</f>
        <v>360.46644342883201</v>
      </c>
    </row>
    <row r="659" spans="1:5" ht="15">
      <c r="A659" s="13">
        <v>61940</v>
      </c>
      <c r="B659" s="4">
        <f>63.6941 * CHOOSE(CONTROL!$C$9, $C$13, 100%, $E$13) + CHOOSE(CONTROL!$C$28, 0.0255, 0)</f>
        <v>63.7196</v>
      </c>
      <c r="C659" s="4">
        <f>63.3816 * CHOOSE(CONTROL!$C$9, $C$13, 100%, $E$13) + CHOOSE(CONTROL!$C$28, 0.0255, 0)</f>
        <v>63.4071</v>
      </c>
      <c r="D659" s="4">
        <f>62.0658 * CHOOSE(CONTROL!$C$9, $C$13, 100%, $E$13) + CHOOSE(CONTROL!$C$28, 0, 0)</f>
        <v>62.065800000000003</v>
      </c>
      <c r="E659" s="4">
        <f>360.351791252169 * CHOOSE(CONTROL!$C$9, $C$13, 100%, $E$13) + CHOOSE(CONTROL!$C$28, 0, 0)</f>
        <v>360.35179125216899</v>
      </c>
    </row>
    <row r="660" spans="1:5" ht="15">
      <c r="A660" s="13">
        <v>61971</v>
      </c>
      <c r="B660" s="4">
        <f>65.1742 * CHOOSE(CONTROL!$C$9, $C$13, 100%, $E$13) + CHOOSE(CONTROL!$C$28, 0.0255, 0)</f>
        <v>65.199699999999993</v>
      </c>
      <c r="C660" s="4">
        <f>64.8617 * CHOOSE(CONTROL!$C$9, $C$13, 100%, $E$13) + CHOOSE(CONTROL!$C$28, 0.0255, 0)</f>
        <v>64.887199999999993</v>
      </c>
      <c r="D660" s="4">
        <f>61.4058 * CHOOSE(CONTROL!$C$9, $C$13, 100%, $E$13) + CHOOSE(CONTROL!$C$28, 0, 0)</f>
        <v>61.405799999999999</v>
      </c>
      <c r="E660" s="4">
        <f>368.979367546068 * CHOOSE(CONTROL!$C$9, $C$13, 100%, $E$13) + CHOOSE(CONTROL!$C$28, 0, 0)</f>
        <v>368.97936754606798</v>
      </c>
    </row>
    <row r="661" spans="1:5" ht="15">
      <c r="A661" s="13">
        <v>62001</v>
      </c>
      <c r="B661" s="4">
        <f>62.6517 * CHOOSE(CONTROL!$C$9, $C$13, 100%, $E$13) + CHOOSE(CONTROL!$C$28, 0.0255, 0)</f>
        <v>62.677199999999999</v>
      </c>
      <c r="C661" s="4">
        <f>62.3392 * CHOOSE(CONTROL!$C$9, $C$13, 100%, $E$13) + CHOOSE(CONTROL!$C$28, 0.0255, 0)</f>
        <v>62.364699999999999</v>
      </c>
      <c r="D661" s="4">
        <f>61.094 * CHOOSE(CONTROL!$C$9, $C$13, 100%, $E$13) + CHOOSE(CONTROL!$C$28, 0, 0)</f>
        <v>61.094000000000001</v>
      </c>
      <c r="E661" s="4">
        <f>354.275225889024 * CHOOSE(CONTROL!$C$9, $C$13, 100%, $E$13) + CHOOSE(CONTROL!$C$28, 0, 0)</f>
        <v>354.275225889024</v>
      </c>
    </row>
    <row r="662" spans="1:5" ht="15">
      <c r="A662" s="13">
        <v>62032</v>
      </c>
      <c r="B662" s="4">
        <f>60.6324 * CHOOSE(CONTROL!$C$9, $C$13, 100%, $E$13) + CHOOSE(CONTROL!$C$28, 0.0003, 0)</f>
        <v>60.6327</v>
      </c>
      <c r="C662" s="4">
        <f>60.3199 * CHOOSE(CONTROL!$C$9, $C$13, 100%, $E$13) + CHOOSE(CONTROL!$C$28, 0.0003, 0)</f>
        <v>60.3202</v>
      </c>
      <c r="D662" s="4">
        <f>60.259 * CHOOSE(CONTROL!$C$9, $C$13, 100%, $E$13) + CHOOSE(CONTROL!$C$28, 0, 0)</f>
        <v>60.259</v>
      </c>
      <c r="E662" s="4">
        <f>342.504269084944 * CHOOSE(CONTROL!$C$9, $C$13, 100%, $E$13) + CHOOSE(CONTROL!$C$28, 0, 0)</f>
        <v>342.50426908494399</v>
      </c>
    </row>
    <row r="663" spans="1:5" ht="15">
      <c r="A663" s="13">
        <v>62062</v>
      </c>
      <c r="B663" s="4">
        <f>59.3318 * CHOOSE(CONTROL!$C$9, $C$13, 100%, $E$13) + CHOOSE(CONTROL!$C$28, 0.0003, 0)</f>
        <v>59.332100000000004</v>
      </c>
      <c r="C663" s="4">
        <f>59.0193 * CHOOSE(CONTROL!$C$9, $C$13, 100%, $E$13) + CHOOSE(CONTROL!$C$28, 0.0003, 0)</f>
        <v>59.019600000000004</v>
      </c>
      <c r="D663" s="4">
        <f>59.972 * CHOOSE(CONTROL!$C$9, $C$13, 100%, $E$13) + CHOOSE(CONTROL!$C$28, 0, 0)</f>
        <v>59.972000000000001</v>
      </c>
      <c r="E663" s="4">
        <f>334.922893903096 * CHOOSE(CONTROL!$C$9, $C$13, 100%, $E$13) + CHOOSE(CONTROL!$C$28, 0, 0)</f>
        <v>334.922893903096</v>
      </c>
    </row>
    <row r="664" spans="1:5" ht="15">
      <c r="A664" s="13">
        <v>62093</v>
      </c>
      <c r="B664" s="4">
        <f>58.4319 * CHOOSE(CONTROL!$C$9, $C$13, 100%, $E$13) + CHOOSE(CONTROL!$C$28, 0.0003, 0)</f>
        <v>58.432200000000002</v>
      </c>
      <c r="C664" s="4">
        <f>58.1194 * CHOOSE(CONTROL!$C$9, $C$13, 100%, $E$13) + CHOOSE(CONTROL!$C$28, 0.0003, 0)</f>
        <v>58.119700000000002</v>
      </c>
      <c r="D664" s="4">
        <f>57.8586 * CHOOSE(CONTROL!$C$9, $C$13, 100%, $E$13) + CHOOSE(CONTROL!$C$28, 0, 0)</f>
        <v>57.858600000000003</v>
      </c>
      <c r="E664" s="4">
        <f>329.677556820758 * CHOOSE(CONTROL!$C$9, $C$13, 100%, $E$13) + CHOOSE(CONTROL!$C$28, 0, 0)</f>
        <v>329.67755682075801</v>
      </c>
    </row>
    <row r="665" spans="1:5" ht="15">
      <c r="A665" s="13">
        <v>62124</v>
      </c>
      <c r="B665" s="4">
        <f>56.9698 * CHOOSE(CONTROL!$C$9, $C$13, 100%, $E$13) + CHOOSE(CONTROL!$C$28, 0.0003, 0)</f>
        <v>56.970100000000002</v>
      </c>
      <c r="C665" s="4">
        <f>56.6573 * CHOOSE(CONTROL!$C$9, $C$13, 100%, $E$13) + CHOOSE(CONTROL!$C$28, 0.0003, 0)</f>
        <v>56.657600000000002</v>
      </c>
      <c r="D665" s="4">
        <f>55.9163 * CHOOSE(CONTROL!$C$9, $C$13, 100%, $E$13) + CHOOSE(CONTROL!$C$28, 0, 0)</f>
        <v>55.9163</v>
      </c>
      <c r="E665" s="4">
        <f>320.223660792365 * CHOOSE(CONTROL!$C$9, $C$13, 100%, $E$13) + CHOOSE(CONTROL!$C$28, 0, 0)</f>
        <v>320.22366079236502</v>
      </c>
    </row>
    <row r="666" spans="1:5" ht="15">
      <c r="A666" s="13">
        <v>62152</v>
      </c>
      <c r="B666" s="4">
        <f>58.278 * CHOOSE(CONTROL!$C$9, $C$13, 100%, $E$13) + CHOOSE(CONTROL!$C$28, 0.0003, 0)</f>
        <v>58.278300000000002</v>
      </c>
      <c r="C666" s="4">
        <f>57.9655 * CHOOSE(CONTROL!$C$9, $C$13, 100%, $E$13) + CHOOSE(CONTROL!$C$28, 0.0003, 0)</f>
        <v>57.965800000000002</v>
      </c>
      <c r="D666" s="4">
        <f>57.8722 * CHOOSE(CONTROL!$C$9, $C$13, 100%, $E$13) + CHOOSE(CONTROL!$C$28, 0, 0)</f>
        <v>57.872199999999999</v>
      </c>
      <c r="E666" s="4">
        <f>327.827032472023 * CHOOSE(CONTROL!$C$9, $C$13, 100%, $E$13) + CHOOSE(CONTROL!$C$28, 0, 0)</f>
        <v>327.82703247202301</v>
      </c>
    </row>
    <row r="667" spans="1:5" ht="15">
      <c r="A667" s="13">
        <v>62183</v>
      </c>
      <c r="B667" s="4">
        <f>61.7133 * CHOOSE(CONTROL!$C$9, $C$13, 100%, $E$13) + CHOOSE(CONTROL!$C$28, 0.0003, 0)</f>
        <v>61.7136</v>
      </c>
      <c r="C667" s="4">
        <f>61.4008 * CHOOSE(CONTROL!$C$9, $C$13, 100%, $E$13) + CHOOSE(CONTROL!$C$28, 0.0003, 0)</f>
        <v>61.4011</v>
      </c>
      <c r="D667" s="4">
        <f>60.9341 * CHOOSE(CONTROL!$C$9, $C$13, 100%, $E$13) + CHOOSE(CONTROL!$C$28, 0, 0)</f>
        <v>60.934100000000001</v>
      </c>
      <c r="E667" s="4">
        <f>347.793890570518 * CHOOSE(CONTROL!$C$9, $C$13, 100%, $E$13) + CHOOSE(CONTROL!$C$28, 0, 0)</f>
        <v>347.79389057051799</v>
      </c>
    </row>
    <row r="668" spans="1:5" ht="15">
      <c r="A668" s="13">
        <v>62213</v>
      </c>
      <c r="B668" s="4">
        <f>64.1542 * CHOOSE(CONTROL!$C$9, $C$13, 100%, $E$13) + CHOOSE(CONTROL!$C$28, 0.0003, 0)</f>
        <v>64.154499999999999</v>
      </c>
      <c r="C668" s="4">
        <f>63.8417 * CHOOSE(CONTROL!$C$9, $C$13, 100%, $E$13) + CHOOSE(CONTROL!$C$28, 0.0003, 0)</f>
        <v>63.842000000000006</v>
      </c>
      <c r="D668" s="4">
        <f>62.6979 * CHOOSE(CONTROL!$C$9, $C$13, 100%, $E$13) + CHOOSE(CONTROL!$C$28, 0, 0)</f>
        <v>62.697899999999997</v>
      </c>
      <c r="E668" s="4">
        <f>361.980609342869 * CHOOSE(CONTROL!$C$9, $C$13, 100%, $E$13) + CHOOSE(CONTROL!$C$28, 0, 0)</f>
        <v>361.980609342869</v>
      </c>
    </row>
    <row r="669" spans="1:5" ht="15">
      <c r="A669" s="13">
        <v>62244</v>
      </c>
      <c r="B669" s="4">
        <f>65.6455 * CHOOSE(CONTROL!$C$9, $C$13, 100%, $E$13) + CHOOSE(CONTROL!$C$28, 0.0255, 0)</f>
        <v>65.670999999999992</v>
      </c>
      <c r="C669" s="4">
        <f>65.333 * CHOOSE(CONTROL!$C$9, $C$13, 100%, $E$13) + CHOOSE(CONTROL!$C$28, 0.0255, 0)</f>
        <v>65.358499999999992</v>
      </c>
      <c r="D669" s="4">
        <f>62.0009 * CHOOSE(CONTROL!$C$9, $C$13, 100%, $E$13) + CHOOSE(CONTROL!$C$28, 0, 0)</f>
        <v>62.000900000000001</v>
      </c>
      <c r="E669" s="4">
        <f>370.648354504579 * CHOOSE(CONTROL!$C$9, $C$13, 100%, $E$13) + CHOOSE(CONTROL!$C$28, 0, 0)</f>
        <v>370.648354504579</v>
      </c>
    </row>
    <row r="670" spans="1:5" ht="15">
      <c r="A670" s="13">
        <v>62274</v>
      </c>
      <c r="B670" s="4">
        <f>65.8473 * CHOOSE(CONTROL!$C$9, $C$13, 100%, $E$13) + CHOOSE(CONTROL!$C$28, 0.0255, 0)</f>
        <v>65.872799999999998</v>
      </c>
      <c r="C670" s="4">
        <f>65.5348 * CHOOSE(CONTROL!$C$9, $C$13, 100%, $E$13) + CHOOSE(CONTROL!$C$28, 0.0255, 0)</f>
        <v>65.560299999999998</v>
      </c>
      <c r="D670" s="4">
        <f>62.5686 * CHOOSE(CONTROL!$C$9, $C$13, 100%, $E$13) + CHOOSE(CONTROL!$C$28, 0, 0)</f>
        <v>62.568600000000004</v>
      </c>
      <c r="E670" s="4">
        <f>371.82113639684 * CHOOSE(CONTROL!$C$9, $C$13, 100%, $E$13) + CHOOSE(CONTROL!$C$28, 0, 0)</f>
        <v>371.82113639684002</v>
      </c>
    </row>
    <row r="671" spans="1:5" ht="15">
      <c r="A671" s="13">
        <v>62305</v>
      </c>
      <c r="B671" s="4">
        <f>65.8269 * CHOOSE(CONTROL!$C$9, $C$13, 100%, $E$13) + CHOOSE(CONTROL!$C$28, 0.0255, 0)</f>
        <v>65.852399999999989</v>
      </c>
      <c r="C671" s="4">
        <f>65.5144 * CHOOSE(CONTROL!$C$9, $C$13, 100%, $E$13) + CHOOSE(CONTROL!$C$28, 0.0255, 0)</f>
        <v>65.539899999999989</v>
      </c>
      <c r="D671" s="4">
        <f>63.5927 * CHOOSE(CONTROL!$C$9, $C$13, 100%, $E$13) + CHOOSE(CONTROL!$C$28, 0, 0)</f>
        <v>63.592700000000001</v>
      </c>
      <c r="E671" s="4">
        <f>371.702872676612 * CHOOSE(CONTROL!$C$9, $C$13, 100%, $E$13) + CHOOSE(CONTROL!$C$28, 0, 0)</f>
        <v>371.702872676612</v>
      </c>
    </row>
    <row r="672" spans="1:5" ht="15">
      <c r="A672" s="13">
        <v>62336</v>
      </c>
      <c r="B672" s="4">
        <f>67.358 * CHOOSE(CONTROL!$C$9, $C$13, 100%, $E$13) + CHOOSE(CONTROL!$C$28, 0.0255, 0)</f>
        <v>67.383499999999998</v>
      </c>
      <c r="C672" s="4">
        <f>67.0455 * CHOOSE(CONTROL!$C$9, $C$13, 100%, $E$13) + CHOOSE(CONTROL!$C$28, 0.0255, 0)</f>
        <v>67.070999999999998</v>
      </c>
      <c r="D672" s="4">
        <f>62.9164 * CHOOSE(CONTROL!$C$9, $C$13, 100%, $E$13) + CHOOSE(CONTROL!$C$28, 0, 0)</f>
        <v>62.916400000000003</v>
      </c>
      <c r="E672" s="4">
        <f>380.60221762377 * CHOOSE(CONTROL!$C$9, $C$13, 100%, $E$13) + CHOOSE(CONTROL!$C$28, 0, 0)</f>
        <v>380.60221762377</v>
      </c>
    </row>
    <row r="673" spans="1:5" ht="15">
      <c r="A673" s="13">
        <v>62366</v>
      </c>
      <c r="B673" s="4">
        <f>64.7485 * CHOOSE(CONTROL!$C$9, $C$13, 100%, $E$13) + CHOOSE(CONTROL!$C$28, 0.0255, 0)</f>
        <v>64.774000000000001</v>
      </c>
      <c r="C673" s="4">
        <f>64.436 * CHOOSE(CONTROL!$C$9, $C$13, 100%, $E$13) + CHOOSE(CONTROL!$C$28, 0.0255, 0)</f>
        <v>64.461500000000001</v>
      </c>
      <c r="D673" s="4">
        <f>62.5968 * CHOOSE(CONTROL!$C$9, $C$13, 100%, $E$13) + CHOOSE(CONTROL!$C$28, 0, 0)</f>
        <v>62.596800000000002</v>
      </c>
      <c r="E673" s="4">
        <f>365.434895504528 * CHOOSE(CONTROL!$C$9, $C$13, 100%, $E$13) + CHOOSE(CONTROL!$C$28, 0, 0)</f>
        <v>365.43489550452801</v>
      </c>
    </row>
    <row r="674" spans="1:5" ht="15">
      <c r="A674" s="13">
        <v>62397</v>
      </c>
      <c r="B674" s="4">
        <f>62.6595 * CHOOSE(CONTROL!$C$9, $C$13, 100%, $E$13) + CHOOSE(CONTROL!$C$28, 0.0003, 0)</f>
        <v>62.659800000000004</v>
      </c>
      <c r="C674" s="4">
        <f>62.347 * CHOOSE(CONTROL!$C$9, $C$13, 100%, $E$13) + CHOOSE(CONTROL!$C$28, 0.0003, 0)</f>
        <v>62.347300000000004</v>
      </c>
      <c r="D674" s="4">
        <f>61.7411 * CHOOSE(CONTROL!$C$9, $C$13, 100%, $E$13) + CHOOSE(CONTROL!$C$28, 0, 0)</f>
        <v>61.741100000000003</v>
      </c>
      <c r="E674" s="4">
        <f>353.29315356112 * CHOOSE(CONTROL!$C$9, $C$13, 100%, $E$13) + CHOOSE(CONTROL!$C$28, 0, 0)</f>
        <v>353.29315356111999</v>
      </c>
    </row>
    <row r="675" spans="1:5" ht="15">
      <c r="A675" s="13">
        <v>62427</v>
      </c>
      <c r="B675" s="4">
        <f>61.314 * CHOOSE(CONTROL!$C$9, $C$13, 100%, $E$13) + CHOOSE(CONTROL!$C$28, 0.0003, 0)</f>
        <v>61.314300000000003</v>
      </c>
      <c r="C675" s="4">
        <f>61.0015 * CHOOSE(CONTROL!$C$9, $C$13, 100%, $E$13) + CHOOSE(CONTROL!$C$28, 0.0003, 0)</f>
        <v>61.001800000000003</v>
      </c>
      <c r="D675" s="4">
        <f>61.447 * CHOOSE(CONTROL!$C$9, $C$13, 100%, $E$13) + CHOOSE(CONTROL!$C$28, 0, 0)</f>
        <v>61.447000000000003</v>
      </c>
      <c r="E675" s="4">
        <f>345.472965061043 * CHOOSE(CONTROL!$C$9, $C$13, 100%, $E$13) + CHOOSE(CONTROL!$C$28, 0, 0)</f>
        <v>345.472965061043</v>
      </c>
    </row>
    <row r="676" spans="1:5" ht="15">
      <c r="A676" s="13">
        <v>62458</v>
      </c>
      <c r="B676" s="4">
        <f>60.3831 * CHOOSE(CONTROL!$C$9, $C$13, 100%, $E$13) + CHOOSE(CONTROL!$C$28, 0.0003, 0)</f>
        <v>60.383400000000002</v>
      </c>
      <c r="C676" s="4">
        <f>60.0706 * CHOOSE(CONTROL!$C$9, $C$13, 100%, $E$13) + CHOOSE(CONTROL!$C$28, 0.0003, 0)</f>
        <v>60.070900000000002</v>
      </c>
      <c r="D676" s="4">
        <f>59.2812 * CHOOSE(CONTROL!$C$9, $C$13, 100%, $E$13) + CHOOSE(CONTROL!$C$28, 0, 0)</f>
        <v>59.281199999999998</v>
      </c>
      <c r="E676" s="4">
        <f>340.062399860612 * CHOOSE(CONTROL!$C$9, $C$13, 100%, $E$13) + CHOOSE(CONTROL!$C$28, 0, 0)</f>
        <v>340.062399860612</v>
      </c>
    </row>
    <row r="677" spans="1:5" ht="15">
      <c r="A677" s="13">
        <v>62489</v>
      </c>
      <c r="B677" s="4">
        <f>58.8706 * CHOOSE(CONTROL!$C$9, $C$13, 100%, $E$13) + CHOOSE(CONTROL!$C$28, 0.0003, 0)</f>
        <v>58.870900000000006</v>
      </c>
      <c r="C677" s="4">
        <f>58.5581 * CHOOSE(CONTROL!$C$9, $C$13, 100%, $E$13) + CHOOSE(CONTROL!$C$28, 0.0003, 0)</f>
        <v>58.558400000000006</v>
      </c>
      <c r="D677" s="4">
        <f>57.2907 * CHOOSE(CONTROL!$C$9, $C$13, 100%, $E$13) + CHOOSE(CONTROL!$C$28, 0, 0)</f>
        <v>57.290700000000001</v>
      </c>
      <c r="E677" s="4">
        <f>330.310706107324 * CHOOSE(CONTROL!$C$9, $C$13, 100%, $E$13) + CHOOSE(CONTROL!$C$28, 0, 0)</f>
        <v>330.31070610732399</v>
      </c>
    </row>
    <row r="678" spans="1:5" ht="15">
      <c r="A678" s="13">
        <v>62517</v>
      </c>
      <c r="B678" s="4">
        <f>60.2239 * CHOOSE(CONTROL!$C$9, $C$13, 100%, $E$13) + CHOOSE(CONTROL!$C$28, 0.0003, 0)</f>
        <v>60.224200000000003</v>
      </c>
      <c r="C678" s="4">
        <f>59.9114 * CHOOSE(CONTROL!$C$9, $C$13, 100%, $E$13) + CHOOSE(CONTROL!$C$28, 0.0003, 0)</f>
        <v>59.911700000000003</v>
      </c>
      <c r="D678" s="4">
        <f>59.2951 * CHOOSE(CONTROL!$C$9, $C$13, 100%, $E$13) + CHOOSE(CONTROL!$C$28, 0, 0)</f>
        <v>59.295099999999998</v>
      </c>
      <c r="E678" s="4">
        <f>338.153583994892 * CHOOSE(CONTROL!$C$9, $C$13, 100%, $E$13) + CHOOSE(CONTROL!$C$28, 0, 0)</f>
        <v>338.15358399489202</v>
      </c>
    </row>
    <row r="679" spans="1:5" ht="15">
      <c r="A679" s="13">
        <v>62548</v>
      </c>
      <c r="B679" s="4">
        <f>63.7778 * CHOOSE(CONTROL!$C$9, $C$13, 100%, $E$13) + CHOOSE(CONTROL!$C$28, 0.0003, 0)</f>
        <v>63.778100000000002</v>
      </c>
      <c r="C679" s="4">
        <f>63.4653 * CHOOSE(CONTROL!$C$9, $C$13, 100%, $E$13) + CHOOSE(CONTROL!$C$28, 0.0003, 0)</f>
        <v>63.465600000000002</v>
      </c>
      <c r="D679" s="4">
        <f>62.433 * CHOOSE(CONTROL!$C$9, $C$13, 100%, $E$13) + CHOOSE(CONTROL!$C$28, 0, 0)</f>
        <v>62.433</v>
      </c>
      <c r="E679" s="4">
        <f>358.749398123489 * CHOOSE(CONTROL!$C$9, $C$13, 100%, $E$13) + CHOOSE(CONTROL!$C$28, 0, 0)</f>
        <v>358.74939812348902</v>
      </c>
    </row>
    <row r="680" spans="1:5" ht="15">
      <c r="A680" s="13">
        <v>62578</v>
      </c>
      <c r="B680" s="4">
        <f>66.3028 * CHOOSE(CONTROL!$C$9, $C$13, 100%, $E$13) + CHOOSE(CONTROL!$C$28, 0.0003, 0)</f>
        <v>66.303100000000001</v>
      </c>
      <c r="C680" s="4">
        <f>65.9903 * CHOOSE(CONTROL!$C$9, $C$13, 100%, $E$13) + CHOOSE(CONTROL!$C$28, 0.0003, 0)</f>
        <v>65.990600000000001</v>
      </c>
      <c r="D680" s="4">
        <f>64.2405 * CHOOSE(CONTROL!$C$9, $C$13, 100%, $E$13) + CHOOSE(CONTROL!$C$28, 0, 0)</f>
        <v>64.240499999999997</v>
      </c>
      <c r="E680" s="4">
        <f>373.382998537169 * CHOOSE(CONTROL!$C$9, $C$13, 100%, $E$13) + CHOOSE(CONTROL!$C$28, 0, 0)</f>
        <v>373.38299853716899</v>
      </c>
    </row>
    <row r="681" spans="1:5" ht="15">
      <c r="A681" s="13">
        <v>62609</v>
      </c>
      <c r="B681" s="4">
        <f>67.8456 * CHOOSE(CONTROL!$C$9, $C$13, 100%, $E$13) + CHOOSE(CONTROL!$C$28, 0.0255, 0)</f>
        <v>67.871099999999998</v>
      </c>
      <c r="C681" s="4">
        <f>67.5331 * CHOOSE(CONTROL!$C$9, $C$13, 100%, $E$13) + CHOOSE(CONTROL!$C$28, 0.0255, 0)</f>
        <v>67.558599999999998</v>
      </c>
      <c r="D681" s="4">
        <f>63.5262 * CHOOSE(CONTROL!$C$9, $C$13, 100%, $E$13) + CHOOSE(CONTROL!$C$28, 0, 0)</f>
        <v>63.526200000000003</v>
      </c>
      <c r="E681" s="4">
        <f>382.323777671474 * CHOOSE(CONTROL!$C$9, $C$13, 100%, $E$13) + CHOOSE(CONTROL!$C$28, 0, 0)</f>
        <v>382.32377767147398</v>
      </c>
    </row>
    <row r="682" spans="1:5" ht="15">
      <c r="A682" s="13">
        <v>62639</v>
      </c>
      <c r="B682" s="4">
        <f>68.0543 * CHOOSE(CONTROL!$C$9, $C$13, 100%, $E$13) + CHOOSE(CONTROL!$C$28, 0.0255, 0)</f>
        <v>68.079799999999992</v>
      </c>
      <c r="C682" s="4">
        <f>67.7418 * CHOOSE(CONTROL!$C$9, $C$13, 100%, $E$13) + CHOOSE(CONTROL!$C$28, 0.0255, 0)</f>
        <v>67.767299999999992</v>
      </c>
      <c r="D682" s="4">
        <f>64.1079 * CHOOSE(CONTROL!$C$9, $C$13, 100%, $E$13) + CHOOSE(CONTROL!$C$28, 0, 0)</f>
        <v>64.107900000000001</v>
      </c>
      <c r="E682" s="4">
        <f>383.533502193341 * CHOOSE(CONTROL!$C$9, $C$13, 100%, $E$13) + CHOOSE(CONTROL!$C$28, 0, 0)</f>
        <v>383.53350219334101</v>
      </c>
    </row>
    <row r="683" spans="1:5" ht="15">
      <c r="A683" s="13">
        <v>62670</v>
      </c>
      <c r="B683" s="4">
        <f>68.0332 * CHOOSE(CONTROL!$C$9, $C$13, 100%, $E$13) + CHOOSE(CONTROL!$C$28, 0.0255, 0)</f>
        <v>68.058699999999988</v>
      </c>
      <c r="C683" s="4">
        <f>67.7207 * CHOOSE(CONTROL!$C$9, $C$13, 100%, $E$13) + CHOOSE(CONTROL!$C$28, 0.0255, 0)</f>
        <v>67.746199999999988</v>
      </c>
      <c r="D683" s="4">
        <f>65.1575 * CHOOSE(CONTROL!$C$9, $C$13, 100%, $E$13) + CHOOSE(CONTROL!$C$28, 0, 0)</f>
        <v>65.157499999999999</v>
      </c>
      <c r="E683" s="4">
        <f>383.411513165926 * CHOOSE(CONTROL!$C$9, $C$13, 100%, $E$13) + CHOOSE(CONTROL!$C$28, 0, 0)</f>
        <v>383.41151316592601</v>
      </c>
    </row>
    <row r="684" spans="1:5" ht="15">
      <c r="A684" s="13">
        <v>62701</v>
      </c>
      <c r="B684" s="4">
        <f>69.6172 * CHOOSE(CONTROL!$C$9, $C$13, 100%, $E$13) + CHOOSE(CONTROL!$C$28, 0.0255, 0)</f>
        <v>69.642699999999991</v>
      </c>
      <c r="C684" s="4">
        <f>69.3047 * CHOOSE(CONTROL!$C$9, $C$13, 100%, $E$13) + CHOOSE(CONTROL!$C$28, 0.0255, 0)</f>
        <v>69.330199999999991</v>
      </c>
      <c r="D684" s="4">
        <f>64.4644 * CHOOSE(CONTROL!$C$9, $C$13, 100%, $E$13) + CHOOSE(CONTROL!$C$28, 0, 0)</f>
        <v>64.464399999999998</v>
      </c>
      <c r="E684" s="4">
        <f>392.591187478918 * CHOOSE(CONTROL!$C$9, $C$13, 100%, $E$13) + CHOOSE(CONTROL!$C$28, 0, 0)</f>
        <v>392.59118747891802</v>
      </c>
    </row>
    <row r="685" spans="1:5" ht="15">
      <c r="A685" s="13">
        <v>62731</v>
      </c>
      <c r="B685" s="4">
        <f>66.9176 * CHOOSE(CONTROL!$C$9, $C$13, 100%, $E$13) + CHOOSE(CONTROL!$C$28, 0.0255, 0)</f>
        <v>66.943099999999987</v>
      </c>
      <c r="C685" s="4">
        <f>66.6051 * CHOOSE(CONTROL!$C$9, $C$13, 100%, $E$13) + CHOOSE(CONTROL!$C$28, 0.0255, 0)</f>
        <v>66.630599999999987</v>
      </c>
      <c r="D685" s="4">
        <f>64.1369 * CHOOSE(CONTROL!$C$9, $C$13, 100%, $E$13) + CHOOSE(CONTROL!$C$28, 0, 0)</f>
        <v>64.136899999999997</v>
      </c>
      <c r="E685" s="4">
        <f>376.946094712921 * CHOOSE(CONTROL!$C$9, $C$13, 100%, $E$13) + CHOOSE(CONTROL!$C$28, 0, 0)</f>
        <v>376.94609471292102</v>
      </c>
    </row>
    <row r="686" spans="1:5" ht="15">
      <c r="A686" s="13">
        <v>62762</v>
      </c>
      <c r="B686" s="4">
        <f>64.7566 * CHOOSE(CONTROL!$C$9, $C$13, 100%, $E$13) + CHOOSE(CONTROL!$C$28, 0.0003, 0)</f>
        <v>64.756900000000002</v>
      </c>
      <c r="C686" s="4">
        <f>64.4441 * CHOOSE(CONTROL!$C$9, $C$13, 100%, $E$13) + CHOOSE(CONTROL!$C$28, 0.0003, 0)</f>
        <v>64.444400000000002</v>
      </c>
      <c r="D686" s="4">
        <f>63.26 * CHOOSE(CONTROL!$C$9, $C$13, 100%, $E$13) + CHOOSE(CONTROL!$C$28, 0, 0)</f>
        <v>63.26</v>
      </c>
      <c r="E686" s="4">
        <f>364.421887898295 * CHOOSE(CONTROL!$C$9, $C$13, 100%, $E$13) + CHOOSE(CONTROL!$C$28, 0, 0)</f>
        <v>364.42188789829498</v>
      </c>
    </row>
    <row r="687" spans="1:5" ht="15">
      <c r="A687" s="13">
        <v>62792</v>
      </c>
      <c r="B687" s="4">
        <f>63.3647 * CHOOSE(CONTROL!$C$9, $C$13, 100%, $E$13) + CHOOSE(CONTROL!$C$28, 0.0003, 0)</f>
        <v>63.365000000000002</v>
      </c>
      <c r="C687" s="4">
        <f>63.0522 * CHOOSE(CONTROL!$C$9, $C$13, 100%, $E$13) + CHOOSE(CONTROL!$C$28, 0.0003, 0)</f>
        <v>63.052500000000002</v>
      </c>
      <c r="D687" s="4">
        <f>62.9585 * CHOOSE(CONTROL!$C$9, $C$13, 100%, $E$13) + CHOOSE(CONTROL!$C$28, 0, 0)</f>
        <v>62.958500000000001</v>
      </c>
      <c r="E687" s="4">
        <f>356.355363460466 * CHOOSE(CONTROL!$C$9, $C$13, 100%, $E$13) + CHOOSE(CONTROL!$C$28, 0, 0)</f>
        <v>356.35536346046598</v>
      </c>
    </row>
    <row r="688" spans="1:5" ht="15">
      <c r="A688" s="13">
        <v>62823</v>
      </c>
      <c r="B688" s="4">
        <f>62.4017 * CHOOSE(CONTROL!$C$9, $C$13, 100%, $E$13) + CHOOSE(CONTROL!$C$28, 0.0003, 0)</f>
        <v>62.402000000000001</v>
      </c>
      <c r="C688" s="4">
        <f>62.0892 * CHOOSE(CONTROL!$C$9, $C$13, 100%, $E$13) + CHOOSE(CONTROL!$C$28, 0.0003, 0)</f>
        <v>62.089500000000001</v>
      </c>
      <c r="D688" s="4">
        <f>60.739 * CHOOSE(CONTROL!$C$9, $C$13, 100%, $E$13) + CHOOSE(CONTROL!$C$28, 0, 0)</f>
        <v>60.738999999999997</v>
      </c>
      <c r="E688" s="4">
        <f>350.774365456222 * CHOOSE(CONTROL!$C$9, $C$13, 100%, $E$13) + CHOOSE(CONTROL!$C$28, 0, 0)</f>
        <v>350.77436545622197</v>
      </c>
    </row>
    <row r="689" spans="1:5" ht="15">
      <c r="A689" s="13">
        <v>62854</v>
      </c>
      <c r="B689" s="4">
        <f>60.837 * CHOOSE(CONTROL!$C$9, $C$13, 100%, $E$13) + CHOOSE(CONTROL!$C$28, 0.0003, 0)</f>
        <v>60.837300000000006</v>
      </c>
      <c r="C689" s="4">
        <f>60.5245 * CHOOSE(CONTROL!$C$9, $C$13, 100%, $E$13) + CHOOSE(CONTROL!$C$28, 0.0003, 0)</f>
        <v>60.524800000000006</v>
      </c>
      <c r="D689" s="4">
        <f>58.6991 * CHOOSE(CONTROL!$C$9, $C$13, 100%, $E$13) + CHOOSE(CONTROL!$C$28, 0, 0)</f>
        <v>58.699100000000001</v>
      </c>
      <c r="E689" s="4">
        <f>340.715493349705 * CHOOSE(CONTROL!$C$9, $C$13, 100%, $E$13) + CHOOSE(CONTROL!$C$28, 0, 0)</f>
        <v>340.71549334970501</v>
      </c>
    </row>
    <row r="690" spans="1:5" ht="15">
      <c r="A690" s="13">
        <v>62883</v>
      </c>
      <c r="B690" s="4">
        <f>62.237 * CHOOSE(CONTROL!$C$9, $C$13, 100%, $E$13) + CHOOSE(CONTROL!$C$28, 0.0003, 0)</f>
        <v>62.237300000000005</v>
      </c>
      <c r="C690" s="4">
        <f>61.9245 * CHOOSE(CONTROL!$C$9, $C$13, 100%, $E$13) + CHOOSE(CONTROL!$C$28, 0.0003, 0)</f>
        <v>61.924800000000005</v>
      </c>
      <c r="D690" s="4">
        <f>60.7533 * CHOOSE(CONTROL!$C$9, $C$13, 100%, $E$13) + CHOOSE(CONTROL!$C$28, 0, 0)</f>
        <v>60.753300000000003</v>
      </c>
      <c r="E690" s="4">
        <f>348.805421890731 * CHOOSE(CONTROL!$C$9, $C$13, 100%, $E$13) + CHOOSE(CONTROL!$C$28, 0, 0)</f>
        <v>348.805421890731</v>
      </c>
    </row>
    <row r="691" spans="1:5" ht="15">
      <c r="A691" s="13">
        <v>62914</v>
      </c>
      <c r="B691" s="4">
        <f>65.9134 * CHOOSE(CONTROL!$C$9, $C$13, 100%, $E$13) + CHOOSE(CONTROL!$C$28, 0.0003, 0)</f>
        <v>65.913699999999992</v>
      </c>
      <c r="C691" s="4">
        <f>65.6009 * CHOOSE(CONTROL!$C$9, $C$13, 100%, $E$13) + CHOOSE(CONTROL!$C$28, 0.0003, 0)</f>
        <v>65.601199999999992</v>
      </c>
      <c r="D691" s="4">
        <f>63.969 * CHOOSE(CONTROL!$C$9, $C$13, 100%, $E$13) + CHOOSE(CONTROL!$C$28, 0, 0)</f>
        <v>63.969000000000001</v>
      </c>
      <c r="E691" s="4">
        <f>370.050004164379 * CHOOSE(CONTROL!$C$9, $C$13, 100%, $E$13) + CHOOSE(CONTROL!$C$28, 0, 0)</f>
        <v>370.050004164379</v>
      </c>
    </row>
    <row r="692" spans="1:5" ht="15">
      <c r="A692" s="13">
        <v>62944</v>
      </c>
      <c r="B692" s="4">
        <f>68.5256 * CHOOSE(CONTROL!$C$9, $C$13, 100%, $E$13) + CHOOSE(CONTROL!$C$28, 0.0003, 0)</f>
        <v>68.525899999999993</v>
      </c>
      <c r="C692" s="4">
        <f>68.2131 * CHOOSE(CONTROL!$C$9, $C$13, 100%, $E$13) + CHOOSE(CONTROL!$C$28, 0.0003, 0)</f>
        <v>68.213399999999993</v>
      </c>
      <c r="D692" s="4">
        <f>65.8213 * CHOOSE(CONTROL!$C$9, $C$13, 100%, $E$13) + CHOOSE(CONTROL!$C$28, 0, 0)</f>
        <v>65.821299999999994</v>
      </c>
      <c r="E692" s="4">
        <f>385.14456299109 * CHOOSE(CONTROL!$C$9, $C$13, 100%, $E$13) + CHOOSE(CONTROL!$C$28, 0, 0)</f>
        <v>385.14456299109003</v>
      </c>
    </row>
    <row r="693" spans="1:5" ht="15">
      <c r="A693" s="13">
        <v>62975</v>
      </c>
      <c r="B693" s="4">
        <f>70.1215 * CHOOSE(CONTROL!$C$9, $C$13, 100%, $E$13) + CHOOSE(CONTROL!$C$28, 0.0255, 0)</f>
        <v>70.146999999999991</v>
      </c>
      <c r="C693" s="4">
        <f>69.809 * CHOOSE(CONTROL!$C$9, $C$13, 100%, $E$13) + CHOOSE(CONTROL!$C$28, 0.0255, 0)</f>
        <v>69.834499999999991</v>
      </c>
      <c r="D693" s="4">
        <f>65.0894 * CHOOSE(CONTROL!$C$9, $C$13, 100%, $E$13) + CHOOSE(CONTROL!$C$28, 0, 0)</f>
        <v>65.089399999999998</v>
      </c>
      <c r="E693" s="4">
        <f>394.366976668125 * CHOOSE(CONTROL!$C$9, $C$13, 100%, $E$13) + CHOOSE(CONTROL!$C$28, 0, 0)</f>
        <v>394.36697666812501</v>
      </c>
    </row>
    <row r="694" spans="1:5" ht="15">
      <c r="A694" s="13">
        <v>63005</v>
      </c>
      <c r="B694" s="4">
        <f>70.3375 * CHOOSE(CONTROL!$C$9, $C$13, 100%, $E$13) + CHOOSE(CONTROL!$C$28, 0.0255, 0)</f>
        <v>70.363</v>
      </c>
      <c r="C694" s="4">
        <f>70.025 * CHOOSE(CONTROL!$C$9, $C$13, 100%, $E$13) + CHOOSE(CONTROL!$C$28, 0.0255, 0)</f>
        <v>70.0505</v>
      </c>
      <c r="D694" s="4">
        <f>65.6855 * CHOOSE(CONTROL!$C$9, $C$13, 100%, $E$13) + CHOOSE(CONTROL!$C$28, 0, 0)</f>
        <v>65.685500000000005</v>
      </c>
      <c r="E694" s="4">
        <f>395.614807512431 * CHOOSE(CONTROL!$C$9, $C$13, 100%, $E$13) + CHOOSE(CONTROL!$C$28, 0, 0)</f>
        <v>395.61480751243101</v>
      </c>
    </row>
    <row r="695" spans="1:5" ht="15">
      <c r="A695" s="13">
        <v>63036</v>
      </c>
      <c r="B695" s="4">
        <f>70.3157 * CHOOSE(CONTROL!$C$9, $C$13, 100%, $E$13) + CHOOSE(CONTROL!$C$28, 0.0255, 0)</f>
        <v>70.341200000000001</v>
      </c>
      <c r="C695" s="4">
        <f>70.0032 * CHOOSE(CONTROL!$C$9, $C$13, 100%, $E$13) + CHOOSE(CONTROL!$C$28, 0.0255, 0)</f>
        <v>70.028700000000001</v>
      </c>
      <c r="D695" s="4">
        <f>66.7611 * CHOOSE(CONTROL!$C$9, $C$13, 100%, $E$13) + CHOOSE(CONTROL!$C$28, 0, 0)</f>
        <v>66.761099999999999</v>
      </c>
      <c r="E695" s="4">
        <f>395.488975830653 * CHOOSE(CONTROL!$C$9, $C$13, 100%, $E$13) + CHOOSE(CONTROL!$C$28, 0, 0)</f>
        <v>395.48897583065298</v>
      </c>
    </row>
    <row r="696" spans="1:5" ht="15">
      <c r="A696" s="13">
        <v>63067</v>
      </c>
      <c r="B696" s="4">
        <f>71.9543 * CHOOSE(CONTROL!$C$9, $C$13, 100%, $E$13) + CHOOSE(CONTROL!$C$28, 0.0255, 0)</f>
        <v>71.979799999999997</v>
      </c>
      <c r="C696" s="4">
        <f>71.6418 * CHOOSE(CONTROL!$C$9, $C$13, 100%, $E$13) + CHOOSE(CONTROL!$C$28, 0.0255, 0)</f>
        <v>71.667299999999997</v>
      </c>
      <c r="D696" s="4">
        <f>66.0508 * CHOOSE(CONTROL!$C$9, $C$13, 100%, $E$13) + CHOOSE(CONTROL!$C$28, 0, 0)</f>
        <v>66.050799999999995</v>
      </c>
      <c r="E696" s="4">
        <f>404.957809884504 * CHOOSE(CONTROL!$C$9, $C$13, 100%, $E$13) + CHOOSE(CONTROL!$C$28, 0, 0)</f>
        <v>404.957809884504</v>
      </c>
    </row>
    <row r="697" spans="1:5" ht="15">
      <c r="A697" s="13">
        <v>63097</v>
      </c>
      <c r="B697" s="4">
        <f>69.1616 * CHOOSE(CONTROL!$C$9, $C$13, 100%, $E$13) + CHOOSE(CONTROL!$C$28, 0.0255, 0)</f>
        <v>69.187100000000001</v>
      </c>
      <c r="C697" s="4">
        <f>68.8491 * CHOOSE(CONTROL!$C$9, $C$13, 100%, $E$13) + CHOOSE(CONTROL!$C$28, 0.0255, 0)</f>
        <v>68.874600000000001</v>
      </c>
      <c r="D697" s="4">
        <f>65.7151 * CHOOSE(CONTROL!$C$9, $C$13, 100%, $E$13) + CHOOSE(CONTROL!$C$28, 0, 0)</f>
        <v>65.715100000000007</v>
      </c>
      <c r="E697" s="4">
        <f>388.819896696378 * CHOOSE(CONTROL!$C$9, $C$13, 100%, $E$13) + CHOOSE(CONTROL!$C$28, 0, 0)</f>
        <v>388.81989669637801</v>
      </c>
    </row>
    <row r="698" spans="1:5" ht="15">
      <c r="A698" s="13">
        <v>63128</v>
      </c>
      <c r="B698" s="4">
        <f>66.926 * CHOOSE(CONTROL!$C$9, $C$13, 100%, $E$13) + CHOOSE(CONTROL!$C$28, 0.0003, 0)</f>
        <v>66.926299999999998</v>
      </c>
      <c r="C698" s="4">
        <f>66.6135 * CHOOSE(CONTROL!$C$9, $C$13, 100%, $E$13) + CHOOSE(CONTROL!$C$28, 0.0003, 0)</f>
        <v>66.613799999999998</v>
      </c>
      <c r="D698" s="4">
        <f>64.8165 * CHOOSE(CONTROL!$C$9, $C$13, 100%, $E$13) + CHOOSE(CONTROL!$C$28, 0, 0)</f>
        <v>64.816500000000005</v>
      </c>
      <c r="E698" s="4">
        <f>375.901177367092 * CHOOSE(CONTROL!$C$9, $C$13, 100%, $E$13) + CHOOSE(CONTROL!$C$28, 0, 0)</f>
        <v>375.90117736709198</v>
      </c>
    </row>
    <row r="699" spans="1:5" ht="15">
      <c r="A699" s="13">
        <v>63158</v>
      </c>
      <c r="B699" s="4">
        <f>65.4861 * CHOOSE(CONTROL!$C$9, $C$13, 100%, $E$13) + CHOOSE(CONTROL!$C$28, 0.0003, 0)</f>
        <v>65.486399999999989</v>
      </c>
      <c r="C699" s="4">
        <f>65.1736 * CHOOSE(CONTROL!$C$9, $C$13, 100%, $E$13) + CHOOSE(CONTROL!$C$28, 0.0003, 0)</f>
        <v>65.173899999999989</v>
      </c>
      <c r="D699" s="4">
        <f>64.5076 * CHOOSE(CONTROL!$C$9, $C$13, 100%, $E$13) + CHOOSE(CONTROL!$C$28, 0, 0)</f>
        <v>64.507599999999996</v>
      </c>
      <c r="E699" s="4">
        <f>367.580557409471 * CHOOSE(CONTROL!$C$9, $C$13, 100%, $E$13) + CHOOSE(CONTROL!$C$28, 0, 0)</f>
        <v>367.580557409471</v>
      </c>
    </row>
    <row r="700" spans="1:5" ht="15">
      <c r="A700" s="13">
        <v>63189</v>
      </c>
      <c r="B700" s="4">
        <f>64.4898 * CHOOSE(CONTROL!$C$9, $C$13, 100%, $E$13) + CHOOSE(CONTROL!$C$28, 0.0003, 0)</f>
        <v>64.490099999999998</v>
      </c>
      <c r="C700" s="4">
        <f>64.1773 * CHOOSE(CONTROL!$C$9, $C$13, 100%, $E$13) + CHOOSE(CONTROL!$C$28, 0.0003, 0)</f>
        <v>64.177599999999998</v>
      </c>
      <c r="D700" s="4">
        <f>62.233 * CHOOSE(CONTROL!$C$9, $C$13, 100%, $E$13) + CHOOSE(CONTROL!$C$28, 0, 0)</f>
        <v>62.232999999999997</v>
      </c>
      <c r="E700" s="4">
        <f>361.823757968093 * CHOOSE(CONTROL!$C$9, $C$13, 100%, $E$13) + CHOOSE(CONTROL!$C$28, 0, 0)</f>
        <v>361.82375796809299</v>
      </c>
    </row>
    <row r="701" spans="1:5" ht="15">
      <c r="A701" s="13">
        <v>63220</v>
      </c>
      <c r="B701" s="4">
        <f>62.8712 * CHOOSE(CONTROL!$C$9, $C$13, 100%, $E$13) + CHOOSE(CONTROL!$C$28, 0.0003, 0)</f>
        <v>62.871500000000005</v>
      </c>
      <c r="C701" s="4">
        <f>62.5587 * CHOOSE(CONTROL!$C$9, $C$13, 100%, $E$13) + CHOOSE(CONTROL!$C$28, 0.0003, 0)</f>
        <v>62.559000000000005</v>
      </c>
      <c r="D701" s="4">
        <f>60.1426 * CHOOSE(CONTROL!$C$9, $C$13, 100%, $E$13) + CHOOSE(CONTROL!$C$28, 0, 0)</f>
        <v>60.142600000000002</v>
      </c>
      <c r="E701" s="4">
        <f>351.448031390221 * CHOOSE(CONTROL!$C$9, $C$13, 100%, $E$13) + CHOOSE(CONTROL!$C$28, 0, 0)</f>
        <v>351.44803139022099</v>
      </c>
    </row>
    <row r="702" spans="1:5" ht="15">
      <c r="A702" s="13">
        <v>63248</v>
      </c>
      <c r="B702" s="4">
        <f>64.3194 * CHOOSE(CONTROL!$C$9, $C$13, 100%, $E$13) + CHOOSE(CONTROL!$C$28, 0.0003, 0)</f>
        <v>64.319699999999997</v>
      </c>
      <c r="C702" s="4">
        <f>64.0069 * CHOOSE(CONTROL!$C$9, $C$13, 100%, $E$13) + CHOOSE(CONTROL!$C$28, 0.0003, 0)</f>
        <v>64.007199999999997</v>
      </c>
      <c r="D702" s="4">
        <f>62.2477 * CHOOSE(CONTROL!$C$9, $C$13, 100%, $E$13) + CHOOSE(CONTROL!$C$28, 0, 0)</f>
        <v>62.247700000000002</v>
      </c>
      <c r="E702" s="4">
        <f>359.792792680289 * CHOOSE(CONTROL!$C$9, $C$13, 100%, $E$13) + CHOOSE(CONTROL!$C$28, 0, 0)</f>
        <v>359.79279268028898</v>
      </c>
    </row>
    <row r="703" spans="1:5" ht="15">
      <c r="A703" s="13">
        <v>63279</v>
      </c>
      <c r="B703" s="4">
        <f>68.1227 * CHOOSE(CONTROL!$C$9, $C$13, 100%, $E$13) + CHOOSE(CONTROL!$C$28, 0.0003, 0)</f>
        <v>68.12299999999999</v>
      </c>
      <c r="C703" s="4">
        <f>67.8102 * CHOOSE(CONTROL!$C$9, $C$13, 100%, $E$13) + CHOOSE(CONTROL!$C$28, 0.0003, 0)</f>
        <v>67.81049999999999</v>
      </c>
      <c r="D703" s="4">
        <f>65.5431 * CHOOSE(CONTROL!$C$9, $C$13, 100%, $E$13) + CHOOSE(CONTROL!$C$28, 0, 0)</f>
        <v>65.543099999999995</v>
      </c>
      <c r="E703" s="4">
        <f>381.706579295557 * CHOOSE(CONTROL!$C$9, $C$13, 100%, $E$13) + CHOOSE(CONTROL!$C$28, 0, 0)</f>
        <v>381.70657929555699</v>
      </c>
    </row>
    <row r="704" spans="1:5" ht="15">
      <c r="A704" s="13">
        <v>63309</v>
      </c>
      <c r="B704" s="4">
        <f>70.825 * CHOOSE(CONTROL!$C$9, $C$13, 100%, $E$13) + CHOOSE(CONTROL!$C$28, 0.0003, 0)</f>
        <v>70.825299999999999</v>
      </c>
      <c r="C704" s="4">
        <f>70.5125 * CHOOSE(CONTROL!$C$9, $C$13, 100%, $E$13) + CHOOSE(CONTROL!$C$28, 0.0003, 0)</f>
        <v>70.512799999999999</v>
      </c>
      <c r="D704" s="4">
        <f>67.4414 * CHOOSE(CONTROL!$C$9, $C$13, 100%, $E$13) + CHOOSE(CONTROL!$C$28, 0, 0)</f>
        <v>67.441400000000002</v>
      </c>
      <c r="E704" s="4">
        <f>397.276616725309 * CHOOSE(CONTROL!$C$9, $C$13, 100%, $E$13) + CHOOSE(CONTROL!$C$28, 0, 0)</f>
        <v>397.276616725309</v>
      </c>
    </row>
    <row r="705" spans="1:5" ht="15">
      <c r="A705" s="13">
        <v>63340</v>
      </c>
      <c r="B705" s="4">
        <f>72.476 * CHOOSE(CONTROL!$C$9, $C$13, 100%, $E$13) + CHOOSE(CONTROL!$C$28, 0.0255, 0)</f>
        <v>72.501499999999993</v>
      </c>
      <c r="C705" s="4">
        <f>72.1635 * CHOOSE(CONTROL!$C$9, $C$13, 100%, $E$13) + CHOOSE(CONTROL!$C$28, 0.0255, 0)</f>
        <v>72.188999999999993</v>
      </c>
      <c r="D705" s="4">
        <f>66.6913 * CHOOSE(CONTROL!$C$9, $C$13, 100%, $E$13) + CHOOSE(CONTROL!$C$28, 0, 0)</f>
        <v>66.691299999999998</v>
      </c>
      <c r="E705" s="4">
        <f>406.789536433171 * CHOOSE(CONTROL!$C$9, $C$13, 100%, $E$13) + CHOOSE(CONTROL!$C$28, 0, 0)</f>
        <v>406.78953643317101</v>
      </c>
    </row>
    <row r="706" spans="1:5" ht="15">
      <c r="A706" s="13">
        <v>63370</v>
      </c>
      <c r="B706" s="4">
        <f>72.6994 * CHOOSE(CONTROL!$C$9, $C$13, 100%, $E$13) + CHOOSE(CONTROL!$C$28, 0.0255, 0)</f>
        <v>72.724899999999991</v>
      </c>
      <c r="C706" s="4">
        <f>72.3869 * CHOOSE(CONTROL!$C$9, $C$13, 100%, $E$13) + CHOOSE(CONTROL!$C$28, 0.0255, 0)</f>
        <v>72.412399999999991</v>
      </c>
      <c r="D706" s="4">
        <f>67.3022 * CHOOSE(CONTROL!$C$9, $C$13, 100%, $E$13) + CHOOSE(CONTROL!$C$28, 0, 0)</f>
        <v>67.302199999999999</v>
      </c>
      <c r="E706" s="4">
        <f>408.076673949073 * CHOOSE(CONTROL!$C$9, $C$13, 100%, $E$13) + CHOOSE(CONTROL!$C$28, 0, 0)</f>
        <v>408.07667394907298</v>
      </c>
    </row>
    <row r="707" spans="1:5" ht="15">
      <c r="A707" s="13">
        <v>63401</v>
      </c>
      <c r="B707" s="4">
        <f>72.6769 * CHOOSE(CONTROL!$C$9, $C$13, 100%, $E$13) + CHOOSE(CONTROL!$C$28, 0.0255, 0)</f>
        <v>72.702399999999997</v>
      </c>
      <c r="C707" s="4">
        <f>72.3644 * CHOOSE(CONTROL!$C$9, $C$13, 100%, $E$13) + CHOOSE(CONTROL!$C$28, 0.0255, 0)</f>
        <v>72.389899999999997</v>
      </c>
      <c r="D707" s="4">
        <f>68.4044 * CHOOSE(CONTROL!$C$9, $C$13, 100%, $E$13) + CHOOSE(CONTROL!$C$28, 0, 0)</f>
        <v>68.404399999999995</v>
      </c>
      <c r="E707" s="4">
        <f>407.946878569318 * CHOOSE(CONTROL!$C$9, $C$13, 100%, $E$13) + CHOOSE(CONTROL!$C$28, 0, 0)</f>
        <v>407.94687856931802</v>
      </c>
    </row>
    <row r="708" spans="1:5" ht="15">
      <c r="A708" s="13">
        <v>63432</v>
      </c>
      <c r="B708" s="4">
        <f>74.3721 * CHOOSE(CONTROL!$C$9, $C$13, 100%, $E$13) + CHOOSE(CONTROL!$C$28, 0.0255, 0)</f>
        <v>74.397599999999997</v>
      </c>
      <c r="C708" s="4">
        <f>74.0596 * CHOOSE(CONTROL!$C$9, $C$13, 100%, $E$13) + CHOOSE(CONTROL!$C$28, 0.0255, 0)</f>
        <v>74.085099999999997</v>
      </c>
      <c r="D708" s="4">
        <f>67.6765 * CHOOSE(CONTROL!$C$9, $C$13, 100%, $E$13) + CHOOSE(CONTROL!$C$28, 0, 0)</f>
        <v>67.676500000000004</v>
      </c>
      <c r="E708" s="4">
        <f>417.713980895866 * CHOOSE(CONTROL!$C$9, $C$13, 100%, $E$13) + CHOOSE(CONTROL!$C$28, 0, 0)</f>
        <v>417.71398089586597</v>
      </c>
    </row>
    <row r="709" spans="1:5" ht="15">
      <c r="A709" s="13">
        <v>63462</v>
      </c>
      <c r="B709" s="4">
        <f>71.483 * CHOOSE(CONTROL!$C$9, $C$13, 100%, $E$13) + CHOOSE(CONTROL!$C$28, 0.0255, 0)</f>
        <v>71.508499999999998</v>
      </c>
      <c r="C709" s="4">
        <f>71.1705 * CHOOSE(CONTROL!$C$9, $C$13, 100%, $E$13) + CHOOSE(CONTROL!$C$28, 0.0255, 0)</f>
        <v>71.195999999999998</v>
      </c>
      <c r="D709" s="4">
        <f>67.3326 * CHOOSE(CONTROL!$C$9, $C$13, 100%, $E$13) + CHOOSE(CONTROL!$C$28, 0, 0)</f>
        <v>67.332599999999999</v>
      </c>
      <c r="E709" s="4">
        <f>401.067723442314 * CHOOSE(CONTROL!$C$9, $C$13, 100%, $E$13) + CHOOSE(CONTROL!$C$28, 0, 0)</f>
        <v>401.06772344231399</v>
      </c>
    </row>
    <row r="710" spans="1:5" ht="15">
      <c r="A710" s="13">
        <v>63493</v>
      </c>
      <c r="B710" s="4">
        <f>69.1702 * CHOOSE(CONTROL!$C$9, $C$13, 100%, $E$13) + CHOOSE(CONTROL!$C$28, 0.0003, 0)</f>
        <v>69.17049999999999</v>
      </c>
      <c r="C710" s="4">
        <f>68.8577 * CHOOSE(CONTROL!$C$9, $C$13, 100%, $E$13) + CHOOSE(CONTROL!$C$28, 0.0003, 0)</f>
        <v>68.85799999999999</v>
      </c>
      <c r="D710" s="4">
        <f>66.4116 * CHOOSE(CONTROL!$C$9, $C$13, 100%, $E$13) + CHOOSE(CONTROL!$C$28, 0, 0)</f>
        <v>66.411600000000007</v>
      </c>
      <c r="E710" s="4">
        <f>387.742064454155 * CHOOSE(CONTROL!$C$9, $C$13, 100%, $E$13) + CHOOSE(CONTROL!$C$28, 0, 0)</f>
        <v>387.74206445415501</v>
      </c>
    </row>
    <row r="711" spans="1:5" ht="15">
      <c r="A711" s="13">
        <v>63523</v>
      </c>
      <c r="B711" s="4">
        <f>67.6806 * CHOOSE(CONTROL!$C$9, $C$13, 100%, $E$13) + CHOOSE(CONTROL!$C$28, 0.0003, 0)</f>
        <v>67.680899999999994</v>
      </c>
      <c r="C711" s="4">
        <f>67.3681 * CHOOSE(CONTROL!$C$9, $C$13, 100%, $E$13) + CHOOSE(CONTROL!$C$28, 0.0003, 0)</f>
        <v>67.368399999999994</v>
      </c>
      <c r="D711" s="4">
        <f>66.095 * CHOOSE(CONTROL!$C$9, $C$13, 100%, $E$13) + CHOOSE(CONTROL!$C$28, 0, 0)</f>
        <v>66.094999999999999</v>
      </c>
      <c r="E711" s="4">
        <f>379.159344967869 * CHOOSE(CONTROL!$C$9, $C$13, 100%, $E$13) + CHOOSE(CONTROL!$C$28, 0, 0)</f>
        <v>379.159344967869</v>
      </c>
    </row>
    <row r="712" spans="1:5" ht="15">
      <c r="A712" s="13">
        <v>63554</v>
      </c>
      <c r="B712" s="4">
        <f>66.65 * CHOOSE(CONTROL!$C$9, $C$13, 100%, $E$13) + CHOOSE(CONTROL!$C$28, 0.0003, 0)</f>
        <v>66.650300000000001</v>
      </c>
      <c r="C712" s="4">
        <f>66.3375 * CHOOSE(CONTROL!$C$9, $C$13, 100%, $E$13) + CHOOSE(CONTROL!$C$28, 0.0003, 0)</f>
        <v>66.337800000000001</v>
      </c>
      <c r="D712" s="4">
        <f>63.7641 * CHOOSE(CONTROL!$C$9, $C$13, 100%, $E$13) + CHOOSE(CONTROL!$C$28, 0, 0)</f>
        <v>63.764099999999999</v>
      </c>
      <c r="E712" s="4">
        <f>373.221206344088 * CHOOSE(CONTROL!$C$9, $C$13, 100%, $E$13) + CHOOSE(CONTROL!$C$28, 0, 0)</f>
        <v>373.22120634408799</v>
      </c>
    </row>
    <row r="713" spans="1:5" ht="15">
      <c r="A713" s="13">
        <v>63585</v>
      </c>
      <c r="B713" s="4">
        <f>64.9755 * CHOOSE(CONTROL!$C$9, $C$13, 100%, $E$13) + CHOOSE(CONTROL!$C$28, 0.0003, 0)</f>
        <v>64.975799999999992</v>
      </c>
      <c r="C713" s="4">
        <f>64.663 * CHOOSE(CONTROL!$C$9, $C$13, 100%, $E$13) + CHOOSE(CONTROL!$C$28, 0.0003, 0)</f>
        <v>64.663299999999992</v>
      </c>
      <c r="D713" s="4">
        <f>61.6218 * CHOOSE(CONTROL!$C$9, $C$13, 100%, $E$13) + CHOOSE(CONTROL!$C$28, 0, 0)</f>
        <v>61.6218</v>
      </c>
      <c r="E713" s="4">
        <f>362.518644379013 * CHOOSE(CONTROL!$C$9, $C$13, 100%, $E$13) + CHOOSE(CONTROL!$C$28, 0, 0)</f>
        <v>362.51864437901298</v>
      </c>
    </row>
    <row r="714" spans="1:5" ht="15">
      <c r="A714" s="13">
        <v>63613</v>
      </c>
      <c r="B714" s="4">
        <f>66.4738 * CHOOSE(CONTROL!$C$9, $C$13, 100%, $E$13) + CHOOSE(CONTROL!$C$28, 0.0003, 0)</f>
        <v>66.474099999999993</v>
      </c>
      <c r="C714" s="4">
        <f>66.1613 * CHOOSE(CONTROL!$C$9, $C$13, 100%, $E$13) + CHOOSE(CONTROL!$C$28, 0.0003, 0)</f>
        <v>66.161599999999993</v>
      </c>
      <c r="D714" s="4">
        <f>63.7791 * CHOOSE(CONTROL!$C$9, $C$13, 100%, $E$13) + CHOOSE(CONTROL!$C$28, 0, 0)</f>
        <v>63.7791</v>
      </c>
      <c r="E714" s="4">
        <f>371.126265649719 * CHOOSE(CONTROL!$C$9, $C$13, 100%, $E$13) + CHOOSE(CONTROL!$C$28, 0, 0)</f>
        <v>371.12626564971902</v>
      </c>
    </row>
    <row r="715" spans="1:5" ht="15">
      <c r="A715" s="13">
        <v>63644</v>
      </c>
      <c r="B715" s="4">
        <f>70.4083 * CHOOSE(CONTROL!$C$9, $C$13, 100%, $E$13) + CHOOSE(CONTROL!$C$28, 0.0003, 0)</f>
        <v>70.408599999999993</v>
      </c>
      <c r="C715" s="4">
        <f>70.0958 * CHOOSE(CONTROL!$C$9, $C$13, 100%, $E$13) + CHOOSE(CONTROL!$C$28, 0.0003, 0)</f>
        <v>70.096099999999993</v>
      </c>
      <c r="D715" s="4">
        <f>67.1562 * CHOOSE(CONTROL!$C$9, $C$13, 100%, $E$13) + CHOOSE(CONTROL!$C$28, 0, 0)</f>
        <v>67.156199999999998</v>
      </c>
      <c r="E715" s="4">
        <f>393.730336543367 * CHOOSE(CONTROL!$C$9, $C$13, 100%, $E$13) + CHOOSE(CONTROL!$C$28, 0, 0)</f>
        <v>393.730336543367</v>
      </c>
    </row>
    <row r="716" spans="1:5" ht="15">
      <c r="A716" s="13">
        <v>63674</v>
      </c>
      <c r="B716" s="4">
        <f>73.2038 * CHOOSE(CONTROL!$C$9, $C$13, 100%, $E$13) + CHOOSE(CONTROL!$C$28, 0.0003, 0)</f>
        <v>73.204099999999997</v>
      </c>
      <c r="C716" s="4">
        <f>72.8913 * CHOOSE(CONTROL!$C$9, $C$13, 100%, $E$13) + CHOOSE(CONTROL!$C$28, 0.0003, 0)</f>
        <v>72.891599999999997</v>
      </c>
      <c r="D716" s="4">
        <f>69.1016 * CHOOSE(CONTROL!$C$9, $C$13, 100%, $E$13) + CHOOSE(CONTROL!$C$28, 0, 0)</f>
        <v>69.101600000000005</v>
      </c>
      <c r="E716" s="4">
        <f>409.790830152157 * CHOOSE(CONTROL!$C$9, $C$13, 100%, $E$13) + CHOOSE(CONTROL!$C$28, 0, 0)</f>
        <v>409.79083015215701</v>
      </c>
    </row>
    <row r="717" spans="1:5" ht="15">
      <c r="A717" s="13">
        <v>63705</v>
      </c>
      <c r="B717" s="4">
        <f>74.9118 * CHOOSE(CONTROL!$C$9, $C$13, 100%, $E$13) + CHOOSE(CONTROL!$C$28, 0.0255, 0)</f>
        <v>74.937299999999993</v>
      </c>
      <c r="C717" s="4">
        <f>74.5993 * CHOOSE(CONTROL!$C$9, $C$13, 100%, $E$13) + CHOOSE(CONTROL!$C$28, 0.0255, 0)</f>
        <v>74.624799999999993</v>
      </c>
      <c r="D717" s="4">
        <f>68.3329 * CHOOSE(CONTROL!$C$9, $C$13, 100%, $E$13) + CHOOSE(CONTROL!$C$28, 0, 0)</f>
        <v>68.332899999999995</v>
      </c>
      <c r="E717" s="4">
        <f>419.603406830816 * CHOOSE(CONTROL!$C$9, $C$13, 100%, $E$13) + CHOOSE(CONTROL!$C$28, 0, 0)</f>
        <v>419.60340683081603</v>
      </c>
    </row>
    <row r="718" spans="1:5" ht="15">
      <c r="A718" s="13">
        <v>63735</v>
      </c>
      <c r="B718" s="4">
        <f>75.1429 * CHOOSE(CONTROL!$C$9, $C$13, 100%, $E$13) + CHOOSE(CONTROL!$C$28, 0.0255, 0)</f>
        <v>75.168399999999991</v>
      </c>
      <c r="C718" s="4">
        <f>74.8304 * CHOOSE(CONTROL!$C$9, $C$13, 100%, $E$13) + CHOOSE(CONTROL!$C$28, 0.0255, 0)</f>
        <v>74.855899999999991</v>
      </c>
      <c r="D718" s="4">
        <f>68.9589 * CHOOSE(CONTROL!$C$9, $C$13, 100%, $E$13) + CHOOSE(CONTROL!$C$28, 0, 0)</f>
        <v>68.9589</v>
      </c>
      <c r="E718" s="4">
        <f>420.931089178469 * CHOOSE(CONTROL!$C$9, $C$13, 100%, $E$13) + CHOOSE(CONTROL!$C$28, 0, 0)</f>
        <v>420.93108917846899</v>
      </c>
    </row>
    <row r="719" spans="1:5" ht="15">
      <c r="A719" s="13">
        <v>63766</v>
      </c>
      <c r="B719" s="4">
        <f>75.1196 * CHOOSE(CONTROL!$C$9, $C$13, 100%, $E$13) + CHOOSE(CONTROL!$C$28, 0.0255, 0)</f>
        <v>75.145099999999999</v>
      </c>
      <c r="C719" s="4">
        <f>74.8071 * CHOOSE(CONTROL!$C$9, $C$13, 100%, $E$13) + CHOOSE(CONTROL!$C$28, 0.0255, 0)</f>
        <v>74.832599999999999</v>
      </c>
      <c r="D719" s="4">
        <f>70.0886 * CHOOSE(CONTROL!$C$9, $C$13, 100%, $E$13) + CHOOSE(CONTROL!$C$28, 0, 0)</f>
        <v>70.0886</v>
      </c>
      <c r="E719" s="4">
        <f>420.797205244252 * CHOOSE(CONTROL!$C$9, $C$13, 100%, $E$13) + CHOOSE(CONTROL!$C$28, 0, 0)</f>
        <v>420.79720524425198</v>
      </c>
    </row>
    <row r="720" spans="1:5" ht="15">
      <c r="A720" s="13">
        <v>63797</v>
      </c>
      <c r="B720" s="4">
        <f>76.8732 * CHOOSE(CONTROL!$C$9, $C$13, 100%, $E$13) + CHOOSE(CONTROL!$C$28, 0.0255, 0)</f>
        <v>76.898699999999991</v>
      </c>
      <c r="C720" s="4">
        <f>76.5607 * CHOOSE(CONTROL!$C$9, $C$13, 100%, $E$13) + CHOOSE(CONTROL!$C$28, 0.0255, 0)</f>
        <v>76.586199999999991</v>
      </c>
      <c r="D720" s="4">
        <f>69.3425 * CHOOSE(CONTROL!$C$9, $C$13, 100%, $E$13) + CHOOSE(CONTROL!$C$28, 0, 0)</f>
        <v>69.342500000000001</v>
      </c>
      <c r="E720" s="4">
        <f>430.871971294086 * CHOOSE(CONTROL!$C$9, $C$13, 100%, $E$13) + CHOOSE(CONTROL!$C$28, 0, 0)</f>
        <v>430.87197129408599</v>
      </c>
    </row>
    <row r="721" spans="1:5" ht="15">
      <c r="A721" s="13">
        <v>63827</v>
      </c>
      <c r="B721" s="4">
        <f>73.8845 * CHOOSE(CONTROL!$C$9, $C$13, 100%, $E$13) + CHOOSE(CONTROL!$C$28, 0.0255, 0)</f>
        <v>73.91</v>
      </c>
      <c r="C721" s="4">
        <f>73.572 * CHOOSE(CONTROL!$C$9, $C$13, 100%, $E$13) + CHOOSE(CONTROL!$C$28, 0.0255, 0)</f>
        <v>73.597499999999997</v>
      </c>
      <c r="D721" s="4">
        <f>68.9901 * CHOOSE(CONTROL!$C$9, $C$13, 100%, $E$13) + CHOOSE(CONTROL!$C$28, 0, 0)</f>
        <v>68.990099999999998</v>
      </c>
      <c r="E721" s="4">
        <f>413.701356730747 * CHOOSE(CONTROL!$C$9, $C$13, 100%, $E$13) + CHOOSE(CONTROL!$C$28, 0, 0)</f>
        <v>413.70135673074702</v>
      </c>
    </row>
    <row r="722" spans="1:5" ht="15">
      <c r="A722" s="13">
        <v>63858</v>
      </c>
      <c r="B722" s="4">
        <f>71.4919 * CHOOSE(CONTROL!$C$9, $C$13, 100%, $E$13) + CHOOSE(CONTROL!$C$28, 0.0003, 0)</f>
        <v>71.492199999999997</v>
      </c>
      <c r="C722" s="4">
        <f>71.1794 * CHOOSE(CONTROL!$C$9, $C$13, 100%, $E$13) + CHOOSE(CONTROL!$C$28, 0.0003, 0)</f>
        <v>71.179699999999997</v>
      </c>
      <c r="D722" s="4">
        <f>68.0463 * CHOOSE(CONTROL!$C$9, $C$13, 100%, $E$13) + CHOOSE(CONTROL!$C$28, 0, 0)</f>
        <v>68.046300000000002</v>
      </c>
      <c r="E722" s="4">
        <f>399.955939484461 * CHOOSE(CONTROL!$C$9, $C$13, 100%, $E$13) + CHOOSE(CONTROL!$C$28, 0, 0)</f>
        <v>399.955939484461</v>
      </c>
    </row>
    <row r="723" spans="1:5" ht="15">
      <c r="A723" s="13">
        <v>63888</v>
      </c>
      <c r="B723" s="4">
        <f>69.9509 * CHOOSE(CONTROL!$C$9, $C$13, 100%, $E$13) + CHOOSE(CONTROL!$C$28, 0.0003, 0)</f>
        <v>69.9512</v>
      </c>
      <c r="C723" s="4">
        <f>69.6384 * CHOOSE(CONTROL!$C$9, $C$13, 100%, $E$13) + CHOOSE(CONTROL!$C$28, 0.0003, 0)</f>
        <v>69.6387</v>
      </c>
      <c r="D723" s="4">
        <f>67.7219 * CHOOSE(CONTROL!$C$9, $C$13, 100%, $E$13) + CHOOSE(CONTROL!$C$28, 0, 0)</f>
        <v>67.721900000000005</v>
      </c>
      <c r="E723" s="4">
        <f>391.102864334357 * CHOOSE(CONTROL!$C$9, $C$13, 100%, $E$13) + CHOOSE(CONTROL!$C$28, 0, 0)</f>
        <v>391.10286433435698</v>
      </c>
    </row>
    <row r="724" spans="1:5" ht="15">
      <c r="A724" s="13">
        <v>63919</v>
      </c>
      <c r="B724" s="4">
        <f>68.8848 * CHOOSE(CONTROL!$C$9, $C$13, 100%, $E$13) + CHOOSE(CONTROL!$C$28, 0.0003, 0)</f>
        <v>68.885099999999994</v>
      </c>
      <c r="C724" s="4">
        <f>68.5723 * CHOOSE(CONTROL!$C$9, $C$13, 100%, $E$13) + CHOOSE(CONTROL!$C$28, 0.0003, 0)</f>
        <v>68.572599999999994</v>
      </c>
      <c r="D724" s="4">
        <f>65.3331 * CHOOSE(CONTROL!$C$9, $C$13, 100%, $E$13) + CHOOSE(CONTROL!$C$28, 0, 0)</f>
        <v>65.333100000000002</v>
      </c>
      <c r="E724" s="4">
        <f>384.977674343926 * CHOOSE(CONTROL!$C$9, $C$13, 100%, $E$13) + CHOOSE(CONTROL!$C$28, 0, 0)</f>
        <v>384.97767434392603</v>
      </c>
    </row>
    <row r="725" spans="1:5" ht="15">
      <c r="A725" s="13">
        <v>63950</v>
      </c>
      <c r="B725" s="4">
        <f>67.1525 * CHOOSE(CONTROL!$C$9, $C$13, 100%, $E$13) + CHOOSE(CONTROL!$C$28, 0.0003, 0)</f>
        <v>67.152799999999999</v>
      </c>
      <c r="C725" s="4">
        <f>66.84 * CHOOSE(CONTROL!$C$9, $C$13, 100%, $E$13) + CHOOSE(CONTROL!$C$28, 0.0003, 0)</f>
        <v>66.840299999999999</v>
      </c>
      <c r="D725" s="4">
        <f>63.1377 * CHOOSE(CONTROL!$C$9, $C$13, 100%, $E$13) + CHOOSE(CONTROL!$C$28, 0, 0)</f>
        <v>63.137700000000002</v>
      </c>
      <c r="E725" s="4">
        <f>373.937981676952 * CHOOSE(CONTROL!$C$9, $C$13, 100%, $E$13) + CHOOSE(CONTROL!$C$28, 0, 0)</f>
        <v>373.93798167695201</v>
      </c>
    </row>
    <row r="726" spans="1:5" ht="15">
      <c r="A726" s="13">
        <v>63978</v>
      </c>
      <c r="B726" s="4">
        <f>68.7024 * CHOOSE(CONTROL!$C$9, $C$13, 100%, $E$13) + CHOOSE(CONTROL!$C$28, 0.0003, 0)</f>
        <v>68.702699999999993</v>
      </c>
      <c r="C726" s="4">
        <f>68.3899 * CHOOSE(CONTROL!$C$9, $C$13, 100%, $E$13) + CHOOSE(CONTROL!$C$28, 0.0003, 0)</f>
        <v>68.390199999999993</v>
      </c>
      <c r="D726" s="4">
        <f>65.3485 * CHOOSE(CONTROL!$C$9, $C$13, 100%, $E$13) + CHOOSE(CONTROL!$C$28, 0, 0)</f>
        <v>65.348500000000001</v>
      </c>
      <c r="E726" s="4">
        <f>382.816743017685 * CHOOSE(CONTROL!$C$9, $C$13, 100%, $E$13) + CHOOSE(CONTROL!$C$28, 0, 0)</f>
        <v>382.81674301768498</v>
      </c>
    </row>
    <row r="727" spans="1:5" ht="15">
      <c r="A727" s="13">
        <v>64009</v>
      </c>
      <c r="B727" s="4">
        <f>72.7727 * CHOOSE(CONTROL!$C$9, $C$13, 100%, $E$13) + CHOOSE(CONTROL!$C$28, 0.0003, 0)</f>
        <v>72.772999999999996</v>
      </c>
      <c r="C727" s="4">
        <f>72.4602 * CHOOSE(CONTROL!$C$9, $C$13, 100%, $E$13) + CHOOSE(CONTROL!$C$28, 0.0003, 0)</f>
        <v>72.460499999999996</v>
      </c>
      <c r="D727" s="4">
        <f>68.8094 * CHOOSE(CONTROL!$C$9, $C$13, 100%, $E$13) + CHOOSE(CONTROL!$C$28, 0, 0)</f>
        <v>68.809399999999997</v>
      </c>
      <c r="E727" s="4">
        <f>406.132842144483 * CHOOSE(CONTROL!$C$9, $C$13, 100%, $E$13) + CHOOSE(CONTROL!$C$28, 0, 0)</f>
        <v>406.13284214448299</v>
      </c>
    </row>
    <row r="728" spans="1:5" ht="15">
      <c r="A728" s="13">
        <v>64039</v>
      </c>
      <c r="B728" s="4">
        <f>75.6646 * CHOOSE(CONTROL!$C$9, $C$13, 100%, $E$13) + CHOOSE(CONTROL!$C$28, 0.0003, 0)</f>
        <v>75.664899999999989</v>
      </c>
      <c r="C728" s="4">
        <f>75.3521 * CHOOSE(CONTROL!$C$9, $C$13, 100%, $E$13) + CHOOSE(CONTROL!$C$28, 0.0003, 0)</f>
        <v>75.352399999999989</v>
      </c>
      <c r="D728" s="4">
        <f>70.803 * CHOOSE(CONTROL!$C$9, $C$13, 100%, $E$13) + CHOOSE(CONTROL!$C$28, 0, 0)</f>
        <v>70.802999999999997</v>
      </c>
      <c r="E728" s="4">
        <f>422.69924130195 * CHOOSE(CONTROL!$C$9, $C$13, 100%, $E$13) + CHOOSE(CONTROL!$C$28, 0, 0)</f>
        <v>422.69924130195</v>
      </c>
    </row>
    <row r="729" spans="1:5" ht="15">
      <c r="A729" s="13">
        <v>64070</v>
      </c>
      <c r="B729" s="4">
        <f>77.4316 * CHOOSE(CONTROL!$C$9, $C$13, 100%, $E$13) + CHOOSE(CONTROL!$C$28, 0.0255, 0)</f>
        <v>77.457099999999997</v>
      </c>
      <c r="C729" s="4">
        <f>77.1191 * CHOOSE(CONTROL!$C$9, $C$13, 100%, $E$13) + CHOOSE(CONTROL!$C$28, 0.0255, 0)</f>
        <v>77.144599999999997</v>
      </c>
      <c r="D729" s="4">
        <f>70.0152 * CHOOSE(CONTROL!$C$9, $C$13, 100%, $E$13) + CHOOSE(CONTROL!$C$28, 0, 0)</f>
        <v>70.015199999999993</v>
      </c>
      <c r="E729" s="4">
        <f>432.820914145987 * CHOOSE(CONTROL!$C$9, $C$13, 100%, $E$13) + CHOOSE(CONTROL!$C$28, 0, 0)</f>
        <v>432.82091414598699</v>
      </c>
    </row>
    <row r="730" spans="1:5" ht="15">
      <c r="A730" s="13">
        <v>64100</v>
      </c>
      <c r="B730" s="4">
        <f>77.6706 * CHOOSE(CONTROL!$C$9, $C$13, 100%, $E$13) + CHOOSE(CONTROL!$C$28, 0.0255, 0)</f>
        <v>77.696099999999987</v>
      </c>
      <c r="C730" s="4">
        <f>77.3581 * CHOOSE(CONTROL!$C$9, $C$13, 100%, $E$13) + CHOOSE(CONTROL!$C$28, 0.0255, 0)</f>
        <v>77.383599999999987</v>
      </c>
      <c r="D730" s="4">
        <f>70.6568 * CHOOSE(CONTROL!$C$9, $C$13, 100%, $E$13) + CHOOSE(CONTROL!$C$28, 0, 0)</f>
        <v>70.656800000000004</v>
      </c>
      <c r="E730" s="4">
        <f>434.19041848759 * CHOOSE(CONTROL!$C$9, $C$13, 100%, $E$13) + CHOOSE(CONTROL!$C$28, 0, 0)</f>
        <v>434.19041848759002</v>
      </c>
    </row>
    <row r="731" spans="1:5" ht="15">
      <c r="A731" s="13">
        <v>64131</v>
      </c>
      <c r="B731" s="4">
        <f>77.6465 * CHOOSE(CONTROL!$C$9, $C$13, 100%, $E$13) + CHOOSE(CONTROL!$C$28, 0.0255, 0)</f>
        <v>77.671999999999997</v>
      </c>
      <c r="C731" s="4">
        <f>77.334 * CHOOSE(CONTROL!$C$9, $C$13, 100%, $E$13) + CHOOSE(CONTROL!$C$28, 0.0255, 0)</f>
        <v>77.359499999999997</v>
      </c>
      <c r="D731" s="4">
        <f>71.8144 * CHOOSE(CONTROL!$C$9, $C$13, 100%, $E$13) + CHOOSE(CONTROL!$C$28, 0, 0)</f>
        <v>71.814400000000006</v>
      </c>
      <c r="E731" s="4">
        <f>434.052317209446 * CHOOSE(CONTROL!$C$9, $C$13, 100%, $E$13) + CHOOSE(CONTROL!$C$28, 0, 0)</f>
        <v>434.05231720944602</v>
      </c>
    </row>
    <row r="732" spans="1:5" ht="15">
      <c r="A732" s="13">
        <v>64162</v>
      </c>
      <c r="B732" s="4">
        <f>79.4606 * CHOOSE(CONTROL!$C$9, $C$13, 100%, $E$13) + CHOOSE(CONTROL!$C$28, 0.0255, 0)</f>
        <v>79.486099999999993</v>
      </c>
      <c r="C732" s="4">
        <f>79.1481 * CHOOSE(CONTROL!$C$9, $C$13, 100%, $E$13) + CHOOSE(CONTROL!$C$28, 0.0255, 0)</f>
        <v>79.173599999999993</v>
      </c>
      <c r="D732" s="4">
        <f>71.0499 * CHOOSE(CONTROL!$C$9, $C$13, 100%, $E$13) + CHOOSE(CONTROL!$C$28, 0, 0)</f>
        <v>71.049899999999994</v>
      </c>
      <c r="E732" s="4">
        <f>444.44443838985 * CHOOSE(CONTROL!$C$9, $C$13, 100%, $E$13) + CHOOSE(CONTROL!$C$28, 0, 0)</f>
        <v>444.44443838985001</v>
      </c>
    </row>
    <row r="733" spans="1:5" ht="15">
      <c r="A733" s="13">
        <v>64192</v>
      </c>
      <c r="B733" s="4">
        <f>76.3688 * CHOOSE(CONTROL!$C$9, $C$13, 100%, $E$13) + CHOOSE(CONTROL!$C$28, 0.0255, 0)</f>
        <v>76.394299999999987</v>
      </c>
      <c r="C733" s="4">
        <f>76.0563 * CHOOSE(CONTROL!$C$9, $C$13, 100%, $E$13) + CHOOSE(CONTROL!$C$28, 0.0255, 0)</f>
        <v>76.081799999999987</v>
      </c>
      <c r="D733" s="4">
        <f>70.6887 * CHOOSE(CONTROL!$C$9, $C$13, 100%, $E$13) + CHOOSE(CONTROL!$C$28, 0, 0)</f>
        <v>70.688699999999997</v>
      </c>
      <c r="E733" s="4">
        <f>426.732949467766 * CHOOSE(CONTROL!$C$9, $C$13, 100%, $E$13) + CHOOSE(CONTROL!$C$28, 0, 0)</f>
        <v>426.73294946776599</v>
      </c>
    </row>
    <row r="734" spans="1:5" ht="15">
      <c r="A734" s="13">
        <v>64223</v>
      </c>
      <c r="B734" s="4">
        <f>73.8937 * CHOOSE(CONTROL!$C$9, $C$13, 100%, $E$13) + CHOOSE(CONTROL!$C$28, 0.0003, 0)</f>
        <v>73.893999999999991</v>
      </c>
      <c r="C734" s="4">
        <f>73.5812 * CHOOSE(CONTROL!$C$9, $C$13, 100%, $E$13) + CHOOSE(CONTROL!$C$28, 0.0003, 0)</f>
        <v>73.581499999999991</v>
      </c>
      <c r="D734" s="4">
        <f>69.7215 * CHOOSE(CONTROL!$C$9, $C$13, 100%, $E$13) + CHOOSE(CONTROL!$C$28, 0, 0)</f>
        <v>69.721500000000006</v>
      </c>
      <c r="E734" s="4">
        <f>412.554551578222 * CHOOSE(CONTROL!$C$9, $C$13, 100%, $E$13) + CHOOSE(CONTROL!$C$28, 0, 0)</f>
        <v>412.554551578222</v>
      </c>
    </row>
    <row r="735" spans="1:5" ht="15">
      <c r="A735" s="13">
        <v>64253</v>
      </c>
      <c r="B735" s="4">
        <f>72.2996 * CHOOSE(CONTROL!$C$9, $C$13, 100%, $E$13) + CHOOSE(CONTROL!$C$28, 0.0003, 0)</f>
        <v>72.299899999999994</v>
      </c>
      <c r="C735" s="4">
        <f>71.9871 * CHOOSE(CONTROL!$C$9, $C$13, 100%, $E$13) + CHOOSE(CONTROL!$C$28, 0.0003, 0)</f>
        <v>71.987399999999994</v>
      </c>
      <c r="D735" s="4">
        <f>69.389 * CHOOSE(CONTROL!$C$9, $C$13, 100%, $E$13) + CHOOSE(CONTROL!$C$28, 0, 0)</f>
        <v>69.388999999999996</v>
      </c>
      <c r="E735" s="4">
        <f>403.42260456089 * CHOOSE(CONTROL!$C$9, $C$13, 100%, $E$13) + CHOOSE(CONTROL!$C$28, 0, 0)</f>
        <v>403.42260456089002</v>
      </c>
    </row>
    <row r="736" spans="1:5" ht="15">
      <c r="A736" s="13">
        <v>64284</v>
      </c>
      <c r="B736" s="4">
        <f>71.1966 * CHOOSE(CONTROL!$C$9, $C$13, 100%, $E$13) + CHOOSE(CONTROL!$C$28, 0.0003, 0)</f>
        <v>71.196899999999999</v>
      </c>
      <c r="C736" s="4">
        <f>70.8841 * CHOOSE(CONTROL!$C$9, $C$13, 100%, $E$13) + CHOOSE(CONTROL!$C$28, 0.0003, 0)</f>
        <v>70.884399999999999</v>
      </c>
      <c r="D736" s="4">
        <f>66.9411 * CHOOSE(CONTROL!$C$9, $C$13, 100%, $E$13) + CHOOSE(CONTROL!$C$28, 0, 0)</f>
        <v>66.941100000000006</v>
      </c>
      <c r="E736" s="4">
        <f>397.10447108576 * CHOOSE(CONTROL!$C$9, $C$13, 100%, $E$13) + CHOOSE(CONTROL!$C$28, 0, 0)</f>
        <v>397.10447108576</v>
      </c>
    </row>
    <row r="737" spans="1:5" ht="15">
      <c r="A737" s="13">
        <v>64315</v>
      </c>
      <c r="B737" s="4">
        <f>69.4046 * CHOOSE(CONTROL!$C$9, $C$13, 100%, $E$13) + CHOOSE(CONTROL!$C$28, 0.0003, 0)</f>
        <v>69.404899999999998</v>
      </c>
      <c r="C737" s="4">
        <f>69.0921 * CHOOSE(CONTROL!$C$9, $C$13, 100%, $E$13) + CHOOSE(CONTROL!$C$28, 0.0003, 0)</f>
        <v>69.092399999999998</v>
      </c>
      <c r="D737" s="4">
        <f>64.6912 * CHOOSE(CONTROL!$C$9, $C$13, 100%, $E$13) + CHOOSE(CONTROL!$C$28, 0, 0)</f>
        <v>64.691199999999995</v>
      </c>
      <c r="E737" s="4">
        <f>385.717028099776 * CHOOSE(CONTROL!$C$9, $C$13, 100%, $E$13) + CHOOSE(CONTROL!$C$28, 0, 0)</f>
        <v>385.71702809977597</v>
      </c>
    </row>
    <row r="738" spans="1:5" ht="15">
      <c r="A738" s="13">
        <v>64344</v>
      </c>
      <c r="B738" s="4">
        <f>71.008 * CHOOSE(CONTROL!$C$9, $C$13, 100%, $E$13) + CHOOSE(CONTROL!$C$28, 0.0003, 0)</f>
        <v>71.008299999999991</v>
      </c>
      <c r="C738" s="4">
        <f>70.6955 * CHOOSE(CONTROL!$C$9, $C$13, 100%, $E$13) + CHOOSE(CONTROL!$C$28, 0.0003, 0)</f>
        <v>70.695799999999991</v>
      </c>
      <c r="D738" s="4">
        <f>66.9568 * CHOOSE(CONTROL!$C$9, $C$13, 100%, $E$13) + CHOOSE(CONTROL!$C$28, 0, 0)</f>
        <v>66.956800000000001</v>
      </c>
      <c r="E738" s="4">
        <f>394.875470422742 * CHOOSE(CONTROL!$C$9, $C$13, 100%, $E$13) + CHOOSE(CONTROL!$C$28, 0, 0)</f>
        <v>394.87547042274201</v>
      </c>
    </row>
    <row r="739" spans="1:5" ht="15">
      <c r="A739" s="13">
        <v>64375</v>
      </c>
      <c r="B739" s="4">
        <f>75.2186 * CHOOSE(CONTROL!$C$9, $C$13, 100%, $E$13) + CHOOSE(CONTROL!$C$28, 0.0003, 0)</f>
        <v>75.218899999999991</v>
      </c>
      <c r="C739" s="4">
        <f>74.9061 * CHOOSE(CONTROL!$C$9, $C$13, 100%, $E$13) + CHOOSE(CONTROL!$C$28, 0.0003, 0)</f>
        <v>74.906399999999991</v>
      </c>
      <c r="D739" s="4">
        <f>70.5035 * CHOOSE(CONTROL!$C$9, $C$13, 100%, $E$13) + CHOOSE(CONTROL!$C$28, 0, 0)</f>
        <v>70.503500000000003</v>
      </c>
      <c r="E739" s="4">
        <f>418.926026672035 * CHOOSE(CONTROL!$C$9, $C$13, 100%, $E$13) + CHOOSE(CONTROL!$C$28, 0, 0)</f>
        <v>418.92602667203499</v>
      </c>
    </row>
    <row r="740" spans="1:5" ht="15">
      <c r="A740" s="13">
        <v>64405</v>
      </c>
      <c r="B740" s="4">
        <f>78.2104 * CHOOSE(CONTROL!$C$9, $C$13, 100%, $E$13) + CHOOSE(CONTROL!$C$28, 0.0003, 0)</f>
        <v>78.210700000000003</v>
      </c>
      <c r="C740" s="4">
        <f>77.8979 * CHOOSE(CONTROL!$C$9, $C$13, 100%, $E$13) + CHOOSE(CONTROL!$C$28, 0.0003, 0)</f>
        <v>77.898200000000003</v>
      </c>
      <c r="D740" s="4">
        <f>72.5466 * CHOOSE(CONTROL!$C$9, $C$13, 100%, $E$13) + CHOOSE(CONTROL!$C$28, 0, 0)</f>
        <v>72.546599999999998</v>
      </c>
      <c r="E740" s="4">
        <f>436.014267402961 * CHOOSE(CONTROL!$C$9, $C$13, 100%, $E$13) + CHOOSE(CONTROL!$C$28, 0, 0)</f>
        <v>436.01426740296102</v>
      </c>
    </row>
    <row r="741" spans="1:5" ht="15">
      <c r="A741" s="13">
        <v>64436</v>
      </c>
      <c r="B741" s="4">
        <f>80.0383 * CHOOSE(CONTROL!$C$9, $C$13, 100%, $E$13) + CHOOSE(CONTROL!$C$28, 0.0255, 0)</f>
        <v>80.063800000000001</v>
      </c>
      <c r="C741" s="4">
        <f>79.7258 * CHOOSE(CONTROL!$C$9, $C$13, 100%, $E$13) + CHOOSE(CONTROL!$C$28, 0.0255, 0)</f>
        <v>79.751300000000001</v>
      </c>
      <c r="D741" s="4">
        <f>71.7393 * CHOOSE(CONTROL!$C$9, $C$13, 100%, $E$13) + CHOOSE(CONTROL!$C$28, 0, 0)</f>
        <v>71.7393</v>
      </c>
      <c r="E741" s="4">
        <f>446.454772941585 * CHOOSE(CONTROL!$C$9, $C$13, 100%, $E$13) + CHOOSE(CONTROL!$C$28, 0, 0)</f>
        <v>446.45477294158502</v>
      </c>
    </row>
    <row r="742" spans="1:5" ht="15">
      <c r="A742" s="13">
        <v>64466</v>
      </c>
      <c r="B742" s="4">
        <f>80.2856 * CHOOSE(CONTROL!$C$9, $C$13, 100%, $E$13) + CHOOSE(CONTROL!$C$28, 0.0255, 0)</f>
        <v>80.311099999999996</v>
      </c>
      <c r="C742" s="4">
        <f>79.9731 * CHOOSE(CONTROL!$C$9, $C$13, 100%, $E$13) + CHOOSE(CONTROL!$C$28, 0.0255, 0)</f>
        <v>79.998599999999996</v>
      </c>
      <c r="D742" s="4">
        <f>72.3967 * CHOOSE(CONTROL!$C$9, $C$13, 100%, $E$13) + CHOOSE(CONTROL!$C$28, 0, 0)</f>
        <v>72.396699999999996</v>
      </c>
      <c r="E742" s="4">
        <f>447.86741666995 * CHOOSE(CONTROL!$C$9, $C$13, 100%, $E$13) + CHOOSE(CONTROL!$C$28, 0, 0)</f>
        <v>447.86741666994999</v>
      </c>
    </row>
    <row r="743" spans="1:5" ht="15">
      <c r="A743" s="13">
        <v>64497</v>
      </c>
      <c r="B743" s="4">
        <f>80.2606 * CHOOSE(CONTROL!$C$9, $C$13, 100%, $E$13) + CHOOSE(CONTROL!$C$28, 0.0255, 0)</f>
        <v>80.28609999999999</v>
      </c>
      <c r="C743" s="4">
        <f>79.9481 * CHOOSE(CONTROL!$C$9, $C$13, 100%, $E$13) + CHOOSE(CONTROL!$C$28, 0.0255, 0)</f>
        <v>79.97359999999999</v>
      </c>
      <c r="D743" s="4">
        <f>73.5831 * CHOOSE(CONTROL!$C$9, $C$13, 100%, $E$13) + CHOOSE(CONTROL!$C$28, 0, 0)</f>
        <v>73.583100000000002</v>
      </c>
      <c r="E743" s="4">
        <f>447.724965201543 * CHOOSE(CONTROL!$C$9, $C$13, 100%, $E$13) + CHOOSE(CONTROL!$C$28, 0, 0)</f>
        <v>447.724965201543</v>
      </c>
    </row>
    <row r="744" spans="1:5" ht="15">
      <c r="A744" s="13">
        <v>64528</v>
      </c>
      <c r="B744" s="4">
        <f>82.1373 * CHOOSE(CONTROL!$C$9, $C$13, 100%, $E$13) + CHOOSE(CONTROL!$C$28, 0.0255, 0)</f>
        <v>82.16279999999999</v>
      </c>
      <c r="C744" s="4">
        <f>81.8248 * CHOOSE(CONTROL!$C$9, $C$13, 100%, $E$13) + CHOOSE(CONTROL!$C$28, 0.0255, 0)</f>
        <v>81.85029999999999</v>
      </c>
      <c r="D744" s="4">
        <f>72.7996 * CHOOSE(CONTROL!$C$9, $C$13, 100%, $E$13) + CHOOSE(CONTROL!$C$28, 0, 0)</f>
        <v>72.799599999999998</v>
      </c>
      <c r="E744" s="4">
        <f>458.44443819913 * CHOOSE(CONTROL!$C$9, $C$13, 100%, $E$13) + CHOOSE(CONTROL!$C$28, 0, 0)</f>
        <v>458.44443819912999</v>
      </c>
    </row>
    <row r="745" spans="1:5" ht="15">
      <c r="A745" s="13">
        <v>64558</v>
      </c>
      <c r="B745" s="4">
        <f>78.9388 * CHOOSE(CONTROL!$C$9, $C$13, 100%, $E$13) + CHOOSE(CONTROL!$C$28, 0.0255, 0)</f>
        <v>78.964299999999994</v>
      </c>
      <c r="C745" s="4">
        <f>78.6263 * CHOOSE(CONTROL!$C$9, $C$13, 100%, $E$13) + CHOOSE(CONTROL!$C$28, 0.0255, 0)</f>
        <v>78.651799999999994</v>
      </c>
      <c r="D745" s="4">
        <f>72.4295 * CHOOSE(CONTROL!$C$9, $C$13, 100%, $E$13) + CHOOSE(CONTROL!$C$28, 0, 0)</f>
        <v>72.429500000000004</v>
      </c>
      <c r="E745" s="4">
        <f>440.175037376 * CHOOSE(CONTROL!$C$9, $C$13, 100%, $E$13) + CHOOSE(CONTROL!$C$28, 0, 0)</f>
        <v>440.17503737599998</v>
      </c>
    </row>
    <row r="746" spans="1:5" ht="15">
      <c r="A746" s="13">
        <v>64589</v>
      </c>
      <c r="B746" s="4">
        <f>76.3783 * CHOOSE(CONTROL!$C$9, $C$13, 100%, $E$13) + CHOOSE(CONTROL!$C$28, 0.0003, 0)</f>
        <v>76.378599999999992</v>
      </c>
      <c r="C746" s="4">
        <f>76.0658 * CHOOSE(CONTROL!$C$9, $C$13, 100%, $E$13) + CHOOSE(CONTROL!$C$28, 0.0003, 0)</f>
        <v>76.066099999999992</v>
      </c>
      <c r="D746" s="4">
        <f>71.4383 * CHOOSE(CONTROL!$C$9, $C$13, 100%, $E$13) + CHOOSE(CONTROL!$C$28, 0, 0)</f>
        <v>71.438299999999998</v>
      </c>
      <c r="E746" s="4">
        <f>425.550019952936 * CHOOSE(CONTROL!$C$9, $C$13, 100%, $E$13) + CHOOSE(CONTROL!$C$28, 0, 0)</f>
        <v>425.550019952936</v>
      </c>
    </row>
    <row r="747" spans="1:5" ht="15">
      <c r="A747" s="13">
        <v>64619</v>
      </c>
      <c r="B747" s="4">
        <f>74.7292 * CHOOSE(CONTROL!$C$9, $C$13, 100%, $E$13) + CHOOSE(CONTROL!$C$28, 0.0003, 0)</f>
        <v>74.729500000000002</v>
      </c>
      <c r="C747" s="4">
        <f>74.4167 * CHOOSE(CONTROL!$C$9, $C$13, 100%, $E$13) + CHOOSE(CONTROL!$C$28, 0.0003, 0)</f>
        <v>74.417000000000002</v>
      </c>
      <c r="D747" s="4">
        <f>71.0975 * CHOOSE(CONTROL!$C$9, $C$13, 100%, $E$13) + CHOOSE(CONTROL!$C$28, 0, 0)</f>
        <v>71.097499999999997</v>
      </c>
      <c r="E747" s="4">
        <f>416.130416604558 * CHOOSE(CONTROL!$C$9, $C$13, 100%, $E$13) + CHOOSE(CONTROL!$C$28, 0, 0)</f>
        <v>416.13041660455798</v>
      </c>
    </row>
    <row r="748" spans="1:5" ht="15">
      <c r="A748" s="13">
        <v>64650</v>
      </c>
      <c r="B748" s="4">
        <f>73.5882 * CHOOSE(CONTROL!$C$9, $C$13, 100%, $E$13) + CHOOSE(CONTROL!$C$28, 0.0003, 0)</f>
        <v>73.588499999999996</v>
      </c>
      <c r="C748" s="4">
        <f>73.2757 * CHOOSE(CONTROL!$C$9, $C$13, 100%, $E$13) + CHOOSE(CONTROL!$C$28, 0.0003, 0)</f>
        <v>73.275999999999996</v>
      </c>
      <c r="D748" s="4">
        <f>68.5889 * CHOOSE(CONTROL!$C$9, $C$13, 100%, $E$13) + CHOOSE(CONTROL!$C$28, 0, 0)</f>
        <v>68.588899999999995</v>
      </c>
      <c r="E748" s="4">
        <f>409.613261924962 * CHOOSE(CONTROL!$C$9, $C$13, 100%, $E$13) + CHOOSE(CONTROL!$C$28, 0, 0)</f>
        <v>409.61326192496199</v>
      </c>
    </row>
    <row r="749" spans="1:5" ht="15">
      <c r="A749" s="13">
        <v>64681</v>
      </c>
      <c r="B749" s="4">
        <f>71.7343 * CHOOSE(CONTROL!$C$9, $C$13, 100%, $E$13) + CHOOSE(CONTROL!$C$28, 0.0003, 0)</f>
        <v>71.7346</v>
      </c>
      <c r="C749" s="4">
        <f>71.4218 * CHOOSE(CONTROL!$C$9, $C$13, 100%, $E$13) + CHOOSE(CONTROL!$C$28, 0.0003, 0)</f>
        <v>71.4221</v>
      </c>
      <c r="D749" s="4">
        <f>66.2832 * CHOOSE(CONTROL!$C$9, $C$13, 100%, $E$13) + CHOOSE(CONTROL!$C$28, 0, 0)</f>
        <v>66.283199999999994</v>
      </c>
      <c r="E749" s="4">
        <f>397.867114484919 * CHOOSE(CONTROL!$C$9, $C$13, 100%, $E$13) + CHOOSE(CONTROL!$C$28, 0, 0)</f>
        <v>397.867114484919</v>
      </c>
    </row>
    <row r="750" spans="1:5" ht="15">
      <c r="A750" s="13">
        <v>64709</v>
      </c>
      <c r="B750" s="4">
        <f>73.3931 * CHOOSE(CONTROL!$C$9, $C$13, 100%, $E$13) + CHOOSE(CONTROL!$C$28, 0.0003, 0)</f>
        <v>73.3934</v>
      </c>
      <c r="C750" s="4">
        <f>73.0806 * CHOOSE(CONTROL!$C$9, $C$13, 100%, $E$13) + CHOOSE(CONTROL!$C$28, 0.0003, 0)</f>
        <v>73.0809</v>
      </c>
      <c r="D750" s="4">
        <f>68.605 * CHOOSE(CONTROL!$C$9, $C$13, 100%, $E$13) + CHOOSE(CONTROL!$C$28, 0, 0)</f>
        <v>68.605000000000004</v>
      </c>
      <c r="E750" s="4">
        <f>407.314047741058 * CHOOSE(CONTROL!$C$9, $C$13, 100%, $E$13) + CHOOSE(CONTROL!$C$28, 0, 0)</f>
        <v>407.314047741058</v>
      </c>
    </row>
    <row r="751" spans="1:5" ht="15">
      <c r="A751" s="13">
        <v>64740</v>
      </c>
      <c r="B751" s="4">
        <f>77.749 * CHOOSE(CONTROL!$C$9, $C$13, 100%, $E$13) + CHOOSE(CONTROL!$C$28, 0.0003, 0)</f>
        <v>77.749299999999991</v>
      </c>
      <c r="C751" s="4">
        <f>77.4365 * CHOOSE(CONTROL!$C$9, $C$13, 100%, $E$13) + CHOOSE(CONTROL!$C$28, 0.0003, 0)</f>
        <v>77.436799999999991</v>
      </c>
      <c r="D751" s="4">
        <f>72.2397 * CHOOSE(CONTROL!$C$9, $C$13, 100%, $E$13) + CHOOSE(CONTROL!$C$28, 0, 0)</f>
        <v>72.239699999999999</v>
      </c>
      <c r="E751" s="4">
        <f>432.122196512204 * CHOOSE(CONTROL!$C$9, $C$13, 100%, $E$13) + CHOOSE(CONTROL!$C$28, 0, 0)</f>
        <v>432.12219651220403</v>
      </c>
    </row>
    <row r="752" spans="1:5" ht="15">
      <c r="A752" s="13">
        <v>64770</v>
      </c>
      <c r="B752" s="4">
        <f>80.8439 * CHOOSE(CONTROL!$C$9, $C$13, 100%, $E$13) + CHOOSE(CONTROL!$C$28, 0.0003, 0)</f>
        <v>80.844200000000001</v>
      </c>
      <c r="C752" s="4">
        <f>80.5314 * CHOOSE(CONTROL!$C$9, $C$13, 100%, $E$13) + CHOOSE(CONTROL!$C$28, 0.0003, 0)</f>
        <v>80.531700000000001</v>
      </c>
      <c r="D752" s="4">
        <f>74.3334 * CHOOSE(CONTROL!$C$9, $C$13, 100%, $E$13) + CHOOSE(CONTROL!$C$28, 0, 0)</f>
        <v>74.333399999999997</v>
      </c>
      <c r="E752" s="4">
        <f>449.748716826154 * CHOOSE(CONTROL!$C$9, $C$13, 100%, $E$13) + CHOOSE(CONTROL!$C$28, 0, 0)</f>
        <v>449.74871682615401</v>
      </c>
    </row>
    <row r="753" spans="1:5" ht="15">
      <c r="A753" s="13">
        <v>64801</v>
      </c>
      <c r="B753" s="4">
        <f>82.7349 * CHOOSE(CONTROL!$C$9, $C$13, 100%, $E$13) + CHOOSE(CONTROL!$C$28, 0.0255, 0)</f>
        <v>82.76039999999999</v>
      </c>
      <c r="C753" s="4">
        <f>82.4224 * CHOOSE(CONTROL!$C$9, $C$13, 100%, $E$13) + CHOOSE(CONTROL!$C$28, 0.0255, 0)</f>
        <v>82.44789999999999</v>
      </c>
      <c r="D753" s="4">
        <f>73.5061 * CHOOSE(CONTROL!$C$9, $C$13, 100%, $E$13) + CHOOSE(CONTROL!$C$28, 0, 0)</f>
        <v>73.506100000000004</v>
      </c>
      <c r="E753" s="4">
        <f>460.518098289245 * CHOOSE(CONTROL!$C$9, $C$13, 100%, $E$13) + CHOOSE(CONTROL!$C$28, 0, 0)</f>
        <v>460.51809828924502</v>
      </c>
    </row>
    <row r="754" spans="1:5" ht="15">
      <c r="A754" s="13">
        <v>64831</v>
      </c>
      <c r="B754" s="4">
        <f>82.9907 * CHOOSE(CONTROL!$C$9, $C$13, 100%, $E$13) + CHOOSE(CONTROL!$C$28, 0.0255, 0)</f>
        <v>83.016199999999998</v>
      </c>
      <c r="C754" s="4">
        <f>82.6782 * CHOOSE(CONTROL!$C$9, $C$13, 100%, $E$13) + CHOOSE(CONTROL!$C$28, 0.0255, 0)</f>
        <v>82.703699999999998</v>
      </c>
      <c r="D754" s="4">
        <f>74.1799 * CHOOSE(CONTROL!$C$9, $C$13, 100%, $E$13) + CHOOSE(CONTROL!$C$28, 0, 0)</f>
        <v>74.179900000000004</v>
      </c>
      <c r="E754" s="4">
        <f>461.975240295053 * CHOOSE(CONTROL!$C$9, $C$13, 100%, $E$13) + CHOOSE(CONTROL!$C$28, 0, 0)</f>
        <v>461.97524029505303</v>
      </c>
    </row>
    <row r="755" spans="1:5" ht="15">
      <c r="A755" s="13">
        <v>64862</v>
      </c>
      <c r="B755" s="4">
        <f>82.9649 * CHOOSE(CONTROL!$C$9, $C$13, 100%, $E$13) + CHOOSE(CONTROL!$C$28, 0.0255, 0)</f>
        <v>82.990399999999994</v>
      </c>
      <c r="C755" s="4">
        <f>82.6524 * CHOOSE(CONTROL!$C$9, $C$13, 100%, $E$13) + CHOOSE(CONTROL!$C$28, 0.0255, 0)</f>
        <v>82.677899999999994</v>
      </c>
      <c r="D755" s="4">
        <f>75.3956 * CHOOSE(CONTROL!$C$9, $C$13, 100%, $E$13) + CHOOSE(CONTROL!$C$28, 0, 0)</f>
        <v>75.395600000000002</v>
      </c>
      <c r="E755" s="4">
        <f>461.828301605392 * CHOOSE(CONTROL!$C$9, $C$13, 100%, $E$13) + CHOOSE(CONTROL!$C$28, 0, 0)</f>
        <v>461.82830160539203</v>
      </c>
    </row>
    <row r="756" spans="1:5" ht="15">
      <c r="A756" s="13">
        <v>64893</v>
      </c>
      <c r="B756" s="4">
        <f>84.9064 * CHOOSE(CONTROL!$C$9, $C$13, 100%, $E$13) + CHOOSE(CONTROL!$C$28, 0.0255, 0)</f>
        <v>84.931899999999999</v>
      </c>
      <c r="C756" s="4">
        <f>84.5939 * CHOOSE(CONTROL!$C$9, $C$13, 100%, $E$13) + CHOOSE(CONTROL!$C$28, 0.0255, 0)</f>
        <v>84.619399999999999</v>
      </c>
      <c r="D756" s="4">
        <f>74.5927 * CHOOSE(CONTROL!$C$9, $C$13, 100%, $E$13) + CHOOSE(CONTROL!$C$28, 0, 0)</f>
        <v>74.592699999999994</v>
      </c>
      <c r="E756" s="4">
        <f>472.885438002403 * CHOOSE(CONTROL!$C$9, $C$13, 100%, $E$13) + CHOOSE(CONTROL!$C$28, 0, 0)</f>
        <v>472.88543800240302</v>
      </c>
    </row>
    <row r="757" spans="1:5" ht="15">
      <c r="A757" s="13">
        <v>64923</v>
      </c>
      <c r="B757" s="4">
        <f>81.5975 * CHOOSE(CONTROL!$C$9, $C$13, 100%, $E$13) + CHOOSE(CONTROL!$C$28, 0.0255, 0)</f>
        <v>81.62299999999999</v>
      </c>
      <c r="C757" s="4">
        <f>81.285 * CHOOSE(CONTROL!$C$9, $C$13, 100%, $E$13) + CHOOSE(CONTROL!$C$28, 0.0255, 0)</f>
        <v>81.31049999999999</v>
      </c>
      <c r="D757" s="4">
        <f>74.2134 * CHOOSE(CONTROL!$C$9, $C$13, 100%, $E$13) + CHOOSE(CONTROL!$C$28, 0, 0)</f>
        <v>74.213399999999993</v>
      </c>
      <c r="E757" s="4">
        <f>454.040551053344 * CHOOSE(CONTROL!$C$9, $C$13, 100%, $E$13) + CHOOSE(CONTROL!$C$28, 0, 0)</f>
        <v>454.04055105334402</v>
      </c>
    </row>
    <row r="758" spans="1:5" ht="15">
      <c r="A758" s="13">
        <v>64954</v>
      </c>
      <c r="B758" s="4">
        <f>78.9487 * CHOOSE(CONTROL!$C$9, $C$13, 100%, $E$13) + CHOOSE(CONTROL!$C$28, 0.0003, 0)</f>
        <v>78.948999999999998</v>
      </c>
      <c r="C758" s="4">
        <f>78.6362 * CHOOSE(CONTROL!$C$9, $C$13, 100%, $E$13) + CHOOSE(CONTROL!$C$28, 0.0003, 0)</f>
        <v>78.636499999999998</v>
      </c>
      <c r="D758" s="4">
        <f>73.1976 * CHOOSE(CONTROL!$C$9, $C$13, 100%, $E$13) + CHOOSE(CONTROL!$C$28, 0, 0)</f>
        <v>73.197599999999994</v>
      </c>
      <c r="E758" s="4">
        <f>438.954845581453 * CHOOSE(CONTROL!$C$9, $C$13, 100%, $E$13) + CHOOSE(CONTROL!$C$28, 0, 0)</f>
        <v>438.95484558145301</v>
      </c>
    </row>
    <row r="759" spans="1:5" ht="15">
      <c r="A759" s="13">
        <v>64984</v>
      </c>
      <c r="B759" s="4">
        <f>77.2427 * CHOOSE(CONTROL!$C$9, $C$13, 100%, $E$13) + CHOOSE(CONTROL!$C$28, 0.0003, 0)</f>
        <v>77.242999999999995</v>
      </c>
      <c r="C759" s="4">
        <f>76.9302 * CHOOSE(CONTROL!$C$9, $C$13, 100%, $E$13) + CHOOSE(CONTROL!$C$28, 0.0003, 0)</f>
        <v>76.930499999999995</v>
      </c>
      <c r="D759" s="4">
        <f>72.8484 * CHOOSE(CONTROL!$C$9, $C$13, 100%, $E$13) + CHOOSE(CONTROL!$C$28, 0, 0)</f>
        <v>72.848399999999998</v>
      </c>
      <c r="E759" s="4">
        <f>429.238524727601 * CHOOSE(CONTROL!$C$9, $C$13, 100%, $E$13) + CHOOSE(CONTROL!$C$28, 0, 0)</f>
        <v>429.23852472760097</v>
      </c>
    </row>
    <row r="760" spans="1:5" ht="15">
      <c r="A760" s="13">
        <v>65015</v>
      </c>
      <c r="B760" s="4">
        <f>76.0623 * CHOOSE(CONTROL!$C$9, $C$13, 100%, $E$13) + CHOOSE(CONTROL!$C$28, 0.0003, 0)</f>
        <v>76.062599999999989</v>
      </c>
      <c r="C760" s="4">
        <f>75.7498 * CHOOSE(CONTROL!$C$9, $C$13, 100%, $E$13) + CHOOSE(CONTROL!$C$28, 0.0003, 0)</f>
        <v>75.750099999999989</v>
      </c>
      <c r="D760" s="4">
        <f>70.2775 * CHOOSE(CONTROL!$C$9, $C$13, 100%, $E$13) + CHOOSE(CONTROL!$C$28, 0, 0)</f>
        <v>70.277500000000003</v>
      </c>
      <c r="E760" s="4">
        <f>422.516079675598 * CHOOSE(CONTROL!$C$9, $C$13, 100%, $E$13) + CHOOSE(CONTROL!$C$28, 0, 0)</f>
        <v>422.51607967559801</v>
      </c>
    </row>
    <row r="761" spans="1:5" ht="15">
      <c r="A761" s="13">
        <v>65046</v>
      </c>
      <c r="B761" s="4">
        <f>74.1445 * CHOOSE(CONTROL!$C$9, $C$13, 100%, $E$13) + CHOOSE(CONTROL!$C$28, 0.0003, 0)</f>
        <v>74.144799999999989</v>
      </c>
      <c r="C761" s="4">
        <f>73.832 * CHOOSE(CONTROL!$C$9, $C$13, 100%, $E$13) + CHOOSE(CONTROL!$C$28, 0.0003, 0)</f>
        <v>73.832299999999989</v>
      </c>
      <c r="D761" s="4">
        <f>67.9147 * CHOOSE(CONTROL!$C$9, $C$13, 100%, $E$13) + CHOOSE(CONTROL!$C$28, 0, 0)</f>
        <v>67.914699999999996</v>
      </c>
      <c r="E761" s="4">
        <f>410.399928591194 * CHOOSE(CONTROL!$C$9, $C$13, 100%, $E$13) + CHOOSE(CONTROL!$C$28, 0, 0)</f>
        <v>410.399928591194</v>
      </c>
    </row>
    <row r="762" spans="1:5" ht="15">
      <c r="A762" s="13">
        <v>65074</v>
      </c>
      <c r="B762" s="4">
        <f>75.8604 * CHOOSE(CONTROL!$C$9, $C$13, 100%, $E$13) + CHOOSE(CONTROL!$C$28, 0.0003, 0)</f>
        <v>75.860699999999994</v>
      </c>
      <c r="C762" s="4">
        <f>75.5479 * CHOOSE(CONTROL!$C$9, $C$13, 100%, $E$13) + CHOOSE(CONTROL!$C$28, 0.0003, 0)</f>
        <v>75.548199999999994</v>
      </c>
      <c r="D762" s="4">
        <f>70.2941 * CHOOSE(CONTROL!$C$9, $C$13, 100%, $E$13) + CHOOSE(CONTROL!$C$28, 0, 0)</f>
        <v>70.2941</v>
      </c>
      <c r="E762" s="4">
        <f>420.144440244902 * CHOOSE(CONTROL!$C$9, $C$13, 100%, $E$13) + CHOOSE(CONTROL!$C$28, 0, 0)</f>
        <v>420.144440244902</v>
      </c>
    </row>
    <row r="763" spans="1:5" ht="15">
      <c r="A763" s="13">
        <v>65105</v>
      </c>
      <c r="B763" s="4">
        <f>80.3667 * CHOOSE(CONTROL!$C$9, $C$13, 100%, $E$13) + CHOOSE(CONTROL!$C$28, 0.0003, 0)</f>
        <v>80.36699999999999</v>
      </c>
      <c r="C763" s="4">
        <f>80.0542 * CHOOSE(CONTROL!$C$9, $C$13, 100%, $E$13) + CHOOSE(CONTROL!$C$28, 0.0003, 0)</f>
        <v>80.05449999999999</v>
      </c>
      <c r="D763" s="4">
        <f>74.0189 * CHOOSE(CONTROL!$C$9, $C$13, 100%, $E$13) + CHOOSE(CONTROL!$C$28, 0, 0)</f>
        <v>74.018900000000002</v>
      </c>
      <c r="E763" s="4">
        <f>445.734045702338 * CHOOSE(CONTROL!$C$9, $C$13, 100%, $E$13) + CHOOSE(CONTROL!$C$28, 0, 0)</f>
        <v>445.73404570233799</v>
      </c>
    </row>
    <row r="764" spans="1:5" ht="15">
      <c r="A764" s="13">
        <v>65135</v>
      </c>
      <c r="B764" s="4">
        <f>83.5684 * CHOOSE(CONTROL!$C$9, $C$13, 100%, $E$13) + CHOOSE(CONTROL!$C$28, 0.0003, 0)</f>
        <v>83.568699999999993</v>
      </c>
      <c r="C764" s="4">
        <f>83.2559 * CHOOSE(CONTROL!$C$9, $C$13, 100%, $E$13) + CHOOSE(CONTROL!$C$28, 0.0003, 0)</f>
        <v>83.256199999999993</v>
      </c>
      <c r="D764" s="4">
        <f>76.1645 * CHOOSE(CONTROL!$C$9, $C$13, 100%, $E$13) + CHOOSE(CONTROL!$C$28, 0, 0)</f>
        <v>76.164500000000004</v>
      </c>
      <c r="E764" s="4">
        <f>463.915801406178 * CHOOSE(CONTROL!$C$9, $C$13, 100%, $E$13) + CHOOSE(CONTROL!$C$28, 0, 0)</f>
        <v>463.91580140617799</v>
      </c>
    </row>
    <row r="765" spans="1:5" ht="15">
      <c r="A765" s="13">
        <v>65166</v>
      </c>
      <c r="B765" s="4">
        <f>85.5245 * CHOOSE(CONTROL!$C$9, $C$13, 100%, $E$13) + CHOOSE(CONTROL!$C$28, 0.0255, 0)</f>
        <v>85.55</v>
      </c>
      <c r="C765" s="4">
        <f>85.212 * CHOOSE(CONTROL!$C$9, $C$13, 100%, $E$13) + CHOOSE(CONTROL!$C$28, 0.0255, 0)</f>
        <v>85.237499999999997</v>
      </c>
      <c r="D765" s="4">
        <f>75.3167 * CHOOSE(CONTROL!$C$9, $C$13, 100%, $E$13) + CHOOSE(CONTROL!$C$28, 0, 0)</f>
        <v>75.316699999999997</v>
      </c>
      <c r="E765" s="4">
        <f>475.024418385357 * CHOOSE(CONTROL!$C$9, $C$13, 100%, $E$13) + CHOOSE(CONTROL!$C$28, 0, 0)</f>
        <v>475.02441838535702</v>
      </c>
    </row>
    <row r="766" spans="1:5" ht="15">
      <c r="A766" s="13">
        <v>65196</v>
      </c>
      <c r="B766" s="4">
        <f>85.7892 * CHOOSE(CONTROL!$C$9, $C$13, 100%, $E$13) + CHOOSE(CONTROL!$C$28, 0.0255, 0)</f>
        <v>85.814699999999988</v>
      </c>
      <c r="C766" s="4">
        <f>85.4767 * CHOOSE(CONTROL!$C$9, $C$13, 100%, $E$13) + CHOOSE(CONTROL!$C$28, 0.0255, 0)</f>
        <v>85.502199999999988</v>
      </c>
      <c r="D766" s="4">
        <f>76.0072 * CHOOSE(CONTROL!$C$9, $C$13, 100%, $E$13) + CHOOSE(CONTROL!$C$28, 0, 0)</f>
        <v>76.007199999999997</v>
      </c>
      <c r="E766" s="4">
        <f>476.527460364347 * CHOOSE(CONTROL!$C$9, $C$13, 100%, $E$13) + CHOOSE(CONTROL!$C$28, 0, 0)</f>
        <v>476.52746036434701</v>
      </c>
    </row>
    <row r="767" spans="1:5" ht="15">
      <c r="A767" s="13">
        <v>65227</v>
      </c>
      <c r="B767" s="4">
        <f>85.7625 * CHOOSE(CONTROL!$C$9, $C$13, 100%, $E$13) + CHOOSE(CONTROL!$C$28, 0.0255, 0)</f>
        <v>85.787999999999997</v>
      </c>
      <c r="C767" s="4">
        <f>85.45 * CHOOSE(CONTROL!$C$9, $C$13, 100%, $E$13) + CHOOSE(CONTROL!$C$28, 0.0255, 0)</f>
        <v>85.475499999999997</v>
      </c>
      <c r="D767" s="4">
        <f>77.2531 * CHOOSE(CONTROL!$C$9, $C$13, 100%, $E$13) + CHOOSE(CONTROL!$C$28, 0, 0)</f>
        <v>77.253100000000003</v>
      </c>
      <c r="E767" s="4">
        <f>476.375893105962 * CHOOSE(CONTROL!$C$9, $C$13, 100%, $E$13) + CHOOSE(CONTROL!$C$28, 0, 0)</f>
        <v>476.37589310596201</v>
      </c>
    </row>
    <row r="768" spans="1:5" ht="15">
      <c r="A768" s="13">
        <v>65258</v>
      </c>
      <c r="B768" s="4">
        <f>87.771 * CHOOSE(CONTROL!$C$9, $C$13, 100%, $E$13) + CHOOSE(CONTROL!$C$28, 0.0255, 0)</f>
        <v>87.796499999999995</v>
      </c>
      <c r="C768" s="4">
        <f>87.4585 * CHOOSE(CONTROL!$C$9, $C$13, 100%, $E$13) + CHOOSE(CONTROL!$C$28, 0.0255, 0)</f>
        <v>87.483999999999995</v>
      </c>
      <c r="D768" s="4">
        <f>76.4303 * CHOOSE(CONTROL!$C$9, $C$13, 100%, $E$13) + CHOOSE(CONTROL!$C$28, 0, 0)</f>
        <v>76.430300000000003</v>
      </c>
      <c r="E768" s="4">
        <f>487.781329299479 * CHOOSE(CONTROL!$C$9, $C$13, 100%, $E$13) + CHOOSE(CONTROL!$C$28, 0, 0)</f>
        <v>487.78132929947901</v>
      </c>
    </row>
    <row r="769" spans="1:5" ht="15">
      <c r="A769" s="13">
        <v>65288</v>
      </c>
      <c r="B769" s="4">
        <f>84.348 * CHOOSE(CONTROL!$C$9, $C$13, 100%, $E$13) + CHOOSE(CONTROL!$C$28, 0.0255, 0)</f>
        <v>84.373499999999993</v>
      </c>
      <c r="C769" s="4">
        <f>84.0355 * CHOOSE(CONTROL!$C$9, $C$13, 100%, $E$13) + CHOOSE(CONTROL!$C$28, 0.0255, 0)</f>
        <v>84.060999999999993</v>
      </c>
      <c r="D769" s="4">
        <f>76.0415 * CHOOSE(CONTROL!$C$9, $C$13, 100%, $E$13) + CHOOSE(CONTROL!$C$28, 0, 0)</f>
        <v>76.041499999999999</v>
      </c>
      <c r="E769" s="4">
        <f>468.342828411525 * CHOOSE(CONTROL!$C$9, $C$13, 100%, $E$13) + CHOOSE(CONTROL!$C$28, 0, 0)</f>
        <v>468.34282841152498</v>
      </c>
    </row>
    <row r="770" spans="1:5" ht="15">
      <c r="A770" s="13">
        <v>65319</v>
      </c>
      <c r="B770" s="4">
        <f>81.6078 * CHOOSE(CONTROL!$C$9, $C$13, 100%, $E$13) + CHOOSE(CONTROL!$C$28, 0.0003, 0)</f>
        <v>81.608099999999993</v>
      </c>
      <c r="C770" s="4">
        <f>81.2953 * CHOOSE(CONTROL!$C$9, $C$13, 100%, $E$13) + CHOOSE(CONTROL!$C$28, 0.0003, 0)</f>
        <v>81.295599999999993</v>
      </c>
      <c r="D770" s="4">
        <f>75.0006 * CHOOSE(CONTROL!$C$9, $C$13, 100%, $E$13) + CHOOSE(CONTROL!$C$28, 0, 0)</f>
        <v>75.000600000000006</v>
      </c>
      <c r="E770" s="4">
        <f>452.781923217269 * CHOOSE(CONTROL!$C$9, $C$13, 100%, $E$13) + CHOOSE(CONTROL!$C$28, 0, 0)</f>
        <v>452.78192321726902</v>
      </c>
    </row>
    <row r="771" spans="1:5" ht="15">
      <c r="A771" s="13">
        <v>65349</v>
      </c>
      <c r="B771" s="4">
        <f>79.8429 * CHOOSE(CONTROL!$C$9, $C$13, 100%, $E$13) + CHOOSE(CONTROL!$C$28, 0.0003, 0)</f>
        <v>79.843199999999996</v>
      </c>
      <c r="C771" s="4">
        <f>79.5304 * CHOOSE(CONTROL!$C$9, $C$13, 100%, $E$13) + CHOOSE(CONTROL!$C$28, 0.0003, 0)</f>
        <v>79.530699999999996</v>
      </c>
      <c r="D771" s="4">
        <f>74.6428 * CHOOSE(CONTROL!$C$9, $C$13, 100%, $E$13) + CHOOSE(CONTROL!$C$28, 0, 0)</f>
        <v>74.642799999999994</v>
      </c>
      <c r="E771" s="4">
        <f>442.759538256521 * CHOOSE(CONTROL!$C$9, $C$13, 100%, $E$13) + CHOOSE(CONTROL!$C$28, 0, 0)</f>
        <v>442.75953825652101</v>
      </c>
    </row>
    <row r="772" spans="1:5" ht="15">
      <c r="A772" s="13">
        <v>65380</v>
      </c>
      <c r="B772" s="4">
        <f>78.6218 * CHOOSE(CONTROL!$C$9, $C$13, 100%, $E$13) + CHOOSE(CONTROL!$C$28, 0.0003, 0)</f>
        <v>78.622099999999989</v>
      </c>
      <c r="C772" s="4">
        <f>78.3093 * CHOOSE(CONTROL!$C$9, $C$13, 100%, $E$13) + CHOOSE(CONTROL!$C$28, 0.0003, 0)</f>
        <v>78.309599999999989</v>
      </c>
      <c r="D772" s="4">
        <f>72.0081 * CHOOSE(CONTROL!$C$9, $C$13, 100%, $E$13) + CHOOSE(CONTROL!$C$28, 0, 0)</f>
        <v>72.008099999999999</v>
      </c>
      <c r="E772" s="4">
        <f>435.825336185379 * CHOOSE(CONTROL!$C$9, $C$13, 100%, $E$13) + CHOOSE(CONTROL!$C$28, 0, 0)</f>
        <v>435.825336185379</v>
      </c>
    </row>
    <row r="773" spans="1:5" ht="15">
      <c r="A773" s="13">
        <v>65411</v>
      </c>
      <c r="B773" s="4">
        <f>76.6378 * CHOOSE(CONTROL!$C$9, $C$13, 100%, $E$13) + CHOOSE(CONTROL!$C$28, 0.0003, 0)</f>
        <v>76.638099999999994</v>
      </c>
      <c r="C773" s="4">
        <f>76.3253 * CHOOSE(CONTROL!$C$9, $C$13, 100%, $E$13) + CHOOSE(CONTROL!$C$28, 0.0003, 0)</f>
        <v>76.325599999999994</v>
      </c>
      <c r="D773" s="4">
        <f>69.5866 * CHOOSE(CONTROL!$C$9, $C$13, 100%, $E$13) + CHOOSE(CONTROL!$C$28, 0, 0)</f>
        <v>69.586600000000004</v>
      </c>
      <c r="E773" s="4">
        <f>423.327526341816 * CHOOSE(CONTROL!$C$9, $C$13, 100%, $E$13) + CHOOSE(CONTROL!$C$28, 0, 0)</f>
        <v>423.327526341816</v>
      </c>
    </row>
    <row r="774" spans="1:5" ht="15">
      <c r="A774" s="13">
        <v>65439</v>
      </c>
      <c r="B774" s="4">
        <f>78.4129 * CHOOSE(CONTROL!$C$9, $C$13, 100%, $E$13) + CHOOSE(CONTROL!$C$28, 0.0003, 0)</f>
        <v>78.413199999999989</v>
      </c>
      <c r="C774" s="4">
        <f>78.1004 * CHOOSE(CONTROL!$C$9, $C$13, 100%, $E$13) + CHOOSE(CONTROL!$C$28, 0.0003, 0)</f>
        <v>78.100699999999989</v>
      </c>
      <c r="D774" s="4">
        <f>72.0251 * CHOOSE(CONTROL!$C$9, $C$13, 100%, $E$13) + CHOOSE(CONTROL!$C$28, 0, 0)</f>
        <v>72.025099999999995</v>
      </c>
      <c r="E774" s="4">
        <f>433.378990112616 * CHOOSE(CONTROL!$C$9, $C$13, 100%, $E$13) + CHOOSE(CONTROL!$C$28, 0, 0)</f>
        <v>433.37899011261601</v>
      </c>
    </row>
    <row r="775" spans="1:5" ht="15">
      <c r="A775" s="13">
        <v>65470</v>
      </c>
      <c r="B775" s="4">
        <f>83.0746 * CHOOSE(CONTROL!$C$9, $C$13, 100%, $E$13) + CHOOSE(CONTROL!$C$28, 0.0003, 0)</f>
        <v>83.0749</v>
      </c>
      <c r="C775" s="4">
        <f>82.7621 * CHOOSE(CONTROL!$C$9, $C$13, 100%, $E$13) + CHOOSE(CONTROL!$C$28, 0.0003, 0)</f>
        <v>82.7624</v>
      </c>
      <c r="D775" s="4">
        <f>75.8423 * CHOOSE(CONTROL!$C$9, $C$13, 100%, $E$13) + CHOOSE(CONTROL!$C$28, 0, 0)</f>
        <v>75.842299999999994</v>
      </c>
      <c r="E775" s="4">
        <f>459.774668141962 * CHOOSE(CONTROL!$C$9, $C$13, 100%, $E$13) + CHOOSE(CONTROL!$C$28, 0, 0)</f>
        <v>459.77466814196202</v>
      </c>
    </row>
    <row r="776" spans="1:5" ht="15">
      <c r="A776" s="13">
        <v>65500</v>
      </c>
      <c r="B776" s="4">
        <f>86.3868 * CHOOSE(CONTROL!$C$9, $C$13, 100%, $E$13) + CHOOSE(CONTROL!$C$28, 0.0003, 0)</f>
        <v>86.38709999999999</v>
      </c>
      <c r="C776" s="4">
        <f>86.0743 * CHOOSE(CONTROL!$C$9, $C$13, 100%, $E$13) + CHOOSE(CONTROL!$C$28, 0.0003, 0)</f>
        <v>86.07459999999999</v>
      </c>
      <c r="D776" s="4">
        <f>78.0411 * CHOOSE(CONTROL!$C$9, $C$13, 100%, $E$13) + CHOOSE(CONTROL!$C$28, 0, 0)</f>
        <v>78.0411</v>
      </c>
      <c r="E776" s="4">
        <f>478.529149150473 * CHOOSE(CONTROL!$C$9, $C$13, 100%, $E$13) + CHOOSE(CONTROL!$C$28, 0, 0)</f>
        <v>478.52914915047302</v>
      </c>
    </row>
    <row r="777" spans="1:5" ht="15">
      <c r="A777" s="13">
        <v>65531</v>
      </c>
      <c r="B777" s="4">
        <f>88.4105 * CHOOSE(CONTROL!$C$9, $C$13, 100%, $E$13) + CHOOSE(CONTROL!$C$28, 0.0255, 0)</f>
        <v>88.435999999999993</v>
      </c>
      <c r="C777" s="4">
        <f>88.098 * CHOOSE(CONTROL!$C$9, $C$13, 100%, $E$13) + CHOOSE(CONTROL!$C$28, 0.0255, 0)</f>
        <v>88.123499999999993</v>
      </c>
      <c r="D777" s="4">
        <f>77.1722 * CHOOSE(CONTROL!$C$9, $C$13, 100%, $E$13) + CHOOSE(CONTROL!$C$28, 0, 0)</f>
        <v>77.172200000000004</v>
      </c>
      <c r="E777" s="4">
        <f>489.987687564496 * CHOOSE(CONTROL!$C$9, $C$13, 100%, $E$13) + CHOOSE(CONTROL!$C$28, 0, 0)</f>
        <v>489.98768756449601</v>
      </c>
    </row>
    <row r="778" spans="1:5" ht="15">
      <c r="A778" s="13">
        <v>65561</v>
      </c>
      <c r="B778" s="4">
        <f>88.6843 * CHOOSE(CONTROL!$C$9, $C$13, 100%, $E$13) + CHOOSE(CONTROL!$C$28, 0.0255, 0)</f>
        <v>88.709799999999987</v>
      </c>
      <c r="C778" s="4">
        <f>88.3718 * CHOOSE(CONTROL!$C$9, $C$13, 100%, $E$13) + CHOOSE(CONTROL!$C$28, 0.0255, 0)</f>
        <v>88.397299999999987</v>
      </c>
      <c r="D778" s="4">
        <f>77.8798 * CHOOSE(CONTROL!$C$9, $C$13, 100%, $E$13) + CHOOSE(CONTROL!$C$28, 0, 0)</f>
        <v>77.879800000000003</v>
      </c>
      <c r="E778" s="4">
        <f>491.538075365824 * CHOOSE(CONTROL!$C$9, $C$13, 100%, $E$13) + CHOOSE(CONTROL!$C$28, 0, 0)</f>
        <v>491.538075365824</v>
      </c>
    </row>
    <row r="779" spans="1:5" ht="15">
      <c r="A779" s="13">
        <v>65592</v>
      </c>
      <c r="B779" s="4">
        <f>88.6567 * CHOOSE(CONTROL!$C$9, $C$13, 100%, $E$13) + CHOOSE(CONTROL!$C$28, 0.0255, 0)</f>
        <v>88.682199999999995</v>
      </c>
      <c r="C779" s="4">
        <f>88.3442 * CHOOSE(CONTROL!$C$9, $C$13, 100%, $E$13) + CHOOSE(CONTROL!$C$28, 0.0255, 0)</f>
        <v>88.369699999999995</v>
      </c>
      <c r="D779" s="4">
        <f>79.1567 * CHOOSE(CONTROL!$C$9, $C$13, 100%, $E$13) + CHOOSE(CONTROL!$C$28, 0, 0)</f>
        <v>79.156700000000001</v>
      </c>
      <c r="E779" s="4">
        <f>491.3817337388 * CHOOSE(CONTROL!$C$9, $C$13, 100%, $E$13) + CHOOSE(CONTROL!$C$28, 0, 0)</f>
        <v>491.38173373879999</v>
      </c>
    </row>
    <row r="780" spans="1:5" ht="15">
      <c r="A780" s="13">
        <v>65623</v>
      </c>
      <c r="B780" s="4">
        <f>90.7344 * CHOOSE(CONTROL!$C$9, $C$13, 100%, $E$13) + CHOOSE(CONTROL!$C$28, 0.0255, 0)</f>
        <v>90.759899999999988</v>
      </c>
      <c r="C780" s="4">
        <f>90.4219 * CHOOSE(CONTROL!$C$9, $C$13, 100%, $E$13) + CHOOSE(CONTROL!$C$28, 0.0255, 0)</f>
        <v>90.447399999999988</v>
      </c>
      <c r="D780" s="4">
        <f>78.3135 * CHOOSE(CONTROL!$C$9, $C$13, 100%, $E$13) + CHOOSE(CONTROL!$C$28, 0, 0)</f>
        <v>78.313500000000005</v>
      </c>
      <c r="E780" s="4">
        <f>503.146441172412 * CHOOSE(CONTROL!$C$9, $C$13, 100%, $E$13) + CHOOSE(CONTROL!$C$28, 0, 0)</f>
        <v>503.14644117241198</v>
      </c>
    </row>
    <row r="781" spans="1:5" ht="15">
      <c r="A781" s="13">
        <v>65653</v>
      </c>
      <c r="B781" s="4">
        <f>87.1933 * CHOOSE(CONTROL!$C$9, $C$13, 100%, $E$13) + CHOOSE(CONTROL!$C$28, 0.0255, 0)</f>
        <v>87.218799999999987</v>
      </c>
      <c r="C781" s="4">
        <f>86.8808 * CHOOSE(CONTROL!$C$9, $C$13, 100%, $E$13) + CHOOSE(CONTROL!$C$28, 0.0255, 0)</f>
        <v>86.906299999999987</v>
      </c>
      <c r="D781" s="4">
        <f>77.9151 * CHOOSE(CONTROL!$C$9, $C$13, 100%, $E$13) + CHOOSE(CONTROL!$C$28, 0, 0)</f>
        <v>77.915099999999995</v>
      </c>
      <c r="E781" s="4">
        <f>483.095627506488 * CHOOSE(CONTROL!$C$9, $C$13, 100%, $E$13) + CHOOSE(CONTROL!$C$28, 0, 0)</f>
        <v>483.09562750648797</v>
      </c>
    </row>
    <row r="782" spans="1:5" ht="15">
      <c r="A782" s="13">
        <v>65684</v>
      </c>
      <c r="B782" s="4">
        <f>84.3585 * CHOOSE(CONTROL!$C$9, $C$13, 100%, $E$13) + CHOOSE(CONTROL!$C$28, 0.0003, 0)</f>
        <v>84.358800000000002</v>
      </c>
      <c r="C782" s="4">
        <f>84.046 * CHOOSE(CONTROL!$C$9, $C$13, 100%, $E$13) + CHOOSE(CONTROL!$C$28, 0.0003, 0)</f>
        <v>84.046300000000002</v>
      </c>
      <c r="D782" s="4">
        <f>76.8483 * CHOOSE(CONTROL!$C$9, $C$13, 100%, $E$13) + CHOOSE(CONTROL!$C$28, 0, 0)</f>
        <v>76.848299999999995</v>
      </c>
      <c r="E782" s="4">
        <f>467.044553798613 * CHOOSE(CONTROL!$C$9, $C$13, 100%, $E$13) + CHOOSE(CONTROL!$C$28, 0, 0)</f>
        <v>467.04455379861298</v>
      </c>
    </row>
    <row r="783" spans="1:5" ht="15">
      <c r="A783" s="13">
        <v>65714</v>
      </c>
      <c r="B783" s="4">
        <f>82.5327 * CHOOSE(CONTROL!$C$9, $C$13, 100%, $E$13) + CHOOSE(CONTROL!$C$28, 0.0003, 0)</f>
        <v>82.533000000000001</v>
      </c>
      <c r="C783" s="4">
        <f>82.2202 * CHOOSE(CONTROL!$C$9, $C$13, 100%, $E$13) + CHOOSE(CONTROL!$C$28, 0.0003, 0)</f>
        <v>82.220500000000001</v>
      </c>
      <c r="D783" s="4">
        <f>76.4816 * CHOOSE(CONTROL!$C$9, $C$13, 100%, $E$13) + CHOOSE(CONTROL!$C$28, 0, 0)</f>
        <v>76.4816</v>
      </c>
      <c r="E783" s="4">
        <f>456.706463711601 * CHOOSE(CONTROL!$C$9, $C$13, 100%, $E$13) + CHOOSE(CONTROL!$C$28, 0, 0)</f>
        <v>456.70646371160097</v>
      </c>
    </row>
    <row r="784" spans="1:5" ht="15">
      <c r="A784" s="13">
        <v>65745</v>
      </c>
      <c r="B784" s="4">
        <f>81.2695 * CHOOSE(CONTROL!$C$9, $C$13, 100%, $E$13) + CHOOSE(CONTROL!$C$28, 0.0003, 0)</f>
        <v>81.269799999999989</v>
      </c>
      <c r="C784" s="4">
        <f>80.957 * CHOOSE(CONTROL!$C$9, $C$13, 100%, $E$13) + CHOOSE(CONTROL!$C$28, 0.0003, 0)</f>
        <v>80.957299999999989</v>
      </c>
      <c r="D784" s="4">
        <f>73.7816 * CHOOSE(CONTROL!$C$9, $C$13, 100%, $E$13) + CHOOSE(CONTROL!$C$28, 0, 0)</f>
        <v>73.781599999999997</v>
      </c>
      <c r="E784" s="4">
        <f>449.553834275219 * CHOOSE(CONTROL!$C$9, $C$13, 100%, $E$13) + CHOOSE(CONTROL!$C$28, 0, 0)</f>
        <v>449.553834275219</v>
      </c>
    </row>
    <row r="785" spans="1:5" ht="15">
      <c r="A785" s="13">
        <v>65776</v>
      </c>
      <c r="B785" s="4">
        <f>79.2171 * CHOOSE(CONTROL!$C$9, $C$13, 100%, $E$13) + CHOOSE(CONTROL!$C$28, 0.0003, 0)</f>
        <v>79.217399999999998</v>
      </c>
      <c r="C785" s="4">
        <f>78.9046 * CHOOSE(CONTROL!$C$9, $C$13, 100%, $E$13) + CHOOSE(CONTROL!$C$28, 0.0003, 0)</f>
        <v>78.904899999999998</v>
      </c>
      <c r="D785" s="4">
        <f>71.3 * CHOOSE(CONTROL!$C$9, $C$13, 100%, $E$13) + CHOOSE(CONTROL!$C$28, 0, 0)</f>
        <v>71.3</v>
      </c>
      <c r="E785" s="4">
        <f>436.662343421584 * CHOOSE(CONTROL!$C$9, $C$13, 100%, $E$13) + CHOOSE(CONTROL!$C$28, 0, 0)</f>
        <v>436.66234342158401</v>
      </c>
    </row>
    <row r="786" spans="1:5" ht="15">
      <c r="A786" s="13">
        <v>65805</v>
      </c>
      <c r="B786" s="4">
        <f>81.0535 * CHOOSE(CONTROL!$C$9, $C$13, 100%, $E$13) + CHOOSE(CONTROL!$C$28, 0.0003, 0)</f>
        <v>81.053799999999995</v>
      </c>
      <c r="C786" s="4">
        <f>80.741 * CHOOSE(CONTROL!$C$9, $C$13, 100%, $E$13) + CHOOSE(CONTROL!$C$28, 0.0003, 0)</f>
        <v>80.741299999999995</v>
      </c>
      <c r="D786" s="4">
        <f>73.799 * CHOOSE(CONTROL!$C$9, $C$13, 100%, $E$13) + CHOOSE(CONTROL!$C$28, 0, 0)</f>
        <v>73.799000000000007</v>
      </c>
      <c r="E786" s="4">
        <f>447.030428301164 * CHOOSE(CONTROL!$C$9, $C$13, 100%, $E$13) + CHOOSE(CONTROL!$C$28, 0, 0)</f>
        <v>447.03042830116402</v>
      </c>
    </row>
    <row r="787" spans="1:5" ht="15">
      <c r="A787" s="13">
        <v>65836</v>
      </c>
      <c r="B787" s="4">
        <f>85.876 * CHOOSE(CONTROL!$C$9, $C$13, 100%, $E$13) + CHOOSE(CONTROL!$C$28, 0.0003, 0)</f>
        <v>85.876300000000001</v>
      </c>
      <c r="C787" s="4">
        <f>85.5635 * CHOOSE(CONTROL!$C$9, $C$13, 100%, $E$13) + CHOOSE(CONTROL!$C$28, 0.0003, 0)</f>
        <v>85.563800000000001</v>
      </c>
      <c r="D787" s="4">
        <f>77.7108 * CHOOSE(CONTROL!$C$9, $C$13, 100%, $E$13) + CHOOSE(CONTROL!$C$28, 0, 0)</f>
        <v>77.710800000000006</v>
      </c>
      <c r="E787" s="4">
        <f>474.257570188434 * CHOOSE(CONTROL!$C$9, $C$13, 100%, $E$13) + CHOOSE(CONTROL!$C$28, 0, 0)</f>
        <v>474.25757018843399</v>
      </c>
    </row>
    <row r="788" spans="1:5" ht="15">
      <c r="A788" s="13">
        <v>65866</v>
      </c>
      <c r="B788" s="4">
        <f>89.3025 * CHOOSE(CONTROL!$C$9, $C$13, 100%, $E$13) + CHOOSE(CONTROL!$C$28, 0.0003, 0)</f>
        <v>89.302799999999991</v>
      </c>
      <c r="C788" s="4">
        <f>88.99 * CHOOSE(CONTROL!$C$9, $C$13, 100%, $E$13) + CHOOSE(CONTROL!$C$28, 0.0003, 0)</f>
        <v>88.990299999999991</v>
      </c>
      <c r="D788" s="4">
        <f>79.9642 * CHOOSE(CONTROL!$C$9, $C$13, 100%, $E$13) + CHOOSE(CONTROL!$C$28, 0, 0)</f>
        <v>79.964200000000005</v>
      </c>
      <c r="E788" s="4">
        <f>493.602817348713 * CHOOSE(CONTROL!$C$9, $C$13, 100%, $E$13) + CHOOSE(CONTROL!$C$28, 0, 0)</f>
        <v>493.60281734871302</v>
      </c>
    </row>
    <row r="789" spans="1:5" ht="15">
      <c r="A789" s="13">
        <v>65897</v>
      </c>
      <c r="B789" s="4">
        <f>91.3959 * CHOOSE(CONTROL!$C$9, $C$13, 100%, $E$13) + CHOOSE(CONTROL!$C$28, 0.0255, 0)</f>
        <v>91.421399999999991</v>
      </c>
      <c r="C789" s="4">
        <f>91.0834 * CHOOSE(CONTROL!$C$9, $C$13, 100%, $E$13) + CHOOSE(CONTROL!$C$28, 0.0255, 0)</f>
        <v>91.108899999999991</v>
      </c>
      <c r="D789" s="4">
        <f>79.0738 * CHOOSE(CONTROL!$C$9, $C$13, 100%, $E$13) + CHOOSE(CONTROL!$C$28, 0, 0)</f>
        <v>79.073800000000006</v>
      </c>
      <c r="E789" s="4">
        <f>505.422299722777 * CHOOSE(CONTROL!$C$9, $C$13, 100%, $E$13) + CHOOSE(CONTROL!$C$28, 0, 0)</f>
        <v>505.42229972277698</v>
      </c>
    </row>
    <row r="790" spans="1:5" ht="15">
      <c r="A790" s="13">
        <v>65927</v>
      </c>
      <c r="B790" s="4">
        <f>91.6792 * CHOOSE(CONTROL!$C$9, $C$13, 100%, $E$13) + CHOOSE(CONTROL!$C$28, 0.0255, 0)</f>
        <v>91.704699999999988</v>
      </c>
      <c r="C790" s="4">
        <f>91.3667 * CHOOSE(CONTROL!$C$9, $C$13, 100%, $E$13) + CHOOSE(CONTROL!$C$28, 0.0255, 0)</f>
        <v>91.392199999999988</v>
      </c>
      <c r="D790" s="4">
        <f>79.7989 * CHOOSE(CONTROL!$C$9, $C$13, 100%, $E$13) + CHOOSE(CONTROL!$C$28, 0, 0)</f>
        <v>79.798900000000003</v>
      </c>
      <c r="E790" s="4">
        <f>507.021524739848 * CHOOSE(CONTROL!$C$9, $C$13, 100%, $E$13) + CHOOSE(CONTROL!$C$28, 0, 0)</f>
        <v>507.02152473984802</v>
      </c>
    </row>
    <row r="791" spans="1:5" ht="15">
      <c r="A791" s="13">
        <v>65958</v>
      </c>
      <c r="B791" s="4">
        <f>91.6506 * CHOOSE(CONTROL!$C$9, $C$13, 100%, $E$13) + CHOOSE(CONTROL!$C$28, 0.0255, 0)</f>
        <v>91.676099999999991</v>
      </c>
      <c r="C791" s="4">
        <f>91.3381 * CHOOSE(CONTROL!$C$9, $C$13, 100%, $E$13) + CHOOSE(CONTROL!$C$28, 0.0255, 0)</f>
        <v>91.363599999999991</v>
      </c>
      <c r="D791" s="4">
        <f>81.1074 * CHOOSE(CONTROL!$C$9, $C$13, 100%, $E$13) + CHOOSE(CONTROL!$C$28, 0, 0)</f>
        <v>81.107399999999998</v>
      </c>
      <c r="E791" s="4">
        <f>506.860258351572 * CHOOSE(CONTROL!$C$9, $C$13, 100%, $E$13) + CHOOSE(CONTROL!$C$28, 0, 0)</f>
        <v>506.86025835157199</v>
      </c>
    </row>
    <row r="792" spans="1:5" ht="15">
      <c r="A792" s="13">
        <v>65989</v>
      </c>
      <c r="B792" s="4">
        <f>93.8 * CHOOSE(CONTROL!$C$9, $C$13, 100%, $E$13) + CHOOSE(CONTROL!$C$28, 0.0255, 0)</f>
        <v>93.825499999999991</v>
      </c>
      <c r="C792" s="4">
        <f>93.4875 * CHOOSE(CONTROL!$C$9, $C$13, 100%, $E$13) + CHOOSE(CONTROL!$C$28, 0.0255, 0)</f>
        <v>93.512999999999991</v>
      </c>
      <c r="D792" s="4">
        <f>80.2433 * CHOOSE(CONTROL!$C$9, $C$13, 100%, $E$13) + CHOOSE(CONTROL!$C$28, 0, 0)</f>
        <v>80.243300000000005</v>
      </c>
      <c r="E792" s="4">
        <f>518.995554069343 * CHOOSE(CONTROL!$C$9, $C$13, 100%, $E$13) + CHOOSE(CONTROL!$C$28, 0, 0)</f>
        <v>518.99555406934303</v>
      </c>
    </row>
    <row r="793" spans="1:5" ht="15">
      <c r="A793" s="13">
        <v>66019</v>
      </c>
      <c r="B793" s="4">
        <f>90.1368 * CHOOSE(CONTROL!$C$9, $C$13, 100%, $E$13) + CHOOSE(CONTROL!$C$28, 0.0255, 0)</f>
        <v>90.162299999999988</v>
      </c>
      <c r="C793" s="4">
        <f>89.8243 * CHOOSE(CONTROL!$C$9, $C$13, 100%, $E$13) + CHOOSE(CONTROL!$C$28, 0.0255, 0)</f>
        <v>89.849799999999988</v>
      </c>
      <c r="D793" s="4">
        <f>79.835 * CHOOSE(CONTROL!$C$9, $C$13, 100%, $E$13) + CHOOSE(CONTROL!$C$28, 0, 0)</f>
        <v>79.834999999999994</v>
      </c>
      <c r="E793" s="4">
        <f>498.313139772942 * CHOOSE(CONTROL!$C$9, $C$13, 100%, $E$13) + CHOOSE(CONTROL!$C$28, 0, 0)</f>
        <v>498.31313977294201</v>
      </c>
    </row>
    <row r="794" spans="1:5" ht="15">
      <c r="A794" s="13">
        <v>66050</v>
      </c>
      <c r="B794" s="4">
        <f>87.2042 * CHOOSE(CONTROL!$C$9, $C$13, 100%, $E$13) + CHOOSE(CONTROL!$C$28, 0.0003, 0)</f>
        <v>87.204499999999996</v>
      </c>
      <c r="C794" s="4">
        <f>86.8917 * CHOOSE(CONTROL!$C$9, $C$13, 100%, $E$13) + CHOOSE(CONTROL!$C$28, 0.0003, 0)</f>
        <v>86.891999999999996</v>
      </c>
      <c r="D794" s="4">
        <f>78.7418 * CHOOSE(CONTROL!$C$9, $C$13, 100%, $E$13) + CHOOSE(CONTROL!$C$28, 0, 0)</f>
        <v>78.741799999999998</v>
      </c>
      <c r="E794" s="4">
        <f>481.756457243269 * CHOOSE(CONTROL!$C$9, $C$13, 100%, $E$13) + CHOOSE(CONTROL!$C$28, 0, 0)</f>
        <v>481.75645724326898</v>
      </c>
    </row>
    <row r="795" spans="1:5" ht="15">
      <c r="A795" s="13">
        <v>66080</v>
      </c>
      <c r="B795" s="4">
        <f>85.3154 * CHOOSE(CONTROL!$C$9, $C$13, 100%, $E$13) + CHOOSE(CONTROL!$C$28, 0.0003, 0)</f>
        <v>85.315699999999993</v>
      </c>
      <c r="C795" s="4">
        <f>85.0029 * CHOOSE(CONTROL!$C$9, $C$13, 100%, $E$13) + CHOOSE(CONTROL!$C$28, 0.0003, 0)</f>
        <v>85.003199999999993</v>
      </c>
      <c r="D795" s="4">
        <f>78.366 * CHOOSE(CONTROL!$C$9, $C$13, 100%, $E$13) + CHOOSE(CONTROL!$C$28, 0, 0)</f>
        <v>78.366</v>
      </c>
      <c r="E795" s="4">
        <f>471.092717318517 * CHOOSE(CONTROL!$C$9, $C$13, 100%, $E$13) + CHOOSE(CONTROL!$C$28, 0, 0)</f>
        <v>471.09271731851697</v>
      </c>
    </row>
    <row r="796" spans="1:5" ht="15">
      <c r="A796" s="13">
        <v>66111</v>
      </c>
      <c r="B796" s="4">
        <f>84.0087 * CHOOSE(CONTROL!$C$9, $C$13, 100%, $E$13) + CHOOSE(CONTROL!$C$28, 0.0003, 0)</f>
        <v>84.009</v>
      </c>
      <c r="C796" s="4">
        <f>83.6962 * CHOOSE(CONTROL!$C$9, $C$13, 100%, $E$13) + CHOOSE(CONTROL!$C$28, 0.0003, 0)</f>
        <v>83.6965</v>
      </c>
      <c r="D796" s="4">
        <f>75.599 * CHOOSE(CONTROL!$C$9, $C$13, 100%, $E$13) + CHOOSE(CONTROL!$C$28, 0, 0)</f>
        <v>75.599000000000004</v>
      </c>
      <c r="E796" s="4">
        <f>463.714780054888 * CHOOSE(CONTROL!$C$9, $C$13, 100%, $E$13) + CHOOSE(CONTROL!$C$28, 0, 0)</f>
        <v>463.71478005488802</v>
      </c>
    </row>
    <row r="797" spans="1:5" ht="15">
      <c r="A797" s="13">
        <v>66142</v>
      </c>
      <c r="B797" s="4">
        <f>81.8854 * CHOOSE(CONTROL!$C$9, $C$13, 100%, $E$13) + CHOOSE(CONTROL!$C$28, 0.0003, 0)</f>
        <v>81.8857</v>
      </c>
      <c r="C797" s="4">
        <f>81.5729 * CHOOSE(CONTROL!$C$9, $C$13, 100%, $E$13) + CHOOSE(CONTROL!$C$28, 0.0003, 0)</f>
        <v>81.5732</v>
      </c>
      <c r="D797" s="4">
        <f>73.056 * CHOOSE(CONTROL!$C$9, $C$13, 100%, $E$13) + CHOOSE(CONTROL!$C$28, 0, 0)</f>
        <v>73.055999999999997</v>
      </c>
      <c r="E797" s="4">
        <f>450.417207239363 * CHOOSE(CONTROL!$C$9, $C$13, 100%, $E$13) + CHOOSE(CONTROL!$C$28, 0, 0)</f>
        <v>450.41720723936299</v>
      </c>
    </row>
    <row r="798" spans="1:5" ht="15">
      <c r="A798" s="13">
        <v>66170</v>
      </c>
      <c r="B798" s="4">
        <f>83.7852 * CHOOSE(CONTROL!$C$9, $C$13, 100%, $E$13) + CHOOSE(CONTROL!$C$28, 0.0003, 0)</f>
        <v>83.785499999999999</v>
      </c>
      <c r="C798" s="4">
        <f>83.4727 * CHOOSE(CONTROL!$C$9, $C$13, 100%, $E$13) + CHOOSE(CONTROL!$C$28, 0.0003, 0)</f>
        <v>83.472999999999999</v>
      </c>
      <c r="D798" s="4">
        <f>75.6169 * CHOOSE(CONTROL!$C$9, $C$13, 100%, $E$13) + CHOOSE(CONTROL!$C$28, 0, 0)</f>
        <v>75.616900000000001</v>
      </c>
      <c r="E798" s="4">
        <f>461.11188679265 * CHOOSE(CONTROL!$C$9, $C$13, 100%, $E$13) + CHOOSE(CONTROL!$C$28, 0, 0)</f>
        <v>461.11188679265001</v>
      </c>
    </row>
    <row r="799" spans="1:5" ht="15">
      <c r="A799" s="13">
        <v>66201</v>
      </c>
      <c r="B799" s="4">
        <f>88.774 * CHOOSE(CONTROL!$C$9, $C$13, 100%, $E$13) + CHOOSE(CONTROL!$C$28, 0.0003, 0)</f>
        <v>88.774299999999997</v>
      </c>
      <c r="C799" s="4">
        <f>88.4615 * CHOOSE(CONTROL!$C$9, $C$13, 100%, $E$13) + CHOOSE(CONTROL!$C$28, 0.0003, 0)</f>
        <v>88.461799999999997</v>
      </c>
      <c r="D799" s="4">
        <f>79.6257 * CHOOSE(CONTROL!$C$9, $C$13, 100%, $E$13) + CHOOSE(CONTROL!$C$28, 0, 0)</f>
        <v>79.625699999999995</v>
      </c>
      <c r="E799" s="4">
        <f>489.196683649369 * CHOOSE(CONTROL!$C$9, $C$13, 100%, $E$13) + CHOOSE(CONTROL!$C$28, 0, 0)</f>
        <v>489.19668364936899</v>
      </c>
    </row>
    <row r="800" spans="1:5" ht="15">
      <c r="A800" s="13">
        <v>66231</v>
      </c>
      <c r="B800" s="4">
        <f>92.3187 * CHOOSE(CONTROL!$C$9, $C$13, 100%, $E$13) + CHOOSE(CONTROL!$C$28, 0.0003, 0)</f>
        <v>92.319000000000003</v>
      </c>
      <c r="C800" s="4">
        <f>92.0062 * CHOOSE(CONTROL!$C$9, $C$13, 100%, $E$13) + CHOOSE(CONTROL!$C$28, 0.0003, 0)</f>
        <v>92.006500000000003</v>
      </c>
      <c r="D800" s="4">
        <f>81.935 * CHOOSE(CONTROL!$C$9, $C$13, 100%, $E$13) + CHOOSE(CONTROL!$C$28, 0, 0)</f>
        <v>81.935000000000002</v>
      </c>
      <c r="E800" s="4">
        <f>509.151306095197 * CHOOSE(CONTROL!$C$9, $C$13, 100%, $E$13) + CHOOSE(CONTROL!$C$28, 0, 0)</f>
        <v>509.15130609519701</v>
      </c>
    </row>
    <row r="801" spans="1:5" ht="15">
      <c r="A801" s="13">
        <v>66262</v>
      </c>
      <c r="B801" s="4">
        <f>94.4844 * CHOOSE(CONTROL!$C$9, $C$13, 100%, $E$13) + CHOOSE(CONTROL!$C$28, 0.0255, 0)</f>
        <v>94.509899999999988</v>
      </c>
      <c r="C801" s="4">
        <f>94.1719 * CHOOSE(CONTROL!$C$9, $C$13, 100%, $E$13) + CHOOSE(CONTROL!$C$28, 0.0255, 0)</f>
        <v>94.197399999999988</v>
      </c>
      <c r="D801" s="4">
        <f>81.0225 * CHOOSE(CONTROL!$C$9, $C$13, 100%, $E$13) + CHOOSE(CONTROL!$C$28, 0, 0)</f>
        <v>81.022499999999994</v>
      </c>
      <c r="E801" s="4">
        <f>521.343102164045 * CHOOSE(CONTROL!$C$9, $C$13, 100%, $E$13) + CHOOSE(CONTROL!$C$28, 0, 0)</f>
        <v>521.34310216404504</v>
      </c>
    </row>
    <row r="802" spans="1:5" ht="15">
      <c r="A802" s="13">
        <v>66292</v>
      </c>
      <c r="B802" s="4">
        <f>94.7774 * CHOOSE(CONTROL!$C$9, $C$13, 100%, $E$13) + CHOOSE(CONTROL!$C$28, 0.0255, 0)</f>
        <v>94.802899999999994</v>
      </c>
      <c r="C802" s="4">
        <f>94.4649 * CHOOSE(CONTROL!$C$9, $C$13, 100%, $E$13) + CHOOSE(CONTROL!$C$28, 0.0255, 0)</f>
        <v>94.490399999999994</v>
      </c>
      <c r="D802" s="4">
        <f>81.7656 * CHOOSE(CONTROL!$C$9, $C$13, 100%, $E$13) + CHOOSE(CONTROL!$C$28, 0, 0)</f>
        <v>81.765600000000006</v>
      </c>
      <c r="E802" s="4">
        <f>522.992702769153 * CHOOSE(CONTROL!$C$9, $C$13, 100%, $E$13) + CHOOSE(CONTROL!$C$28, 0, 0)</f>
        <v>522.99270276915297</v>
      </c>
    </row>
    <row r="803" spans="1:5" ht="15">
      <c r="A803" s="13">
        <v>66323</v>
      </c>
      <c r="B803" s="4">
        <f>94.7479 * CHOOSE(CONTROL!$C$9, $C$13, 100%, $E$13) + CHOOSE(CONTROL!$C$28, 0.0255, 0)</f>
        <v>94.773399999999995</v>
      </c>
      <c r="C803" s="4">
        <f>94.4354 * CHOOSE(CONTROL!$C$9, $C$13, 100%, $E$13) + CHOOSE(CONTROL!$C$28, 0.0255, 0)</f>
        <v>94.460899999999995</v>
      </c>
      <c r="D803" s="4">
        <f>83.1066 * CHOOSE(CONTROL!$C$9, $C$13, 100%, $E$13) + CHOOSE(CONTROL!$C$28, 0, 0)</f>
        <v>83.1066</v>
      </c>
      <c r="E803" s="4">
        <f>522.826356489646 * CHOOSE(CONTROL!$C$9, $C$13, 100%, $E$13) + CHOOSE(CONTROL!$C$28, 0, 0)</f>
        <v>522.82635648964595</v>
      </c>
    </row>
    <row r="804" spans="1:5" ht="15">
      <c r="A804" s="13">
        <v>66354</v>
      </c>
      <c r="B804" s="4">
        <f>96.9715 * CHOOSE(CONTROL!$C$9, $C$13, 100%, $E$13) + CHOOSE(CONTROL!$C$28, 0.0255, 0)</f>
        <v>96.997</v>
      </c>
      <c r="C804" s="4">
        <f>96.659 * CHOOSE(CONTROL!$C$9, $C$13, 100%, $E$13) + CHOOSE(CONTROL!$C$28, 0.0255, 0)</f>
        <v>96.6845</v>
      </c>
      <c r="D804" s="4">
        <f>82.221 * CHOOSE(CONTROL!$C$9, $C$13, 100%, $E$13) + CHOOSE(CONTROL!$C$28, 0, 0)</f>
        <v>82.221000000000004</v>
      </c>
      <c r="E804" s="4">
        <f>535.343914022528 * CHOOSE(CONTROL!$C$9, $C$13, 100%, $E$13) + CHOOSE(CONTROL!$C$28, 0, 0)</f>
        <v>535.343914022528</v>
      </c>
    </row>
    <row r="805" spans="1:5" ht="15">
      <c r="A805" s="13">
        <v>66384</v>
      </c>
      <c r="B805" s="4">
        <f>93.1818 * CHOOSE(CONTROL!$C$9, $C$13, 100%, $E$13) + CHOOSE(CONTROL!$C$28, 0.0255, 0)</f>
        <v>93.207299999999989</v>
      </c>
      <c r="C805" s="4">
        <f>92.8693 * CHOOSE(CONTROL!$C$9, $C$13, 100%, $E$13) + CHOOSE(CONTROL!$C$28, 0.0255, 0)</f>
        <v>92.894799999999989</v>
      </c>
      <c r="D805" s="4">
        <f>81.8026 * CHOOSE(CONTROL!$C$9, $C$13, 100%, $E$13) + CHOOSE(CONTROL!$C$28, 0, 0)</f>
        <v>81.802599999999998</v>
      </c>
      <c r="E805" s="4">
        <f>514.01000367579 * CHOOSE(CONTROL!$C$9, $C$13, 100%, $E$13) + CHOOSE(CONTROL!$C$28, 0, 0)</f>
        <v>514.01000367579002</v>
      </c>
    </row>
    <row r="806" spans="1:5" ht="15">
      <c r="A806" s="13">
        <v>66415</v>
      </c>
      <c r="B806" s="4">
        <f>90.1481 * CHOOSE(CONTROL!$C$9, $C$13, 100%, $E$13) + CHOOSE(CONTROL!$C$28, 0.0003, 0)</f>
        <v>90.148399999999995</v>
      </c>
      <c r="C806" s="4">
        <f>89.8356 * CHOOSE(CONTROL!$C$9, $C$13, 100%, $E$13) + CHOOSE(CONTROL!$C$28, 0.0003, 0)</f>
        <v>89.835899999999995</v>
      </c>
      <c r="D806" s="4">
        <f>80.6823 * CHOOSE(CONTROL!$C$9, $C$13, 100%, $E$13) + CHOOSE(CONTROL!$C$28, 0, 0)</f>
        <v>80.682299999999998</v>
      </c>
      <c r="E806" s="4">
        <f>496.931785646432 * CHOOSE(CONTROL!$C$9, $C$13, 100%, $E$13) + CHOOSE(CONTROL!$C$28, 0, 0)</f>
        <v>496.93178564643199</v>
      </c>
    </row>
    <row r="807" spans="1:5" ht="15">
      <c r="A807" s="13">
        <v>66445</v>
      </c>
      <c r="B807" s="4">
        <f>88.1941 * CHOOSE(CONTROL!$C$9, $C$13, 100%, $E$13) + CHOOSE(CONTROL!$C$28, 0.0003, 0)</f>
        <v>88.194400000000002</v>
      </c>
      <c r="C807" s="4">
        <f>87.8816 * CHOOSE(CONTROL!$C$9, $C$13, 100%, $E$13) + CHOOSE(CONTROL!$C$28, 0.0003, 0)</f>
        <v>87.881900000000002</v>
      </c>
      <c r="D807" s="4">
        <f>80.2971 * CHOOSE(CONTROL!$C$9, $C$13, 100%, $E$13) + CHOOSE(CONTROL!$C$28, 0, 0)</f>
        <v>80.2971</v>
      </c>
      <c r="E807" s="4">
        <f>485.93213791405 * CHOOSE(CONTROL!$C$9, $C$13, 100%, $E$13) + CHOOSE(CONTROL!$C$28, 0, 0)</f>
        <v>485.93213791404997</v>
      </c>
    </row>
    <row r="808" spans="1:5" ht="15">
      <c r="A808" s="13">
        <v>66476</v>
      </c>
      <c r="B808" s="4">
        <f>86.8423 * CHOOSE(CONTROL!$C$9, $C$13, 100%, $E$13) + CHOOSE(CONTROL!$C$28, 0.0003, 0)</f>
        <v>86.84259999999999</v>
      </c>
      <c r="C808" s="4">
        <f>86.5298 * CHOOSE(CONTROL!$C$9, $C$13, 100%, $E$13) + CHOOSE(CONTROL!$C$28, 0.0003, 0)</f>
        <v>86.53009999999999</v>
      </c>
      <c r="D808" s="4">
        <f>77.4616 * CHOOSE(CONTROL!$C$9, $C$13, 100%, $E$13) + CHOOSE(CONTROL!$C$28, 0, 0)</f>
        <v>77.461600000000004</v>
      </c>
      <c r="E808" s="4">
        <f>478.321795626617 * CHOOSE(CONTROL!$C$9, $C$13, 100%, $E$13) + CHOOSE(CONTROL!$C$28, 0, 0)</f>
        <v>478.32179562661702</v>
      </c>
    </row>
    <row r="809" spans="1:5" ht="15">
      <c r="A809" s="13">
        <v>66507</v>
      </c>
      <c r="B809" s="4">
        <f>84.6458 * CHOOSE(CONTROL!$C$9, $C$13, 100%, $E$13) + CHOOSE(CONTROL!$C$28, 0.0003, 0)</f>
        <v>84.64609999999999</v>
      </c>
      <c r="C809" s="4">
        <f>84.3333 * CHOOSE(CONTROL!$C$9, $C$13, 100%, $E$13) + CHOOSE(CONTROL!$C$28, 0.0003, 0)</f>
        <v>84.33359999999999</v>
      </c>
      <c r="D809" s="4">
        <f>74.8554 * CHOOSE(CONTROL!$C$9, $C$13, 100%, $E$13) + CHOOSE(CONTROL!$C$28, 0, 0)</f>
        <v>74.855400000000003</v>
      </c>
      <c r="E809" s="4">
        <f>464.605349267403 * CHOOSE(CONTROL!$C$9, $C$13, 100%, $E$13) + CHOOSE(CONTROL!$C$28, 0, 0)</f>
        <v>464.60534926740303</v>
      </c>
    </row>
    <row r="810" spans="1:5" ht="15">
      <c r="A810" s="13">
        <v>66535</v>
      </c>
      <c r="B810" s="4">
        <f>86.6111 * CHOOSE(CONTROL!$C$9, $C$13, 100%, $E$13) + CHOOSE(CONTROL!$C$28, 0.0003, 0)</f>
        <v>86.611399999999989</v>
      </c>
      <c r="C810" s="4">
        <f>86.2986 * CHOOSE(CONTROL!$C$9, $C$13, 100%, $E$13) + CHOOSE(CONTROL!$C$28, 0.0003, 0)</f>
        <v>86.298899999999989</v>
      </c>
      <c r="D810" s="4">
        <f>77.4798 * CHOOSE(CONTROL!$C$9, $C$13, 100%, $E$13) + CHOOSE(CONTROL!$C$28, 0, 0)</f>
        <v>77.479799999999997</v>
      </c>
      <c r="E810" s="4">
        <f>475.636911226619 * CHOOSE(CONTROL!$C$9, $C$13, 100%, $E$13) + CHOOSE(CONTROL!$C$28, 0, 0)</f>
        <v>475.63691122661902</v>
      </c>
    </row>
    <row r="811" spans="1:5" ht="15">
      <c r="A811" s="13">
        <v>66566</v>
      </c>
      <c r="B811" s="4">
        <f>91.7721 * CHOOSE(CONTROL!$C$9, $C$13, 100%, $E$13) + CHOOSE(CONTROL!$C$28, 0.0003, 0)</f>
        <v>91.77239999999999</v>
      </c>
      <c r="C811" s="4">
        <f>91.4596 * CHOOSE(CONTROL!$C$9, $C$13, 100%, $E$13) + CHOOSE(CONTROL!$C$28, 0.0003, 0)</f>
        <v>91.45989999999999</v>
      </c>
      <c r="D811" s="4">
        <f>81.5881 * CHOOSE(CONTROL!$C$9, $C$13, 100%, $E$13) + CHOOSE(CONTROL!$C$28, 0, 0)</f>
        <v>81.588099999999997</v>
      </c>
      <c r="E811" s="4">
        <f>504.606379184325 * CHOOSE(CONTROL!$C$9, $C$13, 100%, $E$13) + CHOOSE(CONTROL!$C$28, 0, 0)</f>
        <v>504.60637918432502</v>
      </c>
    </row>
    <row r="812" spans="1:5" ht="15">
      <c r="A812" s="13">
        <v>66596</v>
      </c>
      <c r="B812" s="4">
        <f>95.439 * CHOOSE(CONTROL!$C$9, $C$13, 100%, $E$13) + CHOOSE(CONTROL!$C$28, 0.0003, 0)</f>
        <v>95.439299999999989</v>
      </c>
      <c r="C812" s="4">
        <f>95.1265 * CHOOSE(CONTROL!$C$9, $C$13, 100%, $E$13) + CHOOSE(CONTROL!$C$28, 0.0003, 0)</f>
        <v>95.126799999999989</v>
      </c>
      <c r="D812" s="4">
        <f>83.9546 * CHOOSE(CONTROL!$C$9, $C$13, 100%, $E$13) + CHOOSE(CONTROL!$C$28, 0, 0)</f>
        <v>83.954599999999999</v>
      </c>
      <c r="E812" s="4">
        <f>525.189572237196 * CHOOSE(CONTROL!$C$9, $C$13, 100%, $E$13) + CHOOSE(CONTROL!$C$28, 0, 0)</f>
        <v>525.18957223719599</v>
      </c>
    </row>
    <row r="813" spans="1:5" ht="15">
      <c r="A813" s="13">
        <v>66627</v>
      </c>
      <c r="B813" s="4">
        <f>97.6794 * CHOOSE(CONTROL!$C$9, $C$13, 100%, $E$13) + CHOOSE(CONTROL!$C$28, 0.0255, 0)</f>
        <v>97.704899999999995</v>
      </c>
      <c r="C813" s="4">
        <f>97.3669 * CHOOSE(CONTROL!$C$9, $C$13, 100%, $E$13) + CHOOSE(CONTROL!$C$28, 0.0255, 0)</f>
        <v>97.392399999999995</v>
      </c>
      <c r="D813" s="4">
        <f>83.0195 * CHOOSE(CONTROL!$C$9, $C$13, 100%, $E$13) + CHOOSE(CONTROL!$C$28, 0, 0)</f>
        <v>83.019499999999994</v>
      </c>
      <c r="E813" s="4">
        <f>537.765409882212 * CHOOSE(CONTROL!$C$9, $C$13, 100%, $E$13) + CHOOSE(CONTROL!$C$28, 0, 0)</f>
        <v>537.765409882212</v>
      </c>
    </row>
    <row r="814" spans="1:5" ht="15">
      <c r="A814" s="13">
        <v>66657</v>
      </c>
      <c r="B814" s="4">
        <f>97.9826 * CHOOSE(CONTROL!$C$9, $C$13, 100%, $E$13) + CHOOSE(CONTROL!$C$28, 0.0255, 0)</f>
        <v>98.008099999999999</v>
      </c>
      <c r="C814" s="4">
        <f>97.6701 * CHOOSE(CONTROL!$C$9, $C$13, 100%, $E$13) + CHOOSE(CONTROL!$C$28, 0.0255, 0)</f>
        <v>97.695599999999999</v>
      </c>
      <c r="D814" s="4">
        <f>83.7811 * CHOOSE(CONTROL!$C$9, $C$13, 100%, $E$13) + CHOOSE(CONTROL!$C$28, 0, 0)</f>
        <v>83.781099999999995</v>
      </c>
      <c r="E814" s="4">
        <f>539.466972906381 * CHOOSE(CONTROL!$C$9, $C$13, 100%, $E$13) + CHOOSE(CONTROL!$C$28, 0, 0)</f>
        <v>539.46697290638099</v>
      </c>
    </row>
    <row r="815" spans="1:5" ht="15">
      <c r="A815" s="13">
        <v>66688</v>
      </c>
      <c r="B815" s="4">
        <f>97.952 * CHOOSE(CONTROL!$C$9, $C$13, 100%, $E$13) + CHOOSE(CONTROL!$C$28, 0.0255, 0)</f>
        <v>97.977499999999992</v>
      </c>
      <c r="C815" s="4">
        <f>97.6395 * CHOOSE(CONTROL!$C$9, $C$13, 100%, $E$13) + CHOOSE(CONTROL!$C$28, 0.0255, 0)</f>
        <v>97.664999999999992</v>
      </c>
      <c r="D815" s="4">
        <f>85.1553 * CHOOSE(CONTROL!$C$9, $C$13, 100%, $E$13) + CHOOSE(CONTROL!$C$28, 0, 0)</f>
        <v>85.155299999999997</v>
      </c>
      <c r="E815" s="4">
        <f>539.29538671907 * CHOOSE(CONTROL!$C$9, $C$13, 100%, $E$13) + CHOOSE(CONTROL!$C$28, 0, 0)</f>
        <v>539.29538671907005</v>
      </c>
    </row>
    <row r="816" spans="1:5" ht="15">
      <c r="A816" s="13">
        <v>66719</v>
      </c>
      <c r="B816" s="4">
        <f>100.2523 * CHOOSE(CONTROL!$C$9, $C$13, 100%, $E$13) + CHOOSE(CONTROL!$C$28, 0.0255, 0)</f>
        <v>100.2778</v>
      </c>
      <c r="C816" s="4">
        <f>99.9398 * CHOOSE(CONTROL!$C$9, $C$13, 100%, $E$13) + CHOOSE(CONTROL!$C$28, 0.0255, 0)</f>
        <v>99.965299999999999</v>
      </c>
      <c r="D816" s="4">
        <f>84.2478 * CHOOSE(CONTROL!$C$9, $C$13, 100%, $E$13) + CHOOSE(CONTROL!$C$28, 0, 0)</f>
        <v>84.247799999999998</v>
      </c>
      <c r="E816" s="4">
        <f>552.207247314237 * CHOOSE(CONTROL!$C$9, $C$13, 100%, $E$13) + CHOOSE(CONTROL!$C$28, 0, 0)</f>
        <v>552.20724731423695</v>
      </c>
    </row>
    <row r="817" spans="1:5" ht="15">
      <c r="A817" s="13">
        <v>66749</v>
      </c>
      <c r="B817" s="4">
        <f>96.3319 * CHOOSE(CONTROL!$C$9, $C$13, 100%, $E$13) + CHOOSE(CONTROL!$C$28, 0.0255, 0)</f>
        <v>96.357399999999998</v>
      </c>
      <c r="C817" s="4">
        <f>96.0194 * CHOOSE(CONTROL!$C$9, $C$13, 100%, $E$13) + CHOOSE(CONTROL!$C$28, 0.0255, 0)</f>
        <v>96.044899999999998</v>
      </c>
      <c r="D817" s="4">
        <f>83.819 * CHOOSE(CONTROL!$C$9, $C$13, 100%, $E$13) + CHOOSE(CONTROL!$C$28, 0, 0)</f>
        <v>83.819000000000003</v>
      </c>
      <c r="E817" s="4">
        <f>530.201318791577 * CHOOSE(CONTROL!$C$9, $C$13, 100%, $E$13) + CHOOSE(CONTROL!$C$28, 0, 0)</f>
        <v>530.20131879157702</v>
      </c>
    </row>
    <row r="818" spans="1:5" ht="15">
      <c r="A818" s="13">
        <v>66780</v>
      </c>
      <c r="B818" s="4">
        <f>93.1935 * CHOOSE(CONTROL!$C$9, $C$13, 100%, $E$13) + CHOOSE(CONTROL!$C$28, 0.0003, 0)</f>
        <v>93.193799999999996</v>
      </c>
      <c r="C818" s="4">
        <f>92.881 * CHOOSE(CONTROL!$C$9, $C$13, 100%, $E$13) + CHOOSE(CONTROL!$C$28, 0.0003, 0)</f>
        <v>92.881299999999996</v>
      </c>
      <c r="D818" s="4">
        <f>82.6709 * CHOOSE(CONTROL!$C$9, $C$13, 100%, $E$13) + CHOOSE(CONTROL!$C$28, 0, 0)</f>
        <v>82.670900000000003</v>
      </c>
      <c r="E818" s="4">
        <f>512.585136894295 * CHOOSE(CONTROL!$C$9, $C$13, 100%, $E$13) + CHOOSE(CONTROL!$C$28, 0, 0)</f>
        <v>512.58513689429503</v>
      </c>
    </row>
    <row r="819" spans="1:5" ht="15">
      <c r="A819" s="13">
        <v>66810</v>
      </c>
      <c r="B819" s="4">
        <f>91.1721 * CHOOSE(CONTROL!$C$9, $C$13, 100%, $E$13) + CHOOSE(CONTROL!$C$28, 0.0003, 0)</f>
        <v>91.172399999999996</v>
      </c>
      <c r="C819" s="4">
        <f>90.8596 * CHOOSE(CONTROL!$C$9, $C$13, 100%, $E$13) + CHOOSE(CONTROL!$C$28, 0.0003, 0)</f>
        <v>90.859899999999996</v>
      </c>
      <c r="D819" s="4">
        <f>82.2762 * CHOOSE(CONTROL!$C$9, $C$13, 100%, $E$13) + CHOOSE(CONTROL!$C$28, 0, 0)</f>
        <v>82.276200000000003</v>
      </c>
      <c r="E819" s="4">
        <f>501.239000258342 * CHOOSE(CONTROL!$C$9, $C$13, 100%, $E$13) + CHOOSE(CONTROL!$C$28, 0, 0)</f>
        <v>501.239000258342</v>
      </c>
    </row>
    <row r="820" spans="1:5" ht="15">
      <c r="A820" s="13">
        <v>66841</v>
      </c>
      <c r="B820" s="4">
        <f>89.7736 * CHOOSE(CONTROL!$C$9, $C$13, 100%, $E$13) + CHOOSE(CONTROL!$C$28, 0.0003, 0)</f>
        <v>89.773899999999998</v>
      </c>
      <c r="C820" s="4">
        <f>89.4611 * CHOOSE(CONTROL!$C$9, $C$13, 100%, $E$13) + CHOOSE(CONTROL!$C$28, 0.0003, 0)</f>
        <v>89.461399999999998</v>
      </c>
      <c r="D820" s="4">
        <f>79.3703 * CHOOSE(CONTROL!$C$9, $C$13, 100%, $E$13) + CHOOSE(CONTROL!$C$28, 0, 0)</f>
        <v>79.3703</v>
      </c>
      <c r="E820" s="4">
        <f>493.388932188856 * CHOOSE(CONTROL!$C$9, $C$13, 100%, $E$13) + CHOOSE(CONTROL!$C$28, 0, 0)</f>
        <v>493.38893218885602</v>
      </c>
    </row>
    <row r="821" spans="1:5" ht="15">
      <c r="A821" s="13">
        <v>66872</v>
      </c>
      <c r="B821" s="4">
        <f>87.5013 * CHOOSE(CONTROL!$C$9, $C$13, 100%, $E$13) + CHOOSE(CONTROL!$C$28, 0.0003, 0)</f>
        <v>87.501599999999996</v>
      </c>
      <c r="C821" s="4">
        <f>87.1888 * CHOOSE(CONTROL!$C$9, $C$13, 100%, $E$13) + CHOOSE(CONTROL!$C$28, 0.0003, 0)</f>
        <v>87.189099999999996</v>
      </c>
      <c r="D821" s="4">
        <f>76.6995 * CHOOSE(CONTROL!$C$9, $C$13, 100%, $E$13) + CHOOSE(CONTROL!$C$28, 0, 0)</f>
        <v>76.6995</v>
      </c>
      <c r="E821" s="4">
        <f>479.240417769327 * CHOOSE(CONTROL!$C$9, $C$13, 100%, $E$13) + CHOOSE(CONTROL!$C$28, 0, 0)</f>
        <v>479.240417769327</v>
      </c>
    </row>
    <row r="822" spans="1:5" ht="15">
      <c r="A822" s="13">
        <v>66900</v>
      </c>
      <c r="B822" s="4">
        <f>89.5345 * CHOOSE(CONTROL!$C$9, $C$13, 100%, $E$13) + CHOOSE(CONTROL!$C$28, 0.0003, 0)</f>
        <v>89.53479999999999</v>
      </c>
      <c r="C822" s="4">
        <f>89.222 * CHOOSE(CONTROL!$C$9, $C$13, 100%, $E$13) + CHOOSE(CONTROL!$C$28, 0.0003, 0)</f>
        <v>89.22229999999999</v>
      </c>
      <c r="D822" s="4">
        <f>79.389 * CHOOSE(CONTROL!$C$9, $C$13, 100%, $E$13) + CHOOSE(CONTROL!$C$28, 0, 0)</f>
        <v>79.388999999999996</v>
      </c>
      <c r="E822" s="4">
        <f>490.619473930257 * CHOOSE(CONTROL!$C$9, $C$13, 100%, $E$13) + CHOOSE(CONTROL!$C$28, 0, 0)</f>
        <v>490.61947393025702</v>
      </c>
    </row>
    <row r="823" spans="1:5" ht="15">
      <c r="A823" s="13">
        <v>66931</v>
      </c>
      <c r="B823" s="4">
        <f>94.8735 * CHOOSE(CONTROL!$C$9, $C$13, 100%, $E$13) + CHOOSE(CONTROL!$C$28, 0.0003, 0)</f>
        <v>94.873800000000003</v>
      </c>
      <c r="C823" s="4">
        <f>94.561 * CHOOSE(CONTROL!$C$9, $C$13, 100%, $E$13) + CHOOSE(CONTROL!$C$28, 0.0003, 0)</f>
        <v>94.561300000000003</v>
      </c>
      <c r="D823" s="4">
        <f>83.5992 * CHOOSE(CONTROL!$C$9, $C$13, 100%, $E$13) + CHOOSE(CONTROL!$C$28, 0, 0)</f>
        <v>83.599199999999996</v>
      </c>
      <c r="E823" s="4">
        <f>520.501480128631 * CHOOSE(CONTROL!$C$9, $C$13, 100%, $E$13) + CHOOSE(CONTROL!$C$28, 0, 0)</f>
        <v>520.50148012863099</v>
      </c>
    </row>
    <row r="824" spans="1:5" ht="15">
      <c r="A824" s="13">
        <v>66961</v>
      </c>
      <c r="B824" s="4">
        <f>98.667 * CHOOSE(CONTROL!$C$9, $C$13, 100%, $E$13) + CHOOSE(CONTROL!$C$28, 0.0003, 0)</f>
        <v>98.667299999999997</v>
      </c>
      <c r="C824" s="4">
        <f>98.3545 * CHOOSE(CONTROL!$C$9, $C$13, 100%, $E$13) + CHOOSE(CONTROL!$C$28, 0.0003, 0)</f>
        <v>98.354799999999997</v>
      </c>
      <c r="D824" s="4">
        <f>86.0244 * CHOOSE(CONTROL!$C$9, $C$13, 100%, $E$13) + CHOOSE(CONTROL!$C$28, 0, 0)</f>
        <v>86.0244</v>
      </c>
      <c r="E824" s="4">
        <f>541.733043762668 * CHOOSE(CONTROL!$C$9, $C$13, 100%, $E$13) + CHOOSE(CONTROL!$C$28, 0, 0)</f>
        <v>541.73304376266799</v>
      </c>
    </row>
    <row r="825" spans="1:5" ht="15">
      <c r="A825" s="13">
        <v>66992</v>
      </c>
      <c r="B825" s="4">
        <f>100.9847 * CHOOSE(CONTROL!$C$9, $C$13, 100%, $E$13) + CHOOSE(CONTROL!$C$28, 0.0255, 0)</f>
        <v>101.0102</v>
      </c>
      <c r="C825" s="4">
        <f>100.6722 * CHOOSE(CONTROL!$C$9, $C$13, 100%, $E$13) + CHOOSE(CONTROL!$C$28, 0.0255, 0)</f>
        <v>100.6977</v>
      </c>
      <c r="D825" s="4">
        <f>85.0661 * CHOOSE(CONTROL!$C$9, $C$13, 100%, $E$13) + CHOOSE(CONTROL!$C$28, 0, 0)</f>
        <v>85.066100000000006</v>
      </c>
      <c r="E825" s="4">
        <f>554.705020293502 * CHOOSE(CONTROL!$C$9, $C$13, 100%, $E$13) + CHOOSE(CONTROL!$C$28, 0, 0)</f>
        <v>554.705020293502</v>
      </c>
    </row>
    <row r="826" spans="1:5" ht="15">
      <c r="A826" s="13">
        <v>67022</v>
      </c>
      <c r="B826" s="4">
        <f>101.2983 * CHOOSE(CONTROL!$C$9, $C$13, 100%, $E$13) + CHOOSE(CONTROL!$C$28, 0.0255, 0)</f>
        <v>101.32379999999999</v>
      </c>
      <c r="C826" s="4">
        <f>100.9858 * CHOOSE(CONTROL!$C$9, $C$13, 100%, $E$13) + CHOOSE(CONTROL!$C$28, 0.0255, 0)</f>
        <v>101.01129999999999</v>
      </c>
      <c r="D826" s="4">
        <f>85.8465 * CHOOSE(CONTROL!$C$9, $C$13, 100%, $E$13) + CHOOSE(CONTROL!$C$28, 0, 0)</f>
        <v>85.846500000000006</v>
      </c>
      <c r="E826" s="4">
        <f>556.460182552932 * CHOOSE(CONTROL!$C$9, $C$13, 100%, $E$13) + CHOOSE(CONTROL!$C$28, 0, 0)</f>
        <v>556.460182552932</v>
      </c>
    </row>
    <row r="827" spans="1:5" ht="15">
      <c r="A827" s="13">
        <v>67053</v>
      </c>
      <c r="B827" s="4">
        <f>101.2667 * CHOOSE(CONTROL!$C$9, $C$13, 100%, $E$13) + CHOOSE(CONTROL!$C$28, 0.0255, 0)</f>
        <v>101.29219999999999</v>
      </c>
      <c r="C827" s="4">
        <f>100.9542 * CHOOSE(CONTROL!$C$9, $C$13, 100%, $E$13) + CHOOSE(CONTROL!$C$28, 0.0255, 0)</f>
        <v>100.97969999999999</v>
      </c>
      <c r="D827" s="4">
        <f>87.2548 * CHOOSE(CONTROL!$C$9, $C$13, 100%, $E$13) + CHOOSE(CONTROL!$C$28, 0, 0)</f>
        <v>87.254800000000003</v>
      </c>
      <c r="E827" s="4">
        <f>556.283191400721 * CHOOSE(CONTROL!$C$9, $C$13, 100%, $E$13) + CHOOSE(CONTROL!$C$28, 0, 0)</f>
        <v>556.28319140072097</v>
      </c>
    </row>
    <row r="828" spans="1:5" ht="15">
      <c r="A828" s="13">
        <v>67084</v>
      </c>
      <c r="B828" s="4">
        <f>103.6463 * CHOOSE(CONTROL!$C$9, $C$13, 100%, $E$13) + CHOOSE(CONTROL!$C$28, 0.0255, 0)</f>
        <v>103.67179999999999</v>
      </c>
      <c r="C828" s="4">
        <f>103.3338 * CHOOSE(CONTROL!$C$9, $C$13, 100%, $E$13) + CHOOSE(CONTROL!$C$28, 0.0255, 0)</f>
        <v>103.35929999999999</v>
      </c>
      <c r="D828" s="4">
        <f>86.3248 * CHOOSE(CONTROL!$C$9, $C$13, 100%, $E$13) + CHOOSE(CONTROL!$C$28, 0, 0)</f>
        <v>86.324799999999996</v>
      </c>
      <c r="E828" s="4">
        <f>569.601775604636 * CHOOSE(CONTROL!$C$9, $C$13, 100%, $E$13) + CHOOSE(CONTROL!$C$28, 0, 0)</f>
        <v>569.60177560463603</v>
      </c>
    </row>
    <row r="829" spans="1:5" ht="15">
      <c r="A829" s="13">
        <v>67114</v>
      </c>
      <c r="B829" s="4">
        <f>99.5906 * CHOOSE(CONTROL!$C$9, $C$13, 100%, $E$13) + CHOOSE(CONTROL!$C$28, 0.0255, 0)</f>
        <v>99.616099999999989</v>
      </c>
      <c r="C829" s="4">
        <f>99.2781 * CHOOSE(CONTROL!$C$9, $C$13, 100%, $E$13) + CHOOSE(CONTROL!$C$28, 0.0255, 0)</f>
        <v>99.303599999999989</v>
      </c>
      <c r="D829" s="4">
        <f>85.8854 * CHOOSE(CONTROL!$C$9, $C$13, 100%, $E$13) + CHOOSE(CONTROL!$C$28, 0, 0)</f>
        <v>85.885400000000004</v>
      </c>
      <c r="E829" s="4">
        <f>546.902660333512 * CHOOSE(CONTROL!$C$9, $C$13, 100%, $E$13) + CHOOSE(CONTROL!$C$28, 0, 0)</f>
        <v>546.90266033351202</v>
      </c>
    </row>
    <row r="830" spans="1:5" ht="15">
      <c r="A830" s="13">
        <v>67145</v>
      </c>
      <c r="B830" s="4">
        <f>96.344 * CHOOSE(CONTROL!$C$9, $C$13, 100%, $E$13) + CHOOSE(CONTROL!$C$28, 0.0003, 0)</f>
        <v>96.34429999999999</v>
      </c>
      <c r="C830" s="4">
        <f>96.0315 * CHOOSE(CONTROL!$C$9, $C$13, 100%, $E$13) + CHOOSE(CONTROL!$C$28, 0.0003, 0)</f>
        <v>96.03179999999999</v>
      </c>
      <c r="D830" s="4">
        <f>84.7088 * CHOOSE(CONTROL!$C$9, $C$13, 100%, $E$13) + CHOOSE(CONTROL!$C$28, 0, 0)</f>
        <v>84.708799999999997</v>
      </c>
      <c r="E830" s="4">
        <f>528.731568706465 * CHOOSE(CONTROL!$C$9, $C$13, 100%, $E$13) + CHOOSE(CONTROL!$C$28, 0, 0)</f>
        <v>528.73156870646505</v>
      </c>
    </row>
    <row r="831" spans="1:5" ht="15">
      <c r="A831" s="13">
        <v>67175</v>
      </c>
      <c r="B831" s="4">
        <f>94.2529 * CHOOSE(CONTROL!$C$9, $C$13, 100%, $E$13) + CHOOSE(CONTROL!$C$28, 0.0003, 0)</f>
        <v>94.253199999999993</v>
      </c>
      <c r="C831" s="4">
        <f>93.9404 * CHOOSE(CONTROL!$C$9, $C$13, 100%, $E$13) + CHOOSE(CONTROL!$C$28, 0.0003, 0)</f>
        <v>93.940699999999993</v>
      </c>
      <c r="D831" s="4">
        <f>84.3043 * CHOOSE(CONTROL!$C$9, $C$13, 100%, $E$13) + CHOOSE(CONTROL!$C$28, 0, 0)</f>
        <v>84.304299999999998</v>
      </c>
      <c r="E831" s="4">
        <f>517.02802876648 * CHOOSE(CONTROL!$C$9, $C$13, 100%, $E$13) + CHOOSE(CONTROL!$C$28, 0, 0)</f>
        <v>517.02802876648002</v>
      </c>
    </row>
    <row r="832" spans="1:5" ht="15">
      <c r="A832" s="13">
        <v>67206</v>
      </c>
      <c r="B832" s="4">
        <f>92.8061 * CHOOSE(CONTROL!$C$9, $C$13, 100%, $E$13) + CHOOSE(CONTROL!$C$28, 0.0003, 0)</f>
        <v>92.806399999999996</v>
      </c>
      <c r="C832" s="4">
        <f>92.4936 * CHOOSE(CONTROL!$C$9, $C$13, 100%, $E$13) + CHOOSE(CONTROL!$C$28, 0.0003, 0)</f>
        <v>92.493899999999996</v>
      </c>
      <c r="D832" s="4">
        <f>81.3263 * CHOOSE(CONTROL!$C$9, $C$13, 100%, $E$13) + CHOOSE(CONTROL!$C$28, 0, 0)</f>
        <v>81.326300000000003</v>
      </c>
      <c r="E832" s="4">
        <f>508.930683552805 * CHOOSE(CONTROL!$C$9, $C$13, 100%, $E$13) + CHOOSE(CONTROL!$C$28, 0, 0)</f>
        <v>508.93068355280502</v>
      </c>
    </row>
    <row r="833" spans="1:5" ht="15">
      <c r="A833" s="13">
        <v>67237</v>
      </c>
      <c r="B833" s="4">
        <f>90.4555 * CHOOSE(CONTROL!$C$9, $C$13, 100%, $E$13) + CHOOSE(CONTROL!$C$28, 0.0003, 0)</f>
        <v>90.455799999999996</v>
      </c>
      <c r="C833" s="4">
        <f>90.143 * CHOOSE(CONTROL!$C$9, $C$13, 100%, $E$13) + CHOOSE(CONTROL!$C$28, 0.0003, 0)</f>
        <v>90.143299999999996</v>
      </c>
      <c r="D833" s="4">
        <f>78.5893 * CHOOSE(CONTROL!$C$9, $C$13, 100%, $E$13) + CHOOSE(CONTROL!$C$28, 0, 0)</f>
        <v>78.589299999999994</v>
      </c>
      <c r="E833" s="4">
        <f>494.33649092906 * CHOOSE(CONTROL!$C$9, $C$13, 100%, $E$13) + CHOOSE(CONTROL!$C$28, 0, 0)</f>
        <v>494.33649092906001</v>
      </c>
    </row>
    <row r="834" spans="1:5" ht="15">
      <c r="A834" s="13">
        <v>67266</v>
      </c>
      <c r="B834" s="4">
        <f>92.5587 * CHOOSE(CONTROL!$C$9, $C$13, 100%, $E$13) + CHOOSE(CONTROL!$C$28, 0.0003, 0)</f>
        <v>92.558999999999997</v>
      </c>
      <c r="C834" s="4">
        <f>92.2462 * CHOOSE(CONTROL!$C$9, $C$13, 100%, $E$13) + CHOOSE(CONTROL!$C$28, 0.0003, 0)</f>
        <v>92.246499999999997</v>
      </c>
      <c r="D834" s="4">
        <f>81.3455 * CHOOSE(CONTROL!$C$9, $C$13, 100%, $E$13) + CHOOSE(CONTROL!$C$28, 0, 0)</f>
        <v>81.345500000000001</v>
      </c>
      <c r="E834" s="4">
        <f>506.07398735906 * CHOOSE(CONTROL!$C$9, $C$13, 100%, $E$13) + CHOOSE(CONTROL!$C$28, 0, 0)</f>
        <v>506.07398735906003</v>
      </c>
    </row>
    <row r="835" spans="1:5" ht="15">
      <c r="A835" s="13">
        <v>67297</v>
      </c>
      <c r="B835" s="4">
        <f>98.082 * CHOOSE(CONTROL!$C$9, $C$13, 100%, $E$13) + CHOOSE(CONTROL!$C$28, 0.0003, 0)</f>
        <v>98.082299999999989</v>
      </c>
      <c r="C835" s="4">
        <f>97.7695 * CHOOSE(CONTROL!$C$9, $C$13, 100%, $E$13) + CHOOSE(CONTROL!$C$28, 0.0003, 0)</f>
        <v>97.769799999999989</v>
      </c>
      <c r="D835" s="4">
        <f>85.6601 * CHOOSE(CONTROL!$C$9, $C$13, 100%, $E$13) + CHOOSE(CONTROL!$C$28, 0, 0)</f>
        <v>85.6601</v>
      </c>
      <c r="E835" s="4">
        <f>536.897276752683 * CHOOSE(CONTROL!$C$9, $C$13, 100%, $E$13) + CHOOSE(CONTROL!$C$28, 0, 0)</f>
        <v>536.89727675268296</v>
      </c>
    </row>
    <row r="836" spans="1:5" ht="15">
      <c r="A836" s="13">
        <v>67327</v>
      </c>
      <c r="B836" s="4">
        <f>102.0063 * CHOOSE(CONTROL!$C$9, $C$13, 100%, $E$13) + CHOOSE(CONTROL!$C$28, 0.0003, 0)</f>
        <v>102.00659999999999</v>
      </c>
      <c r="C836" s="4">
        <f>101.6938 * CHOOSE(CONTROL!$C$9, $C$13, 100%, $E$13) + CHOOSE(CONTROL!$C$28, 0.0003, 0)</f>
        <v>101.69409999999999</v>
      </c>
      <c r="D836" s="4">
        <f>88.1455 * CHOOSE(CONTROL!$C$9, $C$13, 100%, $E$13) + CHOOSE(CONTROL!$C$28, 0, 0)</f>
        <v>88.145499999999998</v>
      </c>
      <c r="E836" s="4">
        <f>558.797634641192 * CHOOSE(CONTROL!$C$9, $C$13, 100%, $E$13) + CHOOSE(CONTROL!$C$28, 0, 0)</f>
        <v>558.79763464119196</v>
      </c>
    </row>
    <row r="837" spans="1:5" ht="15">
      <c r="A837" s="13">
        <v>67358</v>
      </c>
      <c r="B837" s="4">
        <f>104.404 * CHOOSE(CONTROL!$C$9, $C$13, 100%, $E$13) + CHOOSE(CONTROL!$C$28, 0.0255, 0)</f>
        <v>104.42949999999999</v>
      </c>
      <c r="C837" s="4">
        <f>104.0915 * CHOOSE(CONTROL!$C$9, $C$13, 100%, $E$13) + CHOOSE(CONTROL!$C$28, 0.0255, 0)</f>
        <v>104.11699999999999</v>
      </c>
      <c r="D837" s="4">
        <f>87.1634 * CHOOSE(CONTROL!$C$9, $C$13, 100%, $E$13) + CHOOSE(CONTROL!$C$28, 0, 0)</f>
        <v>87.163399999999996</v>
      </c>
      <c r="E837" s="4">
        <f>572.178228432747 * CHOOSE(CONTROL!$C$9, $C$13, 100%, $E$13) + CHOOSE(CONTROL!$C$28, 0, 0)</f>
        <v>572.17822843274701</v>
      </c>
    </row>
    <row r="838" spans="1:5" ht="15">
      <c r="A838" s="13">
        <v>67388</v>
      </c>
      <c r="B838" s="4">
        <f>104.7284 * CHOOSE(CONTROL!$C$9, $C$13, 100%, $E$13) + CHOOSE(CONTROL!$C$28, 0.0255, 0)</f>
        <v>104.75389999999999</v>
      </c>
      <c r="C838" s="4">
        <f>104.4159 * CHOOSE(CONTROL!$C$9, $C$13, 100%, $E$13) + CHOOSE(CONTROL!$C$28, 0.0255, 0)</f>
        <v>104.44139999999999</v>
      </c>
      <c r="D838" s="4">
        <f>87.9632 * CHOOSE(CONTROL!$C$9, $C$13, 100%, $E$13) + CHOOSE(CONTROL!$C$28, 0, 0)</f>
        <v>87.963200000000001</v>
      </c>
      <c r="E838" s="4">
        <f>573.98867830335 * CHOOSE(CONTROL!$C$9, $C$13, 100%, $E$13) + CHOOSE(CONTROL!$C$28, 0, 0)</f>
        <v>573.98867830334996</v>
      </c>
    </row>
    <row r="839" spans="1:5" ht="15">
      <c r="A839" s="13">
        <v>67419</v>
      </c>
      <c r="B839" s="4">
        <f>104.6957 * CHOOSE(CONTROL!$C$9, $C$13, 100%, $E$13) + CHOOSE(CONTROL!$C$28, 0.0255, 0)</f>
        <v>104.7212</v>
      </c>
      <c r="C839" s="4">
        <f>104.3832 * CHOOSE(CONTROL!$C$9, $C$13, 100%, $E$13) + CHOOSE(CONTROL!$C$28, 0.0255, 0)</f>
        <v>104.4087</v>
      </c>
      <c r="D839" s="4">
        <f>89.4064 * CHOOSE(CONTROL!$C$9, $C$13, 100%, $E$13) + CHOOSE(CONTROL!$C$28, 0, 0)</f>
        <v>89.406400000000005</v>
      </c>
      <c r="E839" s="4">
        <f>573.806111929844 * CHOOSE(CONTROL!$C$9, $C$13, 100%, $E$13) + CHOOSE(CONTROL!$C$28, 0, 0)</f>
        <v>573.80611192984395</v>
      </c>
    </row>
    <row r="840" spans="1:5" ht="15">
      <c r="A840" s="13">
        <v>67450</v>
      </c>
      <c r="B840" s="4">
        <f>107.1574 * CHOOSE(CONTROL!$C$9, $C$13, 100%, $E$13) + CHOOSE(CONTROL!$C$28, 0.0255, 0)</f>
        <v>107.18289999999999</v>
      </c>
      <c r="C840" s="4">
        <f>106.8449 * CHOOSE(CONTROL!$C$9, $C$13, 100%, $E$13) + CHOOSE(CONTROL!$C$28, 0.0255, 0)</f>
        <v>106.87039999999999</v>
      </c>
      <c r="D840" s="4">
        <f>88.4533 * CHOOSE(CONTROL!$C$9, $C$13, 100%, $E$13) + CHOOSE(CONTROL!$C$28, 0, 0)</f>
        <v>88.453299999999999</v>
      </c>
      <c r="E840" s="4">
        <f>587.544231536182 * CHOOSE(CONTROL!$C$9, $C$13, 100%, $E$13) + CHOOSE(CONTROL!$C$28, 0, 0)</f>
        <v>587.544231536182</v>
      </c>
    </row>
    <row r="841" spans="1:5" ht="15">
      <c r="A841" s="13">
        <v>67480</v>
      </c>
      <c r="B841" s="4">
        <f>102.9618 * CHOOSE(CONTROL!$C$9, $C$13, 100%, $E$13) + CHOOSE(CONTROL!$C$28, 0.0255, 0)</f>
        <v>102.98729999999999</v>
      </c>
      <c r="C841" s="4">
        <f>102.6493 * CHOOSE(CONTROL!$C$9, $C$13, 100%, $E$13) + CHOOSE(CONTROL!$C$28, 0.0255, 0)</f>
        <v>102.67479999999999</v>
      </c>
      <c r="D841" s="4">
        <f>88.003 * CHOOSE(CONTROL!$C$9, $C$13, 100%, $E$13) + CHOOSE(CONTROL!$C$28, 0, 0)</f>
        <v>88.003</v>
      </c>
      <c r="E841" s="4">
        <f>564.130094134018 * CHOOSE(CONTROL!$C$9, $C$13, 100%, $E$13) + CHOOSE(CONTROL!$C$28, 0, 0)</f>
        <v>564.13009413401801</v>
      </c>
    </row>
    <row r="842" spans="1:5" ht="15">
      <c r="A842" s="13">
        <v>67511</v>
      </c>
      <c r="B842" s="4">
        <f>99.6032 * CHOOSE(CONTROL!$C$9, $C$13, 100%, $E$13) + CHOOSE(CONTROL!$C$28, 0.0003, 0)</f>
        <v>99.603499999999997</v>
      </c>
      <c r="C842" s="4">
        <f>99.2907 * CHOOSE(CONTROL!$C$9, $C$13, 100%, $E$13) + CHOOSE(CONTROL!$C$28, 0.0003, 0)</f>
        <v>99.290999999999997</v>
      </c>
      <c r="D842" s="4">
        <f>86.7973 * CHOOSE(CONTROL!$C$9, $C$13, 100%, $E$13) + CHOOSE(CONTROL!$C$28, 0, 0)</f>
        <v>86.797300000000007</v>
      </c>
      <c r="E842" s="4">
        <f>545.386613120719 * CHOOSE(CONTROL!$C$9, $C$13, 100%, $E$13) + CHOOSE(CONTROL!$C$28, 0, 0)</f>
        <v>545.38661312071895</v>
      </c>
    </row>
    <row r="843" spans="1:5" ht="15">
      <c r="A843" s="13">
        <v>67541</v>
      </c>
      <c r="B843" s="4">
        <f>97.4399 * CHOOSE(CONTROL!$C$9, $C$13, 100%, $E$13) + CHOOSE(CONTROL!$C$28, 0.0003, 0)</f>
        <v>97.44019999999999</v>
      </c>
      <c r="C843" s="4">
        <f>97.1274 * CHOOSE(CONTROL!$C$9, $C$13, 100%, $E$13) + CHOOSE(CONTROL!$C$28, 0.0003, 0)</f>
        <v>97.12769999999999</v>
      </c>
      <c r="D843" s="4">
        <f>86.3827 * CHOOSE(CONTROL!$C$9, $C$13, 100%, $E$13) + CHOOSE(CONTROL!$C$28, 0, 0)</f>
        <v>86.3827</v>
      </c>
      <c r="E843" s="4">
        <f>533.314411672624 * CHOOSE(CONTROL!$C$9, $C$13, 100%, $E$13) + CHOOSE(CONTROL!$C$28, 0, 0)</f>
        <v>533.31441167262403</v>
      </c>
    </row>
    <row r="844" spans="1:5" ht="15">
      <c r="A844" s="13">
        <v>67572</v>
      </c>
      <c r="B844" s="4">
        <f>95.9433 * CHOOSE(CONTROL!$C$9, $C$13, 100%, $E$13) + CHOOSE(CONTROL!$C$28, 0.0003, 0)</f>
        <v>95.943599999999989</v>
      </c>
      <c r="C844" s="4">
        <f>95.6308 * CHOOSE(CONTROL!$C$9, $C$13, 100%, $E$13) + CHOOSE(CONTROL!$C$28, 0.0003, 0)</f>
        <v>95.631099999999989</v>
      </c>
      <c r="D844" s="4">
        <f>83.3309 * CHOOSE(CONTROL!$C$9, $C$13, 100%, $E$13) + CHOOSE(CONTROL!$C$28, 0, 0)</f>
        <v>83.3309</v>
      </c>
      <c r="E844" s="4">
        <f>524.962000084718 * CHOOSE(CONTROL!$C$9, $C$13, 100%, $E$13) + CHOOSE(CONTROL!$C$28, 0, 0)</f>
        <v>524.96200008471806</v>
      </c>
    </row>
    <row r="845" spans="1:5" ht="15">
      <c r="A845" s="13">
        <v>67603</v>
      </c>
      <c r="B845" s="4">
        <f>93.5115 * CHOOSE(CONTROL!$C$9, $C$13, 100%, $E$13) + CHOOSE(CONTROL!$C$28, 0.0003, 0)</f>
        <v>93.511799999999994</v>
      </c>
      <c r="C845" s="4">
        <f>93.199 * CHOOSE(CONTROL!$C$9, $C$13, 100%, $E$13) + CHOOSE(CONTROL!$C$28, 0.0003, 0)</f>
        <v>93.199299999999994</v>
      </c>
      <c r="D845" s="4">
        <f>80.526 * CHOOSE(CONTROL!$C$9, $C$13, 100%, $E$13) + CHOOSE(CONTROL!$C$28, 0, 0)</f>
        <v>80.525999999999996</v>
      </c>
      <c r="E845" s="4">
        <f>509.908090393326 * CHOOSE(CONTROL!$C$9, $C$13, 100%, $E$13) + CHOOSE(CONTROL!$C$28, 0, 0)</f>
        <v>509.90809039332601</v>
      </c>
    </row>
    <row r="846" spans="1:5" ht="15">
      <c r="A846" s="13">
        <v>67631</v>
      </c>
      <c r="B846" s="4">
        <f>95.6873 * CHOOSE(CONTROL!$C$9, $C$13, 100%, $E$13) + CHOOSE(CONTROL!$C$28, 0.0003, 0)</f>
        <v>95.687599999999989</v>
      </c>
      <c r="C846" s="4">
        <f>95.3748 * CHOOSE(CONTROL!$C$9, $C$13, 100%, $E$13) + CHOOSE(CONTROL!$C$28, 0.0003, 0)</f>
        <v>95.375099999999989</v>
      </c>
      <c r="D846" s="4">
        <f>83.3506 * CHOOSE(CONTROL!$C$9, $C$13, 100%, $E$13) + CHOOSE(CONTROL!$C$28, 0, 0)</f>
        <v>83.3506</v>
      </c>
      <c r="E846" s="4">
        <f>522.015317960871 * CHOOSE(CONTROL!$C$9, $C$13, 100%, $E$13) + CHOOSE(CONTROL!$C$28, 0, 0)</f>
        <v>522.01531796087102</v>
      </c>
    </row>
    <row r="847" spans="1:5" ht="15">
      <c r="A847" s="13">
        <v>67662</v>
      </c>
      <c r="B847" s="4">
        <f>101.4011 * CHOOSE(CONTROL!$C$9, $C$13, 100%, $E$13) + CHOOSE(CONTROL!$C$28, 0.0003, 0)</f>
        <v>101.4014</v>
      </c>
      <c r="C847" s="4">
        <f>101.0886 * CHOOSE(CONTROL!$C$9, $C$13, 100%, $E$13) + CHOOSE(CONTROL!$C$28, 0.0003, 0)</f>
        <v>101.0889</v>
      </c>
      <c r="D847" s="4">
        <f>87.7722 * CHOOSE(CONTROL!$C$9, $C$13, 100%, $E$13) + CHOOSE(CONTROL!$C$28, 0, 0)</f>
        <v>87.772199999999998</v>
      </c>
      <c r="E847" s="4">
        <f>553.809540970392 * CHOOSE(CONTROL!$C$9, $C$13, 100%, $E$13) + CHOOSE(CONTROL!$C$28, 0, 0)</f>
        <v>553.80954097039205</v>
      </c>
    </row>
    <row r="848" spans="1:5" ht="15">
      <c r="A848" s="13">
        <v>67692</v>
      </c>
      <c r="B848" s="4">
        <f>105.4608 * CHOOSE(CONTROL!$C$9, $C$13, 100%, $E$13) + CHOOSE(CONTROL!$C$28, 0.0003, 0)</f>
        <v>105.4611</v>
      </c>
      <c r="C848" s="4">
        <f>105.1483 * CHOOSE(CONTROL!$C$9, $C$13, 100%, $E$13) + CHOOSE(CONTROL!$C$28, 0.0003, 0)</f>
        <v>105.1486</v>
      </c>
      <c r="D848" s="4">
        <f>90.3191 * CHOOSE(CONTROL!$C$9, $C$13, 100%, $E$13) + CHOOSE(CONTROL!$C$28, 0, 0)</f>
        <v>90.319100000000006</v>
      </c>
      <c r="E848" s="4">
        <f>576.39976013239 * CHOOSE(CONTROL!$C$9, $C$13, 100%, $E$13) + CHOOSE(CONTROL!$C$28, 0, 0)</f>
        <v>576.39976013239004</v>
      </c>
    </row>
    <row r="849" spans="1:5" ht="15">
      <c r="A849" s="13">
        <v>67723</v>
      </c>
      <c r="B849" s="4">
        <f>107.9412 * CHOOSE(CONTROL!$C$9, $C$13, 100%, $E$13) + CHOOSE(CONTROL!$C$28, 0.0255, 0)</f>
        <v>107.96669999999999</v>
      </c>
      <c r="C849" s="4">
        <f>107.6287 * CHOOSE(CONTROL!$C$9, $C$13, 100%, $E$13) + CHOOSE(CONTROL!$C$28, 0.0255, 0)</f>
        <v>107.65419999999999</v>
      </c>
      <c r="D849" s="4">
        <f>89.3127 * CHOOSE(CONTROL!$C$9, $C$13, 100%, $E$13) + CHOOSE(CONTROL!$C$28, 0, 0)</f>
        <v>89.312700000000007</v>
      </c>
      <c r="E849" s="4">
        <f>590.201842628379 * CHOOSE(CONTROL!$C$9, $C$13, 100%, $E$13) + CHOOSE(CONTROL!$C$28, 0, 0)</f>
        <v>590.20184262837904</v>
      </c>
    </row>
    <row r="850" spans="1:5" ht="15">
      <c r="A850" s="13">
        <v>67753</v>
      </c>
      <c r="B850" s="4">
        <f>108.2768 * CHOOSE(CONTROL!$C$9, $C$13, 100%, $E$13) + CHOOSE(CONTROL!$C$28, 0.0255, 0)</f>
        <v>108.30229999999999</v>
      </c>
      <c r="C850" s="4">
        <f>107.9643 * CHOOSE(CONTROL!$C$9, $C$13, 100%, $E$13) + CHOOSE(CONTROL!$C$28, 0.0255, 0)</f>
        <v>107.98979999999999</v>
      </c>
      <c r="D850" s="4">
        <f>90.1324 * CHOOSE(CONTROL!$C$9, $C$13, 100%, $E$13) + CHOOSE(CONTROL!$C$28, 0, 0)</f>
        <v>90.132400000000004</v>
      </c>
      <c r="E850" s="4">
        <f>592.069321669905 * CHOOSE(CONTROL!$C$9, $C$13, 100%, $E$13) + CHOOSE(CONTROL!$C$28, 0, 0)</f>
        <v>592.06932166990498</v>
      </c>
    </row>
    <row r="851" spans="1:5" ht="15">
      <c r="A851" s="13">
        <v>67784</v>
      </c>
      <c r="B851" s="4">
        <f>108.243 * CHOOSE(CONTROL!$C$9, $C$13, 100%, $E$13) + CHOOSE(CONTROL!$C$28, 0.0255, 0)</f>
        <v>108.26849999999999</v>
      </c>
      <c r="C851" s="4">
        <f>107.9305 * CHOOSE(CONTROL!$C$9, $C$13, 100%, $E$13) + CHOOSE(CONTROL!$C$28, 0.0255, 0)</f>
        <v>107.95599999999999</v>
      </c>
      <c r="D851" s="4">
        <f>91.6114 * CHOOSE(CONTROL!$C$9, $C$13, 100%, $E$13) + CHOOSE(CONTROL!$C$28, 0, 0)</f>
        <v>91.611400000000003</v>
      </c>
      <c r="E851" s="4">
        <f>591.881004455634 * CHOOSE(CONTROL!$C$9, $C$13, 100%, $E$13) + CHOOSE(CONTROL!$C$28, 0, 0)</f>
        <v>591.88100445563396</v>
      </c>
    </row>
    <row r="852" spans="1:5" ht="15">
      <c r="A852" s="13">
        <v>67815</v>
      </c>
      <c r="B852" s="4">
        <f>110.7897 * CHOOSE(CONTROL!$C$9, $C$13, 100%, $E$13) + CHOOSE(CONTROL!$C$28, 0.0255, 0)</f>
        <v>110.81519999999999</v>
      </c>
      <c r="C852" s="4">
        <f>110.4772 * CHOOSE(CONTROL!$C$9, $C$13, 100%, $E$13) + CHOOSE(CONTROL!$C$28, 0.0255, 0)</f>
        <v>110.50269999999999</v>
      </c>
      <c r="D852" s="4">
        <f>90.6346 * CHOOSE(CONTROL!$C$9, $C$13, 100%, $E$13) + CHOOSE(CONTROL!$C$28, 0, 0)</f>
        <v>90.634600000000006</v>
      </c>
      <c r="E852" s="4">
        <f>606.051874829572 * CHOOSE(CONTROL!$C$9, $C$13, 100%, $E$13) + CHOOSE(CONTROL!$C$28, 0, 0)</f>
        <v>606.05187482957194</v>
      </c>
    </row>
    <row r="853" spans="1:5" ht="15">
      <c r="A853" s="13">
        <v>67845</v>
      </c>
      <c r="B853" s="4">
        <f>106.4493 * CHOOSE(CONTROL!$C$9, $C$13, 100%, $E$13) + CHOOSE(CONTROL!$C$28, 0.0255, 0)</f>
        <v>106.47479999999999</v>
      </c>
      <c r="C853" s="4">
        <f>106.1368 * CHOOSE(CONTROL!$C$9, $C$13, 100%, $E$13) + CHOOSE(CONTROL!$C$28, 0.0255, 0)</f>
        <v>106.16229999999999</v>
      </c>
      <c r="D853" s="4">
        <f>90.1731 * CHOOSE(CONTROL!$C$9, $C$13, 100%, $E$13) + CHOOSE(CONTROL!$C$28, 0, 0)</f>
        <v>90.173100000000005</v>
      </c>
      <c r="E853" s="4">
        <f>581.900192099239 * CHOOSE(CONTROL!$C$9, $C$13, 100%, $E$13) + CHOOSE(CONTROL!$C$28, 0, 0)</f>
        <v>581.90019209923901</v>
      </c>
    </row>
    <row r="854" spans="1:5" ht="15">
      <c r="A854" s="13">
        <v>67876</v>
      </c>
      <c r="B854" s="4">
        <f>102.9748 * CHOOSE(CONTROL!$C$9, $C$13, 100%, $E$13) + CHOOSE(CONTROL!$C$28, 0.0003, 0)</f>
        <v>102.9751</v>
      </c>
      <c r="C854" s="4">
        <f>102.6623 * CHOOSE(CONTROL!$C$9, $C$13, 100%, $E$13) + CHOOSE(CONTROL!$C$28, 0.0003, 0)</f>
        <v>102.6626</v>
      </c>
      <c r="D854" s="4">
        <f>88.9375 * CHOOSE(CONTROL!$C$9, $C$13, 100%, $E$13) + CHOOSE(CONTROL!$C$28, 0, 0)</f>
        <v>88.9375</v>
      </c>
      <c r="E854" s="4">
        <f>562.566291434022 * CHOOSE(CONTROL!$C$9, $C$13, 100%, $E$13) + CHOOSE(CONTROL!$C$28, 0, 0)</f>
        <v>562.56629143402199</v>
      </c>
    </row>
    <row r="855" spans="1:5" ht="15">
      <c r="A855" s="13">
        <v>67906</v>
      </c>
      <c r="B855" s="4">
        <f>100.7369 * CHOOSE(CONTROL!$C$9, $C$13, 100%, $E$13) + CHOOSE(CONTROL!$C$28, 0.0003, 0)</f>
        <v>100.7372</v>
      </c>
      <c r="C855" s="4">
        <f>100.4244 * CHOOSE(CONTROL!$C$9, $C$13, 100%, $E$13) + CHOOSE(CONTROL!$C$28, 0.0003, 0)</f>
        <v>100.4247</v>
      </c>
      <c r="D855" s="4">
        <f>88.5127 * CHOOSE(CONTROL!$C$9, $C$13, 100%, $E$13) + CHOOSE(CONTROL!$C$28, 0, 0)</f>
        <v>88.512699999999995</v>
      </c>
      <c r="E855" s="4">
        <f>550.113815640312 * CHOOSE(CONTROL!$C$9, $C$13, 100%, $E$13) + CHOOSE(CONTROL!$C$28, 0, 0)</f>
        <v>550.11381564031205</v>
      </c>
    </row>
    <row r="856" spans="1:5" ht="15">
      <c r="A856" s="13">
        <v>67937</v>
      </c>
      <c r="B856" s="4">
        <f>99.1886 * CHOOSE(CONTROL!$C$9, $C$13, 100%, $E$13) + CHOOSE(CONTROL!$C$28, 0.0003, 0)</f>
        <v>99.18889999999999</v>
      </c>
      <c r="C856" s="4">
        <f>98.8761 * CHOOSE(CONTROL!$C$9, $C$13, 100%, $E$13) + CHOOSE(CONTROL!$C$28, 0.0003, 0)</f>
        <v>98.87639999999999</v>
      </c>
      <c r="D856" s="4">
        <f>85.3852 * CHOOSE(CONTROL!$C$9, $C$13, 100%, $E$13) + CHOOSE(CONTROL!$C$28, 0, 0)</f>
        <v>85.385199999999998</v>
      </c>
      <c r="E856" s="4">
        <f>541.498303087387 * CHOOSE(CONTROL!$C$9, $C$13, 100%, $E$13) + CHOOSE(CONTROL!$C$28, 0, 0)</f>
        <v>541.49830308738694</v>
      </c>
    </row>
    <row r="857" spans="1:5" ht="15">
      <c r="A857" s="13">
        <v>67968</v>
      </c>
      <c r="B857" s="4">
        <f>96.6729 * CHOOSE(CONTROL!$C$9, $C$13, 100%, $E$13) + CHOOSE(CONTROL!$C$28, 0.0003, 0)</f>
        <v>96.673199999999994</v>
      </c>
      <c r="C857" s="4">
        <f>96.3604 * CHOOSE(CONTROL!$C$9, $C$13, 100%, $E$13) + CHOOSE(CONTROL!$C$28, 0.0003, 0)</f>
        <v>96.360699999999994</v>
      </c>
      <c r="D857" s="4">
        <f>82.5107 * CHOOSE(CONTROL!$C$9, $C$13, 100%, $E$13) + CHOOSE(CONTROL!$C$28, 0, 0)</f>
        <v>82.5107</v>
      </c>
      <c r="E857" s="4">
        <f>525.970195240716 * CHOOSE(CONTROL!$C$9, $C$13, 100%, $E$13) + CHOOSE(CONTROL!$C$28, 0, 0)</f>
        <v>525.97019524071595</v>
      </c>
    </row>
    <row r="858" spans="1:5" ht="15">
      <c r="A858" s="13">
        <v>67996</v>
      </c>
      <c r="B858" s="4">
        <f>98.9238 * CHOOSE(CONTROL!$C$9, $C$13, 100%, $E$13) + CHOOSE(CONTROL!$C$28, 0.0003, 0)</f>
        <v>98.924099999999996</v>
      </c>
      <c r="C858" s="4">
        <f>98.6113 * CHOOSE(CONTROL!$C$9, $C$13, 100%, $E$13) + CHOOSE(CONTROL!$C$28, 0.0003, 0)</f>
        <v>98.611599999999996</v>
      </c>
      <c r="D858" s="4">
        <f>85.4053 * CHOOSE(CONTROL!$C$9, $C$13, 100%, $E$13) + CHOOSE(CONTROL!$C$28, 0, 0)</f>
        <v>85.405299999999997</v>
      </c>
      <c r="E858" s="4">
        <f>538.458800476638 * CHOOSE(CONTROL!$C$9, $C$13, 100%, $E$13) + CHOOSE(CONTROL!$C$28, 0, 0)</f>
        <v>538.45880047663798</v>
      </c>
    </row>
    <row r="859" spans="1:5" ht="15">
      <c r="A859" s="13">
        <v>68027</v>
      </c>
      <c r="B859" s="4">
        <f>104.8347 * CHOOSE(CONTROL!$C$9, $C$13, 100%, $E$13) + CHOOSE(CONTROL!$C$28, 0.0003, 0)</f>
        <v>104.83499999999999</v>
      </c>
      <c r="C859" s="4">
        <f>104.5222 * CHOOSE(CONTROL!$C$9, $C$13, 100%, $E$13) + CHOOSE(CONTROL!$C$28, 0.0003, 0)</f>
        <v>104.52249999999999</v>
      </c>
      <c r="D859" s="4">
        <f>89.9366 * CHOOSE(CONTROL!$C$9, $C$13, 100%, $E$13) + CHOOSE(CONTROL!$C$28, 0, 0)</f>
        <v>89.936599999999999</v>
      </c>
      <c r="E859" s="4">
        <f>571.25454151096 * CHOOSE(CONTROL!$C$9, $C$13, 100%, $E$13) + CHOOSE(CONTROL!$C$28, 0, 0)</f>
        <v>571.25454151096005</v>
      </c>
    </row>
    <row r="860" spans="1:5" ht="15">
      <c r="A860" s="13">
        <v>68057</v>
      </c>
      <c r="B860" s="4">
        <f>109.0345 * CHOOSE(CONTROL!$C$9, $C$13, 100%, $E$13) + CHOOSE(CONTROL!$C$28, 0.0003, 0)</f>
        <v>109.03479999999999</v>
      </c>
      <c r="C860" s="4">
        <f>108.722 * CHOOSE(CONTROL!$C$9, $C$13, 100%, $E$13) + CHOOSE(CONTROL!$C$28, 0.0003, 0)</f>
        <v>108.72229999999999</v>
      </c>
      <c r="D860" s="4">
        <f>92.5467 * CHOOSE(CONTROL!$C$9, $C$13, 100%, $E$13) + CHOOSE(CONTROL!$C$28, 0, 0)</f>
        <v>92.546700000000001</v>
      </c>
      <c r="E860" s="4">
        <f>594.55635257656 * CHOOSE(CONTROL!$C$9, $C$13, 100%, $E$13) + CHOOSE(CONTROL!$C$28, 0, 0)</f>
        <v>594.55635257656002</v>
      </c>
    </row>
    <row r="861" spans="1:5" ht="15">
      <c r="A861" s="13">
        <v>68088</v>
      </c>
      <c r="B861" s="4">
        <f>111.6005 * CHOOSE(CONTROL!$C$9, $C$13, 100%, $E$13) + CHOOSE(CONTROL!$C$28, 0.0255, 0)</f>
        <v>111.62599999999999</v>
      </c>
      <c r="C861" s="4">
        <f>111.288 * CHOOSE(CONTROL!$C$9, $C$13, 100%, $E$13) + CHOOSE(CONTROL!$C$28, 0.0255, 0)</f>
        <v>111.31349999999999</v>
      </c>
      <c r="D861" s="4">
        <f>91.5153 * CHOOSE(CONTROL!$C$9, $C$13, 100%, $E$13) + CHOOSE(CONTROL!$C$28, 0, 0)</f>
        <v>91.515299999999996</v>
      </c>
      <c r="E861" s="4">
        <f>608.793200671173 * CHOOSE(CONTROL!$C$9, $C$13, 100%, $E$13) + CHOOSE(CONTROL!$C$28, 0, 0)</f>
        <v>608.79320067117305</v>
      </c>
    </row>
    <row r="862" spans="1:5" ht="15">
      <c r="A862" s="13">
        <v>68118</v>
      </c>
      <c r="B862" s="4">
        <f>111.9477 * CHOOSE(CONTROL!$C$9, $C$13, 100%, $E$13) + CHOOSE(CONTROL!$C$28, 0.0255, 0)</f>
        <v>111.97319999999999</v>
      </c>
      <c r="C862" s="4">
        <f>111.6352 * CHOOSE(CONTROL!$C$9, $C$13, 100%, $E$13) + CHOOSE(CONTROL!$C$28, 0.0255, 0)</f>
        <v>111.66069999999999</v>
      </c>
      <c r="D862" s="4">
        <f>92.3553 * CHOOSE(CONTROL!$C$9, $C$13, 100%, $E$13) + CHOOSE(CONTROL!$C$28, 0, 0)</f>
        <v>92.3553</v>
      </c>
      <c r="E862" s="4">
        <f>610.719505302508 * CHOOSE(CONTROL!$C$9, $C$13, 100%, $E$13) + CHOOSE(CONTROL!$C$28, 0, 0)</f>
        <v>610.71950530250797</v>
      </c>
    </row>
    <row r="863" spans="1:5" ht="15">
      <c r="A863" s="13">
        <v>68149</v>
      </c>
      <c r="B863" s="4">
        <f>111.9127 * CHOOSE(CONTROL!$C$9, $C$13, 100%, $E$13) + CHOOSE(CONTROL!$C$28, 0.0255, 0)</f>
        <v>111.93819999999999</v>
      </c>
      <c r="C863" s="4">
        <f>111.6002 * CHOOSE(CONTROL!$C$9, $C$13, 100%, $E$13) + CHOOSE(CONTROL!$C$28, 0.0255, 0)</f>
        <v>111.62569999999999</v>
      </c>
      <c r="D863" s="4">
        <f>93.871 * CHOOSE(CONTROL!$C$9, $C$13, 100%, $E$13) + CHOOSE(CONTROL!$C$28, 0, 0)</f>
        <v>93.870999999999995</v>
      </c>
      <c r="E863" s="4">
        <f>610.525256095986 * CHOOSE(CONTROL!$C$9, $C$13, 100%, $E$13) + CHOOSE(CONTROL!$C$28, 0, 0)</f>
        <v>610.52525609598604</v>
      </c>
    </row>
    <row r="864" spans="1:5" ht="15">
      <c r="A864" s="13">
        <v>68180</v>
      </c>
      <c r="B864" s="4">
        <f>114.5472 * CHOOSE(CONTROL!$C$9, $C$13, 100%, $E$13) + CHOOSE(CONTROL!$C$28, 0.0255, 0)</f>
        <v>114.5727</v>
      </c>
      <c r="C864" s="4">
        <f>114.2347 * CHOOSE(CONTROL!$C$9, $C$13, 100%, $E$13) + CHOOSE(CONTROL!$C$28, 0.0255, 0)</f>
        <v>114.2602</v>
      </c>
      <c r="D864" s="4">
        <f>92.87 * CHOOSE(CONTROL!$C$9, $C$13, 100%, $E$13) + CHOOSE(CONTROL!$C$28, 0, 0)</f>
        <v>92.87</v>
      </c>
      <c r="E864" s="4">
        <f>625.142508886703 * CHOOSE(CONTROL!$C$9, $C$13, 100%, $E$13) + CHOOSE(CONTROL!$C$28, 0, 0)</f>
        <v>625.14250888670301</v>
      </c>
    </row>
    <row r="865" spans="1:5" ht="15">
      <c r="A865" s="13">
        <v>68210</v>
      </c>
      <c r="B865" s="4">
        <f>110.0571 * CHOOSE(CONTROL!$C$9, $C$13, 100%, $E$13) + CHOOSE(CONTROL!$C$28, 0.0255, 0)</f>
        <v>110.0826</v>
      </c>
      <c r="C865" s="4">
        <f>109.7446 * CHOOSE(CONTROL!$C$9, $C$13, 100%, $E$13) + CHOOSE(CONTROL!$C$28, 0.0255, 0)</f>
        <v>109.7701</v>
      </c>
      <c r="D865" s="4">
        <f>92.3971 * CHOOSE(CONTROL!$C$9, $C$13, 100%, $E$13) + CHOOSE(CONTROL!$C$28, 0, 0)</f>
        <v>92.397099999999995</v>
      </c>
      <c r="E865" s="4">
        <f>600.230048150365 * CHOOSE(CONTROL!$C$9, $C$13, 100%, $E$13) + CHOOSE(CONTROL!$C$28, 0, 0)</f>
        <v>600.23004815036495</v>
      </c>
    </row>
    <row r="866" spans="1:5" ht="15">
      <c r="A866" s="13">
        <v>68241</v>
      </c>
      <c r="B866" s="4">
        <f>106.4627 * CHOOSE(CONTROL!$C$9, $C$13, 100%, $E$13) + CHOOSE(CONTROL!$C$28, 0.0003, 0)</f>
        <v>106.46299999999999</v>
      </c>
      <c r="C866" s="4">
        <f>106.1502 * CHOOSE(CONTROL!$C$9, $C$13, 100%, $E$13) + CHOOSE(CONTROL!$C$28, 0.0003, 0)</f>
        <v>106.15049999999999</v>
      </c>
      <c r="D866" s="4">
        <f>91.1308 * CHOOSE(CONTROL!$C$9, $C$13, 100%, $E$13) + CHOOSE(CONTROL!$C$28, 0, 0)</f>
        <v>91.130799999999994</v>
      </c>
      <c r="E866" s="4">
        <f>580.287129614193 * CHOOSE(CONTROL!$C$9, $C$13, 100%, $E$13) + CHOOSE(CONTROL!$C$28, 0, 0)</f>
        <v>580.28712961419296</v>
      </c>
    </row>
    <row r="867" spans="1:5" ht="15">
      <c r="A867" s="13">
        <v>68271</v>
      </c>
      <c r="B867" s="4">
        <f>104.1477 * CHOOSE(CONTROL!$C$9, $C$13, 100%, $E$13) + CHOOSE(CONTROL!$C$28, 0.0003, 0)</f>
        <v>104.148</v>
      </c>
      <c r="C867" s="4">
        <f>103.8352 * CHOOSE(CONTROL!$C$9, $C$13, 100%, $E$13) + CHOOSE(CONTROL!$C$28, 0.0003, 0)</f>
        <v>103.8355</v>
      </c>
      <c r="D867" s="4">
        <f>90.6955 * CHOOSE(CONTROL!$C$9, $C$13, 100%, $E$13) + CHOOSE(CONTROL!$C$28, 0, 0)</f>
        <v>90.695499999999996</v>
      </c>
      <c r="E867" s="4">
        <f>567.442400832982 * CHOOSE(CONTROL!$C$9, $C$13, 100%, $E$13) + CHOOSE(CONTROL!$C$28, 0, 0)</f>
        <v>567.442400832982</v>
      </c>
    </row>
    <row r="868" spans="1:5" ht="15">
      <c r="A868" s="13">
        <v>68302</v>
      </c>
      <c r="B868" s="4">
        <f>102.5459 * CHOOSE(CONTROL!$C$9, $C$13, 100%, $E$13) + CHOOSE(CONTROL!$C$28, 0.0003, 0)</f>
        <v>102.5462</v>
      </c>
      <c r="C868" s="4">
        <f>102.2334 * CHOOSE(CONTROL!$C$9, $C$13, 100%, $E$13) + CHOOSE(CONTROL!$C$28, 0.0003, 0)</f>
        <v>102.2337</v>
      </c>
      <c r="D868" s="4">
        <f>87.4904 * CHOOSE(CONTROL!$C$9, $C$13, 100%, $E$13) + CHOOSE(CONTROL!$C$28, 0, 0)</f>
        <v>87.490399999999994</v>
      </c>
      <c r="E868" s="4">
        <f>558.555499634639 * CHOOSE(CONTROL!$C$9, $C$13, 100%, $E$13) + CHOOSE(CONTROL!$C$28, 0, 0)</f>
        <v>558.55549963463898</v>
      </c>
    </row>
    <row r="869" spans="1:5" ht="15">
      <c r="A869" s="13">
        <v>68333</v>
      </c>
      <c r="B869" s="4">
        <f>99.9435 * CHOOSE(CONTROL!$C$9, $C$13, 100%, $E$13) + CHOOSE(CONTROL!$C$28, 0.0003, 0)</f>
        <v>99.943799999999996</v>
      </c>
      <c r="C869" s="4">
        <f>99.631 * CHOOSE(CONTROL!$C$9, $C$13, 100%, $E$13) + CHOOSE(CONTROL!$C$28, 0.0003, 0)</f>
        <v>99.631299999999996</v>
      </c>
      <c r="D869" s="4">
        <f>84.5447 * CHOOSE(CONTROL!$C$9, $C$13, 100%, $E$13) + CHOOSE(CONTROL!$C$28, 0, 0)</f>
        <v>84.544700000000006</v>
      </c>
      <c r="E869" s="4">
        <f>542.538256390798 * CHOOSE(CONTROL!$C$9, $C$13, 100%, $E$13) + CHOOSE(CONTROL!$C$28, 0, 0)</f>
        <v>542.53825639079798</v>
      </c>
    </row>
    <row r="870" spans="1:5" ht="15">
      <c r="A870" s="13">
        <v>68361</v>
      </c>
      <c r="B870" s="4">
        <f>102.272 * CHOOSE(CONTROL!$C$9, $C$13, 100%, $E$13) + CHOOSE(CONTROL!$C$28, 0.0003, 0)</f>
        <v>102.2723</v>
      </c>
      <c r="C870" s="4">
        <f>101.9595 * CHOOSE(CONTROL!$C$9, $C$13, 100%, $E$13) + CHOOSE(CONTROL!$C$28, 0.0003, 0)</f>
        <v>101.9598</v>
      </c>
      <c r="D870" s="4">
        <f>87.5111 * CHOOSE(CONTROL!$C$9, $C$13, 100%, $E$13) + CHOOSE(CONTROL!$C$28, 0, 0)</f>
        <v>87.511099999999999</v>
      </c>
      <c r="E870" s="4">
        <f>555.420252691653 * CHOOSE(CONTROL!$C$9, $C$13, 100%, $E$13) + CHOOSE(CONTROL!$C$28, 0, 0)</f>
        <v>555.42025269165299</v>
      </c>
    </row>
    <row r="871" spans="1:5" ht="15">
      <c r="A871" s="13">
        <v>68392</v>
      </c>
      <c r="B871" s="4">
        <f>108.3869 * CHOOSE(CONTROL!$C$9, $C$13, 100%, $E$13) + CHOOSE(CONTROL!$C$28, 0.0003, 0)</f>
        <v>108.38719999999999</v>
      </c>
      <c r="C871" s="4">
        <f>108.0744 * CHOOSE(CONTROL!$C$9, $C$13, 100%, $E$13) + CHOOSE(CONTROL!$C$28, 0.0003, 0)</f>
        <v>108.07469999999999</v>
      </c>
      <c r="D871" s="4">
        <f>92.1547 * CHOOSE(CONTROL!$C$9, $C$13, 100%, $E$13) + CHOOSE(CONTROL!$C$28, 0, 0)</f>
        <v>92.154700000000005</v>
      </c>
      <c r="E871" s="4">
        <f>589.249059568555 * CHOOSE(CONTROL!$C$9, $C$13, 100%, $E$13) + CHOOSE(CONTROL!$C$28, 0, 0)</f>
        <v>589.24905956855503</v>
      </c>
    </row>
    <row r="872" spans="1:5" ht="15">
      <c r="A872" s="13">
        <v>68422</v>
      </c>
      <c r="B872" s="4">
        <f>112.7315 * CHOOSE(CONTROL!$C$9, $C$13, 100%, $E$13) + CHOOSE(CONTROL!$C$28, 0.0003, 0)</f>
        <v>112.73179999999999</v>
      </c>
      <c r="C872" s="4">
        <f>112.419 * CHOOSE(CONTROL!$C$9, $C$13, 100%, $E$13) + CHOOSE(CONTROL!$C$28, 0.0003, 0)</f>
        <v>112.41929999999999</v>
      </c>
      <c r="D872" s="4">
        <f>94.8296 * CHOOSE(CONTROL!$C$9, $C$13, 100%, $E$13) + CHOOSE(CONTROL!$C$28, 0, 0)</f>
        <v>94.829599999999999</v>
      </c>
      <c r="E872" s="4">
        <f>613.284877682722 * CHOOSE(CONTROL!$C$9, $C$13, 100%, $E$13) + CHOOSE(CONTROL!$C$28, 0, 0)</f>
        <v>613.28487768272203</v>
      </c>
    </row>
    <row r="873" spans="1:5" ht="15">
      <c r="A873" s="13">
        <v>68453</v>
      </c>
      <c r="B873" s="4">
        <f>115.386 * CHOOSE(CONTROL!$C$9, $C$13, 100%, $E$13) + CHOOSE(CONTROL!$C$28, 0.0255, 0)</f>
        <v>115.41149999999999</v>
      </c>
      <c r="C873" s="4">
        <f>115.0735 * CHOOSE(CONTROL!$C$9, $C$13, 100%, $E$13) + CHOOSE(CONTROL!$C$28, 0.0255, 0)</f>
        <v>115.09899999999999</v>
      </c>
      <c r="D873" s="4">
        <f>93.7726 * CHOOSE(CONTROL!$C$9, $C$13, 100%, $E$13) + CHOOSE(CONTROL!$C$28, 0, 0)</f>
        <v>93.772599999999997</v>
      </c>
      <c r="E873" s="4">
        <f>627.970186492315 * CHOOSE(CONTROL!$C$9, $C$13, 100%, $E$13) + CHOOSE(CONTROL!$C$28, 0, 0)</f>
        <v>627.97018649231495</v>
      </c>
    </row>
    <row r="874" spans="1:5" ht="15">
      <c r="A874" s="13">
        <v>68483</v>
      </c>
      <c r="B874" s="4">
        <f>115.7452 * CHOOSE(CONTROL!$C$9, $C$13, 100%, $E$13) + CHOOSE(CONTROL!$C$28, 0.0255, 0)</f>
        <v>115.77069999999999</v>
      </c>
      <c r="C874" s="4">
        <f>115.4327 * CHOOSE(CONTROL!$C$9, $C$13, 100%, $E$13) + CHOOSE(CONTROL!$C$28, 0.0255, 0)</f>
        <v>115.45819999999999</v>
      </c>
      <c r="D874" s="4">
        <f>94.6334 * CHOOSE(CONTROL!$C$9, $C$13, 100%, $E$13) + CHOOSE(CONTROL!$C$28, 0, 0)</f>
        <v>94.633399999999995</v>
      </c>
      <c r="E874" s="4">
        <f>629.957169719537 * CHOOSE(CONTROL!$C$9, $C$13, 100%, $E$13) + CHOOSE(CONTROL!$C$28, 0, 0)</f>
        <v>629.95716971953698</v>
      </c>
    </row>
    <row r="875" spans="1:5" ht="15">
      <c r="A875" s="13">
        <v>68514</v>
      </c>
      <c r="B875" s="4">
        <f>115.709 * CHOOSE(CONTROL!$C$9, $C$13, 100%, $E$13) + CHOOSE(CONTROL!$C$28, 0.0255, 0)</f>
        <v>115.7345</v>
      </c>
      <c r="C875" s="4">
        <f>115.3965 * CHOOSE(CONTROL!$C$9, $C$13, 100%, $E$13) + CHOOSE(CONTROL!$C$28, 0.0255, 0)</f>
        <v>115.422</v>
      </c>
      <c r="D875" s="4">
        <f>96.1867 * CHOOSE(CONTROL!$C$9, $C$13, 100%, $E$13) + CHOOSE(CONTROL!$C$28, 0, 0)</f>
        <v>96.186700000000002</v>
      </c>
      <c r="E875" s="4">
        <f>629.75680166301 * CHOOSE(CONTROL!$C$9, $C$13, 100%, $E$13) + CHOOSE(CONTROL!$C$28, 0, 0)</f>
        <v>629.75680166301004</v>
      </c>
    </row>
    <row r="876" spans="1:5" ht="15">
      <c r="A876" s="13">
        <v>68545</v>
      </c>
      <c r="B876" s="4">
        <f>118.4344 * CHOOSE(CONTROL!$C$9, $C$13, 100%, $E$13) + CHOOSE(CONTROL!$C$28, 0.0255, 0)</f>
        <v>118.45989999999999</v>
      </c>
      <c r="C876" s="4">
        <f>118.1219 * CHOOSE(CONTROL!$C$9, $C$13, 100%, $E$13) + CHOOSE(CONTROL!$C$28, 0.0255, 0)</f>
        <v>118.14739999999999</v>
      </c>
      <c r="D876" s="4">
        <f>95.1609 * CHOOSE(CONTROL!$C$9, $C$13, 100%, $E$13) + CHOOSE(CONTROL!$C$28, 0, 0)</f>
        <v>95.160899999999998</v>
      </c>
      <c r="E876" s="4">
        <f>644.834497916634 * CHOOSE(CONTROL!$C$9, $C$13, 100%, $E$13) + CHOOSE(CONTROL!$C$28, 0, 0)</f>
        <v>644.83449791663395</v>
      </c>
    </row>
    <row r="877" spans="1:5" ht="15">
      <c r="A877" s="13">
        <v>68575</v>
      </c>
      <c r="B877" s="4">
        <f>113.7894 * CHOOSE(CONTROL!$C$9, $C$13, 100%, $E$13) + CHOOSE(CONTROL!$C$28, 0.0255, 0)</f>
        <v>113.81489999999999</v>
      </c>
      <c r="C877" s="4">
        <f>113.4769 * CHOOSE(CONTROL!$C$9, $C$13, 100%, $E$13) + CHOOSE(CONTROL!$C$28, 0.0255, 0)</f>
        <v>113.50239999999999</v>
      </c>
      <c r="D877" s="4">
        <f>94.6762 * CHOOSE(CONTROL!$C$9, $C$13, 100%, $E$13) + CHOOSE(CONTROL!$C$28, 0, 0)</f>
        <v>94.676199999999994</v>
      </c>
      <c r="E877" s="4">
        <f>619.137294667102 * CHOOSE(CONTROL!$C$9, $C$13, 100%, $E$13) + CHOOSE(CONTROL!$C$28, 0, 0)</f>
        <v>619.13729466710197</v>
      </c>
    </row>
    <row r="878" spans="1:5" ht="15">
      <c r="A878" s="13">
        <v>68606</v>
      </c>
      <c r="B878" s="4">
        <f>110.071 * CHOOSE(CONTROL!$C$9, $C$13, 100%, $E$13) + CHOOSE(CONTROL!$C$28, 0.0003, 0)</f>
        <v>110.07129999999999</v>
      </c>
      <c r="C878" s="4">
        <f>109.7585 * CHOOSE(CONTROL!$C$9, $C$13, 100%, $E$13) + CHOOSE(CONTROL!$C$28, 0.0003, 0)</f>
        <v>109.75879999999999</v>
      </c>
      <c r="D878" s="4">
        <f>93.3786 * CHOOSE(CONTROL!$C$9, $C$13, 100%, $E$13) + CHOOSE(CONTROL!$C$28, 0, 0)</f>
        <v>93.378600000000006</v>
      </c>
      <c r="E878" s="4">
        <f>598.566174197041 * CHOOSE(CONTROL!$C$9, $C$13, 100%, $E$13) + CHOOSE(CONTROL!$C$28, 0, 0)</f>
        <v>598.56617419704105</v>
      </c>
    </row>
    <row r="879" spans="1:5" ht="15">
      <c r="A879" s="13">
        <v>68636</v>
      </c>
      <c r="B879" s="4">
        <f>107.6761 * CHOOSE(CONTROL!$C$9, $C$13, 100%, $E$13) + CHOOSE(CONTROL!$C$28, 0.0003, 0)</f>
        <v>107.6764</v>
      </c>
      <c r="C879" s="4">
        <f>107.3636 * CHOOSE(CONTROL!$C$9, $C$13, 100%, $E$13) + CHOOSE(CONTROL!$C$28, 0.0003, 0)</f>
        <v>107.3639</v>
      </c>
      <c r="D879" s="4">
        <f>92.9324 * CHOOSE(CONTROL!$C$9, $C$13, 100%, $E$13) + CHOOSE(CONTROL!$C$28, 0, 0)</f>
        <v>92.932400000000001</v>
      </c>
      <c r="E879" s="4">
        <f>585.316836459221 * CHOOSE(CONTROL!$C$9, $C$13, 100%, $E$13) + CHOOSE(CONTROL!$C$28, 0, 0)</f>
        <v>585.31683645922101</v>
      </c>
    </row>
    <row r="880" spans="1:5" ht="15">
      <c r="A880" s="13">
        <v>68667</v>
      </c>
      <c r="B880" s="4">
        <f>106.0191 * CHOOSE(CONTROL!$C$9, $C$13, 100%, $E$13) + CHOOSE(CONTROL!$C$28, 0.0003, 0)</f>
        <v>106.01939999999999</v>
      </c>
      <c r="C880" s="4">
        <f>105.7066 * CHOOSE(CONTROL!$C$9, $C$13, 100%, $E$13) + CHOOSE(CONTROL!$C$28, 0.0003, 0)</f>
        <v>105.70689999999999</v>
      </c>
      <c r="D880" s="4">
        <f>89.6479 * CHOOSE(CONTROL!$C$9, $C$13, 100%, $E$13) + CHOOSE(CONTROL!$C$28, 0, 0)</f>
        <v>89.647900000000007</v>
      </c>
      <c r="E880" s="4">
        <f>576.149997873131 * CHOOSE(CONTROL!$C$9, $C$13, 100%, $E$13) + CHOOSE(CONTROL!$C$28, 0, 0)</f>
        <v>576.14999787313104</v>
      </c>
    </row>
    <row r="881" spans="1:5" ht="15">
      <c r="A881" s="13">
        <v>68698</v>
      </c>
      <c r="B881" s="4">
        <f>103.3268 * CHOOSE(CONTROL!$C$9, $C$13, 100%, $E$13) + CHOOSE(CONTROL!$C$28, 0.0003, 0)</f>
        <v>103.3271</v>
      </c>
      <c r="C881" s="4">
        <f>103.0143 * CHOOSE(CONTROL!$C$9, $C$13, 100%, $E$13) + CHOOSE(CONTROL!$C$28, 0.0003, 0)</f>
        <v>103.0146</v>
      </c>
      <c r="D881" s="4">
        <f>86.6291 * CHOOSE(CONTROL!$C$9, $C$13, 100%, $E$13) + CHOOSE(CONTROL!$C$28, 0, 0)</f>
        <v>86.629099999999994</v>
      </c>
      <c r="E881" s="4">
        <f>559.628211467109 * CHOOSE(CONTROL!$C$9, $C$13, 100%, $E$13) + CHOOSE(CONTROL!$C$28, 0, 0)</f>
        <v>559.62821146710905</v>
      </c>
    </row>
    <row r="882" spans="1:5" ht="15">
      <c r="A882" s="13">
        <v>68727</v>
      </c>
      <c r="B882" s="4">
        <f>105.7357 * CHOOSE(CONTROL!$C$9, $C$13, 100%, $E$13) + CHOOSE(CONTROL!$C$28, 0.0003, 0)</f>
        <v>105.73599999999999</v>
      </c>
      <c r="C882" s="4">
        <f>105.4232 * CHOOSE(CONTROL!$C$9, $C$13, 100%, $E$13) + CHOOSE(CONTROL!$C$28, 0.0003, 0)</f>
        <v>105.42349999999999</v>
      </c>
      <c r="D882" s="4">
        <f>89.669 * CHOOSE(CONTROL!$C$9, $C$13, 100%, $E$13) + CHOOSE(CONTROL!$C$28, 0, 0)</f>
        <v>89.668999999999997</v>
      </c>
      <c r="E882" s="4">
        <f>572.91599065144 * CHOOSE(CONTROL!$C$9, $C$13, 100%, $E$13) + CHOOSE(CONTROL!$C$28, 0, 0)</f>
        <v>572.91599065143998</v>
      </c>
    </row>
    <row r="883" spans="1:5" ht="15">
      <c r="A883" s="13">
        <v>68758</v>
      </c>
      <c r="B883" s="4">
        <f>112.0615 * CHOOSE(CONTROL!$C$9, $C$13, 100%, $E$13) + CHOOSE(CONTROL!$C$28, 0.0003, 0)</f>
        <v>112.06179999999999</v>
      </c>
      <c r="C883" s="4">
        <f>111.749 * CHOOSE(CONTROL!$C$9, $C$13, 100%, $E$13) + CHOOSE(CONTROL!$C$28, 0.0003, 0)</f>
        <v>111.74929999999999</v>
      </c>
      <c r="D883" s="4">
        <f>94.4278 * CHOOSE(CONTROL!$C$9, $C$13, 100%, $E$13) + CHOOSE(CONTROL!$C$28, 0, 0)</f>
        <v>94.427800000000005</v>
      </c>
      <c r="E883" s="4">
        <f>607.810404944965 * CHOOSE(CONTROL!$C$9, $C$13, 100%, $E$13) + CHOOSE(CONTROL!$C$28, 0, 0)</f>
        <v>607.81040494496494</v>
      </c>
    </row>
    <row r="884" spans="1:5" ht="15">
      <c r="A884" s="13">
        <v>68788</v>
      </c>
      <c r="B884" s="4">
        <f>116.5561 * CHOOSE(CONTROL!$C$9, $C$13, 100%, $E$13) + CHOOSE(CONTROL!$C$28, 0.0003, 0)</f>
        <v>116.5564</v>
      </c>
      <c r="C884" s="4">
        <f>116.2436 * CHOOSE(CONTROL!$C$9, $C$13, 100%, $E$13) + CHOOSE(CONTROL!$C$28, 0.0003, 0)</f>
        <v>116.2439</v>
      </c>
      <c r="D884" s="4">
        <f>97.169 * CHOOSE(CONTROL!$C$9, $C$13, 100%, $E$13) + CHOOSE(CONTROL!$C$28, 0, 0)</f>
        <v>97.168999999999997</v>
      </c>
      <c r="E884" s="4">
        <f>632.603351329727 * CHOOSE(CONTROL!$C$9, $C$13, 100%, $E$13) + CHOOSE(CONTROL!$C$28, 0, 0)</f>
        <v>632.60335132972705</v>
      </c>
    </row>
    <row r="885" spans="1:5" ht="15">
      <c r="A885" s="13">
        <v>68819</v>
      </c>
      <c r="B885" s="4">
        <f>119.3022 * CHOOSE(CONTROL!$C$9, $C$13, 100%, $E$13) + CHOOSE(CONTROL!$C$28, 0.0255, 0)</f>
        <v>119.32769999999999</v>
      </c>
      <c r="C885" s="4">
        <f>118.9897 * CHOOSE(CONTROL!$C$9, $C$13, 100%, $E$13) + CHOOSE(CONTROL!$C$28, 0.0255, 0)</f>
        <v>119.01519999999999</v>
      </c>
      <c r="D885" s="4">
        <f>96.0858 * CHOOSE(CONTROL!$C$9, $C$13, 100%, $E$13) + CHOOSE(CONTROL!$C$28, 0, 0)</f>
        <v>96.085800000000006</v>
      </c>
      <c r="E885" s="4">
        <f>647.751247366823 * CHOOSE(CONTROL!$C$9, $C$13, 100%, $E$13) + CHOOSE(CONTROL!$C$28, 0, 0)</f>
        <v>647.75124736682301</v>
      </c>
    </row>
    <row r="886" spans="1:5" ht="15">
      <c r="A886" s="13">
        <v>68849</v>
      </c>
      <c r="B886" s="4">
        <f>119.6737 * CHOOSE(CONTROL!$C$9, $C$13, 100%, $E$13) + CHOOSE(CONTROL!$C$28, 0.0255, 0)</f>
        <v>119.69919999999999</v>
      </c>
      <c r="C886" s="4">
        <f>119.3612 * CHOOSE(CONTROL!$C$9, $C$13, 100%, $E$13) + CHOOSE(CONTROL!$C$28, 0.0255, 0)</f>
        <v>119.38669999999999</v>
      </c>
      <c r="D886" s="4">
        <f>96.968 * CHOOSE(CONTROL!$C$9, $C$13, 100%, $E$13) + CHOOSE(CONTROL!$C$28, 0, 0)</f>
        <v>96.968000000000004</v>
      </c>
      <c r="E886" s="4">
        <f>649.800820565702 * CHOOSE(CONTROL!$C$9, $C$13, 100%, $E$13) + CHOOSE(CONTROL!$C$28, 0, 0)</f>
        <v>649.800820565702</v>
      </c>
    </row>
    <row r="887" spans="1:5" ht="15">
      <c r="A887" s="13">
        <v>68880</v>
      </c>
      <c r="B887" s="4">
        <f>119.6362 * CHOOSE(CONTROL!$C$9, $C$13, 100%, $E$13) + CHOOSE(CONTROL!$C$28, 0.0255, 0)</f>
        <v>119.6617</v>
      </c>
      <c r="C887" s="4">
        <f>119.3237 * CHOOSE(CONTROL!$C$9, $C$13, 100%, $E$13) + CHOOSE(CONTROL!$C$28, 0.0255, 0)</f>
        <v>119.3492</v>
      </c>
      <c r="D887" s="4">
        <f>98.5598 * CHOOSE(CONTROL!$C$9, $C$13, 100%, $E$13) + CHOOSE(CONTROL!$C$28, 0, 0)</f>
        <v>98.559799999999996</v>
      </c>
      <c r="E887" s="4">
        <f>649.594140915395 * CHOOSE(CONTROL!$C$9, $C$13, 100%, $E$13) + CHOOSE(CONTROL!$C$28, 0, 0)</f>
        <v>649.59414091539497</v>
      </c>
    </row>
    <row r="888" spans="1:5" ht="15">
      <c r="A888" s="13">
        <v>68911</v>
      </c>
      <c r="B888" s="4">
        <f>122.4557 * CHOOSE(CONTROL!$C$9, $C$13, 100%, $E$13) + CHOOSE(CONTROL!$C$28, 0.0255, 0)</f>
        <v>122.48119999999999</v>
      </c>
      <c r="C888" s="4">
        <f>122.1432 * CHOOSE(CONTROL!$C$9, $C$13, 100%, $E$13) + CHOOSE(CONTROL!$C$28, 0.0255, 0)</f>
        <v>122.16869999999999</v>
      </c>
      <c r="D888" s="4">
        <f>97.5086 * CHOOSE(CONTROL!$C$9, $C$13, 100%, $E$13) + CHOOSE(CONTROL!$C$28, 0, 0)</f>
        <v>97.508600000000001</v>
      </c>
      <c r="E888" s="4">
        <f>665.146784601008 * CHOOSE(CONTROL!$C$9, $C$13, 100%, $E$13) + CHOOSE(CONTROL!$C$28, 0, 0)</f>
        <v>665.14678460100799</v>
      </c>
    </row>
    <row r="889" spans="1:5" ht="15">
      <c r="A889" s="13">
        <v>68941</v>
      </c>
      <c r="B889" s="4">
        <f>117.6505 * CHOOSE(CONTROL!$C$9, $C$13, 100%, $E$13) + CHOOSE(CONTROL!$C$28, 0.0255, 0)</f>
        <v>117.67599999999999</v>
      </c>
      <c r="C889" s="4">
        <f>117.338 * CHOOSE(CONTROL!$C$9, $C$13, 100%, $E$13) + CHOOSE(CONTROL!$C$28, 0.0255, 0)</f>
        <v>117.36349999999999</v>
      </c>
      <c r="D889" s="4">
        <f>97.0119 * CHOOSE(CONTROL!$C$9, $C$13, 100%, $E$13) + CHOOSE(CONTROL!$C$28, 0, 0)</f>
        <v>97.011899999999997</v>
      </c>
      <c r="E889" s="4">
        <f>638.640119449116 * CHOOSE(CONTROL!$C$9, $C$13, 100%, $E$13) + CHOOSE(CONTROL!$C$28, 0, 0)</f>
        <v>638.64011944911601</v>
      </c>
    </row>
    <row r="890" spans="1:5" ht="15">
      <c r="A890" s="13">
        <v>68972</v>
      </c>
      <c r="B890" s="4">
        <f>113.8038 * CHOOSE(CONTROL!$C$9, $C$13, 100%, $E$13) + CHOOSE(CONTROL!$C$28, 0.0003, 0)</f>
        <v>113.80409999999999</v>
      </c>
      <c r="C890" s="4">
        <f>113.4913 * CHOOSE(CONTROL!$C$9, $C$13, 100%, $E$13) + CHOOSE(CONTROL!$C$28, 0.0003, 0)</f>
        <v>113.49159999999999</v>
      </c>
      <c r="D890" s="4">
        <f>95.682 * CHOOSE(CONTROL!$C$9, $C$13, 100%, $E$13) + CHOOSE(CONTROL!$C$28, 0, 0)</f>
        <v>95.682000000000002</v>
      </c>
      <c r="E890" s="4">
        <f>617.421008684247 * CHOOSE(CONTROL!$C$9, $C$13, 100%, $E$13) + CHOOSE(CONTROL!$C$28, 0, 0)</f>
        <v>617.421008684247</v>
      </c>
    </row>
    <row r="891" spans="1:5" ht="15">
      <c r="A891" s="13">
        <v>69002</v>
      </c>
      <c r="B891" s="4">
        <f>111.3262 * CHOOSE(CONTROL!$C$9, $C$13, 100%, $E$13) + CHOOSE(CONTROL!$C$28, 0.0003, 0)</f>
        <v>111.3265</v>
      </c>
      <c r="C891" s="4">
        <f>111.0137 * CHOOSE(CONTROL!$C$9, $C$13, 100%, $E$13) + CHOOSE(CONTROL!$C$28, 0.0003, 0)</f>
        <v>111.014</v>
      </c>
      <c r="D891" s="4">
        <f>95.2248 * CHOOSE(CONTROL!$C$9, $C$13, 100%, $E$13) + CHOOSE(CONTROL!$C$28, 0, 0)</f>
        <v>95.224800000000002</v>
      </c>
      <c r="E891" s="4">
        <f>603.754316807687 * CHOOSE(CONTROL!$C$9, $C$13, 100%, $E$13) + CHOOSE(CONTROL!$C$28, 0, 0)</f>
        <v>603.75431680768702</v>
      </c>
    </row>
    <row r="892" spans="1:5" ht="15">
      <c r="A892" s="13">
        <v>69033</v>
      </c>
      <c r="B892" s="4">
        <f>109.6121 * CHOOSE(CONTROL!$C$9, $C$13, 100%, $E$13) + CHOOSE(CONTROL!$C$28, 0.0003, 0)</f>
        <v>109.61239999999999</v>
      </c>
      <c r="C892" s="4">
        <f>109.2996 * CHOOSE(CONTROL!$C$9, $C$13, 100%, $E$13) + CHOOSE(CONTROL!$C$28, 0.0003, 0)</f>
        <v>109.29989999999999</v>
      </c>
      <c r="D892" s="4">
        <f>91.8588 * CHOOSE(CONTROL!$C$9, $C$13, 100%, $E$13) + CHOOSE(CONTROL!$C$28, 0, 0)</f>
        <v>91.858800000000002</v>
      </c>
      <c r="E892" s="4">
        <f>594.298722806134 * CHOOSE(CONTROL!$C$9, $C$13, 100%, $E$13) + CHOOSE(CONTROL!$C$28, 0, 0)</f>
        <v>594.29872280613404</v>
      </c>
    </row>
    <row r="893" spans="1:5" ht="15">
      <c r="A893" s="13">
        <v>69064</v>
      </c>
      <c r="B893" s="4">
        <f>106.8269 * CHOOSE(CONTROL!$C$9, $C$13, 100%, $E$13) + CHOOSE(CONTROL!$C$28, 0.0003, 0)</f>
        <v>106.82719999999999</v>
      </c>
      <c r="C893" s="4">
        <f>106.5144 * CHOOSE(CONTROL!$C$9, $C$13, 100%, $E$13) + CHOOSE(CONTROL!$C$28, 0.0003, 0)</f>
        <v>106.51469999999999</v>
      </c>
      <c r="D893" s="4">
        <f>88.7651 * CHOOSE(CONTROL!$C$9, $C$13, 100%, $E$13) + CHOOSE(CONTROL!$C$28, 0, 0)</f>
        <v>88.765100000000004</v>
      </c>
      <c r="E893" s="4">
        <f>577.256500128323 * CHOOSE(CONTROL!$C$9, $C$13, 100%, $E$13) + CHOOSE(CONTROL!$C$28, 0, 0)</f>
        <v>577.25650012832295</v>
      </c>
    </row>
    <row r="894" spans="1:5" ht="15">
      <c r="A894" s="13">
        <v>69092</v>
      </c>
      <c r="B894" s="4">
        <f>109.3189 * CHOOSE(CONTROL!$C$9, $C$13, 100%, $E$13) + CHOOSE(CONTROL!$C$28, 0.0003, 0)</f>
        <v>109.3192</v>
      </c>
      <c r="C894" s="4">
        <f>109.0064 * CHOOSE(CONTROL!$C$9, $C$13, 100%, $E$13) + CHOOSE(CONTROL!$C$28, 0.0003, 0)</f>
        <v>109.0067</v>
      </c>
      <c r="D894" s="4">
        <f>91.8805 * CHOOSE(CONTROL!$C$9, $C$13, 100%, $E$13) + CHOOSE(CONTROL!$C$28, 0, 0)</f>
        <v>91.880499999999998</v>
      </c>
      <c r="E894" s="4">
        <f>590.96284435696 * CHOOSE(CONTROL!$C$9, $C$13, 100%, $E$13) + CHOOSE(CONTROL!$C$28, 0, 0)</f>
        <v>590.96284435695998</v>
      </c>
    </row>
    <row r="895" spans="1:5" ht="15">
      <c r="A895" s="13">
        <v>69123</v>
      </c>
      <c r="B895" s="4">
        <f>115.8629 * CHOOSE(CONTROL!$C$9, $C$13, 100%, $E$13) + CHOOSE(CONTROL!$C$28, 0.0003, 0)</f>
        <v>115.86319999999999</v>
      </c>
      <c r="C895" s="4">
        <f>115.5504 * CHOOSE(CONTROL!$C$9, $C$13, 100%, $E$13) + CHOOSE(CONTROL!$C$28, 0.0003, 0)</f>
        <v>115.55069999999999</v>
      </c>
      <c r="D895" s="4">
        <f>96.7573 * CHOOSE(CONTROL!$C$9, $C$13, 100%, $E$13) + CHOOSE(CONTROL!$C$28, 0, 0)</f>
        <v>96.757300000000001</v>
      </c>
      <c r="E895" s="4">
        <f>626.956432700731 * CHOOSE(CONTROL!$C$9, $C$13, 100%, $E$13) + CHOOSE(CONTROL!$C$28, 0, 0)</f>
        <v>626.95643270073106</v>
      </c>
    </row>
    <row r="896" spans="1:5" ht="15">
      <c r="A896" s="13">
        <v>69153</v>
      </c>
      <c r="B896" s="4">
        <f>120.5126 * CHOOSE(CONTROL!$C$9, $C$13, 100%, $E$13) + CHOOSE(CONTROL!$C$28, 0.0003, 0)</f>
        <v>120.5129</v>
      </c>
      <c r="C896" s="4">
        <f>120.2001 * CHOOSE(CONTROL!$C$9, $C$13, 100%, $E$13) + CHOOSE(CONTROL!$C$28, 0.0003, 0)</f>
        <v>120.2004</v>
      </c>
      <c r="D896" s="4">
        <f>99.5665 * CHOOSE(CONTROL!$C$9, $C$13, 100%, $E$13) + CHOOSE(CONTROL!$C$28, 0, 0)</f>
        <v>99.566500000000005</v>
      </c>
      <c r="E896" s="4">
        <f>652.530356896614 * CHOOSE(CONTROL!$C$9, $C$13, 100%, $E$13) + CHOOSE(CONTROL!$C$28, 0, 0)</f>
        <v>652.53035689661397</v>
      </c>
    </row>
    <row r="897" spans="1:5" ht="15">
      <c r="A897" s="13">
        <v>69184</v>
      </c>
      <c r="B897" s="4">
        <f>123.3534 * CHOOSE(CONTROL!$C$9, $C$13, 100%, $E$13) + CHOOSE(CONTROL!$C$28, 0.0255, 0)</f>
        <v>123.37889999999999</v>
      </c>
      <c r="C897" s="4">
        <f>123.0409 * CHOOSE(CONTROL!$C$9, $C$13, 100%, $E$13) + CHOOSE(CONTROL!$C$28, 0.0255, 0)</f>
        <v>123.06639999999999</v>
      </c>
      <c r="D897" s="4">
        <f>98.4564 * CHOOSE(CONTROL!$C$9, $C$13, 100%, $E$13) + CHOOSE(CONTROL!$C$28, 0, 0)</f>
        <v>98.456400000000002</v>
      </c>
      <c r="E897" s="4">
        <f>668.155411658878 * CHOOSE(CONTROL!$C$9, $C$13, 100%, $E$13) + CHOOSE(CONTROL!$C$28, 0, 0)</f>
        <v>668.15541165887805</v>
      </c>
    </row>
    <row r="898" spans="1:5" ht="15">
      <c r="A898" s="13">
        <v>69214</v>
      </c>
      <c r="B898" s="4">
        <f>123.7378 * CHOOSE(CONTROL!$C$9, $C$13, 100%, $E$13) + CHOOSE(CONTROL!$C$28, 0.0255, 0)</f>
        <v>123.76329999999999</v>
      </c>
      <c r="C898" s="4">
        <f>123.4253 * CHOOSE(CONTROL!$C$9, $C$13, 100%, $E$13) + CHOOSE(CONTROL!$C$28, 0.0255, 0)</f>
        <v>123.45079999999999</v>
      </c>
      <c r="D898" s="4">
        <f>99.3605 * CHOOSE(CONTROL!$C$9, $C$13, 100%, $E$13) + CHOOSE(CONTROL!$C$28, 0, 0)</f>
        <v>99.360500000000002</v>
      </c>
      <c r="E898" s="4">
        <f>670.269546413522 * CHOOSE(CONTROL!$C$9, $C$13, 100%, $E$13) + CHOOSE(CONTROL!$C$28, 0, 0)</f>
        <v>670.26954641352199</v>
      </c>
    </row>
    <row r="899" spans="1:5" ht="15">
      <c r="A899" s="13">
        <v>69245</v>
      </c>
      <c r="B899" s="4">
        <f>123.699 * CHOOSE(CONTROL!$C$9, $C$13, 100%, $E$13) + CHOOSE(CONTROL!$C$28, 0.0255, 0)</f>
        <v>123.72449999999999</v>
      </c>
      <c r="C899" s="4">
        <f>123.3865 * CHOOSE(CONTROL!$C$9, $C$13, 100%, $E$13) + CHOOSE(CONTROL!$C$28, 0.0255, 0)</f>
        <v>123.41199999999999</v>
      </c>
      <c r="D899" s="4">
        <f>100.9917 * CHOOSE(CONTROL!$C$9, $C$13, 100%, $E$13) + CHOOSE(CONTROL!$C$28, 0, 0)</f>
        <v>100.99169999999999</v>
      </c>
      <c r="E899" s="4">
        <f>670.05635635423 * CHOOSE(CONTROL!$C$9, $C$13, 100%, $E$13) + CHOOSE(CONTROL!$C$28, 0, 0)</f>
        <v>670.05635635423005</v>
      </c>
    </row>
    <row r="900" spans="1:5" ht="15">
      <c r="A900" s="13">
        <v>69276</v>
      </c>
      <c r="B900" s="4">
        <f>126.6157 * CHOOSE(CONTROL!$C$9, $C$13, 100%, $E$13) + CHOOSE(CONTROL!$C$28, 0.0255, 0)</f>
        <v>126.6412</v>
      </c>
      <c r="C900" s="4">
        <f>126.3032 * CHOOSE(CONTROL!$C$9, $C$13, 100%, $E$13) + CHOOSE(CONTROL!$C$28, 0.0255, 0)</f>
        <v>126.3287</v>
      </c>
      <c r="D900" s="4">
        <f>99.9144 * CHOOSE(CONTROL!$C$9, $C$13, 100%, $E$13) + CHOOSE(CONTROL!$C$28, 0, 0)</f>
        <v>99.914400000000001</v>
      </c>
      <c r="E900" s="4">
        <f>686.09890831594 * CHOOSE(CONTROL!$C$9, $C$13, 100%, $E$13) + CHOOSE(CONTROL!$C$28, 0, 0)</f>
        <v>686.09890831593998</v>
      </c>
    </row>
    <row r="901" spans="1:5" ht="15">
      <c r="A901" s="13">
        <v>69306</v>
      </c>
      <c r="B901" s="4">
        <f>121.6447 * CHOOSE(CONTROL!$C$9, $C$13, 100%, $E$13) + CHOOSE(CONTROL!$C$28, 0.0255, 0)</f>
        <v>121.67019999999999</v>
      </c>
      <c r="C901" s="4">
        <f>121.3322 * CHOOSE(CONTROL!$C$9, $C$13, 100%, $E$13) + CHOOSE(CONTROL!$C$28, 0.0255, 0)</f>
        <v>121.35769999999999</v>
      </c>
      <c r="D901" s="4">
        <f>99.4055 * CHOOSE(CONTROL!$C$9, $C$13, 100%, $E$13) + CHOOSE(CONTROL!$C$28, 0, 0)</f>
        <v>99.405500000000004</v>
      </c>
      <c r="E901" s="4">
        <f>658.757283211763 * CHOOSE(CONTROL!$C$9, $C$13, 100%, $E$13) + CHOOSE(CONTROL!$C$28, 0, 0)</f>
        <v>658.75728321176302</v>
      </c>
    </row>
    <row r="902" spans="1:5" ht="15">
      <c r="A902" s="13">
        <v>69337</v>
      </c>
      <c r="B902" s="4">
        <f>117.6653 * CHOOSE(CONTROL!$C$9, $C$13, 100%, $E$13) + CHOOSE(CONTROL!$C$28, 0.0003, 0)</f>
        <v>117.6656</v>
      </c>
      <c r="C902" s="4">
        <f>117.3528 * CHOOSE(CONTROL!$C$9, $C$13, 100%, $E$13) + CHOOSE(CONTROL!$C$28, 0.0003, 0)</f>
        <v>117.3531</v>
      </c>
      <c r="D902" s="4">
        <f>98.0426 * CHOOSE(CONTROL!$C$9, $C$13, 100%, $E$13) + CHOOSE(CONTROL!$C$28, 0, 0)</f>
        <v>98.042599999999993</v>
      </c>
      <c r="E902" s="4">
        <f>636.869770457801 * CHOOSE(CONTROL!$C$9, $C$13, 100%, $E$13) + CHOOSE(CONTROL!$C$28, 0, 0)</f>
        <v>636.869770457801</v>
      </c>
    </row>
    <row r="903" spans="1:5" ht="15">
      <c r="A903" s="13">
        <v>69367</v>
      </c>
      <c r="B903" s="4">
        <f>115.1023 * CHOOSE(CONTROL!$C$9, $C$13, 100%, $E$13) + CHOOSE(CONTROL!$C$28, 0.0003, 0)</f>
        <v>115.1026</v>
      </c>
      <c r="C903" s="4">
        <f>114.7898 * CHOOSE(CONTROL!$C$9, $C$13, 100%, $E$13) + CHOOSE(CONTROL!$C$28, 0.0003, 0)</f>
        <v>114.7901</v>
      </c>
      <c r="D903" s="4">
        <f>97.5741 * CHOOSE(CONTROL!$C$9, $C$13, 100%, $E$13) + CHOOSE(CONTROL!$C$28, 0, 0)</f>
        <v>97.574100000000001</v>
      </c>
      <c r="E903" s="4">
        <f>622.772577787129 * CHOOSE(CONTROL!$C$9, $C$13, 100%, $E$13) + CHOOSE(CONTROL!$C$28, 0, 0)</f>
        <v>622.77257778712897</v>
      </c>
    </row>
    <row r="904" spans="1:5" ht="15">
      <c r="A904" s="13">
        <v>69398</v>
      </c>
      <c r="B904" s="4">
        <f>113.329 * CHOOSE(CONTROL!$C$9, $C$13, 100%, $E$13) + CHOOSE(CONTROL!$C$28, 0.0003, 0)</f>
        <v>113.32929999999999</v>
      </c>
      <c r="C904" s="4">
        <f>113.0165 * CHOOSE(CONTROL!$C$9, $C$13, 100%, $E$13) + CHOOSE(CONTROL!$C$28, 0.0003, 0)</f>
        <v>113.01679999999999</v>
      </c>
      <c r="D904" s="4">
        <f>94.1246 * CHOOSE(CONTROL!$C$9, $C$13, 100%, $E$13) + CHOOSE(CONTROL!$C$28, 0, 0)</f>
        <v>94.124600000000001</v>
      </c>
      <c r="E904" s="4">
        <f>613.019132574528 * CHOOSE(CONTROL!$C$9, $C$13, 100%, $E$13) + CHOOSE(CONTROL!$C$28, 0, 0)</f>
        <v>613.01913257452804</v>
      </c>
    </row>
    <row r="905" spans="1:5" ht="15">
      <c r="A905" s="13">
        <v>69429</v>
      </c>
      <c r="B905" s="4">
        <f>110.4478 * CHOOSE(CONTROL!$C$9, $C$13, 100%, $E$13) + CHOOSE(CONTROL!$C$28, 0.0003, 0)</f>
        <v>110.4481</v>
      </c>
      <c r="C905" s="4">
        <f>110.1353 * CHOOSE(CONTROL!$C$9, $C$13, 100%, $E$13) + CHOOSE(CONTROL!$C$28, 0.0003, 0)</f>
        <v>110.1356</v>
      </c>
      <c r="D905" s="4">
        <f>90.9542 * CHOOSE(CONTROL!$C$9, $C$13, 100%, $E$13) + CHOOSE(CONTROL!$C$28, 0, 0)</f>
        <v>90.9542</v>
      </c>
      <c r="E905" s="4">
        <f>595.440079882365 * CHOOSE(CONTROL!$C$9, $C$13, 100%, $E$13) + CHOOSE(CONTROL!$C$28, 0, 0)</f>
        <v>595.44007988236501</v>
      </c>
    </row>
    <row r="906" spans="1:5" ht="15">
      <c r="A906" s="13">
        <v>69457</v>
      </c>
      <c r="B906" s="4">
        <f>113.0257 * CHOOSE(CONTROL!$C$9, $C$13, 100%, $E$13) + CHOOSE(CONTROL!$C$28, 0.0003, 0)</f>
        <v>113.026</v>
      </c>
      <c r="C906" s="4">
        <f>112.7132 * CHOOSE(CONTROL!$C$9, $C$13, 100%, $E$13) + CHOOSE(CONTROL!$C$28, 0.0003, 0)</f>
        <v>112.7135</v>
      </c>
      <c r="D906" s="4">
        <f>94.1468 * CHOOSE(CONTROL!$C$9, $C$13, 100%, $E$13) + CHOOSE(CONTROL!$C$28, 0, 0)</f>
        <v>94.146799999999999</v>
      </c>
      <c r="E906" s="4">
        <f>609.578173954204 * CHOOSE(CONTROL!$C$9, $C$13, 100%, $E$13) + CHOOSE(CONTROL!$C$28, 0, 0)</f>
        <v>609.57817395420398</v>
      </c>
    </row>
    <row r="907" spans="1:5" ht="15">
      <c r="A907" s="13">
        <v>69488</v>
      </c>
      <c r="B907" s="4">
        <f>119.7955 * CHOOSE(CONTROL!$C$9, $C$13, 100%, $E$13) + CHOOSE(CONTROL!$C$28, 0.0003, 0)</f>
        <v>119.7958</v>
      </c>
      <c r="C907" s="4">
        <f>119.483 * CHOOSE(CONTROL!$C$9, $C$13, 100%, $E$13) + CHOOSE(CONTROL!$C$28, 0.0003, 0)</f>
        <v>119.4833</v>
      </c>
      <c r="D907" s="4">
        <f>99.1445 * CHOOSE(CONTROL!$C$9, $C$13, 100%, $E$13) + CHOOSE(CONTROL!$C$28, 0, 0)</f>
        <v>99.144499999999994</v>
      </c>
      <c r="E907" s="4">
        <f>646.705560330804 * CHOOSE(CONTROL!$C$9, $C$13, 100%, $E$13) + CHOOSE(CONTROL!$C$28, 0, 0)</f>
        <v>646.70556033080402</v>
      </c>
    </row>
    <row r="908" spans="1:5" ht="15">
      <c r="A908" s="13">
        <v>69518</v>
      </c>
      <c r="B908" s="4">
        <f>124.6056 * CHOOSE(CONTROL!$C$9, $C$13, 100%, $E$13) + CHOOSE(CONTROL!$C$28, 0.0003, 0)</f>
        <v>124.60589999999999</v>
      </c>
      <c r="C908" s="4">
        <f>124.2931 * CHOOSE(CONTROL!$C$9, $C$13, 100%, $E$13) + CHOOSE(CONTROL!$C$28, 0.0003, 0)</f>
        <v>124.29339999999999</v>
      </c>
      <c r="D908" s="4">
        <f>102.0234 * CHOOSE(CONTROL!$C$9, $C$13, 100%, $E$13) + CHOOSE(CONTROL!$C$28, 0, 0)</f>
        <v>102.0234</v>
      </c>
      <c r="E908" s="4">
        <f>673.085063138857 * CHOOSE(CONTROL!$C$9, $C$13, 100%, $E$13) + CHOOSE(CONTROL!$C$28, 0, 0)</f>
        <v>673.08506313885698</v>
      </c>
    </row>
    <row r="909" spans="1:5" ht="15">
      <c r="A909" s="13">
        <v>69549</v>
      </c>
      <c r="B909" s="4">
        <f>127.5444 * CHOOSE(CONTROL!$C$9, $C$13, 100%, $E$13) + CHOOSE(CONTROL!$C$28, 0.0255, 0)</f>
        <v>127.56989999999999</v>
      </c>
      <c r="C909" s="4">
        <f>127.2319 * CHOOSE(CONTROL!$C$9, $C$13, 100%, $E$13) + CHOOSE(CONTROL!$C$28, 0.0255, 0)</f>
        <v>127.25739999999999</v>
      </c>
      <c r="D909" s="4">
        <f>100.8858 * CHOOSE(CONTROL!$C$9, $C$13, 100%, $E$13) + CHOOSE(CONTROL!$C$28, 0, 0)</f>
        <v>100.8858</v>
      </c>
      <c r="E909" s="4">
        <f>689.202307126133 * CHOOSE(CONTROL!$C$9, $C$13, 100%, $E$13) + CHOOSE(CONTROL!$C$28, 0, 0)</f>
        <v>689.20230712613295</v>
      </c>
    </row>
    <row r="910" spans="1:5" ht="15">
      <c r="A910" s="13">
        <v>69579</v>
      </c>
      <c r="B910" s="4">
        <f>127.942 * CHOOSE(CONTROL!$C$9, $C$13, 100%, $E$13) + CHOOSE(CONTROL!$C$28, 0.0255, 0)</f>
        <v>127.96749999999999</v>
      </c>
      <c r="C910" s="4">
        <f>127.6295 * CHOOSE(CONTROL!$C$9, $C$13, 100%, $E$13) + CHOOSE(CONTROL!$C$28, 0.0255, 0)</f>
        <v>127.65499999999999</v>
      </c>
      <c r="D910" s="4">
        <f>101.8123 * CHOOSE(CONTROL!$C$9, $C$13, 100%, $E$13) + CHOOSE(CONTROL!$C$28, 0, 0)</f>
        <v>101.81229999999999</v>
      </c>
      <c r="E910" s="4">
        <f>691.383037125548 * CHOOSE(CONTROL!$C$9, $C$13, 100%, $E$13) + CHOOSE(CONTROL!$C$28, 0, 0)</f>
        <v>691.38303712554796</v>
      </c>
    </row>
    <row r="911" spans="1:5" ht="15">
      <c r="A911" s="13">
        <v>69610</v>
      </c>
      <c r="B911" s="4">
        <f>127.9019 * CHOOSE(CONTROL!$C$9, $C$13, 100%, $E$13) + CHOOSE(CONTROL!$C$28, 0.0255, 0)</f>
        <v>127.92739999999999</v>
      </c>
      <c r="C911" s="4">
        <f>127.5894 * CHOOSE(CONTROL!$C$9, $C$13, 100%, $E$13) + CHOOSE(CONTROL!$C$28, 0.0255, 0)</f>
        <v>127.61489999999999</v>
      </c>
      <c r="D911" s="4">
        <f>103.484 * CHOOSE(CONTROL!$C$9, $C$13, 100%, $E$13) + CHOOSE(CONTROL!$C$28, 0, 0)</f>
        <v>103.48399999999999</v>
      </c>
      <c r="E911" s="4">
        <f>691.163131579388 * CHOOSE(CONTROL!$C$9, $C$13, 100%, $E$13) + CHOOSE(CONTROL!$C$28, 0, 0)</f>
        <v>691.16313157938805</v>
      </c>
    </row>
    <row r="912" spans="1:5" ht="15">
      <c r="A912" s="13">
        <v>69641</v>
      </c>
      <c r="B912" s="4">
        <f>130.9193 * CHOOSE(CONTROL!$C$9, $C$13, 100%, $E$13) + CHOOSE(CONTROL!$C$28, 0.0255, 0)</f>
        <v>130.94479999999999</v>
      </c>
      <c r="C912" s="4">
        <f>130.6068 * CHOOSE(CONTROL!$C$9, $C$13, 100%, $E$13) + CHOOSE(CONTROL!$C$28, 0.0255, 0)</f>
        <v>130.63229999999999</v>
      </c>
      <c r="D912" s="4">
        <f>102.38 * CHOOSE(CONTROL!$C$9, $C$13, 100%, $E$13) + CHOOSE(CONTROL!$C$28, 0, 0)</f>
        <v>102.38</v>
      </c>
      <c r="E912" s="4">
        <f>707.711023927892 * CHOOSE(CONTROL!$C$9, $C$13, 100%, $E$13) + CHOOSE(CONTROL!$C$28, 0, 0)</f>
        <v>707.71102392789203</v>
      </c>
    </row>
    <row r="913" spans="1:5" ht="15">
      <c r="A913" s="13">
        <v>69671</v>
      </c>
      <c r="B913" s="4">
        <f>125.7768 * CHOOSE(CONTROL!$C$9, $C$13, 100%, $E$13) + CHOOSE(CONTROL!$C$28, 0.0255, 0)</f>
        <v>125.80229999999999</v>
      </c>
      <c r="C913" s="4">
        <f>125.4643 * CHOOSE(CONTROL!$C$9, $C$13, 100%, $E$13) + CHOOSE(CONTROL!$C$28, 0.0255, 0)</f>
        <v>125.48979999999999</v>
      </c>
      <c r="D913" s="4">
        <f>101.8584 * CHOOSE(CONTROL!$C$9, $C$13, 100%, $E$13) + CHOOSE(CONTROL!$C$28, 0, 0)</f>
        <v>101.8584</v>
      </c>
      <c r="E913" s="4">
        <f>679.508137632934 * CHOOSE(CONTROL!$C$9, $C$13, 100%, $E$13) + CHOOSE(CONTROL!$C$28, 0, 0)</f>
        <v>679.50813763293399</v>
      </c>
    </row>
    <row r="914" spans="1:5" ht="15">
      <c r="A914" s="13">
        <v>69702</v>
      </c>
      <c r="B914" s="4">
        <f>121.6601 * CHOOSE(CONTROL!$C$9, $C$13, 100%, $E$13) + CHOOSE(CONTROL!$C$28, 0.0003, 0)</f>
        <v>121.6604</v>
      </c>
      <c r="C914" s="4">
        <f>121.3476 * CHOOSE(CONTROL!$C$9, $C$13, 100%, $E$13) + CHOOSE(CONTROL!$C$28, 0.0003, 0)</f>
        <v>121.3479</v>
      </c>
      <c r="D914" s="4">
        <f>100.4617 * CHOOSE(CONTROL!$C$9, $C$13, 100%, $E$13) + CHOOSE(CONTROL!$C$28, 0, 0)</f>
        <v>100.46169999999999</v>
      </c>
      <c r="E914" s="4">
        <f>656.931168227222 * CHOOSE(CONTROL!$C$9, $C$13, 100%, $E$13) + CHOOSE(CONTROL!$C$28, 0, 0)</f>
        <v>656.93116822722197</v>
      </c>
    </row>
    <row r="915" spans="1:5" ht="15">
      <c r="A915" s="13">
        <v>69732</v>
      </c>
      <c r="B915" s="4">
        <f>119.0086 * CHOOSE(CONTROL!$C$9, $C$13, 100%, $E$13) + CHOOSE(CONTROL!$C$28, 0.0003, 0)</f>
        <v>119.0089</v>
      </c>
      <c r="C915" s="4">
        <f>118.6961 * CHOOSE(CONTROL!$C$9, $C$13, 100%, $E$13) + CHOOSE(CONTROL!$C$28, 0.0003, 0)</f>
        <v>118.6964</v>
      </c>
      <c r="D915" s="4">
        <f>99.9816 * CHOOSE(CONTROL!$C$9, $C$13, 100%, $E$13) + CHOOSE(CONTROL!$C$28, 0, 0)</f>
        <v>99.9816</v>
      </c>
      <c r="E915" s="4">
        <f>642.389913987423 * CHOOSE(CONTROL!$C$9, $C$13, 100%, $E$13) + CHOOSE(CONTROL!$C$28, 0, 0)</f>
        <v>642.38991398742303</v>
      </c>
    </row>
    <row r="916" spans="1:5" ht="15">
      <c r="A916" s="13">
        <v>69763</v>
      </c>
      <c r="B916" s="4">
        <f>117.1741 * CHOOSE(CONTROL!$C$9, $C$13, 100%, $E$13) + CHOOSE(CONTROL!$C$28, 0.0003, 0)</f>
        <v>117.17439999999999</v>
      </c>
      <c r="C916" s="4">
        <f>116.8616 * CHOOSE(CONTROL!$C$9, $C$13, 100%, $E$13) + CHOOSE(CONTROL!$C$28, 0.0003, 0)</f>
        <v>116.86189999999999</v>
      </c>
      <c r="D916" s="4">
        <f>96.4465 * CHOOSE(CONTROL!$C$9, $C$13, 100%, $E$13) + CHOOSE(CONTROL!$C$28, 0, 0)</f>
        <v>96.4465</v>
      </c>
      <c r="E916" s="4">
        <f>632.329235250625 * CHOOSE(CONTROL!$C$9, $C$13, 100%, $E$13) + CHOOSE(CONTROL!$C$28, 0, 0)</f>
        <v>632.32923525062495</v>
      </c>
    </row>
    <row r="917" spans="1:5" ht="15">
      <c r="A917" s="13">
        <v>69794</v>
      </c>
      <c r="B917" s="4">
        <f>114.1935 * CHOOSE(CONTROL!$C$9, $C$13, 100%, $E$13) + CHOOSE(CONTROL!$C$28, 0.0003, 0)</f>
        <v>114.1938</v>
      </c>
      <c r="C917" s="4">
        <f>113.881 * CHOOSE(CONTROL!$C$9, $C$13, 100%, $E$13) + CHOOSE(CONTROL!$C$28, 0.0003, 0)</f>
        <v>113.8813</v>
      </c>
      <c r="D917" s="4">
        <f>93.1975 * CHOOSE(CONTROL!$C$9, $C$13, 100%, $E$13) + CHOOSE(CONTROL!$C$28, 0, 0)</f>
        <v>93.197500000000005</v>
      </c>
      <c r="E917" s="4">
        <f>614.196442398659 * CHOOSE(CONTROL!$C$9, $C$13, 100%, $E$13) + CHOOSE(CONTROL!$C$28, 0, 0)</f>
        <v>614.19644239865897</v>
      </c>
    </row>
    <row r="918" spans="1:5" ht="15">
      <c r="A918" s="13">
        <v>69822</v>
      </c>
      <c r="B918" s="4">
        <f>116.8604 * CHOOSE(CONTROL!$C$9, $C$13, 100%, $E$13) + CHOOSE(CONTROL!$C$28, 0.0003, 0)</f>
        <v>116.86069999999999</v>
      </c>
      <c r="C918" s="4">
        <f>116.5479 * CHOOSE(CONTROL!$C$9, $C$13, 100%, $E$13) + CHOOSE(CONTROL!$C$28, 0.0003, 0)</f>
        <v>116.54819999999999</v>
      </c>
      <c r="D918" s="4">
        <f>96.4693 * CHOOSE(CONTROL!$C$9, $C$13, 100%, $E$13) + CHOOSE(CONTROL!$C$28, 0, 0)</f>
        <v>96.469300000000004</v>
      </c>
      <c r="E918" s="4">
        <f>628.779886433762 * CHOOSE(CONTROL!$C$9, $C$13, 100%, $E$13) + CHOOSE(CONTROL!$C$28, 0, 0)</f>
        <v>628.77988643376204</v>
      </c>
    </row>
    <row r="919" spans="1:5" ht="15">
      <c r="A919" s="13">
        <v>69853</v>
      </c>
      <c r="B919" s="4">
        <f>123.8638 * CHOOSE(CONTROL!$C$9, $C$13, 100%, $E$13) + CHOOSE(CONTROL!$C$28, 0.0003, 0)</f>
        <v>123.86409999999999</v>
      </c>
      <c r="C919" s="4">
        <f>123.5513 * CHOOSE(CONTROL!$C$9, $C$13, 100%, $E$13) + CHOOSE(CONTROL!$C$28, 0.0003, 0)</f>
        <v>123.55159999999999</v>
      </c>
      <c r="D919" s="4">
        <f>101.591 * CHOOSE(CONTROL!$C$9, $C$13, 100%, $E$13) + CHOOSE(CONTROL!$C$28, 0, 0)</f>
        <v>101.59099999999999</v>
      </c>
      <c r="E919" s="4">
        <f>667.076785481225 * CHOOSE(CONTROL!$C$9, $C$13, 100%, $E$13) + CHOOSE(CONTROL!$C$28, 0, 0)</f>
        <v>667.07678548122499</v>
      </c>
    </row>
    <row r="920" spans="1:5" ht="15">
      <c r="A920" s="13">
        <v>69883</v>
      </c>
      <c r="B920" s="4">
        <f>128.8398 * CHOOSE(CONTROL!$C$9, $C$13, 100%, $E$13) + CHOOSE(CONTROL!$C$28, 0.0003, 0)</f>
        <v>128.84010000000001</v>
      </c>
      <c r="C920" s="4">
        <f>128.5273 * CHOOSE(CONTROL!$C$9, $C$13, 100%, $E$13) + CHOOSE(CONTROL!$C$28, 0.0003, 0)</f>
        <v>128.52760000000001</v>
      </c>
      <c r="D920" s="4">
        <f>104.5413 * CHOOSE(CONTROL!$C$9, $C$13, 100%, $E$13) + CHOOSE(CONTROL!$C$28, 0, 0)</f>
        <v>104.54130000000001</v>
      </c>
      <c r="E920" s="4">
        <f>694.287242627731 * CHOOSE(CONTROL!$C$9, $C$13, 100%, $E$13) + CHOOSE(CONTROL!$C$28, 0, 0)</f>
        <v>694.28724262773096</v>
      </c>
    </row>
    <row r="921" spans="1:5" ht="15">
      <c r="A921" s="13">
        <v>69914</v>
      </c>
      <c r="B921" s="4">
        <f>131.88 * CHOOSE(CONTROL!$C$9, $C$13, 100%, $E$13) + CHOOSE(CONTROL!$C$28, 0.0255, 0)</f>
        <v>131.90549999999999</v>
      </c>
      <c r="C921" s="4">
        <f>131.5675 * CHOOSE(CONTROL!$C$9, $C$13, 100%, $E$13) + CHOOSE(CONTROL!$C$28, 0.0255, 0)</f>
        <v>131.59299999999999</v>
      </c>
      <c r="D921" s="4">
        <f>103.3755 * CHOOSE(CONTROL!$C$9, $C$13, 100%, $E$13) + CHOOSE(CONTROL!$C$28, 0, 0)</f>
        <v>103.3755</v>
      </c>
      <c r="E921" s="4">
        <f>710.912179800606 * CHOOSE(CONTROL!$C$9, $C$13, 100%, $E$13) + CHOOSE(CONTROL!$C$28, 0, 0)</f>
        <v>710.91217980060605</v>
      </c>
    </row>
    <row r="922" spans="1:5" ht="15">
      <c r="A922" s="13">
        <v>69944</v>
      </c>
      <c r="B922" s="4">
        <f>132.2913 * CHOOSE(CONTROL!$C$9, $C$13, 100%, $E$13) + CHOOSE(CONTROL!$C$28, 0.0255, 0)</f>
        <v>132.3168</v>
      </c>
      <c r="C922" s="4">
        <f>131.9788 * CHOOSE(CONTROL!$C$9, $C$13, 100%, $E$13) + CHOOSE(CONTROL!$C$28, 0.0255, 0)</f>
        <v>132.0043</v>
      </c>
      <c r="D922" s="4">
        <f>104.3249 * CHOOSE(CONTROL!$C$9, $C$13, 100%, $E$13) + CHOOSE(CONTROL!$C$28, 0, 0)</f>
        <v>104.3249</v>
      </c>
      <c r="E922" s="4">
        <f>713.161602795002 * CHOOSE(CONTROL!$C$9, $C$13, 100%, $E$13) + CHOOSE(CONTROL!$C$28, 0, 0)</f>
        <v>713.16160279500195</v>
      </c>
    </row>
    <row r="923" spans="1:5" ht="15">
      <c r="A923" s="13">
        <v>69975</v>
      </c>
      <c r="B923" s="4">
        <f>132.2499 * CHOOSE(CONTROL!$C$9, $C$13, 100%, $E$13) + CHOOSE(CONTROL!$C$28, 0.0255, 0)</f>
        <v>132.27539999999999</v>
      </c>
      <c r="C923" s="4">
        <f>131.9374 * CHOOSE(CONTROL!$C$9, $C$13, 100%, $E$13) + CHOOSE(CONTROL!$C$28, 0.0255, 0)</f>
        <v>131.96289999999999</v>
      </c>
      <c r="D923" s="4">
        <f>106.0381 * CHOOSE(CONTROL!$C$9, $C$13, 100%, $E$13) + CHOOSE(CONTROL!$C$28, 0, 0)</f>
        <v>106.0381</v>
      </c>
      <c r="E923" s="4">
        <f>712.934770224139 * CHOOSE(CONTROL!$C$9, $C$13, 100%, $E$13) + CHOOSE(CONTROL!$C$28, 0, 0)</f>
        <v>712.93477022413902</v>
      </c>
    </row>
    <row r="924" spans="1:5" ht="15">
      <c r="A924" s="13">
        <v>70006</v>
      </c>
      <c r="B924" s="4">
        <f>135.3713 * CHOOSE(CONTROL!$C$9, $C$13, 100%, $E$13) + CHOOSE(CONTROL!$C$28, 0.0255, 0)</f>
        <v>135.39679999999998</v>
      </c>
      <c r="C924" s="4">
        <f>135.0588 * CHOOSE(CONTROL!$C$9, $C$13, 100%, $E$13) + CHOOSE(CONTROL!$C$28, 0.0255, 0)</f>
        <v>135.08429999999998</v>
      </c>
      <c r="D924" s="4">
        <f>104.9067 * CHOOSE(CONTROL!$C$9, $C$13, 100%, $E$13) + CHOOSE(CONTROL!$C$28, 0, 0)</f>
        <v>104.9067</v>
      </c>
      <c r="E924" s="4">
        <f>730.003921181621 * CHOOSE(CONTROL!$C$9, $C$13, 100%, $E$13) + CHOOSE(CONTROL!$C$28, 0, 0)</f>
        <v>730.00392118162097</v>
      </c>
    </row>
    <row r="925" spans="1:5" ht="15">
      <c r="A925" s="13">
        <v>70036</v>
      </c>
      <c r="B925" s="4">
        <f>130.0514 * CHOOSE(CONTROL!$C$9, $C$13, 100%, $E$13) + CHOOSE(CONTROL!$C$28, 0.0255, 0)</f>
        <v>130.07689999999999</v>
      </c>
      <c r="C925" s="4">
        <f>129.7389 * CHOOSE(CONTROL!$C$9, $C$13, 100%, $E$13) + CHOOSE(CONTROL!$C$28, 0.0255, 0)</f>
        <v>129.76439999999999</v>
      </c>
      <c r="D925" s="4">
        <f>104.3721 * CHOOSE(CONTROL!$C$9, $C$13, 100%, $E$13) + CHOOSE(CONTROL!$C$28, 0, 0)</f>
        <v>104.3721</v>
      </c>
      <c r="E925" s="4">
        <f>700.912643968371 * CHOOSE(CONTROL!$C$9, $C$13, 100%, $E$13) + CHOOSE(CONTROL!$C$28, 0, 0)</f>
        <v>700.91264396837096</v>
      </c>
    </row>
    <row r="926" spans="1:5" ht="15">
      <c r="A926" s="13">
        <v>70067</v>
      </c>
      <c r="B926" s="4">
        <f>125.7927 * CHOOSE(CONTROL!$C$9, $C$13, 100%, $E$13) + CHOOSE(CONTROL!$C$28, 0.0003, 0)</f>
        <v>125.79299999999999</v>
      </c>
      <c r="C926" s="4">
        <f>125.4802 * CHOOSE(CONTROL!$C$9, $C$13, 100%, $E$13) + CHOOSE(CONTROL!$C$28, 0.0003, 0)</f>
        <v>125.48049999999999</v>
      </c>
      <c r="D926" s="4">
        <f>102.9409 * CHOOSE(CONTROL!$C$9, $C$13, 100%, $E$13) + CHOOSE(CONTROL!$C$28, 0, 0)</f>
        <v>102.9409</v>
      </c>
      <c r="E926" s="4">
        <f>677.62450002638 * CHOOSE(CONTROL!$C$9, $C$13, 100%, $E$13) + CHOOSE(CONTROL!$C$28, 0, 0)</f>
        <v>677.62450002638002</v>
      </c>
    </row>
    <row r="927" spans="1:5" ht="15">
      <c r="A927" s="13">
        <v>70097</v>
      </c>
      <c r="B927" s="4">
        <f>123.0497 * CHOOSE(CONTROL!$C$9, $C$13, 100%, $E$13) + CHOOSE(CONTROL!$C$28, 0.0003, 0)</f>
        <v>123.05</v>
      </c>
      <c r="C927" s="4">
        <f>122.7372 * CHOOSE(CONTROL!$C$9, $C$13, 100%, $E$13) + CHOOSE(CONTROL!$C$28, 0.0003, 0)</f>
        <v>122.7375</v>
      </c>
      <c r="D927" s="4">
        <f>102.4488 * CHOOSE(CONTROL!$C$9, $C$13, 100%, $E$13) + CHOOSE(CONTROL!$C$28, 0, 0)</f>
        <v>102.44880000000001</v>
      </c>
      <c r="E927" s="4">
        <f>662.625196278027 * CHOOSE(CONTROL!$C$9, $C$13, 100%, $E$13) + CHOOSE(CONTROL!$C$28, 0, 0)</f>
        <v>662.62519627802703</v>
      </c>
    </row>
    <row r="928" spans="1:5" ht="15">
      <c r="A928" s="13">
        <v>70128</v>
      </c>
      <c r="B928" s="4">
        <f>121.152 * CHOOSE(CONTROL!$C$9, $C$13, 100%, $E$13) + CHOOSE(CONTROL!$C$28, 0.0003, 0)</f>
        <v>121.1523</v>
      </c>
      <c r="C928" s="4">
        <f>120.8395 * CHOOSE(CONTROL!$C$9, $C$13, 100%, $E$13) + CHOOSE(CONTROL!$C$28, 0.0003, 0)</f>
        <v>120.8398</v>
      </c>
      <c r="D928" s="4">
        <f>98.8261 * CHOOSE(CONTROL!$C$9, $C$13, 100%, $E$13) + CHOOSE(CONTROL!$C$28, 0, 0)</f>
        <v>98.826099999999997</v>
      </c>
      <c r="E928" s="4">
        <f>652.24760616102 * CHOOSE(CONTROL!$C$9, $C$13, 100%, $E$13) + CHOOSE(CONTROL!$C$28, 0, 0)</f>
        <v>652.24760616102003</v>
      </c>
    </row>
    <row r="929" spans="1:5" ht="15">
      <c r="A929" s="13">
        <v>70159</v>
      </c>
      <c r="B929" s="4">
        <f>118.0685 * CHOOSE(CONTROL!$C$9, $C$13, 100%, $E$13) + CHOOSE(CONTROL!$C$28, 0.0003, 0)</f>
        <v>118.0688</v>
      </c>
      <c r="C929" s="4">
        <f>117.756 * CHOOSE(CONTROL!$C$9, $C$13, 100%, $E$13) + CHOOSE(CONTROL!$C$28, 0.0003, 0)</f>
        <v>117.7563</v>
      </c>
      <c r="D929" s="4">
        <f>95.4965 * CHOOSE(CONTROL!$C$9, $C$13, 100%, $E$13) + CHOOSE(CONTROL!$C$28, 0, 0)</f>
        <v>95.496499999999997</v>
      </c>
      <c r="E929" s="4">
        <f>633.543630334217 * CHOOSE(CONTROL!$C$9, $C$13, 100%, $E$13) + CHOOSE(CONTROL!$C$28, 0, 0)</f>
        <v>633.54363033421703</v>
      </c>
    </row>
    <row r="930" spans="1:5" ht="15">
      <c r="A930" s="13">
        <v>70188</v>
      </c>
      <c r="B930" s="4">
        <f>120.8274 * CHOOSE(CONTROL!$C$9, $C$13, 100%, $E$13) + CHOOSE(CONTROL!$C$28, 0.0003, 0)</f>
        <v>120.82769999999999</v>
      </c>
      <c r="C930" s="4">
        <f>120.5149 * CHOOSE(CONTROL!$C$9, $C$13, 100%, $E$13) + CHOOSE(CONTROL!$C$28, 0.0003, 0)</f>
        <v>120.51519999999999</v>
      </c>
      <c r="D930" s="4">
        <f>98.8494 * CHOOSE(CONTROL!$C$9, $C$13, 100%, $E$13) + CHOOSE(CONTROL!$C$28, 0, 0)</f>
        <v>98.849400000000003</v>
      </c>
      <c r="E930" s="4">
        <f>648.586452856425 * CHOOSE(CONTROL!$C$9, $C$13, 100%, $E$13) + CHOOSE(CONTROL!$C$28, 0, 0)</f>
        <v>648.58645285642501</v>
      </c>
    </row>
    <row r="931" spans="1:5" ht="15">
      <c r="A931" s="13">
        <v>70219</v>
      </c>
      <c r="B931" s="4">
        <f>128.0724 * CHOOSE(CONTROL!$C$9, $C$13, 100%, $E$13) + CHOOSE(CONTROL!$C$28, 0.0003, 0)</f>
        <v>128.0727</v>
      </c>
      <c r="C931" s="4">
        <f>127.7599 * CHOOSE(CONTROL!$C$9, $C$13, 100%, $E$13) + CHOOSE(CONTROL!$C$28, 0.0003, 0)</f>
        <v>127.7602</v>
      </c>
      <c r="D931" s="4">
        <f>104.0981 * CHOOSE(CONTROL!$C$9, $C$13, 100%, $E$13) + CHOOSE(CONTROL!$C$28, 0, 0)</f>
        <v>104.0981</v>
      </c>
      <c r="E931" s="4">
        <f>688.089704223883 * CHOOSE(CONTROL!$C$9, $C$13, 100%, $E$13) + CHOOSE(CONTROL!$C$28, 0, 0)</f>
        <v>688.08970422388302</v>
      </c>
    </row>
    <row r="932" spans="1:5" ht="15">
      <c r="A932" s="13">
        <v>70249</v>
      </c>
      <c r="B932" s="4">
        <f>133.2201 * CHOOSE(CONTROL!$C$9, $C$13, 100%, $E$13) + CHOOSE(CONTROL!$C$28, 0.0003, 0)</f>
        <v>133.22040000000001</v>
      </c>
      <c r="C932" s="4">
        <f>132.9076 * CHOOSE(CONTROL!$C$9, $C$13, 100%, $E$13) + CHOOSE(CONTROL!$C$28, 0.0003, 0)</f>
        <v>132.90790000000001</v>
      </c>
      <c r="D932" s="4">
        <f>107.1216 * CHOOSE(CONTROL!$C$9, $C$13, 100%, $E$13) + CHOOSE(CONTROL!$C$28, 0, 0)</f>
        <v>107.1216</v>
      </c>
      <c r="E932" s="4">
        <f>716.157290770505 * CHOOSE(CONTROL!$C$9, $C$13, 100%, $E$13) + CHOOSE(CONTROL!$C$28, 0, 0)</f>
        <v>716.15729077050503</v>
      </c>
    </row>
    <row r="933" spans="1:5" ht="15">
      <c r="A933" s="13">
        <v>70280</v>
      </c>
      <c r="B933" s="4">
        <f>136.3652 * CHOOSE(CONTROL!$C$9, $C$13, 100%, $E$13) + CHOOSE(CONTROL!$C$28, 0.0255, 0)</f>
        <v>136.39069999999998</v>
      </c>
      <c r="C933" s="4">
        <f>136.0527 * CHOOSE(CONTROL!$C$9, $C$13, 100%, $E$13) + CHOOSE(CONTROL!$C$28, 0.0255, 0)</f>
        <v>136.07819999999998</v>
      </c>
      <c r="D933" s="4">
        <f>105.9268 * CHOOSE(CONTROL!$C$9, $C$13, 100%, $E$13) + CHOOSE(CONTROL!$C$28, 0, 0)</f>
        <v>105.9268</v>
      </c>
      <c r="E933" s="4">
        <f>733.305913464325 * CHOOSE(CONTROL!$C$9, $C$13, 100%, $E$13) + CHOOSE(CONTROL!$C$28, 0, 0)</f>
        <v>733.30591346432504</v>
      </c>
    </row>
    <row r="934" spans="1:5" ht="15">
      <c r="A934" s="13">
        <v>70310</v>
      </c>
      <c r="B934" s="4">
        <f>136.7907 * CHOOSE(CONTROL!$C$9, $C$13, 100%, $E$13) + CHOOSE(CONTROL!$C$28, 0.0255, 0)</f>
        <v>136.81619999999998</v>
      </c>
      <c r="C934" s="4">
        <f>136.4782 * CHOOSE(CONTROL!$C$9, $C$13, 100%, $E$13) + CHOOSE(CONTROL!$C$28, 0.0255, 0)</f>
        <v>136.50369999999998</v>
      </c>
      <c r="D934" s="4">
        <f>106.8998 * CHOOSE(CONTROL!$C$9, $C$13, 100%, $E$13) + CHOOSE(CONTROL!$C$28, 0, 0)</f>
        <v>106.8998</v>
      </c>
      <c r="E934" s="4">
        <f>735.626193283045 * CHOOSE(CONTROL!$C$9, $C$13, 100%, $E$13) + CHOOSE(CONTROL!$C$28, 0, 0)</f>
        <v>735.62619328304504</v>
      </c>
    </row>
    <row r="935" spans="1:5" ht="15">
      <c r="A935" s="13">
        <v>70341</v>
      </c>
      <c r="B935" s="4">
        <f>136.7478 * CHOOSE(CONTROL!$C$9, $C$13, 100%, $E$13) + CHOOSE(CONTROL!$C$28, 0.0255, 0)</f>
        <v>136.77330000000001</v>
      </c>
      <c r="C935" s="4">
        <f>136.4353 * CHOOSE(CONTROL!$C$9, $C$13, 100%, $E$13) + CHOOSE(CONTROL!$C$28, 0.0255, 0)</f>
        <v>136.46080000000001</v>
      </c>
      <c r="D935" s="4">
        <f>108.6555 * CHOOSE(CONTROL!$C$9, $C$13, 100%, $E$13) + CHOOSE(CONTROL!$C$28, 0, 0)</f>
        <v>108.6555</v>
      </c>
      <c r="E935" s="4">
        <f>735.392215486199 * CHOOSE(CONTROL!$C$9, $C$13, 100%, $E$13) + CHOOSE(CONTROL!$C$28, 0, 0)</f>
        <v>735.39221548619901</v>
      </c>
    </row>
    <row r="936" spans="1:5" ht="15">
      <c r="A936" s="13">
        <v>70372</v>
      </c>
      <c r="B936" s="4">
        <f>139.9769 * CHOOSE(CONTROL!$C$9, $C$13, 100%, $E$13) + CHOOSE(CONTROL!$C$28, 0.0255, 0)</f>
        <v>140.00239999999999</v>
      </c>
      <c r="C936" s="4">
        <f>139.6644 * CHOOSE(CONTROL!$C$9, $C$13, 100%, $E$13) + CHOOSE(CONTROL!$C$28, 0.0255, 0)</f>
        <v>139.68989999999999</v>
      </c>
      <c r="D936" s="4">
        <f>107.4961 * CHOOSE(CONTROL!$C$9, $C$13, 100%, $E$13) + CHOOSE(CONTROL!$C$28, 0, 0)</f>
        <v>107.4961</v>
      </c>
      <c r="E936" s="4">
        <f>752.999044698842 * CHOOSE(CONTROL!$C$9, $C$13, 100%, $E$13) + CHOOSE(CONTROL!$C$28, 0, 0)</f>
        <v>752.999044698842</v>
      </c>
    </row>
    <row r="937" spans="1:5" ht="15">
      <c r="A937" s="13">
        <v>70402</v>
      </c>
      <c r="B937" s="4">
        <f>134.4735 * CHOOSE(CONTROL!$C$9, $C$13, 100%, $E$13) + CHOOSE(CONTROL!$C$28, 0.0255, 0)</f>
        <v>134.499</v>
      </c>
      <c r="C937" s="4">
        <f>134.161 * CHOOSE(CONTROL!$C$9, $C$13, 100%, $E$13) + CHOOSE(CONTROL!$C$28, 0.0255, 0)</f>
        <v>134.1865</v>
      </c>
      <c r="D937" s="4">
        <f>106.9482 * CHOOSE(CONTROL!$C$9, $C$13, 100%, $E$13) + CHOOSE(CONTROL!$C$28, 0, 0)</f>
        <v>106.9482</v>
      </c>
      <c r="E937" s="4">
        <f>722.991392253375 * CHOOSE(CONTROL!$C$9, $C$13, 100%, $E$13) + CHOOSE(CONTROL!$C$28, 0, 0)</f>
        <v>722.99139225337501</v>
      </c>
    </row>
    <row r="938" spans="1:5" ht="15">
      <c r="A938" s="13">
        <v>70433</v>
      </c>
      <c r="B938" s="4">
        <f>130.0678 * CHOOSE(CONTROL!$C$9, $C$13, 100%, $E$13) + CHOOSE(CONTROL!$C$28, 0.0003, 0)</f>
        <v>130.06810000000002</v>
      </c>
      <c r="C938" s="4">
        <f>129.7553 * CHOOSE(CONTROL!$C$9, $C$13, 100%, $E$13) + CHOOSE(CONTROL!$C$28, 0.0003, 0)</f>
        <v>129.75560000000002</v>
      </c>
      <c r="D938" s="4">
        <f>105.4815 * CHOOSE(CONTROL!$C$9, $C$13, 100%, $E$13) + CHOOSE(CONTROL!$C$28, 0, 0)</f>
        <v>105.4815</v>
      </c>
      <c r="E938" s="4">
        <f>698.969671777211 * CHOOSE(CONTROL!$C$9, $C$13, 100%, $E$13) + CHOOSE(CONTROL!$C$28, 0, 0)</f>
        <v>698.96967177721103</v>
      </c>
    </row>
    <row r="939" spans="1:5" ht="15">
      <c r="A939" s="13">
        <v>70463</v>
      </c>
      <c r="B939" s="4">
        <f>127.2303 * CHOOSE(CONTROL!$C$9, $C$13, 100%, $E$13) + CHOOSE(CONTROL!$C$28, 0.0003, 0)</f>
        <v>127.2306</v>
      </c>
      <c r="C939" s="4">
        <f>126.9178 * CHOOSE(CONTROL!$C$9, $C$13, 100%, $E$13) + CHOOSE(CONTROL!$C$28, 0.0003, 0)</f>
        <v>126.9181</v>
      </c>
      <c r="D939" s="4">
        <f>104.9772 * CHOOSE(CONTROL!$C$9, $C$13, 100%, $E$13) + CHOOSE(CONTROL!$C$28, 0, 0)</f>
        <v>104.9772</v>
      </c>
      <c r="E939" s="4">
        <f>683.497889960785 * CHOOSE(CONTROL!$C$9, $C$13, 100%, $E$13) + CHOOSE(CONTROL!$C$28, 0, 0)</f>
        <v>683.49788996078496</v>
      </c>
    </row>
    <row r="940" spans="1:5" ht="15">
      <c r="A940" s="13">
        <v>70494</v>
      </c>
      <c r="B940" s="4">
        <f>125.267 * CHOOSE(CONTROL!$C$9, $C$13, 100%, $E$13) + CHOOSE(CONTROL!$C$28, 0.0003, 0)</f>
        <v>125.26729999999999</v>
      </c>
      <c r="C940" s="4">
        <f>124.9545 * CHOOSE(CONTROL!$C$9, $C$13, 100%, $E$13) + CHOOSE(CONTROL!$C$28, 0.0003, 0)</f>
        <v>124.95479999999999</v>
      </c>
      <c r="D940" s="4">
        <f>101.2646 * CHOOSE(CONTROL!$C$9, $C$13, 100%, $E$13) + CHOOSE(CONTROL!$C$28, 0, 0)</f>
        <v>101.2646</v>
      </c>
      <c r="E940" s="4">
        <f>672.793405755092 * CHOOSE(CONTROL!$C$9, $C$13, 100%, $E$13) + CHOOSE(CONTROL!$C$28, 0, 0)</f>
        <v>672.79340575509195</v>
      </c>
    </row>
    <row r="941" spans="1:5" ht="15">
      <c r="A941" s="13">
        <v>70525</v>
      </c>
      <c r="B941" s="4">
        <f>122.0772 * CHOOSE(CONTROL!$C$9, $C$13, 100%, $E$13) + CHOOSE(CONTROL!$C$28, 0.0003, 0)</f>
        <v>122.0775</v>
      </c>
      <c r="C941" s="4">
        <f>121.7647 * CHOOSE(CONTROL!$C$9, $C$13, 100%, $E$13) + CHOOSE(CONTROL!$C$28, 0.0003, 0)</f>
        <v>121.765</v>
      </c>
      <c r="D941" s="4">
        <f>97.8525 * CHOOSE(CONTROL!$C$9, $C$13, 100%, $E$13) + CHOOSE(CONTROL!$C$28, 0, 0)</f>
        <v>97.852500000000006</v>
      </c>
      <c r="E941" s="4">
        <f>653.500254689745 * CHOOSE(CONTROL!$C$9, $C$13, 100%, $E$13) + CHOOSE(CONTROL!$C$28, 0, 0)</f>
        <v>653.50025468974502</v>
      </c>
    </row>
    <row r="942" spans="1:5" ht="15">
      <c r="A942" s="13">
        <v>70553</v>
      </c>
      <c r="B942" s="4">
        <f>124.9313 * CHOOSE(CONTROL!$C$9, $C$13, 100%, $E$13) + CHOOSE(CONTROL!$C$28, 0.0003, 0)</f>
        <v>124.93159999999999</v>
      </c>
      <c r="C942" s="4">
        <f>124.6188 * CHOOSE(CONTROL!$C$9, $C$13, 100%, $E$13) + CHOOSE(CONTROL!$C$28, 0.0003, 0)</f>
        <v>124.61909999999999</v>
      </c>
      <c r="D942" s="4">
        <f>101.2886 * CHOOSE(CONTROL!$C$9, $C$13, 100%, $E$13) + CHOOSE(CONTROL!$C$28, 0, 0)</f>
        <v>101.2886</v>
      </c>
      <c r="E942" s="4">
        <f>669.016926121403 * CHOOSE(CONTROL!$C$9, $C$13, 100%, $E$13) + CHOOSE(CONTROL!$C$28, 0, 0)</f>
        <v>669.016926121403</v>
      </c>
    </row>
    <row r="943" spans="1:5" ht="15">
      <c r="A943" s="13">
        <v>70584</v>
      </c>
      <c r="B943" s="4">
        <f>132.4262 * CHOOSE(CONTROL!$C$9, $C$13, 100%, $E$13) + CHOOSE(CONTROL!$C$28, 0.0003, 0)</f>
        <v>132.4265</v>
      </c>
      <c r="C943" s="4">
        <f>132.1137 * CHOOSE(CONTROL!$C$9, $C$13, 100%, $E$13) + CHOOSE(CONTROL!$C$28, 0.0003, 0)</f>
        <v>132.114</v>
      </c>
      <c r="D943" s="4">
        <f>106.6674 * CHOOSE(CONTROL!$C$9, $C$13, 100%, $E$13) + CHOOSE(CONTROL!$C$28, 0, 0)</f>
        <v>106.6674</v>
      </c>
      <c r="E943" s="4">
        <f>709.764529906935 * CHOOSE(CONTROL!$C$9, $C$13, 100%, $E$13) + CHOOSE(CONTROL!$C$28, 0, 0)</f>
        <v>709.76452990693497</v>
      </c>
    </row>
    <row r="944" spans="1:5" ht="15">
      <c r="A944" s="13">
        <v>70614</v>
      </c>
      <c r="B944" s="4">
        <f>137.7515 * CHOOSE(CONTROL!$C$9, $C$13, 100%, $E$13) + CHOOSE(CONTROL!$C$28, 0.0003, 0)</f>
        <v>137.7518</v>
      </c>
      <c r="C944" s="4">
        <f>137.439 * CHOOSE(CONTROL!$C$9, $C$13, 100%, $E$13) + CHOOSE(CONTROL!$C$28, 0.0003, 0)</f>
        <v>137.4393</v>
      </c>
      <c r="D944" s="4">
        <f>109.7658 * CHOOSE(CONTROL!$C$9, $C$13, 100%, $E$13) + CHOOSE(CONTROL!$C$28, 0, 0)</f>
        <v>109.7658</v>
      </c>
      <c r="E944" s="4">
        <f>738.716245429776 * CHOOSE(CONTROL!$C$9, $C$13, 100%, $E$13) + CHOOSE(CONTROL!$C$28, 0, 0)</f>
        <v>738.716245429776</v>
      </c>
    </row>
    <row r="945" spans="1:5" ht="15">
      <c r="A945" s="13">
        <v>70645</v>
      </c>
      <c r="B945" s="4">
        <f>141.0051 * CHOOSE(CONTROL!$C$9, $C$13, 100%, $E$13) + CHOOSE(CONTROL!$C$28, 0.0255, 0)</f>
        <v>141.03059999999999</v>
      </c>
      <c r="C945" s="4">
        <f>140.6926 * CHOOSE(CONTROL!$C$9, $C$13, 100%, $E$13) + CHOOSE(CONTROL!$C$28, 0.0255, 0)</f>
        <v>140.71809999999999</v>
      </c>
      <c r="D945" s="4">
        <f>108.5415 * CHOOSE(CONTROL!$C$9, $C$13, 100%, $E$13) + CHOOSE(CONTROL!$C$28, 0, 0)</f>
        <v>108.5415</v>
      </c>
      <c r="E945" s="4">
        <f>756.405049738451 * CHOOSE(CONTROL!$C$9, $C$13, 100%, $E$13) + CHOOSE(CONTROL!$C$28, 0, 0)</f>
        <v>756.405049738451</v>
      </c>
    </row>
    <row r="946" spans="1:5" ht="15">
      <c r="A946" s="13">
        <v>70675</v>
      </c>
      <c r="B946" s="4">
        <f>141.4453 * CHOOSE(CONTROL!$C$9, $C$13, 100%, $E$13) + CHOOSE(CONTROL!$C$28, 0.0255, 0)</f>
        <v>141.4708</v>
      </c>
      <c r="C946" s="4">
        <f>141.1328 * CHOOSE(CONTROL!$C$9, $C$13, 100%, $E$13) + CHOOSE(CONTROL!$C$28, 0.0255, 0)</f>
        <v>141.1583</v>
      </c>
      <c r="D946" s="4">
        <f>109.5386 * CHOOSE(CONTROL!$C$9, $C$13, 100%, $E$13) + CHOOSE(CONTROL!$C$28, 0, 0)</f>
        <v>109.5386</v>
      </c>
      <c r="E946" s="4">
        <f>758.798418371461 * CHOOSE(CONTROL!$C$9, $C$13, 100%, $E$13) + CHOOSE(CONTROL!$C$28, 0, 0)</f>
        <v>758.79841837146103</v>
      </c>
    </row>
    <row r="947" spans="1:5" ht="15">
      <c r="A947" s="13">
        <v>70706</v>
      </c>
      <c r="B947" s="4">
        <f>141.4009 * CHOOSE(CONTROL!$C$9, $C$13, 100%, $E$13) + CHOOSE(CONTROL!$C$28, 0.0255, 0)</f>
        <v>141.4264</v>
      </c>
      <c r="C947" s="4">
        <f>141.0884 * CHOOSE(CONTROL!$C$9, $C$13, 100%, $E$13) + CHOOSE(CONTROL!$C$28, 0.0255, 0)</f>
        <v>141.1139</v>
      </c>
      <c r="D947" s="4">
        <f>111.3378 * CHOOSE(CONTROL!$C$9, $C$13, 100%, $E$13) + CHOOSE(CONTROL!$C$28, 0, 0)</f>
        <v>111.3378</v>
      </c>
      <c r="E947" s="4">
        <f>758.557070274015 * CHOOSE(CONTROL!$C$9, $C$13, 100%, $E$13) + CHOOSE(CONTROL!$C$28, 0, 0)</f>
        <v>758.55707027401502</v>
      </c>
    </row>
    <row r="948" spans="1:5" ht="15">
      <c r="A948" s="13">
        <v>70737</v>
      </c>
      <c r="B948" s="4">
        <f>144.7415 * CHOOSE(CONTROL!$C$9, $C$13, 100%, $E$13) + CHOOSE(CONTROL!$C$28, 0.0255, 0)</f>
        <v>144.767</v>
      </c>
      <c r="C948" s="4">
        <f>144.429 * CHOOSE(CONTROL!$C$9, $C$13, 100%, $E$13) + CHOOSE(CONTROL!$C$28, 0.0255, 0)</f>
        <v>144.4545</v>
      </c>
      <c r="D948" s="4">
        <f>110.1496 * CHOOSE(CONTROL!$C$9, $C$13, 100%, $E$13) + CHOOSE(CONTROL!$C$28, 0, 0)</f>
        <v>110.14960000000001</v>
      </c>
      <c r="E948" s="4">
        <f>776.718514606856 * CHOOSE(CONTROL!$C$9, $C$13, 100%, $E$13) + CHOOSE(CONTROL!$C$28, 0, 0)</f>
        <v>776.71851460685605</v>
      </c>
    </row>
    <row r="949" spans="1:5" ht="15">
      <c r="A949" s="13">
        <v>70767</v>
      </c>
      <c r="B949" s="4">
        <f>139.0481 * CHOOSE(CONTROL!$C$9, $C$13, 100%, $E$13) + CHOOSE(CONTROL!$C$28, 0.0255, 0)</f>
        <v>139.0736</v>
      </c>
      <c r="C949" s="4">
        <f>138.7356 * CHOOSE(CONTROL!$C$9, $C$13, 100%, $E$13) + CHOOSE(CONTROL!$C$28, 0.0255, 0)</f>
        <v>138.7611</v>
      </c>
      <c r="D949" s="4">
        <f>109.5882 * CHOOSE(CONTROL!$C$9, $C$13, 100%, $E$13) + CHOOSE(CONTROL!$C$28, 0, 0)</f>
        <v>109.5882</v>
      </c>
      <c r="E949" s="4">
        <f>745.765621109356 * CHOOSE(CONTROL!$C$9, $C$13, 100%, $E$13) + CHOOSE(CONTROL!$C$28, 0, 0)</f>
        <v>745.76562110935595</v>
      </c>
    </row>
    <row r="950" spans="1:5" ht="15">
      <c r="A950" s="13">
        <v>70798</v>
      </c>
      <c r="B950" s="4">
        <f>134.4905 * CHOOSE(CONTROL!$C$9, $C$13, 100%, $E$13) + CHOOSE(CONTROL!$C$28, 0.0003, 0)</f>
        <v>134.49080000000001</v>
      </c>
      <c r="C950" s="4">
        <f>134.178 * CHOOSE(CONTROL!$C$9, $C$13, 100%, $E$13) + CHOOSE(CONTROL!$C$28, 0.0003, 0)</f>
        <v>134.17830000000001</v>
      </c>
      <c r="D950" s="4">
        <f>108.0851 * CHOOSE(CONTROL!$C$9, $C$13, 100%, $E$13) + CHOOSE(CONTROL!$C$28, 0, 0)</f>
        <v>108.0851</v>
      </c>
      <c r="E950" s="4">
        <f>720.987216438193 * CHOOSE(CONTROL!$C$9, $C$13, 100%, $E$13) + CHOOSE(CONTROL!$C$28, 0, 0)</f>
        <v>720.98721643819295</v>
      </c>
    </row>
    <row r="951" spans="1:5" ht="15">
      <c r="A951" s="13">
        <v>70828</v>
      </c>
      <c r="B951" s="4">
        <f>131.555 * CHOOSE(CONTROL!$C$9, $C$13, 100%, $E$13) + CHOOSE(CONTROL!$C$28, 0.0003, 0)</f>
        <v>131.55530000000002</v>
      </c>
      <c r="C951" s="4">
        <f>131.2425 * CHOOSE(CONTROL!$C$9, $C$13, 100%, $E$13) + CHOOSE(CONTROL!$C$28, 0.0003, 0)</f>
        <v>131.24280000000002</v>
      </c>
      <c r="D951" s="4">
        <f>107.5683 * CHOOSE(CONTROL!$C$9, $C$13, 100%, $E$13) + CHOOSE(CONTROL!$C$28, 0, 0)</f>
        <v>107.56829999999999</v>
      </c>
      <c r="E951" s="4">
        <f>705.02807349455 * CHOOSE(CONTROL!$C$9, $C$13, 100%, $E$13) + CHOOSE(CONTROL!$C$28, 0, 0)</f>
        <v>705.02807349454997</v>
      </c>
    </row>
    <row r="952" spans="1:5" ht="15">
      <c r="A952" s="13">
        <v>70859</v>
      </c>
      <c r="B952" s="4">
        <f>129.524 * CHOOSE(CONTROL!$C$9, $C$13, 100%, $E$13) + CHOOSE(CONTROL!$C$28, 0.0003, 0)</f>
        <v>129.52430000000001</v>
      </c>
      <c r="C952" s="4">
        <f>129.2115 * CHOOSE(CONTROL!$C$9, $C$13, 100%, $E$13) + CHOOSE(CONTROL!$C$28, 0.0003, 0)</f>
        <v>129.21180000000001</v>
      </c>
      <c r="D952" s="4">
        <f>103.7637 * CHOOSE(CONTROL!$C$9, $C$13, 100%, $E$13) + CHOOSE(CONTROL!$C$28, 0, 0)</f>
        <v>103.7637</v>
      </c>
      <c r="E952" s="4">
        <f>693.986398036378 * CHOOSE(CONTROL!$C$9, $C$13, 100%, $E$13) + CHOOSE(CONTROL!$C$28, 0, 0)</f>
        <v>693.98639803637798</v>
      </c>
    </row>
    <row r="953" spans="1:5" ht="15">
      <c r="A953" s="13">
        <v>70890</v>
      </c>
      <c r="B953" s="4">
        <f>126.2242 * CHOOSE(CONTROL!$C$9, $C$13, 100%, $E$13) + CHOOSE(CONTROL!$C$28, 0.0003, 0)</f>
        <v>126.22449999999999</v>
      </c>
      <c r="C953" s="4">
        <f>125.9117 * CHOOSE(CONTROL!$C$9, $C$13, 100%, $E$13) + CHOOSE(CONTROL!$C$28, 0.0003, 0)</f>
        <v>125.91199999999999</v>
      </c>
      <c r="D953" s="4">
        <f>100.2669 * CHOOSE(CONTROL!$C$9, $C$13, 100%, $E$13) + CHOOSE(CONTROL!$C$28, 0, 0)</f>
        <v>100.26690000000001</v>
      </c>
      <c r="E953" s="4">
        <f>674.085512712472 * CHOOSE(CONTROL!$C$9, $C$13, 100%, $E$13) + CHOOSE(CONTROL!$C$28, 0, 0)</f>
        <v>674.085512712472</v>
      </c>
    </row>
    <row r="954" spans="1:5" ht="15">
      <c r="A954" s="13">
        <v>70918</v>
      </c>
      <c r="B954" s="4">
        <f>129.1767 * CHOOSE(CONTROL!$C$9, $C$13, 100%, $E$13) + CHOOSE(CONTROL!$C$28, 0.0003, 0)</f>
        <v>129.17700000000002</v>
      </c>
      <c r="C954" s="4">
        <f>128.8642 * CHOOSE(CONTROL!$C$9, $C$13, 100%, $E$13) + CHOOSE(CONTROL!$C$28, 0.0003, 0)</f>
        <v>128.86450000000002</v>
      </c>
      <c r="D954" s="4">
        <f>103.7882 * CHOOSE(CONTROL!$C$9, $C$13, 100%, $E$13) + CHOOSE(CONTROL!$C$28, 0, 0)</f>
        <v>103.7882</v>
      </c>
      <c r="E954" s="4">
        <f>690.090959294227 * CHOOSE(CONTROL!$C$9, $C$13, 100%, $E$13) + CHOOSE(CONTROL!$C$28, 0, 0)</f>
        <v>690.09095929422699</v>
      </c>
    </row>
    <row r="955" spans="1:5" ht="15">
      <c r="A955" s="13">
        <v>70949</v>
      </c>
      <c r="B955" s="4">
        <f>136.9302 * CHOOSE(CONTROL!$C$9, $C$13, 100%, $E$13) + CHOOSE(CONTROL!$C$28, 0.0003, 0)</f>
        <v>136.93050000000002</v>
      </c>
      <c r="C955" s="4">
        <f>136.6177 * CHOOSE(CONTROL!$C$9, $C$13, 100%, $E$13) + CHOOSE(CONTROL!$C$28, 0.0003, 0)</f>
        <v>136.61800000000002</v>
      </c>
      <c r="D955" s="4">
        <f>109.3005 * CHOOSE(CONTROL!$C$9, $C$13, 100%, $E$13) + CHOOSE(CONTROL!$C$28, 0, 0)</f>
        <v>109.3005</v>
      </c>
      <c r="E955" s="4">
        <f>732.122112599004 * CHOOSE(CONTROL!$C$9, $C$13, 100%, $E$13) + CHOOSE(CONTROL!$C$28, 0, 0)</f>
        <v>732.12211259900403</v>
      </c>
    </row>
    <row r="956" spans="1:5" ht="15">
      <c r="A956" s="13">
        <v>70979</v>
      </c>
      <c r="B956" s="4">
        <f>142.4392 * CHOOSE(CONTROL!$C$9, $C$13, 100%, $E$13) + CHOOSE(CONTROL!$C$28, 0.0003, 0)</f>
        <v>142.43950000000001</v>
      </c>
      <c r="C956" s="4">
        <f>142.1267 * CHOOSE(CONTROL!$C$9, $C$13, 100%, $E$13) + CHOOSE(CONTROL!$C$28, 0.0003, 0)</f>
        <v>142.12700000000001</v>
      </c>
      <c r="D956" s="4">
        <f>112.4757 * CHOOSE(CONTROL!$C$9, $C$13, 100%, $E$13) + CHOOSE(CONTROL!$C$28, 0, 0)</f>
        <v>112.4757</v>
      </c>
      <c r="E956" s="4">
        <f>761.985807160814 * CHOOSE(CONTROL!$C$9, $C$13, 100%, $E$13) + CHOOSE(CONTROL!$C$28, 0, 0)</f>
        <v>761.98580716081403</v>
      </c>
    </row>
    <row r="957" spans="1:5" ht="15">
      <c r="A957" s="13">
        <v>71010</v>
      </c>
      <c r="B957" s="4">
        <f>145.8051 * CHOOSE(CONTROL!$C$9, $C$13, 100%, $E$13) + CHOOSE(CONTROL!$C$28, 0.0255, 0)</f>
        <v>145.8306</v>
      </c>
      <c r="C957" s="4">
        <f>145.4926 * CHOOSE(CONTROL!$C$9, $C$13, 100%, $E$13) + CHOOSE(CONTROL!$C$28, 0.0255, 0)</f>
        <v>145.5181</v>
      </c>
      <c r="D957" s="4">
        <f>111.221 * CHOOSE(CONTROL!$C$9, $C$13, 100%, $E$13) + CHOOSE(CONTROL!$C$28, 0, 0)</f>
        <v>111.221</v>
      </c>
      <c r="E957" s="4">
        <f>780.231808805212 * CHOOSE(CONTROL!$C$9, $C$13, 100%, $E$13) + CHOOSE(CONTROL!$C$28, 0, 0)</f>
        <v>780.23180880521204</v>
      </c>
    </row>
    <row r="958" spans="1:5" ht="15">
      <c r="A958" s="13">
        <v>71040</v>
      </c>
      <c r="B958" s="4">
        <f>146.2605 * CHOOSE(CONTROL!$C$9, $C$13, 100%, $E$13) + CHOOSE(CONTROL!$C$28, 0.0255, 0)</f>
        <v>146.286</v>
      </c>
      <c r="C958" s="4">
        <f>145.948 * CHOOSE(CONTROL!$C$9, $C$13, 100%, $E$13) + CHOOSE(CONTROL!$C$28, 0.0255, 0)</f>
        <v>145.9735</v>
      </c>
      <c r="D958" s="4">
        <f>112.2429 * CHOOSE(CONTROL!$C$9, $C$13, 100%, $E$13) + CHOOSE(CONTROL!$C$28, 0, 0)</f>
        <v>112.24290000000001</v>
      </c>
      <c r="E958" s="4">
        <f>782.700568550162 * CHOOSE(CONTROL!$C$9, $C$13, 100%, $E$13) + CHOOSE(CONTROL!$C$28, 0, 0)</f>
        <v>782.70056855016196</v>
      </c>
    </row>
    <row r="959" spans="1:5" ht="15">
      <c r="A959" s="13">
        <v>71071</v>
      </c>
      <c r="B959" s="4">
        <f>146.2146 * CHOOSE(CONTROL!$C$9, $C$13, 100%, $E$13) + CHOOSE(CONTROL!$C$28, 0.0255, 0)</f>
        <v>146.24009999999998</v>
      </c>
      <c r="C959" s="4">
        <f>145.9021 * CHOOSE(CONTROL!$C$9, $C$13, 100%, $E$13) + CHOOSE(CONTROL!$C$28, 0.0255, 0)</f>
        <v>145.92759999999998</v>
      </c>
      <c r="D959" s="4">
        <f>114.0867 * CHOOSE(CONTROL!$C$9, $C$13, 100%, $E$13) + CHOOSE(CONTROL!$C$28, 0, 0)</f>
        <v>114.08669999999999</v>
      </c>
      <c r="E959" s="4">
        <f>782.451617987646 * CHOOSE(CONTROL!$C$9, $C$13, 100%, $E$13) + CHOOSE(CONTROL!$C$28, 0, 0)</f>
        <v>782.45161798764605</v>
      </c>
    </row>
    <row r="960" spans="1:5" ht="15">
      <c r="A960" s="13">
        <v>71102</v>
      </c>
      <c r="B960" s="4">
        <f>149.6703 * CHOOSE(CONTROL!$C$9, $C$13, 100%, $E$13) + CHOOSE(CONTROL!$C$28, 0.0255, 0)</f>
        <v>149.69579999999999</v>
      </c>
      <c r="C960" s="4">
        <f>149.3578 * CHOOSE(CONTROL!$C$9, $C$13, 100%, $E$13) + CHOOSE(CONTROL!$C$28, 0.0255, 0)</f>
        <v>149.38329999999999</v>
      </c>
      <c r="D960" s="4">
        <f>112.869 * CHOOSE(CONTROL!$C$9, $C$13, 100%, $E$13) + CHOOSE(CONTROL!$C$28, 0, 0)</f>
        <v>112.869</v>
      </c>
      <c r="E960" s="4">
        <f>801.185147816972 * CHOOSE(CONTROL!$C$9, $C$13, 100%, $E$13) + CHOOSE(CONTROL!$C$28, 0, 0)</f>
        <v>801.18514781697195</v>
      </c>
    </row>
    <row r="961" spans="1:5" ht="15">
      <c r="A961" s="13">
        <v>71132</v>
      </c>
      <c r="B961" s="4">
        <f>143.7806 * CHOOSE(CONTROL!$C$9, $C$13, 100%, $E$13) + CHOOSE(CONTROL!$C$28, 0.0255, 0)</f>
        <v>143.80609999999999</v>
      </c>
      <c r="C961" s="4">
        <f>143.4681 * CHOOSE(CONTROL!$C$9, $C$13, 100%, $E$13) + CHOOSE(CONTROL!$C$28, 0.0255, 0)</f>
        <v>143.49359999999999</v>
      </c>
      <c r="D961" s="4">
        <f>112.2937 * CHOOSE(CONTROL!$C$9, $C$13, 100%, $E$13) + CHOOSE(CONTROL!$C$28, 0, 0)</f>
        <v>112.2937</v>
      </c>
      <c r="E961" s="4">
        <f>769.257238174301 * CHOOSE(CONTROL!$C$9, $C$13, 100%, $E$13) + CHOOSE(CONTROL!$C$28, 0, 0)</f>
        <v>769.25723817430105</v>
      </c>
    </row>
    <row r="962" spans="1:5" ht="15">
      <c r="A962" s="13">
        <v>71163</v>
      </c>
      <c r="B962" s="4">
        <f>139.0657 * CHOOSE(CONTROL!$C$9, $C$13, 100%, $E$13) + CHOOSE(CONTROL!$C$28, 0.0003, 0)</f>
        <v>139.066</v>
      </c>
      <c r="C962" s="4">
        <f>138.7532 * CHOOSE(CONTROL!$C$9, $C$13, 100%, $E$13) + CHOOSE(CONTROL!$C$28, 0.0003, 0)</f>
        <v>138.7535</v>
      </c>
      <c r="D962" s="4">
        <f>110.7533 * CHOOSE(CONTROL!$C$9, $C$13, 100%, $E$13) + CHOOSE(CONTROL!$C$28, 0, 0)</f>
        <v>110.7533</v>
      </c>
      <c r="E962" s="4">
        <f>743.698313755996 * CHOOSE(CONTROL!$C$9, $C$13, 100%, $E$13) + CHOOSE(CONTROL!$C$28, 0, 0)</f>
        <v>743.69831375599597</v>
      </c>
    </row>
    <row r="963" spans="1:5" ht="15">
      <c r="A963" s="13">
        <v>71193</v>
      </c>
      <c r="B963" s="4">
        <f>136.029 * CHOOSE(CONTROL!$C$9, $C$13, 100%, $E$13) + CHOOSE(CONTROL!$C$28, 0.0003, 0)</f>
        <v>136.02930000000001</v>
      </c>
      <c r="C963" s="4">
        <f>135.7165 * CHOOSE(CONTROL!$C$9, $C$13, 100%, $E$13) + CHOOSE(CONTROL!$C$28, 0.0003, 0)</f>
        <v>135.71680000000001</v>
      </c>
      <c r="D963" s="4">
        <f>110.2237 * CHOOSE(CONTROL!$C$9, $C$13, 100%, $E$13) + CHOOSE(CONTROL!$C$28, 0, 0)</f>
        <v>110.22369999999999</v>
      </c>
      <c r="E963" s="4">
        <f>727.236457809628 * CHOOSE(CONTROL!$C$9, $C$13, 100%, $E$13) + CHOOSE(CONTROL!$C$28, 0, 0)</f>
        <v>727.23645780962795</v>
      </c>
    </row>
    <row r="964" spans="1:5" ht="15">
      <c r="A964" s="13">
        <v>71224</v>
      </c>
      <c r="B964" s="4">
        <f>133.9279 * CHOOSE(CONTROL!$C$9, $C$13, 100%, $E$13) + CHOOSE(CONTROL!$C$28, 0.0003, 0)</f>
        <v>133.9282</v>
      </c>
      <c r="C964" s="4">
        <f>133.6154 * CHOOSE(CONTROL!$C$9, $C$13, 100%, $E$13) + CHOOSE(CONTROL!$C$28, 0.0003, 0)</f>
        <v>133.6157</v>
      </c>
      <c r="D964" s="4">
        <f>106.3247 * CHOOSE(CONTROL!$C$9, $C$13, 100%, $E$13) + CHOOSE(CONTROL!$C$28, 0, 0)</f>
        <v>106.32470000000001</v>
      </c>
      <c r="E964" s="4">
        <f>715.846969574523 * CHOOSE(CONTROL!$C$9, $C$13, 100%, $E$13) + CHOOSE(CONTROL!$C$28, 0, 0)</f>
        <v>715.84696957452297</v>
      </c>
    </row>
    <row r="965" spans="1:5" ht="15">
      <c r="A965" s="13">
        <v>71255</v>
      </c>
      <c r="B965" s="4">
        <f>130.5142 * CHOOSE(CONTROL!$C$9, $C$13, 100%, $E$13) + CHOOSE(CONTROL!$C$28, 0.0003, 0)</f>
        <v>130.5145</v>
      </c>
      <c r="C965" s="4">
        <f>130.2017 * CHOOSE(CONTROL!$C$9, $C$13, 100%, $E$13) + CHOOSE(CONTROL!$C$28, 0.0003, 0)</f>
        <v>130.202</v>
      </c>
      <c r="D965" s="4">
        <f>102.7412 * CHOOSE(CONTROL!$C$9, $C$13, 100%, $E$13) + CHOOSE(CONTROL!$C$28, 0, 0)</f>
        <v>102.74120000000001</v>
      </c>
      <c r="E965" s="4">
        <f>695.319206362915 * CHOOSE(CONTROL!$C$9, $C$13, 100%, $E$13) + CHOOSE(CONTROL!$C$28, 0, 0)</f>
        <v>695.319206362915</v>
      </c>
    </row>
    <row r="966" spans="1:5" ht="15">
      <c r="A966" s="13">
        <v>71283</v>
      </c>
      <c r="B966" s="4">
        <f>133.5686 * CHOOSE(CONTROL!$C$9, $C$13, 100%, $E$13) + CHOOSE(CONTROL!$C$28, 0.0003, 0)</f>
        <v>133.56890000000001</v>
      </c>
      <c r="C966" s="4">
        <f>133.2561 * CHOOSE(CONTROL!$C$9, $C$13, 100%, $E$13) + CHOOSE(CONTROL!$C$28, 0.0003, 0)</f>
        <v>133.25640000000001</v>
      </c>
      <c r="D966" s="4">
        <f>106.3498 * CHOOSE(CONTROL!$C$9, $C$13, 100%, $E$13) + CHOOSE(CONTROL!$C$28, 0, 0)</f>
        <v>106.3498</v>
      </c>
      <c r="E966" s="4">
        <f>711.828824511995 * CHOOSE(CONTROL!$C$9, $C$13, 100%, $E$13) + CHOOSE(CONTROL!$C$28, 0, 0)</f>
        <v>711.82882451199498</v>
      </c>
    </row>
    <row r="967" spans="1:5" ht="15">
      <c r="A967" s="13">
        <v>71314</v>
      </c>
      <c r="B967" s="4">
        <f>141.5896 * CHOOSE(CONTROL!$C$9, $C$13, 100%, $E$13) + CHOOSE(CONTROL!$C$28, 0.0003, 0)</f>
        <v>141.5899</v>
      </c>
      <c r="C967" s="4">
        <f>141.2771 * CHOOSE(CONTROL!$C$9, $C$13, 100%, $E$13) + CHOOSE(CONTROL!$C$28, 0.0003, 0)</f>
        <v>141.2774</v>
      </c>
      <c r="D967" s="4">
        <f>111.9988 * CHOOSE(CONTROL!$C$9, $C$13, 100%, $E$13) + CHOOSE(CONTROL!$C$28, 0, 0)</f>
        <v>111.9988</v>
      </c>
      <c r="E967" s="4">
        <f>755.183959145873 * CHOOSE(CONTROL!$C$9, $C$13, 100%, $E$13) + CHOOSE(CONTROL!$C$28, 0, 0)</f>
        <v>755.18395914587302</v>
      </c>
    </row>
    <row r="968" spans="1:5" ht="15">
      <c r="A968" s="13">
        <v>71344</v>
      </c>
      <c r="B968" s="4">
        <f>147.2887 * CHOOSE(CONTROL!$C$9, $C$13, 100%, $E$13) + CHOOSE(CONTROL!$C$28, 0.0003, 0)</f>
        <v>147.28900000000002</v>
      </c>
      <c r="C968" s="4">
        <f>146.9762 * CHOOSE(CONTROL!$C$9, $C$13, 100%, $E$13) + CHOOSE(CONTROL!$C$28, 0.0003, 0)</f>
        <v>146.97650000000002</v>
      </c>
      <c r="D968" s="4">
        <f>115.2528 * CHOOSE(CONTROL!$C$9, $C$13, 100%, $E$13) + CHOOSE(CONTROL!$C$28, 0, 0)</f>
        <v>115.25279999999999</v>
      </c>
      <c r="E968" s="4">
        <f>785.98836008638 * CHOOSE(CONTROL!$C$9, $C$13, 100%, $E$13) + CHOOSE(CONTROL!$C$28, 0, 0)</f>
        <v>785.98836008638</v>
      </c>
    </row>
    <row r="969" spans="1:5" ht="15">
      <c r="A969" s="13">
        <v>71375</v>
      </c>
      <c r="B969" s="4">
        <f>150.7707 * CHOOSE(CONTROL!$C$9, $C$13, 100%, $E$13) + CHOOSE(CONTROL!$C$28, 0.0255, 0)</f>
        <v>150.7962</v>
      </c>
      <c r="C969" s="4">
        <f>150.4582 * CHOOSE(CONTROL!$C$9, $C$13, 100%, $E$13) + CHOOSE(CONTROL!$C$28, 0.0255, 0)</f>
        <v>150.4837</v>
      </c>
      <c r="D969" s="4">
        <f>113.967 * CHOOSE(CONTROL!$C$9, $C$13, 100%, $E$13) + CHOOSE(CONTROL!$C$28, 0, 0)</f>
        <v>113.967</v>
      </c>
      <c r="E969" s="4">
        <f>804.809110782576 * CHOOSE(CONTROL!$C$9, $C$13, 100%, $E$13) + CHOOSE(CONTROL!$C$28, 0, 0)</f>
        <v>804.809110782576</v>
      </c>
    </row>
    <row r="970" spans="1:5" ht="15">
      <c r="A970" s="13">
        <v>71405</v>
      </c>
      <c r="B970" s="4">
        <f>151.2418 * CHOOSE(CONTROL!$C$9, $C$13, 100%, $E$13) + CHOOSE(CONTROL!$C$28, 0.0255, 0)</f>
        <v>151.26730000000001</v>
      </c>
      <c r="C970" s="4">
        <f>150.9293 * CHOOSE(CONTROL!$C$9, $C$13, 100%, $E$13) + CHOOSE(CONTROL!$C$28, 0.0255, 0)</f>
        <v>150.95480000000001</v>
      </c>
      <c r="D970" s="4">
        <f>115.0142 * CHOOSE(CONTROL!$C$9, $C$13, 100%, $E$13) + CHOOSE(CONTROL!$C$28, 0, 0)</f>
        <v>115.0142</v>
      </c>
      <c r="E970" s="4">
        <f>807.355636459492 * CHOOSE(CONTROL!$C$9, $C$13, 100%, $E$13) + CHOOSE(CONTROL!$C$28, 0, 0)</f>
        <v>807.35563645949196</v>
      </c>
    </row>
    <row r="971" spans="1:5" ht="15">
      <c r="A971" s="13">
        <v>71436</v>
      </c>
      <c r="B971" s="4">
        <f>151.1943 * CHOOSE(CONTROL!$C$9, $C$13, 100%, $E$13) + CHOOSE(CONTROL!$C$28, 0.0255, 0)</f>
        <v>151.21979999999999</v>
      </c>
      <c r="C971" s="4">
        <f>150.8818 * CHOOSE(CONTROL!$C$9, $C$13, 100%, $E$13) + CHOOSE(CONTROL!$C$28, 0.0255, 0)</f>
        <v>150.90729999999999</v>
      </c>
      <c r="D971" s="4">
        <f>116.9037 * CHOOSE(CONTROL!$C$9, $C$13, 100%, $E$13) + CHOOSE(CONTROL!$C$28, 0, 0)</f>
        <v>116.9037</v>
      </c>
      <c r="E971" s="4">
        <f>807.098843954257 * CHOOSE(CONTROL!$C$9, $C$13, 100%, $E$13) + CHOOSE(CONTROL!$C$28, 0, 0)</f>
        <v>807.09884395425695</v>
      </c>
    </row>
    <row r="972" spans="1:5" ht="15">
      <c r="A972" s="13">
        <v>71467</v>
      </c>
      <c r="B972" s="4">
        <f>154.7693 * CHOOSE(CONTROL!$C$9, $C$13, 100%, $E$13) + CHOOSE(CONTROL!$C$28, 0.0255, 0)</f>
        <v>154.79479999999998</v>
      </c>
      <c r="C972" s="4">
        <f>154.4568 * CHOOSE(CONTROL!$C$9, $C$13, 100%, $E$13) + CHOOSE(CONTROL!$C$28, 0.0255, 0)</f>
        <v>154.48229999999998</v>
      </c>
      <c r="D972" s="4">
        <f>115.6558 * CHOOSE(CONTROL!$C$9, $C$13, 100%, $E$13) + CHOOSE(CONTROL!$C$28, 0, 0)</f>
        <v>115.6558</v>
      </c>
      <c r="E972" s="4">
        <f>826.422479973206 * CHOOSE(CONTROL!$C$9, $C$13, 100%, $E$13) + CHOOSE(CONTROL!$C$28, 0, 0)</f>
        <v>826.42247997320601</v>
      </c>
    </row>
    <row r="973" spans="1:5" ht="15">
      <c r="A973" s="13">
        <v>71497</v>
      </c>
      <c r="B973" s="4">
        <f>148.6763 * CHOOSE(CONTROL!$C$9, $C$13, 100%, $E$13) + CHOOSE(CONTROL!$C$28, 0.0255, 0)</f>
        <v>148.70179999999999</v>
      </c>
      <c r="C973" s="4">
        <f>148.3638 * CHOOSE(CONTROL!$C$9, $C$13, 100%, $E$13) + CHOOSE(CONTROL!$C$28, 0.0255, 0)</f>
        <v>148.38929999999999</v>
      </c>
      <c r="D973" s="4">
        <f>115.0663 * CHOOSE(CONTROL!$C$9, $C$13, 100%, $E$13) + CHOOSE(CONTROL!$C$28, 0, 0)</f>
        <v>115.0663</v>
      </c>
      <c r="E973" s="4">
        <f>793.488841176791 * CHOOSE(CONTROL!$C$9, $C$13, 100%, $E$13) + CHOOSE(CONTROL!$C$28, 0, 0)</f>
        <v>793.48884117679097</v>
      </c>
    </row>
    <row r="974" spans="1:5" ht="15">
      <c r="A974" s="13">
        <v>71528</v>
      </c>
      <c r="B974" s="4">
        <f>143.7988 * CHOOSE(CONTROL!$C$9, $C$13, 100%, $E$13) + CHOOSE(CONTROL!$C$28, 0.0003, 0)</f>
        <v>143.79910000000001</v>
      </c>
      <c r="C974" s="4">
        <f>143.4863 * CHOOSE(CONTROL!$C$9, $C$13, 100%, $E$13) + CHOOSE(CONTROL!$C$28, 0.0003, 0)</f>
        <v>143.48660000000001</v>
      </c>
      <c r="D974" s="4">
        <f>113.4876 * CHOOSE(CONTROL!$C$9, $C$13, 100%, $E$13) + CHOOSE(CONTROL!$C$28, 0, 0)</f>
        <v>113.4876</v>
      </c>
      <c r="E974" s="4">
        <f>767.12481063931 * CHOOSE(CONTROL!$C$9, $C$13, 100%, $E$13) + CHOOSE(CONTROL!$C$28, 0, 0)</f>
        <v>767.12481063931</v>
      </c>
    </row>
    <row r="975" spans="1:5" ht="15">
      <c r="A975" s="13">
        <v>71558</v>
      </c>
      <c r="B975" s="4">
        <f>140.6573 * CHOOSE(CONTROL!$C$9, $C$13, 100%, $E$13) + CHOOSE(CONTROL!$C$28, 0.0003, 0)</f>
        <v>140.6576</v>
      </c>
      <c r="C975" s="4">
        <f>140.3448 * CHOOSE(CONTROL!$C$9, $C$13, 100%, $E$13) + CHOOSE(CONTROL!$C$28, 0.0003, 0)</f>
        <v>140.3451</v>
      </c>
      <c r="D975" s="4">
        <f>112.9449 * CHOOSE(CONTROL!$C$9, $C$13, 100%, $E$13) + CHOOSE(CONTROL!$C$28, 0, 0)</f>
        <v>112.9449</v>
      </c>
      <c r="E975" s="4">
        <f>750.144406230632 * CHOOSE(CONTROL!$C$9, $C$13, 100%, $E$13) + CHOOSE(CONTROL!$C$28, 0, 0)</f>
        <v>750.14440623063194</v>
      </c>
    </row>
    <row r="976" spans="1:5" ht="15">
      <c r="A976" s="13">
        <v>71589</v>
      </c>
      <c r="B976" s="4">
        <f>138.4838 * CHOOSE(CONTROL!$C$9, $C$13, 100%, $E$13) + CHOOSE(CONTROL!$C$28, 0.0003, 0)</f>
        <v>138.48410000000001</v>
      </c>
      <c r="C976" s="4">
        <f>138.1713 * CHOOSE(CONTROL!$C$9, $C$13, 100%, $E$13) + CHOOSE(CONTROL!$C$28, 0.0003, 0)</f>
        <v>138.17160000000001</v>
      </c>
      <c r="D976" s="4">
        <f>108.9492 * CHOOSE(CONTROL!$C$9, $C$13, 100%, $E$13) + CHOOSE(CONTROL!$C$28, 0, 0)</f>
        <v>108.9492</v>
      </c>
      <c r="E976" s="4">
        <f>738.396149116121 * CHOOSE(CONTROL!$C$9, $C$13, 100%, $E$13) + CHOOSE(CONTROL!$C$28, 0, 0)</f>
        <v>738.39614911612102</v>
      </c>
    </row>
    <row r="977" spans="1:5" ht="15">
      <c r="A977" s="13">
        <v>71620</v>
      </c>
      <c r="B977" s="4">
        <f>134.9523 * CHOOSE(CONTROL!$C$9, $C$13, 100%, $E$13) + CHOOSE(CONTROL!$C$28, 0.0003, 0)</f>
        <v>134.95260000000002</v>
      </c>
      <c r="C977" s="4">
        <f>134.6398 * CHOOSE(CONTROL!$C$9, $C$13, 100%, $E$13) + CHOOSE(CONTROL!$C$28, 0.0003, 0)</f>
        <v>134.64010000000002</v>
      </c>
      <c r="D977" s="4">
        <f>105.2769 * CHOOSE(CONTROL!$C$9, $C$13, 100%, $E$13) + CHOOSE(CONTROL!$C$28, 0, 0)</f>
        <v>105.2769</v>
      </c>
      <c r="E977" s="4">
        <f>717.221761363347 * CHOOSE(CONTROL!$C$9, $C$13, 100%, $E$13) + CHOOSE(CONTROL!$C$28, 0, 0)</f>
        <v>717.22176136334701</v>
      </c>
    </row>
    <row r="978" spans="1:5" ht="15">
      <c r="A978" s="13">
        <v>71649</v>
      </c>
      <c r="B978" s="4">
        <f>138.112 * CHOOSE(CONTROL!$C$9, $C$13, 100%, $E$13) + CHOOSE(CONTROL!$C$28, 0.0003, 0)</f>
        <v>138.1123</v>
      </c>
      <c r="C978" s="4">
        <f>137.7995 * CHOOSE(CONTROL!$C$9, $C$13, 100%, $E$13) + CHOOSE(CONTROL!$C$28, 0.0003, 0)</f>
        <v>137.7998</v>
      </c>
      <c r="D978" s="4">
        <f>108.975 * CHOOSE(CONTROL!$C$9, $C$13, 100%, $E$13) + CHOOSE(CONTROL!$C$28, 0, 0)</f>
        <v>108.97499999999999</v>
      </c>
      <c r="E978" s="4">
        <f>734.251432484123 * CHOOSE(CONTROL!$C$9, $C$13, 100%, $E$13) + CHOOSE(CONTROL!$C$28, 0, 0)</f>
        <v>734.25143248412303</v>
      </c>
    </row>
    <row r="979" spans="1:5" ht="15">
      <c r="A979" s="13">
        <v>71680</v>
      </c>
      <c r="B979" s="4">
        <f>146.4098 * CHOOSE(CONTROL!$C$9, $C$13, 100%, $E$13) + CHOOSE(CONTROL!$C$28, 0.0003, 0)</f>
        <v>146.4101</v>
      </c>
      <c r="C979" s="4">
        <f>146.0973 * CHOOSE(CONTROL!$C$9, $C$13, 100%, $E$13) + CHOOSE(CONTROL!$C$28, 0.0003, 0)</f>
        <v>146.0976</v>
      </c>
      <c r="D979" s="4">
        <f>114.764 * CHOOSE(CONTROL!$C$9, $C$13, 100%, $E$13) + CHOOSE(CONTROL!$C$28, 0, 0)</f>
        <v>114.764</v>
      </c>
      <c r="E979" s="4">
        <f>778.972253858968 * CHOOSE(CONTROL!$C$9, $C$13, 100%, $E$13) + CHOOSE(CONTROL!$C$28, 0, 0)</f>
        <v>778.97225385896797</v>
      </c>
    </row>
    <row r="980" spans="1:5" ht="15">
      <c r="A980" s="13">
        <v>71710</v>
      </c>
      <c r="B980" s="4">
        <f>152.3054 * CHOOSE(CONTROL!$C$9, $C$13, 100%, $E$13) + CHOOSE(CONTROL!$C$28, 0.0003, 0)</f>
        <v>152.3057</v>
      </c>
      <c r="C980" s="4">
        <f>151.9929 * CHOOSE(CONTROL!$C$9, $C$13, 100%, $E$13) + CHOOSE(CONTROL!$C$28, 0.0003, 0)</f>
        <v>151.9932</v>
      </c>
      <c r="D980" s="4">
        <f>118.0987 * CHOOSE(CONTROL!$C$9, $C$13, 100%, $E$13) + CHOOSE(CONTROL!$C$28, 0, 0)</f>
        <v>118.09869999999999</v>
      </c>
      <c r="E980" s="4">
        <f>810.7469934291 * CHOOSE(CONTROL!$C$9, $C$13, 100%, $E$13) + CHOOSE(CONTROL!$C$28, 0, 0)</f>
        <v>810.74699342910003</v>
      </c>
    </row>
    <row r="981" spans="1:5" ht="15">
      <c r="A981" s="13">
        <v>71741</v>
      </c>
      <c r="B981" s="4">
        <f>155.9076 * CHOOSE(CONTROL!$C$9, $C$13, 100%, $E$13) + CHOOSE(CONTROL!$C$28, 0.0255, 0)</f>
        <v>155.9331</v>
      </c>
      <c r="C981" s="4">
        <f>155.5951 * CHOOSE(CONTROL!$C$9, $C$13, 100%, $E$13) + CHOOSE(CONTROL!$C$28, 0.0255, 0)</f>
        <v>155.6206</v>
      </c>
      <c r="D981" s="4">
        <f>116.781 * CHOOSE(CONTROL!$C$9, $C$13, 100%, $E$13) + CHOOSE(CONTROL!$C$28, 0, 0)</f>
        <v>116.78100000000001</v>
      </c>
      <c r="E981" s="4">
        <f>830.160597772228 * CHOOSE(CONTROL!$C$9, $C$13, 100%, $E$13) + CHOOSE(CONTROL!$C$28, 0, 0)</f>
        <v>830.16059777222802</v>
      </c>
    </row>
    <row r="982" spans="1:5" ht="15">
      <c r="A982" s="13">
        <v>71771</v>
      </c>
      <c r="B982" s="4">
        <f>156.3949 * CHOOSE(CONTROL!$C$9, $C$13, 100%, $E$13) + CHOOSE(CONTROL!$C$28, 0.0255, 0)</f>
        <v>156.4204</v>
      </c>
      <c r="C982" s="4">
        <f>156.0824 * CHOOSE(CONTROL!$C$9, $C$13, 100%, $E$13) + CHOOSE(CONTROL!$C$28, 0.0255, 0)</f>
        <v>156.1079</v>
      </c>
      <c r="D982" s="4">
        <f>117.8542 * CHOOSE(CONTROL!$C$9, $C$13, 100%, $E$13) + CHOOSE(CONTROL!$C$28, 0, 0)</f>
        <v>117.85420000000001</v>
      </c>
      <c r="E982" s="4">
        <f>832.787339007966 * CHOOSE(CONTROL!$C$9, $C$13, 100%, $E$13) + CHOOSE(CONTROL!$C$28, 0, 0)</f>
        <v>832.78733900796601</v>
      </c>
    </row>
    <row r="983" spans="1:5" ht="15">
      <c r="A983" s="13">
        <v>71802</v>
      </c>
      <c r="B983" s="4">
        <f>156.3458 * CHOOSE(CONTROL!$C$9, $C$13, 100%, $E$13) + CHOOSE(CONTROL!$C$28, 0.0255, 0)</f>
        <v>156.37129999999999</v>
      </c>
      <c r="C983" s="4">
        <f>156.0333 * CHOOSE(CONTROL!$C$9, $C$13, 100%, $E$13) + CHOOSE(CONTROL!$C$28, 0.0255, 0)</f>
        <v>156.05879999999999</v>
      </c>
      <c r="D983" s="4">
        <f>119.7906 * CHOOSE(CONTROL!$C$9, $C$13, 100%, $E$13) + CHOOSE(CONTROL!$C$28, 0, 0)</f>
        <v>119.7906</v>
      </c>
      <c r="E983" s="4">
        <f>832.522457538816 * CHOOSE(CONTROL!$C$9, $C$13, 100%, $E$13) + CHOOSE(CONTROL!$C$28, 0, 0)</f>
        <v>832.52245753881596</v>
      </c>
    </row>
    <row r="984" spans="1:5" ht="15">
      <c r="A984" s="13">
        <v>71833</v>
      </c>
      <c r="B984" s="4">
        <f>160.0441 * CHOOSE(CONTROL!$C$9, $C$13, 100%, $E$13) + CHOOSE(CONTROL!$C$28, 0.0255, 0)</f>
        <v>160.06959999999998</v>
      </c>
      <c r="C984" s="4">
        <f>159.7316 * CHOOSE(CONTROL!$C$9, $C$13, 100%, $E$13) + CHOOSE(CONTROL!$C$28, 0.0255, 0)</f>
        <v>159.75709999999998</v>
      </c>
      <c r="D984" s="4">
        <f>118.5118 * CHOOSE(CONTROL!$C$9, $C$13, 100%, $E$13) + CHOOSE(CONTROL!$C$28, 0, 0)</f>
        <v>118.51179999999999</v>
      </c>
      <c r="E984" s="4">
        <f>852.454788092362 * CHOOSE(CONTROL!$C$9, $C$13, 100%, $E$13) + CHOOSE(CONTROL!$C$28, 0, 0)</f>
        <v>852.45478809236204</v>
      </c>
    </row>
    <row r="985" spans="1:5" ht="15">
      <c r="A985" s="13">
        <v>71863</v>
      </c>
      <c r="B985" s="4">
        <f>153.741 * CHOOSE(CONTROL!$C$9, $C$13, 100%, $E$13) + CHOOSE(CONTROL!$C$28, 0.0255, 0)</f>
        <v>153.76650000000001</v>
      </c>
      <c r="C985" s="4">
        <f>153.4285 * CHOOSE(CONTROL!$C$9, $C$13, 100%, $E$13) + CHOOSE(CONTROL!$C$28, 0.0255, 0)</f>
        <v>153.45400000000001</v>
      </c>
      <c r="D985" s="4">
        <f>117.9076 * CHOOSE(CONTROL!$C$9, $C$13, 100%, $E$13) + CHOOSE(CONTROL!$C$28, 0, 0)</f>
        <v>117.9076</v>
      </c>
      <c r="E985" s="4">
        <f>818.48373967386 * CHOOSE(CONTROL!$C$9, $C$13, 100%, $E$13) + CHOOSE(CONTROL!$C$28, 0, 0)</f>
        <v>818.48373967385999</v>
      </c>
    </row>
    <row r="986" spans="1:5" ht="15">
      <c r="A986" s="13">
        <v>71894</v>
      </c>
      <c r="B986" s="4">
        <f>148.6951 * CHOOSE(CONTROL!$C$9, $C$13, 100%, $E$13) + CHOOSE(CONTROL!$C$28, 0.0003, 0)</f>
        <v>148.69540000000001</v>
      </c>
      <c r="C986" s="4">
        <f>148.3826 * CHOOSE(CONTROL!$C$9, $C$13, 100%, $E$13) + CHOOSE(CONTROL!$C$28, 0.0003, 0)</f>
        <v>148.38290000000001</v>
      </c>
      <c r="D986" s="4">
        <f>116.2898 * CHOOSE(CONTROL!$C$9, $C$13, 100%, $E$13) + CHOOSE(CONTROL!$C$28, 0, 0)</f>
        <v>116.2898</v>
      </c>
      <c r="E986" s="4">
        <f>791.289242174448 * CHOOSE(CONTROL!$C$9, $C$13, 100%, $E$13) + CHOOSE(CONTROL!$C$28, 0, 0)</f>
        <v>791.28924217444796</v>
      </c>
    </row>
    <row r="987" spans="1:5" ht="15">
      <c r="A987" s="13">
        <v>71924</v>
      </c>
      <c r="B987" s="4">
        <f>145.4453 * CHOOSE(CONTROL!$C$9, $C$13, 100%, $E$13) + CHOOSE(CONTROL!$C$28, 0.0003, 0)</f>
        <v>145.44560000000001</v>
      </c>
      <c r="C987" s="4">
        <f>145.1328 * CHOOSE(CONTROL!$C$9, $C$13, 100%, $E$13) + CHOOSE(CONTROL!$C$28, 0.0003, 0)</f>
        <v>145.13310000000001</v>
      </c>
      <c r="D987" s="4">
        <f>115.7336 * CHOOSE(CONTROL!$C$9, $C$13, 100%, $E$13) + CHOOSE(CONTROL!$C$28, 0, 0)</f>
        <v>115.7336</v>
      </c>
      <c r="E987" s="4">
        <f>773.773955026896 * CHOOSE(CONTROL!$C$9, $C$13, 100%, $E$13) + CHOOSE(CONTROL!$C$28, 0, 0)</f>
        <v>773.77395502689603</v>
      </c>
    </row>
    <row r="988" spans="1:5" ht="15">
      <c r="A988" s="13">
        <v>71955</v>
      </c>
      <c r="B988" s="4">
        <f>143.1968 * CHOOSE(CONTROL!$C$9, $C$13, 100%, $E$13) + CHOOSE(CONTROL!$C$28, 0.0003, 0)</f>
        <v>143.19710000000001</v>
      </c>
      <c r="C988" s="4">
        <f>142.8843 * CHOOSE(CONTROL!$C$9, $C$13, 100%, $E$13) + CHOOSE(CONTROL!$C$28, 0.0003, 0)</f>
        <v>142.88460000000001</v>
      </c>
      <c r="D988" s="4">
        <f>111.6388 * CHOOSE(CONTROL!$C$9, $C$13, 100%, $E$13) + CHOOSE(CONTROL!$C$28, 0, 0)</f>
        <v>111.6388</v>
      </c>
      <c r="E988" s="4">
        <f>761.655627813279 * CHOOSE(CONTROL!$C$9, $C$13, 100%, $E$13) + CHOOSE(CONTROL!$C$28, 0, 0)</f>
        <v>761.65562781327901</v>
      </c>
    </row>
    <row r="989" spans="1:5" ht="15">
      <c r="A989" s="13">
        <v>71986</v>
      </c>
      <c r="B989" s="4">
        <f>139.5434 * CHOOSE(CONTROL!$C$9, $C$13, 100%, $E$13) + CHOOSE(CONTROL!$C$28, 0.0003, 0)</f>
        <v>139.5437</v>
      </c>
      <c r="C989" s="4">
        <f>139.2309 * CHOOSE(CONTROL!$C$9, $C$13, 100%, $E$13) + CHOOSE(CONTROL!$C$28, 0.0003, 0)</f>
        <v>139.2312</v>
      </c>
      <c r="D989" s="4">
        <f>107.8754 * CHOOSE(CONTROL!$C$9, $C$13, 100%, $E$13) + CHOOSE(CONTROL!$C$28, 0, 0)</f>
        <v>107.8754</v>
      </c>
      <c r="E989" s="4">
        <f>739.814246846292 * CHOOSE(CONTROL!$C$9, $C$13, 100%, $E$13) + CHOOSE(CONTROL!$C$28, 0, 0)</f>
        <v>739.81424684629201</v>
      </c>
    </row>
    <row r="990" spans="1:5" ht="15">
      <c r="A990" s="13">
        <v>72014</v>
      </c>
      <c r="B990" s="4">
        <f>142.8122 * CHOOSE(CONTROL!$C$9, $C$13, 100%, $E$13) + CHOOSE(CONTROL!$C$28, 0.0003, 0)</f>
        <v>142.8125</v>
      </c>
      <c r="C990" s="4">
        <f>142.4997 * CHOOSE(CONTROL!$C$9, $C$13, 100%, $E$13) + CHOOSE(CONTROL!$C$28, 0.0003, 0)</f>
        <v>142.5</v>
      </c>
      <c r="D990" s="4">
        <f>111.6652 * CHOOSE(CONTROL!$C$9, $C$13, 100%, $E$13) + CHOOSE(CONTROL!$C$28, 0, 0)</f>
        <v>111.6652</v>
      </c>
      <c r="E990" s="4">
        <f>757.380352607373 * CHOOSE(CONTROL!$C$9, $C$13, 100%, $E$13) + CHOOSE(CONTROL!$C$28, 0, 0)</f>
        <v>757.38035260737297</v>
      </c>
    </row>
    <row r="991" spans="1:5" ht="15">
      <c r="A991" s="13">
        <v>72045</v>
      </c>
      <c r="B991" s="4">
        <f>151.3962 * CHOOSE(CONTROL!$C$9, $C$13, 100%, $E$13) + CHOOSE(CONTROL!$C$28, 0.0003, 0)</f>
        <v>151.3965</v>
      </c>
      <c r="C991" s="4">
        <f>151.0837 * CHOOSE(CONTROL!$C$9, $C$13, 100%, $E$13) + CHOOSE(CONTROL!$C$28, 0.0003, 0)</f>
        <v>151.084</v>
      </c>
      <c r="D991" s="4">
        <f>117.5979 * CHOOSE(CONTROL!$C$9, $C$13, 100%, $E$13) + CHOOSE(CONTROL!$C$28, 0, 0)</f>
        <v>117.5979</v>
      </c>
      <c r="E991" s="4">
        <f>803.509879855525 * CHOOSE(CONTROL!$C$9, $C$13, 100%, $E$13) + CHOOSE(CONTROL!$C$28, 0, 0)</f>
        <v>803.50987985552501</v>
      </c>
    </row>
    <row r="992" spans="1:5" ht="15">
      <c r="A992" s="13">
        <v>72075</v>
      </c>
      <c r="B992" s="4">
        <f>157.4953 * CHOOSE(CONTROL!$C$9, $C$13, 100%, $E$13) + CHOOSE(CONTROL!$C$28, 0.0003, 0)</f>
        <v>157.4956</v>
      </c>
      <c r="C992" s="4">
        <f>157.1828 * CHOOSE(CONTROL!$C$9, $C$13, 100%, $E$13) + CHOOSE(CONTROL!$C$28, 0.0003, 0)</f>
        <v>157.1831</v>
      </c>
      <c r="D992" s="4">
        <f>121.0153 * CHOOSE(CONTROL!$C$9, $C$13, 100%, $E$13) + CHOOSE(CONTROL!$C$28, 0, 0)</f>
        <v>121.0153</v>
      </c>
      <c r="E992" s="4">
        <f>836.285523722117 * CHOOSE(CONTROL!$C$9, $C$13, 100%, $E$13) + CHOOSE(CONTROL!$C$28, 0, 0)</f>
        <v>836.28552372211698</v>
      </c>
    </row>
    <row r="993" spans="1:5" ht="15">
      <c r="A993" s="13">
        <v>72106</v>
      </c>
      <c r="B993" s="4">
        <f>161.2217 * CHOOSE(CONTROL!$C$9, $C$13, 100%, $E$13) + CHOOSE(CONTROL!$C$28, 0.0255, 0)</f>
        <v>161.24719999999999</v>
      </c>
      <c r="C993" s="4">
        <f>160.9092 * CHOOSE(CONTROL!$C$9, $C$13, 100%, $E$13) + CHOOSE(CONTROL!$C$28, 0.0255, 0)</f>
        <v>160.93469999999999</v>
      </c>
      <c r="D993" s="4">
        <f>119.6649 * CHOOSE(CONTROL!$C$9, $C$13, 100%, $E$13) + CHOOSE(CONTROL!$C$28, 0, 0)</f>
        <v>119.6649</v>
      </c>
      <c r="E993" s="4">
        <f>856.310656602053 * CHOOSE(CONTROL!$C$9, $C$13, 100%, $E$13) + CHOOSE(CONTROL!$C$28, 0, 0)</f>
        <v>856.31065660205297</v>
      </c>
    </row>
    <row r="994" spans="1:5" ht="15">
      <c r="A994" s="13">
        <v>72136</v>
      </c>
      <c r="B994" s="4">
        <f>161.7259 * CHOOSE(CONTROL!$C$9, $C$13, 100%, $E$13) + CHOOSE(CONTROL!$C$28, 0.0255, 0)</f>
        <v>161.75139999999999</v>
      </c>
      <c r="C994" s="4">
        <f>161.4134 * CHOOSE(CONTROL!$C$9, $C$13, 100%, $E$13) + CHOOSE(CONTROL!$C$28, 0.0255, 0)</f>
        <v>161.43889999999999</v>
      </c>
      <c r="D994" s="4">
        <f>120.7647 * CHOOSE(CONTROL!$C$9, $C$13, 100%, $E$13) + CHOOSE(CONTROL!$C$28, 0, 0)</f>
        <v>120.7647</v>
      </c>
      <c r="E994" s="4">
        <f>859.020140186717 * CHOOSE(CONTROL!$C$9, $C$13, 100%, $E$13) + CHOOSE(CONTROL!$C$28, 0, 0)</f>
        <v>859.02014018671696</v>
      </c>
    </row>
    <row r="995" spans="1:5" ht="15">
      <c r="A995" s="13">
        <v>72167</v>
      </c>
      <c r="B995" s="4">
        <f>161.675 * CHOOSE(CONTROL!$C$9, $C$13, 100%, $E$13) + CHOOSE(CONTROL!$C$28, 0.0255, 0)</f>
        <v>161.70050000000001</v>
      </c>
      <c r="C995" s="4">
        <f>161.3625 * CHOOSE(CONTROL!$C$9, $C$13, 100%, $E$13) + CHOOSE(CONTROL!$C$28, 0.0255, 0)</f>
        <v>161.38800000000001</v>
      </c>
      <c r="D995" s="4">
        <f>122.7491 * CHOOSE(CONTROL!$C$9, $C$13, 100%, $E$13) + CHOOSE(CONTROL!$C$28, 0, 0)</f>
        <v>122.7491</v>
      </c>
      <c r="E995" s="4">
        <f>858.746914951289 * CHOOSE(CONTROL!$C$9, $C$13, 100%, $E$13) + CHOOSE(CONTROL!$C$28, 0, 0)</f>
        <v>858.746914951289</v>
      </c>
    </row>
    <row r="996" spans="1:5" ht="15">
      <c r="A996" s="13">
        <v>72198</v>
      </c>
      <c r="B996" s="4">
        <f>165.501 * CHOOSE(CONTROL!$C$9, $C$13, 100%, $E$13) + CHOOSE(CONTROL!$C$28, 0.0255, 0)</f>
        <v>165.5265</v>
      </c>
      <c r="C996" s="4">
        <f>165.1885 * CHOOSE(CONTROL!$C$9, $C$13, 100%, $E$13) + CHOOSE(CONTROL!$C$28, 0.0255, 0)</f>
        <v>165.214</v>
      </c>
      <c r="D996" s="4">
        <f>121.4386 * CHOOSE(CONTROL!$C$9, $C$13, 100%, $E$13) + CHOOSE(CONTROL!$C$28, 0, 0)</f>
        <v>121.43859999999999</v>
      </c>
      <c r="E996" s="4">
        <f>879.307113917272 * CHOOSE(CONTROL!$C$9, $C$13, 100%, $E$13) + CHOOSE(CONTROL!$C$28, 0, 0)</f>
        <v>879.30711391727198</v>
      </c>
    </row>
    <row r="997" spans="1:5" ht="15">
      <c r="A997" s="13">
        <v>72228</v>
      </c>
      <c r="B997" s="4">
        <f>158.9803 * CHOOSE(CONTROL!$C$9, $C$13, 100%, $E$13) + CHOOSE(CONTROL!$C$28, 0.0255, 0)</f>
        <v>159.00579999999999</v>
      </c>
      <c r="C997" s="4">
        <f>158.6678 * CHOOSE(CONTROL!$C$9, $C$13, 100%, $E$13) + CHOOSE(CONTROL!$C$28, 0.0255, 0)</f>
        <v>158.69329999999999</v>
      </c>
      <c r="D997" s="4">
        <f>120.8194 * CHOOSE(CONTROL!$C$9, $C$13, 100%, $E$13) + CHOOSE(CONTROL!$C$28, 0, 0)</f>
        <v>120.8194</v>
      </c>
      <c r="E997" s="4">
        <f>844.265977473587 * CHOOSE(CONTROL!$C$9, $C$13, 100%, $E$13) + CHOOSE(CONTROL!$C$28, 0, 0)</f>
        <v>844.26597747358699</v>
      </c>
    </row>
    <row r="998" spans="1:5" ht="15">
      <c r="A998" s="13">
        <v>72259</v>
      </c>
      <c r="B998" s="4">
        <f>153.7604 * CHOOSE(CONTROL!$C$9, $C$13, 100%, $E$13) + CHOOSE(CONTROL!$C$28, 0.0003, 0)</f>
        <v>153.76070000000001</v>
      </c>
      <c r="C998" s="4">
        <f>153.4479 * CHOOSE(CONTROL!$C$9, $C$13, 100%, $E$13) + CHOOSE(CONTROL!$C$28, 0.0003, 0)</f>
        <v>153.44820000000001</v>
      </c>
      <c r="D998" s="4">
        <f>119.1615 * CHOOSE(CONTROL!$C$9, $C$13, 100%, $E$13) + CHOOSE(CONTROL!$C$28, 0, 0)</f>
        <v>119.1615</v>
      </c>
      <c r="E998" s="4">
        <f>816.214853302943 * CHOOSE(CONTROL!$C$9, $C$13, 100%, $E$13) + CHOOSE(CONTROL!$C$28, 0, 0)</f>
        <v>816.21485330294297</v>
      </c>
    </row>
    <row r="999" spans="1:5" ht="15">
      <c r="A999" s="13">
        <v>72289</v>
      </c>
      <c r="B999" s="4">
        <f>150.3984 * CHOOSE(CONTROL!$C$9, $C$13, 100%, $E$13) + CHOOSE(CONTROL!$C$28, 0.0003, 0)</f>
        <v>150.39870000000002</v>
      </c>
      <c r="C999" s="4">
        <f>150.0859 * CHOOSE(CONTROL!$C$9, $C$13, 100%, $E$13) + CHOOSE(CONTROL!$C$28, 0.0003, 0)</f>
        <v>150.08620000000002</v>
      </c>
      <c r="D999" s="4">
        <f>118.5915 * CHOOSE(CONTROL!$C$9, $C$13, 100%, $E$13) + CHOOSE(CONTROL!$C$28, 0, 0)</f>
        <v>118.5915</v>
      </c>
      <c r="E999" s="4">
        <f>798.147834610244 * CHOOSE(CONTROL!$C$9, $C$13, 100%, $E$13) + CHOOSE(CONTROL!$C$28, 0, 0)</f>
        <v>798.14783461024399</v>
      </c>
    </row>
    <row r="1000" spans="1:5" ht="15">
      <c r="A1000" s="13">
        <v>72320</v>
      </c>
      <c r="B1000" s="4">
        <f>148.0724 * CHOOSE(CONTROL!$C$9, $C$13, 100%, $E$13) + CHOOSE(CONTROL!$C$28, 0.0003, 0)</f>
        <v>148.0727</v>
      </c>
      <c r="C1000" s="4">
        <f>147.7599 * CHOOSE(CONTROL!$C$9, $C$13, 100%, $E$13) + CHOOSE(CONTROL!$C$28, 0.0003, 0)</f>
        <v>147.7602</v>
      </c>
      <c r="D1000" s="4">
        <f>114.3952 * CHOOSE(CONTROL!$C$9, $C$13, 100%, $E$13) + CHOOSE(CONTROL!$C$28, 0, 0)</f>
        <v>114.3952</v>
      </c>
      <c r="E1000" s="4">
        <f>785.647780089397 * CHOOSE(CONTROL!$C$9, $C$13, 100%, $E$13) + CHOOSE(CONTROL!$C$28, 0, 0)</f>
        <v>785.64778008939697</v>
      </c>
    </row>
    <row r="1001" spans="1:5" ht="15">
      <c r="A1001" s="13">
        <v>72351</v>
      </c>
      <c r="B1001" s="4">
        <f>144.293 * CHOOSE(CONTROL!$C$9, $C$13, 100%, $E$13) + CHOOSE(CONTROL!$C$28, 0.0003, 0)</f>
        <v>144.29330000000002</v>
      </c>
      <c r="C1001" s="4">
        <f>143.9805 * CHOOSE(CONTROL!$C$9, $C$13, 100%, $E$13) + CHOOSE(CONTROL!$C$28, 0.0003, 0)</f>
        <v>143.98080000000002</v>
      </c>
      <c r="D1001" s="4">
        <f>110.5384 * CHOOSE(CONTROL!$C$9, $C$13, 100%, $E$13) + CHOOSE(CONTROL!$C$28, 0, 0)</f>
        <v>110.5384</v>
      </c>
      <c r="E1001" s="4">
        <f>763.11839562195 * CHOOSE(CONTROL!$C$9, $C$13, 100%, $E$13) + CHOOSE(CONTROL!$C$28, 0, 0)</f>
        <v>763.11839562194996</v>
      </c>
    </row>
    <row r="1002" spans="1:5" ht="15">
      <c r="A1002" s="13">
        <v>72379</v>
      </c>
      <c r="B1002" s="4">
        <f>147.6746 * CHOOSE(CONTROL!$C$9, $C$13, 100%, $E$13) + CHOOSE(CONTROL!$C$28, 0.0003, 0)</f>
        <v>147.67490000000001</v>
      </c>
      <c r="C1002" s="4">
        <f>147.3621 * CHOOSE(CONTROL!$C$9, $C$13, 100%, $E$13) + CHOOSE(CONTROL!$C$28, 0.0003, 0)</f>
        <v>147.36240000000001</v>
      </c>
      <c r="D1002" s="4">
        <f>114.4222 * CHOOSE(CONTROL!$C$9, $C$13, 100%, $E$13) + CHOOSE(CONTROL!$C$28, 0, 0)</f>
        <v>114.4222</v>
      </c>
      <c r="E1002" s="4">
        <f>781.237833714505 * CHOOSE(CONTROL!$C$9, $C$13, 100%, $E$13) + CHOOSE(CONTROL!$C$28, 0, 0)</f>
        <v>781.23783371450497</v>
      </c>
    </row>
    <row r="1003" spans="1:5" ht="15">
      <c r="A1003" s="13">
        <v>72410</v>
      </c>
      <c r="B1003" s="4">
        <f>156.5547 * CHOOSE(CONTROL!$C$9, $C$13, 100%, $E$13) + CHOOSE(CONTROL!$C$28, 0.0003, 0)</f>
        <v>156.55500000000001</v>
      </c>
      <c r="C1003" s="4">
        <f>156.2422 * CHOOSE(CONTROL!$C$9, $C$13, 100%, $E$13) + CHOOSE(CONTROL!$C$28, 0.0003, 0)</f>
        <v>156.24250000000001</v>
      </c>
      <c r="D1003" s="4">
        <f>120.502 * CHOOSE(CONTROL!$C$9, $C$13, 100%, $E$13) + CHOOSE(CONTROL!$C$28, 0, 0)</f>
        <v>120.502</v>
      </c>
      <c r="E1003" s="4">
        <f>828.820441070974 * CHOOSE(CONTROL!$C$9, $C$13, 100%, $E$13) + CHOOSE(CONTROL!$C$28, 0, 0)</f>
        <v>828.82044107097397</v>
      </c>
    </row>
    <row r="1004" spans="1:5" ht="15">
      <c r="A1004" s="13">
        <v>72440</v>
      </c>
      <c r="B1004" s="4">
        <f>162.8642 * CHOOSE(CONTROL!$C$9, $C$13, 100%, $E$13) + CHOOSE(CONTROL!$C$28, 0.0003, 0)</f>
        <v>162.86450000000002</v>
      </c>
      <c r="C1004" s="4">
        <f>162.5517 * CHOOSE(CONTROL!$C$9, $C$13, 100%, $E$13) + CHOOSE(CONTROL!$C$28, 0.0003, 0)</f>
        <v>162.55200000000002</v>
      </c>
      <c r="D1004" s="4">
        <f>124.0041 * CHOOSE(CONTROL!$C$9, $C$13, 100%, $E$13) + CHOOSE(CONTROL!$C$28, 0, 0)</f>
        <v>124.00409999999999</v>
      </c>
      <c r="E1004" s="4">
        <f>862.628517719364 * CHOOSE(CONTROL!$C$9, $C$13, 100%, $E$13) + CHOOSE(CONTROL!$C$28, 0, 0)</f>
        <v>862.62851771936403</v>
      </c>
    </row>
    <row r="1005" spans="1:5" ht="15">
      <c r="A1005" s="13">
        <v>72471</v>
      </c>
      <c r="B1005" s="4">
        <f>166.7191 * CHOOSE(CONTROL!$C$9, $C$13, 100%, $E$13) + CHOOSE(CONTROL!$C$28, 0.0255, 0)</f>
        <v>166.74459999999999</v>
      </c>
      <c r="C1005" s="4">
        <f>166.4066 * CHOOSE(CONTROL!$C$9, $C$13, 100%, $E$13) + CHOOSE(CONTROL!$C$28, 0.0255, 0)</f>
        <v>166.43209999999999</v>
      </c>
      <c r="D1005" s="4">
        <f>122.6202 * CHOOSE(CONTROL!$C$9, $C$13, 100%, $E$13) + CHOOSE(CONTROL!$C$28, 0, 0)</f>
        <v>122.6202</v>
      </c>
      <c r="E1005" s="4">
        <f>883.284442285018 * CHOOSE(CONTROL!$C$9, $C$13, 100%, $E$13) + CHOOSE(CONTROL!$C$28, 0, 0)</f>
        <v>883.28444228501803</v>
      </c>
    </row>
    <row r="1006" spans="1:5" ht="15">
      <c r="A1006" s="13">
        <v>72501</v>
      </c>
      <c r="B1006" s="4">
        <f>167.2407 * CHOOSE(CONTROL!$C$9, $C$13, 100%, $E$13) + CHOOSE(CONTROL!$C$28, 0.0255, 0)</f>
        <v>167.2662</v>
      </c>
      <c r="C1006" s="4">
        <f>166.9282 * CHOOSE(CONTROL!$C$9, $C$13, 100%, $E$13) + CHOOSE(CONTROL!$C$28, 0.0255, 0)</f>
        <v>166.9537</v>
      </c>
      <c r="D1006" s="4">
        <f>123.7473 * CHOOSE(CONTROL!$C$9, $C$13, 100%, $E$13) + CHOOSE(CONTROL!$C$28, 0, 0)</f>
        <v>123.7473</v>
      </c>
      <c r="E1006" s="4">
        <f>886.079274602599 * CHOOSE(CONTROL!$C$9, $C$13, 100%, $E$13) + CHOOSE(CONTROL!$C$28, 0, 0)</f>
        <v>886.07927460259896</v>
      </c>
    </row>
    <row r="1007" spans="1:5" ht="15">
      <c r="A1007" s="13">
        <v>72532</v>
      </c>
      <c r="B1007" s="4">
        <f>167.1881 * CHOOSE(CONTROL!$C$9, $C$13, 100%, $E$13) + CHOOSE(CONTROL!$C$28, 0.0255, 0)</f>
        <v>167.21359999999999</v>
      </c>
      <c r="C1007" s="4">
        <f>166.8756 * CHOOSE(CONTROL!$C$9, $C$13, 100%, $E$13) + CHOOSE(CONTROL!$C$28, 0.0255, 0)</f>
        <v>166.90109999999999</v>
      </c>
      <c r="D1007" s="4">
        <f>125.7809 * CHOOSE(CONTROL!$C$9, $C$13, 100%, $E$13) + CHOOSE(CONTROL!$C$28, 0, 0)</f>
        <v>125.7809</v>
      </c>
      <c r="E1007" s="4">
        <f>885.797442772255 * CHOOSE(CONTROL!$C$9, $C$13, 100%, $E$13) + CHOOSE(CONTROL!$C$28, 0, 0)</f>
        <v>885.79744277225495</v>
      </c>
    </row>
    <row r="1008" spans="1:5" ht="15">
      <c r="A1008" s="13">
        <v>72563</v>
      </c>
      <c r="B1008" s="4">
        <f>171.1461 * CHOOSE(CONTROL!$C$9, $C$13, 100%, $E$13) + CHOOSE(CONTROL!$C$28, 0.0255, 0)</f>
        <v>171.17159999999998</v>
      </c>
      <c r="C1008" s="4">
        <f>170.8336 * CHOOSE(CONTROL!$C$9, $C$13, 100%, $E$13) + CHOOSE(CONTROL!$C$28, 0.0255, 0)</f>
        <v>170.85909999999998</v>
      </c>
      <c r="D1008" s="4">
        <f>124.4379 * CHOOSE(CONTROL!$C$9, $C$13, 100%, $E$13) + CHOOSE(CONTROL!$C$28, 0, 0)</f>
        <v>124.4379</v>
      </c>
      <c r="E1008" s="4">
        <f>907.005288005666 * CHOOSE(CONTROL!$C$9, $C$13, 100%, $E$13) + CHOOSE(CONTROL!$C$28, 0, 0)</f>
        <v>907.00528800566599</v>
      </c>
    </row>
    <row r="1009" spans="1:5" ht="15">
      <c r="A1009" s="13">
        <v>72593</v>
      </c>
      <c r="B1009" s="4">
        <f>164.4005 * CHOOSE(CONTROL!$C$9, $C$13, 100%, $E$13) + CHOOSE(CONTROL!$C$28, 0.0255, 0)</f>
        <v>164.42599999999999</v>
      </c>
      <c r="C1009" s="4">
        <f>164.088 * CHOOSE(CONTROL!$C$9, $C$13, 100%, $E$13) + CHOOSE(CONTROL!$C$28, 0.0255, 0)</f>
        <v>164.11349999999999</v>
      </c>
      <c r="D1009" s="4">
        <f>123.8034 * CHOOSE(CONTROL!$C$9, $C$13, 100%, $E$13) + CHOOSE(CONTROL!$C$28, 0, 0)</f>
        <v>123.8034</v>
      </c>
      <c r="E1009" s="4">
        <f>870.860355764005 * CHOOSE(CONTROL!$C$9, $C$13, 100%, $E$13) + CHOOSE(CONTROL!$C$28, 0, 0)</f>
        <v>870.86035576400502</v>
      </c>
    </row>
    <row r="1010" spans="1:5" ht="15">
      <c r="A1010" s="13">
        <v>72624</v>
      </c>
      <c r="B1010" s="4">
        <f>159.0005 * CHOOSE(CONTROL!$C$9, $C$13, 100%, $E$13) + CHOOSE(CONTROL!$C$28, 0.0003, 0)</f>
        <v>159.0008</v>
      </c>
      <c r="C1010" s="4">
        <f>158.688 * CHOOSE(CONTROL!$C$9, $C$13, 100%, $E$13) + CHOOSE(CONTROL!$C$28, 0.0003, 0)</f>
        <v>158.6883</v>
      </c>
      <c r="D1010" s="4">
        <f>122.1043 * CHOOSE(CONTROL!$C$9, $C$13, 100%, $E$13) + CHOOSE(CONTROL!$C$28, 0, 0)</f>
        <v>122.10429999999999</v>
      </c>
      <c r="E1010" s="4">
        <f>841.925621181986 * CHOOSE(CONTROL!$C$9, $C$13, 100%, $E$13) + CHOOSE(CONTROL!$C$28, 0, 0)</f>
        <v>841.925621181986</v>
      </c>
    </row>
    <row r="1011" spans="1:5" ht="15">
      <c r="A1011" s="13">
        <v>72654</v>
      </c>
      <c r="B1011" s="4">
        <f>155.5225 * CHOOSE(CONTROL!$C$9, $C$13, 100%, $E$13) + CHOOSE(CONTROL!$C$28, 0.0003, 0)</f>
        <v>155.52280000000002</v>
      </c>
      <c r="C1011" s="4">
        <f>155.21 * CHOOSE(CONTROL!$C$9, $C$13, 100%, $E$13) + CHOOSE(CONTROL!$C$28, 0.0003, 0)</f>
        <v>155.21030000000002</v>
      </c>
      <c r="D1011" s="4">
        <f>121.5202 * CHOOSE(CONTROL!$C$9, $C$13, 100%, $E$13) + CHOOSE(CONTROL!$C$28, 0, 0)</f>
        <v>121.5202</v>
      </c>
      <c r="E1011" s="4">
        <f>823.289491400467 * CHOOSE(CONTROL!$C$9, $C$13, 100%, $E$13) + CHOOSE(CONTROL!$C$28, 0, 0)</f>
        <v>823.289491400467</v>
      </c>
    </row>
    <row r="1012" spans="1:5" ht="15">
      <c r="A1012" s="13">
        <v>72685</v>
      </c>
      <c r="B1012" s="4">
        <f>153.1162 * CHOOSE(CONTROL!$C$9, $C$13, 100%, $E$13) + CHOOSE(CONTROL!$C$28, 0.0003, 0)</f>
        <v>153.1165</v>
      </c>
      <c r="C1012" s="4">
        <f>152.8037 * CHOOSE(CONTROL!$C$9, $C$13, 100%, $E$13) + CHOOSE(CONTROL!$C$28, 0.0003, 0)</f>
        <v>152.804</v>
      </c>
      <c r="D1012" s="4">
        <f>117.2198 * CHOOSE(CONTROL!$C$9, $C$13, 100%, $E$13) + CHOOSE(CONTROL!$C$28, 0, 0)</f>
        <v>117.21980000000001</v>
      </c>
      <c r="E1012" s="4">
        <f>810.395685162213 * CHOOSE(CONTROL!$C$9, $C$13, 100%, $E$13) + CHOOSE(CONTROL!$C$28, 0, 0)</f>
        <v>810.395685162213</v>
      </c>
    </row>
    <row r="1013" spans="1:5" ht="15">
      <c r="A1013" s="13">
        <v>72716</v>
      </c>
      <c r="B1013" s="4">
        <f>149.2064 * CHOOSE(CONTROL!$C$9, $C$13, 100%, $E$13) + CHOOSE(CONTROL!$C$28, 0.0003, 0)</f>
        <v>149.20670000000001</v>
      </c>
      <c r="C1013" s="4">
        <f>148.8939 * CHOOSE(CONTROL!$C$9, $C$13, 100%, $E$13) + CHOOSE(CONTROL!$C$28, 0.0003, 0)</f>
        <v>148.89420000000001</v>
      </c>
      <c r="D1013" s="4">
        <f>113.2674 * CHOOSE(CONTROL!$C$9, $C$13, 100%, $E$13) + CHOOSE(CONTROL!$C$28, 0, 0)</f>
        <v>113.26739999999999</v>
      </c>
      <c r="E1013" s="4">
        <f>787.156625084042 * CHOOSE(CONTROL!$C$9, $C$13, 100%, $E$13) + CHOOSE(CONTROL!$C$28, 0, 0)</f>
        <v>787.15662508404205</v>
      </c>
    </row>
    <row r="1014" spans="1:5" ht="15">
      <c r="A1014" s="13">
        <v>72744</v>
      </c>
      <c r="B1014" s="4">
        <f>152.7046 * CHOOSE(CONTROL!$C$9, $C$13, 100%, $E$13) + CHOOSE(CONTROL!$C$28, 0.0003, 0)</f>
        <v>152.70490000000001</v>
      </c>
      <c r="C1014" s="4">
        <f>152.3921 * CHOOSE(CONTROL!$C$9, $C$13, 100%, $E$13) + CHOOSE(CONTROL!$C$28, 0.0003, 0)</f>
        <v>152.39240000000001</v>
      </c>
      <c r="D1014" s="4">
        <f>117.2475 * CHOOSE(CONTROL!$C$9, $C$13, 100%, $E$13) + CHOOSE(CONTROL!$C$28, 0, 0)</f>
        <v>117.2475</v>
      </c>
      <c r="E1014" s="4">
        <f>805.846825476512 * CHOOSE(CONTROL!$C$9, $C$13, 100%, $E$13) + CHOOSE(CONTROL!$C$28, 0, 0)</f>
        <v>805.84682547651198</v>
      </c>
    </row>
    <row r="1015" spans="1:5" ht="15">
      <c r="A1015" s="13">
        <v>72775</v>
      </c>
      <c r="B1015" s="4">
        <f>161.8912 * CHOOSE(CONTROL!$C$9, $C$13, 100%, $E$13) + CHOOSE(CONTROL!$C$28, 0.0003, 0)</f>
        <v>161.89150000000001</v>
      </c>
      <c r="C1015" s="4">
        <f>161.5787 * CHOOSE(CONTROL!$C$9, $C$13, 100%, $E$13) + CHOOSE(CONTROL!$C$28, 0.0003, 0)</f>
        <v>161.57900000000001</v>
      </c>
      <c r="D1015" s="4">
        <f>123.4781 * CHOOSE(CONTROL!$C$9, $C$13, 100%, $E$13) + CHOOSE(CONTROL!$C$28, 0, 0)</f>
        <v>123.4781</v>
      </c>
      <c r="E1015" s="4">
        <f>854.92828496471 * CHOOSE(CONTROL!$C$9, $C$13, 100%, $E$13) + CHOOSE(CONTROL!$C$28, 0, 0)</f>
        <v>854.92828496470997</v>
      </c>
    </row>
    <row r="1016" spans="1:5" ht="15">
      <c r="A1016" s="13">
        <v>72805</v>
      </c>
      <c r="B1016" s="4">
        <f>168.4183 * CHOOSE(CONTROL!$C$9, $C$13, 100%, $E$13) + CHOOSE(CONTROL!$C$28, 0.0003, 0)</f>
        <v>168.4186</v>
      </c>
      <c r="C1016" s="4">
        <f>168.1058 * CHOOSE(CONTROL!$C$9, $C$13, 100%, $E$13) + CHOOSE(CONTROL!$C$28, 0.0003, 0)</f>
        <v>168.1061</v>
      </c>
      <c r="D1016" s="4">
        <f>127.0671 * CHOOSE(CONTROL!$C$9, $C$13, 100%, $E$13) + CHOOSE(CONTROL!$C$28, 0, 0)</f>
        <v>127.0671</v>
      </c>
      <c r="E1016" s="4">
        <f>889.801316027524 * CHOOSE(CONTROL!$C$9, $C$13, 100%, $E$13) + CHOOSE(CONTROL!$C$28, 0, 0)</f>
        <v>889.80131602752397</v>
      </c>
    </row>
    <row r="1017" spans="1:5" ht="15">
      <c r="A1017" s="13">
        <v>72836</v>
      </c>
      <c r="B1017" s="4">
        <f>172.4063 * CHOOSE(CONTROL!$C$9, $C$13, 100%, $E$13) + CHOOSE(CONTROL!$C$28, 0.0255, 0)</f>
        <v>172.43179999999998</v>
      </c>
      <c r="C1017" s="4">
        <f>172.0938 * CHOOSE(CONTROL!$C$9, $C$13, 100%, $E$13) + CHOOSE(CONTROL!$C$28, 0.0255, 0)</f>
        <v>172.11929999999998</v>
      </c>
      <c r="D1017" s="4">
        <f>125.6489 * CHOOSE(CONTROL!$C$9, $C$13, 100%, $E$13) + CHOOSE(CONTROL!$C$28, 0, 0)</f>
        <v>125.6489</v>
      </c>
      <c r="E1017" s="4">
        <f>911.107902216996 * CHOOSE(CONTROL!$C$9, $C$13, 100%, $E$13) + CHOOSE(CONTROL!$C$28, 0, 0)</f>
        <v>911.10790221699597</v>
      </c>
    </row>
    <row r="1018" spans="1:5" ht="15">
      <c r="A1018" s="13">
        <v>72866</v>
      </c>
      <c r="B1018" s="4">
        <f>172.9458 * CHOOSE(CONTROL!$C$9, $C$13, 100%, $E$13) + CHOOSE(CONTROL!$C$28, 0.0255, 0)</f>
        <v>172.97129999999999</v>
      </c>
      <c r="C1018" s="4">
        <f>172.6333 * CHOOSE(CONTROL!$C$9, $C$13, 100%, $E$13) + CHOOSE(CONTROL!$C$28, 0.0255, 0)</f>
        <v>172.65879999999999</v>
      </c>
      <c r="D1018" s="4">
        <f>126.8039 * CHOOSE(CONTROL!$C$9, $C$13, 100%, $E$13) + CHOOSE(CONTROL!$C$28, 0, 0)</f>
        <v>126.8039</v>
      </c>
      <c r="E1018" s="4">
        <f>913.990771752581 * CHOOSE(CONTROL!$C$9, $C$13, 100%, $E$13) + CHOOSE(CONTROL!$C$28, 0, 0)</f>
        <v>913.99077175258105</v>
      </c>
    </row>
    <row r="1019" spans="1:5" ht="15">
      <c r="A1019" s="13">
        <v>72897</v>
      </c>
      <c r="B1019" s="4">
        <f>172.8914 * CHOOSE(CONTROL!$C$9, $C$13, 100%, $E$13) + CHOOSE(CONTROL!$C$28, 0.0255, 0)</f>
        <v>172.9169</v>
      </c>
      <c r="C1019" s="4">
        <f>172.5789 * CHOOSE(CONTROL!$C$9, $C$13, 100%, $E$13) + CHOOSE(CONTROL!$C$28, 0.0255, 0)</f>
        <v>172.6044</v>
      </c>
      <c r="D1019" s="4">
        <f>128.888 * CHOOSE(CONTROL!$C$9, $C$13, 100%, $E$13) + CHOOSE(CONTROL!$C$28, 0, 0)</f>
        <v>128.88800000000001</v>
      </c>
      <c r="E1019" s="4">
        <f>913.700062219581 * CHOOSE(CONTROL!$C$9, $C$13, 100%, $E$13) + CHOOSE(CONTROL!$C$28, 0, 0)</f>
        <v>913.70006221958101</v>
      </c>
    </row>
    <row r="1020" spans="1:5" ht="15">
      <c r="A1020" s="13">
        <v>72928</v>
      </c>
      <c r="B1020" s="4">
        <f>176.9859 * CHOOSE(CONTROL!$C$9, $C$13, 100%, $E$13) + CHOOSE(CONTROL!$C$28, 0.0255, 0)</f>
        <v>177.01139999999998</v>
      </c>
      <c r="C1020" s="4">
        <f>176.6734 * CHOOSE(CONTROL!$C$9, $C$13, 100%, $E$13) + CHOOSE(CONTROL!$C$28, 0.0255, 0)</f>
        <v>176.69889999999998</v>
      </c>
      <c r="D1020" s="4">
        <f>127.5116 * CHOOSE(CONTROL!$C$9, $C$13, 100%, $E$13) + CHOOSE(CONTROL!$C$28, 0, 0)</f>
        <v>127.5116</v>
      </c>
      <c r="E1020" s="4">
        <f>935.575954577844 * CHOOSE(CONTROL!$C$9, $C$13, 100%, $E$13) + CHOOSE(CONTROL!$C$28, 0, 0)</f>
        <v>935.57595457784396</v>
      </c>
    </row>
    <row r="1021" spans="1:5" ht="15">
      <c r="A1021" s="13">
        <v>72958</v>
      </c>
      <c r="B1021" s="4">
        <f>170.0076 * CHOOSE(CONTROL!$C$9, $C$13, 100%, $E$13) + CHOOSE(CONTROL!$C$28, 0.0255, 0)</f>
        <v>170.03309999999999</v>
      </c>
      <c r="C1021" s="4">
        <f>169.6951 * CHOOSE(CONTROL!$C$9, $C$13, 100%, $E$13) + CHOOSE(CONTROL!$C$28, 0.0255, 0)</f>
        <v>169.72059999999999</v>
      </c>
      <c r="D1021" s="4">
        <f>126.8614 * CHOOSE(CONTROL!$C$9, $C$13, 100%, $E$13) + CHOOSE(CONTROL!$C$28, 0, 0)</f>
        <v>126.8614</v>
      </c>
      <c r="E1021" s="4">
        <f>898.292456970571 * CHOOSE(CONTROL!$C$9, $C$13, 100%, $E$13) + CHOOSE(CONTROL!$C$28, 0, 0)</f>
        <v>898.29245697057104</v>
      </c>
    </row>
    <row r="1022" spans="1:5" ht="15">
      <c r="A1022" s="13">
        <v>72989</v>
      </c>
      <c r="B1022" s="4">
        <f>164.4213 * CHOOSE(CONTROL!$C$9, $C$13, 100%, $E$13) + CHOOSE(CONTROL!$C$28, 0.0003, 0)</f>
        <v>164.42160000000001</v>
      </c>
      <c r="C1022" s="4">
        <f>164.1088 * CHOOSE(CONTROL!$C$9, $C$13, 100%, $E$13) + CHOOSE(CONTROL!$C$28, 0.0003, 0)</f>
        <v>164.10910000000001</v>
      </c>
      <c r="D1022" s="4">
        <f>125.1202 * CHOOSE(CONTROL!$C$9, $C$13, 100%, $E$13) + CHOOSE(CONTROL!$C$28, 0, 0)</f>
        <v>125.1202</v>
      </c>
      <c r="E1022" s="4">
        <f>868.446278249218 * CHOOSE(CONTROL!$C$9, $C$13, 100%, $E$13) + CHOOSE(CONTROL!$C$28, 0, 0)</f>
        <v>868.44627824921804</v>
      </c>
    </row>
    <row r="1023" spans="1:5" ht="15">
      <c r="A1023" s="13">
        <v>73019</v>
      </c>
      <c r="B1023" s="4">
        <f>160.8233 * CHOOSE(CONTROL!$C$9, $C$13, 100%, $E$13) + CHOOSE(CONTROL!$C$28, 0.0003, 0)</f>
        <v>160.8236</v>
      </c>
      <c r="C1023" s="4">
        <f>160.5108 * CHOOSE(CONTROL!$C$9, $C$13, 100%, $E$13) + CHOOSE(CONTROL!$C$28, 0.0003, 0)</f>
        <v>160.5111</v>
      </c>
      <c r="D1023" s="4">
        <f>124.5216 * CHOOSE(CONTROL!$C$9, $C$13, 100%, $E$13) + CHOOSE(CONTROL!$C$28, 0, 0)</f>
        <v>124.52160000000001</v>
      </c>
      <c r="E1023" s="4">
        <f>849.223110379581 * CHOOSE(CONTROL!$C$9, $C$13, 100%, $E$13) + CHOOSE(CONTROL!$C$28, 0, 0)</f>
        <v>849.22311037958104</v>
      </c>
    </row>
    <row r="1024" spans="1:5" ht="15">
      <c r="A1024" s="13">
        <v>73050</v>
      </c>
      <c r="B1024" s="4">
        <f>158.334 * CHOOSE(CONTROL!$C$9, $C$13, 100%, $E$13) + CHOOSE(CONTROL!$C$28, 0.0003, 0)</f>
        <v>158.33430000000001</v>
      </c>
      <c r="C1024" s="4">
        <f>158.0215 * CHOOSE(CONTROL!$C$9, $C$13, 100%, $E$13) + CHOOSE(CONTROL!$C$28, 0.0003, 0)</f>
        <v>158.02180000000001</v>
      </c>
      <c r="D1024" s="4">
        <f>120.1146 * CHOOSE(CONTROL!$C$9, $C$13, 100%, $E$13) + CHOOSE(CONTROL!$C$28, 0, 0)</f>
        <v>120.1146</v>
      </c>
      <c r="E1024" s="4">
        <f>835.923149244823 * CHOOSE(CONTROL!$C$9, $C$13, 100%, $E$13) + CHOOSE(CONTROL!$C$28, 0, 0)</f>
        <v>835.92314924482298</v>
      </c>
    </row>
    <row r="1025" spans="1:5" ht="15">
      <c r="A1025" s="13">
        <v>73081</v>
      </c>
      <c r="B1025" s="4">
        <f>154.2893 * CHOOSE(CONTROL!$C$9, $C$13, 100%, $E$13) + CHOOSE(CONTROL!$C$28, 0.0003, 0)</f>
        <v>154.28960000000001</v>
      </c>
      <c r="C1025" s="4">
        <f>153.9768 * CHOOSE(CONTROL!$C$9, $C$13, 100%, $E$13) + CHOOSE(CONTROL!$C$28, 0.0003, 0)</f>
        <v>153.97710000000001</v>
      </c>
      <c r="D1025" s="4">
        <f>116.0641 * CHOOSE(CONTROL!$C$9, $C$13, 100%, $E$13) + CHOOSE(CONTROL!$C$28, 0, 0)</f>
        <v>116.0641</v>
      </c>
      <c r="E1025" s="4">
        <f>811.952058774189 * CHOOSE(CONTROL!$C$9, $C$13, 100%, $E$13) + CHOOSE(CONTROL!$C$28, 0, 0)</f>
        <v>811.95205877418903</v>
      </c>
    </row>
    <row r="1026" spans="1:5" ht="15">
      <c r="A1026" s="13">
        <v>73109</v>
      </c>
      <c r="B1026" s="4">
        <f>157.9083 * CHOOSE(CONTROL!$C$9, $C$13, 100%, $E$13) + CHOOSE(CONTROL!$C$28, 0.0003, 0)</f>
        <v>157.90860000000001</v>
      </c>
      <c r="C1026" s="4">
        <f>157.5958 * CHOOSE(CONTROL!$C$9, $C$13, 100%, $E$13) + CHOOSE(CONTROL!$C$28, 0.0003, 0)</f>
        <v>157.59610000000001</v>
      </c>
      <c r="D1026" s="4">
        <f>120.1429 * CHOOSE(CONTROL!$C$9, $C$13, 100%, $E$13) + CHOOSE(CONTROL!$C$28, 0, 0)</f>
        <v>120.1429</v>
      </c>
      <c r="E1026" s="4">
        <f>831.231000479022 * CHOOSE(CONTROL!$C$9, $C$13, 100%, $E$13) + CHOOSE(CONTROL!$C$28, 0, 0)</f>
        <v>831.23100047902199</v>
      </c>
    </row>
    <row r="1027" spans="1:5" ht="15">
      <c r="A1027" s="13">
        <v>73140</v>
      </c>
      <c r="B1027" s="4">
        <f>167.4117 * CHOOSE(CONTROL!$C$9, $C$13, 100%, $E$13) + CHOOSE(CONTROL!$C$28, 0.0003, 0)</f>
        <v>167.41200000000001</v>
      </c>
      <c r="C1027" s="4">
        <f>167.0992 * CHOOSE(CONTROL!$C$9, $C$13, 100%, $E$13) + CHOOSE(CONTROL!$C$28, 0.0003, 0)</f>
        <v>167.09950000000001</v>
      </c>
      <c r="D1027" s="4">
        <f>126.528 * CHOOSE(CONTROL!$C$9, $C$13, 100%, $E$13) + CHOOSE(CONTROL!$C$28, 0, 0)</f>
        <v>126.52800000000001</v>
      </c>
      <c r="E1027" s="4">
        <f>881.858525941098 * CHOOSE(CONTROL!$C$9, $C$13, 100%, $E$13) + CHOOSE(CONTROL!$C$28, 0, 0)</f>
        <v>881.85852594109804</v>
      </c>
    </row>
    <row r="1028" spans="1:5" ht="15">
      <c r="A1028" s="13">
        <v>73170</v>
      </c>
      <c r="B1028" s="4">
        <f>174.1641 * CHOOSE(CONTROL!$C$9, $C$13, 100%, $E$13) + CHOOSE(CONTROL!$C$28, 0.0003, 0)</f>
        <v>174.1644</v>
      </c>
      <c r="C1028" s="4">
        <f>173.8516 * CHOOSE(CONTROL!$C$9, $C$13, 100%, $E$13) + CHOOSE(CONTROL!$C$28, 0.0003, 0)</f>
        <v>173.8519</v>
      </c>
      <c r="D1028" s="4">
        <f>130.206 * CHOOSE(CONTROL!$C$9, $C$13, 100%, $E$13) + CHOOSE(CONTROL!$C$28, 0, 0)</f>
        <v>130.20599999999999</v>
      </c>
      <c r="E1028" s="4">
        <f>917.830057482391 * CHOOSE(CONTROL!$C$9, $C$13, 100%, $E$13) + CHOOSE(CONTROL!$C$28, 0, 0)</f>
        <v>917.830057482391</v>
      </c>
    </row>
    <row r="1029" spans="1:5" ht="15">
      <c r="A1029" s="13">
        <v>73201</v>
      </c>
      <c r="B1029" s="4">
        <f>178.2896 * CHOOSE(CONTROL!$C$9, $C$13, 100%, $E$13) + CHOOSE(CONTROL!$C$28, 0.0255, 0)</f>
        <v>178.3151</v>
      </c>
      <c r="C1029" s="4">
        <f>177.9771 * CHOOSE(CONTROL!$C$9, $C$13, 100%, $E$13) + CHOOSE(CONTROL!$C$28, 0.0255, 0)</f>
        <v>178.0026</v>
      </c>
      <c r="D1029" s="4">
        <f>128.7527 * CHOOSE(CONTROL!$C$9, $C$13, 100%, $E$13) + CHOOSE(CONTROL!$C$28, 0, 0)</f>
        <v>128.7527</v>
      </c>
      <c r="E1029" s="4">
        <f>939.807801136831 * CHOOSE(CONTROL!$C$9, $C$13, 100%, $E$13) + CHOOSE(CONTROL!$C$28, 0, 0)</f>
        <v>939.80780113683102</v>
      </c>
    </row>
    <row r="1030" spans="1:5" ht="15">
      <c r="A1030" s="13">
        <v>73231</v>
      </c>
      <c r="B1030" s="4">
        <f>178.8478 * CHOOSE(CONTROL!$C$9, $C$13, 100%, $E$13) + CHOOSE(CONTROL!$C$28, 0.0255, 0)</f>
        <v>178.8733</v>
      </c>
      <c r="C1030" s="4">
        <f>178.5353 * CHOOSE(CONTROL!$C$9, $C$13, 100%, $E$13) + CHOOSE(CONTROL!$C$28, 0.0255, 0)</f>
        <v>178.5608</v>
      </c>
      <c r="D1030" s="4">
        <f>129.9363 * CHOOSE(CONTROL!$C$9, $C$13, 100%, $E$13) + CHOOSE(CONTROL!$C$28, 0, 0)</f>
        <v>129.93629999999999</v>
      </c>
      <c r="E1030" s="4">
        <f>942.781481062787 * CHOOSE(CONTROL!$C$9, $C$13, 100%, $E$13) + CHOOSE(CONTROL!$C$28, 0, 0)</f>
        <v>942.78148106278695</v>
      </c>
    </row>
    <row r="1031" spans="1:5" ht="15">
      <c r="A1031" s="13">
        <v>73262</v>
      </c>
      <c r="B1031" s="4">
        <f>178.7915 * CHOOSE(CONTROL!$C$9, $C$13, 100%, $E$13) + CHOOSE(CONTROL!$C$28, 0.0255, 0)</f>
        <v>178.81700000000001</v>
      </c>
      <c r="C1031" s="4">
        <f>178.479 * CHOOSE(CONTROL!$C$9, $C$13, 100%, $E$13) + CHOOSE(CONTROL!$C$28, 0.0255, 0)</f>
        <v>178.50450000000001</v>
      </c>
      <c r="D1031" s="4">
        <f>132.0721 * CHOOSE(CONTROL!$C$9, $C$13, 100%, $E$13) + CHOOSE(CONTROL!$C$28, 0, 0)</f>
        <v>132.07210000000001</v>
      </c>
      <c r="E1031" s="4">
        <f>942.481614179497 * CHOOSE(CONTROL!$C$9, $C$13, 100%, $E$13) + CHOOSE(CONTROL!$C$28, 0, 0)</f>
        <v>942.481614179497</v>
      </c>
    </row>
    <row r="1032" spans="1:5" ht="15">
      <c r="A1032" s="13">
        <v>73293</v>
      </c>
      <c r="B1032" s="4">
        <f>183.0273 * CHOOSE(CONTROL!$C$9, $C$13, 100%, $E$13) + CHOOSE(CONTROL!$C$28, 0.0255, 0)</f>
        <v>183.05279999999999</v>
      </c>
      <c r="C1032" s="4">
        <f>182.7148 * CHOOSE(CONTROL!$C$9, $C$13, 100%, $E$13) + CHOOSE(CONTROL!$C$28, 0.0255, 0)</f>
        <v>182.74029999999999</v>
      </c>
      <c r="D1032" s="4">
        <f>130.6616 * CHOOSE(CONTROL!$C$9, $C$13, 100%, $E$13) + CHOOSE(CONTROL!$C$28, 0, 0)</f>
        <v>130.66159999999999</v>
      </c>
      <c r="E1032" s="4">
        <f>965.046597147047 * CHOOSE(CONTROL!$C$9, $C$13, 100%, $E$13) + CHOOSE(CONTROL!$C$28, 0, 0)</f>
        <v>965.04659714704701</v>
      </c>
    </row>
    <row r="1033" spans="1:5" ht="15">
      <c r="A1033" s="13">
        <v>73323</v>
      </c>
      <c r="B1033" s="4">
        <f>175.8082 * CHOOSE(CONTROL!$C$9, $C$13, 100%, $E$13) + CHOOSE(CONTROL!$C$28, 0.0255, 0)</f>
        <v>175.83369999999999</v>
      </c>
      <c r="C1033" s="4">
        <f>175.4957 * CHOOSE(CONTROL!$C$9, $C$13, 100%, $E$13) + CHOOSE(CONTROL!$C$28, 0.0255, 0)</f>
        <v>175.52119999999999</v>
      </c>
      <c r="D1033" s="4">
        <f>129.9952 * CHOOSE(CONTROL!$C$9, $C$13, 100%, $E$13) + CHOOSE(CONTROL!$C$28, 0, 0)</f>
        <v>129.99520000000001</v>
      </c>
      <c r="E1033" s="4">
        <f>926.588669365144 * CHOOSE(CONTROL!$C$9, $C$13, 100%, $E$13) + CHOOSE(CONTROL!$C$28, 0, 0)</f>
        <v>926.58866936514403</v>
      </c>
    </row>
    <row r="1034" spans="1:5" ht="15">
      <c r="A1034" s="13">
        <v>73354</v>
      </c>
      <c r="B1034" s="4">
        <f>170.0292 * CHOOSE(CONTROL!$C$9, $C$13, 100%, $E$13) + CHOOSE(CONTROL!$C$28, 0.0003, 0)</f>
        <v>170.02950000000001</v>
      </c>
      <c r="C1034" s="4">
        <f>169.7167 * CHOOSE(CONTROL!$C$9, $C$13, 100%, $E$13) + CHOOSE(CONTROL!$C$28, 0.0003, 0)</f>
        <v>169.71700000000001</v>
      </c>
      <c r="D1034" s="4">
        <f>128.2108 * CHOOSE(CONTROL!$C$9, $C$13, 100%, $E$13) + CHOOSE(CONTROL!$C$28, 0, 0)</f>
        <v>128.21080000000001</v>
      </c>
      <c r="E1034" s="4">
        <f>895.802336014069 * CHOOSE(CONTROL!$C$9, $C$13, 100%, $E$13) + CHOOSE(CONTROL!$C$28, 0, 0)</f>
        <v>895.80233601406906</v>
      </c>
    </row>
    <row r="1035" spans="1:5" ht="15">
      <c r="A1035" s="13">
        <v>73384</v>
      </c>
      <c r="B1035" s="4">
        <f>166.3071 * CHOOSE(CONTROL!$C$9, $C$13, 100%, $E$13) + CHOOSE(CONTROL!$C$28, 0.0003, 0)</f>
        <v>166.3074</v>
      </c>
      <c r="C1035" s="4">
        <f>165.9946 * CHOOSE(CONTROL!$C$9, $C$13, 100%, $E$13) + CHOOSE(CONTROL!$C$28, 0.0003, 0)</f>
        <v>165.9949</v>
      </c>
      <c r="D1035" s="4">
        <f>127.5974 * CHOOSE(CONTROL!$C$9, $C$13, 100%, $E$13) + CHOOSE(CONTROL!$C$28, 0, 0)</f>
        <v>127.59739999999999</v>
      </c>
      <c r="E1035" s="4">
        <f>875.973638356538 * CHOOSE(CONTROL!$C$9, $C$13, 100%, $E$13) + CHOOSE(CONTROL!$C$28, 0, 0)</f>
        <v>875.973638356538</v>
      </c>
    </row>
    <row r="1036" spans="1:5" ht="15">
      <c r="A1036" s="13">
        <v>73415</v>
      </c>
      <c r="B1036" s="4">
        <f>163.7318 * CHOOSE(CONTROL!$C$9, $C$13, 100%, $E$13) + CHOOSE(CONTROL!$C$28, 0.0003, 0)</f>
        <v>163.7321</v>
      </c>
      <c r="C1036" s="4">
        <f>163.4193 * CHOOSE(CONTROL!$C$9, $C$13, 100%, $E$13) + CHOOSE(CONTROL!$C$28, 0.0003, 0)</f>
        <v>163.4196</v>
      </c>
      <c r="D1036" s="4">
        <f>123.0811 * CHOOSE(CONTROL!$C$9, $C$13, 100%, $E$13) + CHOOSE(CONTROL!$C$28, 0, 0)</f>
        <v>123.08110000000001</v>
      </c>
      <c r="E1036" s="4">
        <f>862.254728446035 * CHOOSE(CONTROL!$C$9, $C$13, 100%, $E$13) + CHOOSE(CONTROL!$C$28, 0, 0)</f>
        <v>862.25472844603496</v>
      </c>
    </row>
    <row r="1037" spans="1:5" ht="15">
      <c r="A1037" s="10"/>
      <c r="B1037" s="4"/>
      <c r="C1037" s="4"/>
      <c r="D1037" s="4"/>
      <c r="E1037" s="4"/>
    </row>
    <row r="1038" spans="1:5" ht="15">
      <c r="A1038" s="3">
        <v>2016</v>
      </c>
      <c r="B1038" s="4">
        <f>AVERAGE(B17:B28)</f>
        <v>6.6641916666666665</v>
      </c>
      <c r="C1038" s="4">
        <f>AVERAGE(C17:C28)</f>
        <v>6.3516833333333329</v>
      </c>
      <c r="D1038" s="4">
        <f>AVERAGE(D17:D28)</f>
        <v>9.451175000000001</v>
      </c>
      <c r="E1038" s="4">
        <f>AVERAGE(E17:E28)</f>
        <v>39.208333333333329</v>
      </c>
    </row>
    <row r="1039" spans="1:5" ht="15">
      <c r="A1039" s="3">
        <v>2017</v>
      </c>
      <c r="B1039" s="4">
        <f>AVERAGE(B29:B40)</f>
        <v>7.7647000000000004</v>
      </c>
      <c r="C1039" s="4">
        <f>AVERAGE(C29:C40)</f>
        <v>7.4522000000000004</v>
      </c>
      <c r="D1039" s="4">
        <f>AVERAGE(D29:D40)</f>
        <v>10.774441666666666</v>
      </c>
      <c r="E1039" s="4">
        <f>AVERAGE(E29:E40)</f>
        <v>45.62</v>
      </c>
    </row>
    <row r="1040" spans="1:5" ht="15">
      <c r="A1040" s="3">
        <v>2018</v>
      </c>
      <c r="B1040" s="4">
        <f>AVERAGE(B41:B52)</f>
        <v>8.0477749999999997</v>
      </c>
      <c r="C1040" s="4">
        <f>AVERAGE(C41:C52)</f>
        <v>7.7352833333333342</v>
      </c>
      <c r="D1040" s="4">
        <f>AVERAGE(D41:D52)</f>
        <v>11.303591666666668</v>
      </c>
      <c r="E1040" s="4">
        <f>AVERAGE(E41:E52)</f>
        <v>47.431666666666665</v>
      </c>
    </row>
    <row r="1041" spans="1:5" ht="15">
      <c r="A1041" s="3">
        <v>2019</v>
      </c>
      <c r="B1041" s="4">
        <f>AVERAGE(B53:B64)</f>
        <v>10.195858333333334</v>
      </c>
      <c r="C1041" s="4">
        <f>AVERAGE(C53:C64)</f>
        <v>9.8833583333333337</v>
      </c>
      <c r="D1041" s="4">
        <f>AVERAGE(D53:D64)</f>
        <v>14.001216666666666</v>
      </c>
      <c r="E1041" s="4">
        <f>AVERAGE(E53:E64)</f>
        <v>59.576944580078127</v>
      </c>
    </row>
    <row r="1042" spans="1:5" ht="15">
      <c r="A1042" s="3">
        <v>2020</v>
      </c>
      <c r="B1042" s="4">
        <f>AVERAGE(B65:B76)</f>
        <v>10.693624999999999</v>
      </c>
      <c r="C1042" s="4">
        <f>AVERAGE(C65:C76)</f>
        <v>10.381124999999999</v>
      </c>
      <c r="D1042" s="4">
        <f>AVERAGE(D65:D76)</f>
        <v>14.637416666666665</v>
      </c>
      <c r="E1042" s="4">
        <f>AVERAGE(E65:E76)</f>
        <v>62.437077840169273</v>
      </c>
    </row>
    <row r="1043" spans="1:5" ht="15">
      <c r="A1043" s="3">
        <v>2021</v>
      </c>
      <c r="B1043" s="4">
        <f>AVERAGE(B77:B88)</f>
        <v>13.855399999999998</v>
      </c>
      <c r="C1043" s="4">
        <f>AVERAGE(C77:C88)</f>
        <v>13.542899999999998</v>
      </c>
      <c r="D1043" s="4">
        <f>AVERAGE(D77:D88)</f>
        <v>17.842691666666671</v>
      </c>
      <c r="E1043" s="4">
        <f>AVERAGE(E77:E88)</f>
        <v>79.433403015136733</v>
      </c>
    </row>
    <row r="1044" spans="1:5" ht="15">
      <c r="A1044" s="3">
        <v>2022</v>
      </c>
      <c r="B1044" s="4">
        <f>AVERAGE(B89:B100)</f>
        <v>14.465983333333334</v>
      </c>
      <c r="C1044" s="4">
        <f>AVERAGE(C89:C100)</f>
        <v>14.153483333333334</v>
      </c>
      <c r="D1044" s="4">
        <f>AVERAGE(D89:D100)</f>
        <v>18.665833333333335</v>
      </c>
      <c r="E1044" s="4">
        <f>AVERAGE(E89:E100)</f>
        <v>83.260375976562514</v>
      </c>
    </row>
    <row r="1045" spans="1:5" ht="15">
      <c r="A1045" s="3">
        <v>2023</v>
      </c>
      <c r="B1045" s="4">
        <f>AVERAGE(B101:B112)</f>
        <v>15.168016666666665</v>
      </c>
      <c r="C1045" s="4">
        <f>AVERAGE(C101:C112)</f>
        <v>14.855516666666665</v>
      </c>
      <c r="D1045" s="4">
        <f>AVERAGE(D101:D112)</f>
        <v>19.586633333333332</v>
      </c>
      <c r="E1045" s="4">
        <f>AVERAGE(E101:E112)</f>
        <v>87.259902954101563</v>
      </c>
    </row>
    <row r="1046" spans="1:5" ht="15">
      <c r="A1046" s="3">
        <v>2024</v>
      </c>
      <c r="B1046" s="4">
        <f>AVERAGE(B113:B124)</f>
        <v>15.847824999999998</v>
      </c>
      <c r="C1046" s="4">
        <f>AVERAGE(C113:C124)</f>
        <v>15.535324999999998</v>
      </c>
      <c r="D1046" s="4">
        <f>AVERAGE(D113:D124)</f>
        <v>20.872058333333335</v>
      </c>
      <c r="E1046" s="4">
        <f>AVERAGE(E113:E124)</f>
        <v>91.379600524902358</v>
      </c>
    </row>
    <row r="1047" spans="1:5" ht="15">
      <c r="A1047" s="3">
        <v>2025</v>
      </c>
      <c r="B1047" s="4">
        <f>AVERAGE(B125:B136)</f>
        <v>16.622375000000002</v>
      </c>
      <c r="C1047" s="4">
        <f>AVERAGE(C125:C136)</f>
        <v>16.309875000000002</v>
      </c>
      <c r="D1047" s="4">
        <f>AVERAGE(D125:D136)</f>
        <v>21.744524999999999</v>
      </c>
      <c r="E1047" s="4">
        <f>AVERAGE(E125:E136)</f>
        <v>94.367088317871094</v>
      </c>
    </row>
    <row r="1048" spans="1:5" ht="15">
      <c r="A1048" s="3">
        <v>2026</v>
      </c>
      <c r="B1048" s="4">
        <f>AVERAGE(B137:B148)</f>
        <v>17.074558333333332</v>
      </c>
      <c r="C1048" s="4">
        <f>AVERAGE(C137:C148)</f>
        <v>16.762058333333332</v>
      </c>
      <c r="D1048" s="4">
        <f>AVERAGE(D137:D148)</f>
        <v>22.389799999999997</v>
      </c>
      <c r="E1048" s="4">
        <f>AVERAGE(E137:E148)</f>
        <v>97.621452331543026</v>
      </c>
    </row>
    <row r="1049" spans="1:5" ht="15">
      <c r="A1049" s="3">
        <v>2027</v>
      </c>
      <c r="B1049" s="4">
        <f>AVERAGE(B149:B160)</f>
        <v>17.477199999999996</v>
      </c>
      <c r="C1049" s="4">
        <f>AVERAGE(C149:C160)</f>
        <v>17.164699999999996</v>
      </c>
      <c r="D1049" s="4">
        <f>AVERAGE(D149:D160)</f>
        <v>22.9285</v>
      </c>
      <c r="E1049" s="4">
        <f>AVERAGE(E149:E160)</f>
        <v>100.26343536376947</v>
      </c>
    </row>
    <row r="1050" spans="1:5" ht="15">
      <c r="A1050" s="3">
        <v>2028</v>
      </c>
      <c r="B1050" s="4">
        <f>AVERAGE(B161:B172)</f>
        <v>17.855950000000004</v>
      </c>
      <c r="C1050" s="4">
        <f>AVERAGE(C161:C172)</f>
        <v>17.543450000000004</v>
      </c>
      <c r="D1050" s="4">
        <f>AVERAGE(D161:D172)</f>
        <v>23.390558333333331</v>
      </c>
      <c r="E1050" s="4">
        <f>AVERAGE(E161:E172)</f>
        <v>102.80760955810551</v>
      </c>
    </row>
    <row r="1051" spans="1:5" ht="15">
      <c r="A1051" s="3">
        <v>2029</v>
      </c>
      <c r="B1051" s="4">
        <f>AVERAGE(B173:B184)</f>
        <v>18.30156666666667</v>
      </c>
      <c r="C1051" s="4">
        <f>AVERAGE(C173:C184)</f>
        <v>17.98906666666667</v>
      </c>
      <c r="D1051" s="4">
        <f>AVERAGE(D173:D184)</f>
        <v>23.858316666666667</v>
      </c>
      <c r="E1051" s="4">
        <f>AVERAGE(E173:E184)</f>
        <v>105.67950439453124</v>
      </c>
    </row>
    <row r="1052" spans="1:5" ht="15">
      <c r="A1052" s="3">
        <v>2030</v>
      </c>
      <c r="B1052" s="4">
        <f>AVERAGE(B185:B196)</f>
        <v>18.748383333333333</v>
      </c>
      <c r="C1052" s="4">
        <f>AVERAGE(C185:C196)</f>
        <v>18.435883333333333</v>
      </c>
      <c r="D1052" s="4">
        <f>AVERAGE(D185:D196)</f>
        <v>24.335166666666666</v>
      </c>
      <c r="E1052" s="4">
        <f>AVERAGE(E185:E196)</f>
        <v>108.57302093505869</v>
      </c>
    </row>
    <row r="1053" spans="1:5" ht="15">
      <c r="A1053" s="3">
        <v>2031</v>
      </c>
      <c r="B1053" s="4">
        <f>AVERAGE(B197:B208)</f>
        <v>19.083258333333337</v>
      </c>
      <c r="C1053" s="4">
        <f>AVERAGE(C197:C208)</f>
        <v>18.770758333333337</v>
      </c>
      <c r="D1053" s="4">
        <f>AVERAGE(D197:D208)</f>
        <v>24.702208333333335</v>
      </c>
      <c r="E1053" s="4">
        <f>AVERAGE(E197:E208)</f>
        <v>110.79463195800783</v>
      </c>
    </row>
    <row r="1054" spans="1:5" ht="15">
      <c r="A1054" s="3">
        <v>2032</v>
      </c>
      <c r="B1054" s="4">
        <f>AVERAGE(B209:B220)</f>
        <v>19.437316666666664</v>
      </c>
      <c r="C1054" s="4">
        <f>AVERAGE(C209:C220)</f>
        <v>19.124816666666664</v>
      </c>
      <c r="D1054" s="4">
        <f>AVERAGE(D209:D220)</f>
        <v>25.073149999999998</v>
      </c>
      <c r="E1054" s="4">
        <f>AVERAGE(E209:E220)</f>
        <v>113.02646636962892</v>
      </c>
    </row>
    <row r="1055" spans="1:5" ht="15">
      <c r="A1055" s="3">
        <v>2033</v>
      </c>
      <c r="B1055" s="4">
        <f>AVERAGE(B221:B232)</f>
        <v>19.787200000000002</v>
      </c>
      <c r="C1055" s="4">
        <f>AVERAGE(C221:C232)</f>
        <v>19.474700000000002</v>
      </c>
      <c r="D1055" s="4">
        <f>AVERAGE(D221:D232)</f>
        <v>25.439508333333336</v>
      </c>
      <c r="E1055" s="4">
        <f>AVERAGE(E221:E232)</f>
        <v>115.24274444580067</v>
      </c>
    </row>
    <row r="1056" spans="1:5" ht="15">
      <c r="A1056" s="3">
        <v>2034</v>
      </c>
      <c r="B1056" s="4">
        <f>AVERAGE(B233:B244)</f>
        <v>20.142991666666664</v>
      </c>
      <c r="C1056" s="4">
        <f>AVERAGE(C233:C244)</f>
        <v>19.830491666666664</v>
      </c>
      <c r="D1056" s="4">
        <f>AVERAGE(D233:D244)</f>
        <v>25.812358333333332</v>
      </c>
      <c r="E1056" s="4">
        <f>AVERAGE(E233:E244)</f>
        <v>117.50201416015641</v>
      </c>
    </row>
    <row r="1057" spans="1:5" ht="15">
      <c r="A1057" s="3">
        <v>2035</v>
      </c>
      <c r="B1057" s="4">
        <f>AVERAGE(B245:B256)</f>
        <v>20.506608333333336</v>
      </c>
      <c r="C1057" s="4">
        <f>AVERAGE(C245:C256)</f>
        <v>20.194108333333336</v>
      </c>
      <c r="D1057" s="4">
        <f>AVERAGE(D245:D256)</f>
        <v>26.221274999999995</v>
      </c>
      <c r="E1057" s="4">
        <f>AVERAGE(E245:E256)</f>
        <v>119.80786132812501</v>
      </c>
    </row>
    <row r="1058" spans="1:5" ht="15">
      <c r="A1058" s="3">
        <v>2036</v>
      </c>
      <c r="B1058" s="4">
        <f>AVERAGE(B257:B268)</f>
        <v>21.149041666666665</v>
      </c>
      <c r="C1058" s="4">
        <f>AVERAGE(C257:C268)</f>
        <v>20.836541666666665</v>
      </c>
      <c r="D1058" s="4">
        <f>AVERAGE(D257:D268)</f>
        <v>26.859216666666669</v>
      </c>
      <c r="E1058" s="4">
        <f>AVERAGE(E257:E268)</f>
        <v>123.58180895996094</v>
      </c>
    </row>
    <row r="1059" spans="1:5" ht="15">
      <c r="A1059" s="3">
        <v>2037</v>
      </c>
      <c r="B1059" s="4">
        <f>AVERAGE(B269:B280)</f>
        <v>21.813608333333335</v>
      </c>
      <c r="C1059" s="4">
        <f>AVERAGE(C269:C280)</f>
        <v>21.501108333333335</v>
      </c>
      <c r="D1059" s="4">
        <f>AVERAGE(D269:D280)</f>
        <v>27.513024999999995</v>
      </c>
      <c r="E1059" s="4">
        <f>AVERAGE(E269:E280)</f>
        <v>127.47463594219975</v>
      </c>
    </row>
    <row r="1060" spans="1:5" ht="15">
      <c r="A1060" s="3">
        <f t="shared" ref="A1060:A1091" si="0">A1059+1</f>
        <v>2038</v>
      </c>
      <c r="B1060" s="4">
        <f>AVERAGE(B281:B292)</f>
        <v>22.501125000000002</v>
      </c>
      <c r="C1060" s="4">
        <f>AVERAGE(C281:C292)</f>
        <v>22.188625000000002</v>
      </c>
      <c r="D1060" s="4">
        <f>AVERAGE(D281:D292)</f>
        <v>28.183016666666663</v>
      </c>
      <c r="E1060" s="4">
        <f>AVERAGE(E281:E292)</f>
        <v>131.49008697437901</v>
      </c>
    </row>
    <row r="1061" spans="1:5" ht="15">
      <c r="A1061" s="3">
        <f t="shared" si="0"/>
        <v>2039</v>
      </c>
      <c r="B1061" s="4">
        <f>AVERAGE(B293:B304)</f>
        <v>23.212333333333333</v>
      </c>
      <c r="C1061" s="4">
        <f>AVERAGE(C293:C304)</f>
        <v>22.899833333333333</v>
      </c>
      <c r="D1061" s="4">
        <f>AVERAGE(D293:D304)</f>
        <v>28.869624999999996</v>
      </c>
      <c r="E1061" s="4">
        <f>AVERAGE(E293:E304)</f>
        <v>135.63202471407195</v>
      </c>
    </row>
    <row r="1062" spans="1:5" ht="15">
      <c r="A1062" s="3">
        <f t="shared" si="0"/>
        <v>2040</v>
      </c>
      <c r="B1062" s="4">
        <f>AVERAGE(B305:B316)</f>
        <v>23.948125000000001</v>
      </c>
      <c r="C1062" s="4">
        <f>AVERAGE(C305:C316)</f>
        <v>23.635625000000001</v>
      </c>
      <c r="D1062" s="4">
        <f>AVERAGE(D305:D316)</f>
        <v>29.573250000000005</v>
      </c>
      <c r="E1062" s="4">
        <f>AVERAGE(E305:E316)</f>
        <v>139.90443349256523</v>
      </c>
    </row>
    <row r="1063" spans="1:5" ht="15">
      <c r="A1063" s="3">
        <f t="shared" si="0"/>
        <v>2041</v>
      </c>
      <c r="B1063" s="4">
        <f>AVERAGE(B317:B328)</f>
        <v>24.709266666666668</v>
      </c>
      <c r="C1063" s="4">
        <f>AVERAGE(C317:C328)</f>
        <v>24.396766666666668</v>
      </c>
      <c r="D1063" s="4">
        <f>AVERAGE(D317:D328)</f>
        <v>30.294366666666665</v>
      </c>
      <c r="E1063" s="4">
        <f>AVERAGE(E317:E328)</f>
        <v>144.31142314758108</v>
      </c>
    </row>
    <row r="1064" spans="1:5" ht="15">
      <c r="A1064" s="3">
        <f t="shared" si="0"/>
        <v>2042</v>
      </c>
      <c r="B1064" s="4">
        <f>AVERAGE(B329:B340)</f>
        <v>25.496683333333333</v>
      </c>
      <c r="C1064" s="4">
        <f>AVERAGE(C329:C340)</f>
        <v>25.184183333333333</v>
      </c>
      <c r="D1064" s="4">
        <f>AVERAGE(D329:D340)</f>
        <v>31.033324999999994</v>
      </c>
      <c r="E1064" s="4">
        <f>AVERAGE(E329:E340)</f>
        <v>148.85723297672993</v>
      </c>
    </row>
    <row r="1065" spans="1:5" ht="15">
      <c r="A1065" s="3">
        <f t="shared" si="0"/>
        <v>2043</v>
      </c>
      <c r="B1065" s="4">
        <f>AVERAGE(B341:B352)</f>
        <v>26.311250000000001</v>
      </c>
      <c r="C1065" s="4">
        <f>AVERAGE(C341:C352)</f>
        <v>25.998750000000001</v>
      </c>
      <c r="D1065" s="4">
        <f>AVERAGE(D341:D352)</f>
        <v>31.790625000000002</v>
      </c>
      <c r="E1065" s="4">
        <f>AVERAGE(E341:E352)</f>
        <v>153.546235815497</v>
      </c>
    </row>
    <row r="1066" spans="1:5" ht="15">
      <c r="A1066" s="3">
        <f t="shared" si="0"/>
        <v>2044</v>
      </c>
      <c r="B1066" s="4">
        <f>AVERAGE(B353:B364)</f>
        <v>27.153925000000001</v>
      </c>
      <c r="C1066" s="4">
        <f>AVERAGE(C353:C364)</f>
        <v>26.841425000000001</v>
      </c>
      <c r="D1066" s="4">
        <f>AVERAGE(D353:D364)</f>
        <v>32.566716666666672</v>
      </c>
      <c r="E1066" s="4">
        <f>AVERAGE(E353:E364)</f>
        <v>158.38294224368528</v>
      </c>
    </row>
    <row r="1067" spans="1:5" ht="15">
      <c r="A1067" s="3">
        <f t="shared" si="0"/>
        <v>2045</v>
      </c>
      <c r="B1067" s="4">
        <f>AVERAGE(B365:B376)</f>
        <v>28.025675000000003</v>
      </c>
      <c r="C1067" s="4">
        <f>AVERAGE(C365:C376)</f>
        <v>27.713175000000003</v>
      </c>
      <c r="D1067" s="4">
        <f>AVERAGE(D365:D376)</f>
        <v>33.362049999999996</v>
      </c>
      <c r="E1067" s="4">
        <f>AVERAGE(E365:E376)</f>
        <v>163.37200492436116</v>
      </c>
    </row>
    <row r="1068" spans="1:5" ht="15">
      <c r="A1068" s="3">
        <f t="shared" si="0"/>
        <v>2046</v>
      </c>
      <c r="B1068" s="4">
        <f>AVERAGE(B377:B388)</f>
        <v>28.927499999999998</v>
      </c>
      <c r="C1068" s="4">
        <f>AVERAGE(C377:C388)</f>
        <v>28.614999999999998</v>
      </c>
      <c r="D1068" s="4">
        <f>AVERAGE(D377:D388)</f>
        <v>34.177091666666662</v>
      </c>
      <c r="E1068" s="4">
        <f>AVERAGE(E377:E388)</f>
        <v>168.51822307947847</v>
      </c>
    </row>
    <row r="1069" spans="1:5" ht="15">
      <c r="A1069" s="3">
        <f t="shared" si="0"/>
        <v>2047</v>
      </c>
      <c r="B1069" s="4">
        <f>AVERAGE(B389:B400)</f>
        <v>29.860466666666667</v>
      </c>
      <c r="C1069" s="4">
        <f>AVERAGE(C389:C400)</f>
        <v>29.547966666666667</v>
      </c>
      <c r="D1069" s="4">
        <f>AVERAGE(D389:D400)</f>
        <v>35.012350000000005</v>
      </c>
      <c r="E1069" s="4">
        <f>AVERAGE(E389:E400)</f>
        <v>173.82654710648217</v>
      </c>
    </row>
    <row r="1070" spans="1:5" ht="15">
      <c r="A1070" s="3">
        <f t="shared" si="0"/>
        <v>2048</v>
      </c>
      <c r="B1070" s="4">
        <f>AVERAGE(B401:B412)</f>
        <v>30.825574999999997</v>
      </c>
      <c r="C1070" s="4">
        <f>AVERAGE(C401:C412)</f>
        <v>30.513075000000001</v>
      </c>
      <c r="D1070" s="4">
        <f>AVERAGE(D401:D412)</f>
        <v>35.86835</v>
      </c>
      <c r="E1070" s="4">
        <f>AVERAGE(E401:E412)</f>
        <v>179.30208334033617</v>
      </c>
    </row>
    <row r="1071" spans="1:5" ht="15">
      <c r="A1071" s="3">
        <f t="shared" si="0"/>
        <v>2049</v>
      </c>
      <c r="B1071" s="4">
        <f>AVERAGE(B413:B424)</f>
        <v>31.824000000000002</v>
      </c>
      <c r="C1071" s="4">
        <f>AVERAGE(C413:C424)</f>
        <v>31.511500000000002</v>
      </c>
      <c r="D1071" s="4">
        <f>AVERAGE(D413:D424)</f>
        <v>36.745550000000001</v>
      </c>
      <c r="E1071" s="4">
        <f>AVERAGE(E413:E424)</f>
        <v>184.9500989655568</v>
      </c>
    </row>
    <row r="1072" spans="1:5" ht="15">
      <c r="A1072" s="3">
        <f t="shared" si="0"/>
        <v>2050</v>
      </c>
      <c r="B1072" s="4">
        <f>AVERAGE(B425:B436)</f>
        <v>32.856858333333328</v>
      </c>
      <c r="C1072" s="4">
        <f>AVERAGE(C425:C436)</f>
        <v>32.544358333333328</v>
      </c>
      <c r="D1072" s="4">
        <f>AVERAGE(D425:D436)</f>
        <v>37.644524999999994</v>
      </c>
      <c r="E1072" s="4">
        <f>AVERAGE(E425:E436)</f>
        <v>190.77602708297198</v>
      </c>
    </row>
    <row r="1073" spans="1:5" ht="15">
      <c r="A1073" s="3">
        <f t="shared" si="0"/>
        <v>2051</v>
      </c>
      <c r="B1073" s="4">
        <f>AVERAGE(B437:B448)</f>
        <v>33.925350000000002</v>
      </c>
      <c r="C1073" s="4">
        <f>AVERAGE(C437:C448)</f>
        <v>33.612850000000002</v>
      </c>
      <c r="D1073" s="4">
        <f>AVERAGE(D437:D448)</f>
        <v>38.565766666666669</v>
      </c>
      <c r="E1073" s="4">
        <f>AVERAGE(E437:E448)</f>
        <v>196.7854719360856</v>
      </c>
    </row>
    <row r="1074" spans="1:5" ht="15">
      <c r="A1074" s="3">
        <f t="shared" si="0"/>
        <v>2052</v>
      </c>
      <c r="B1074" s="4">
        <f>AVERAGE(B449:B460)</f>
        <v>35.030741666666664</v>
      </c>
      <c r="C1074" s="4">
        <f>AVERAGE(C449:C460)</f>
        <v>34.718241666666664</v>
      </c>
      <c r="D1074" s="4">
        <f>AVERAGE(D449:D460)</f>
        <v>39.509883333333335</v>
      </c>
      <c r="E1074" s="4">
        <f>AVERAGE(E449:E460)</f>
        <v>202.98421430207244</v>
      </c>
    </row>
    <row r="1075" spans="1:5" ht="15">
      <c r="A1075" s="3">
        <f t="shared" si="0"/>
        <v>2053</v>
      </c>
      <c r="B1075" s="4">
        <f>AVERAGE(B461:B472)</f>
        <v>36.174233333333333</v>
      </c>
      <c r="C1075" s="4">
        <f>AVERAGE(C461:C472)</f>
        <v>35.861733333333333</v>
      </c>
      <c r="D1075" s="4">
        <f>AVERAGE(D461:D472)</f>
        <v>40.477408333333337</v>
      </c>
      <c r="E1075" s="4">
        <f>AVERAGE(E461:E472)</f>
        <v>209.37821705258753</v>
      </c>
    </row>
    <row r="1076" spans="1:5" ht="15">
      <c r="A1076" s="3">
        <f t="shared" si="0"/>
        <v>2054</v>
      </c>
      <c r="B1076" s="4">
        <f>AVERAGE(B473:B484)</f>
        <v>37.357174999999998</v>
      </c>
      <c r="C1076" s="4">
        <f>AVERAGE(C473:C484)</f>
        <v>37.044674999999998</v>
      </c>
      <c r="D1076" s="4">
        <f>AVERAGE(D473:D484)</f>
        <v>41.468908333333331</v>
      </c>
      <c r="E1076" s="4">
        <f>AVERAGE(E473:E484)</f>
        <v>215.97363088974407</v>
      </c>
    </row>
    <row r="1077" spans="1:5" ht="15">
      <c r="A1077" s="3">
        <f t="shared" si="0"/>
        <v>2055</v>
      </c>
      <c r="B1077" s="4">
        <f>AVERAGE(B485:B496)</f>
        <v>38.580941666666675</v>
      </c>
      <c r="C1077" s="4">
        <f>AVERAGE(C485:C496)</f>
        <v>38.268441666666675</v>
      </c>
      <c r="D1077" s="4">
        <f>AVERAGE(D485:D496)</f>
        <v>42.485016666666667</v>
      </c>
      <c r="E1077" s="4">
        <f>AVERAGE(E485:E496)</f>
        <v>222.77680026277119</v>
      </c>
    </row>
    <row r="1078" spans="1:5" ht="15">
      <c r="A1078" s="3">
        <f t="shared" si="0"/>
        <v>2056</v>
      </c>
      <c r="B1078" s="4">
        <f>AVERAGE(B497:B508)</f>
        <v>39.846933333333332</v>
      </c>
      <c r="C1078" s="4">
        <f>AVERAGE(C497:C508)</f>
        <v>39.534433333333332</v>
      </c>
      <c r="D1078" s="4">
        <f>AVERAGE(D497:D508)</f>
        <v>43.526308333333333</v>
      </c>
      <c r="E1078" s="4">
        <f>AVERAGE(E497:E508)</f>
        <v>229.79426947104824</v>
      </c>
    </row>
    <row r="1079" spans="1:5" ht="15">
      <c r="A1079" s="3">
        <f t="shared" si="0"/>
        <v>2057</v>
      </c>
      <c r="B1079" s="4">
        <f>AVERAGE(B509:B520)</f>
        <v>41.156591666666664</v>
      </c>
      <c r="C1079" s="4">
        <f>AVERAGE(C509:C520)</f>
        <v>40.844091666666664</v>
      </c>
      <c r="D1079" s="4">
        <f>AVERAGE(D509:D520)</f>
        <v>44.593449999999997</v>
      </c>
      <c r="E1079" s="4">
        <f>AVERAGE(E509:E520)</f>
        <v>237.03278895938658</v>
      </c>
    </row>
    <row r="1080" spans="1:5" ht="15">
      <c r="A1080" s="3">
        <f t="shared" si="0"/>
        <v>2058</v>
      </c>
      <c r="B1080" s="4">
        <f>AVERAGE(B521:B532)</f>
        <v>42.511433333333336</v>
      </c>
      <c r="C1080" s="4">
        <f>AVERAGE(C521:C532)</f>
        <v>42.198933333333336</v>
      </c>
      <c r="D1080" s="4">
        <f>AVERAGE(D521:D532)</f>
        <v>45.687033333333339</v>
      </c>
      <c r="E1080" s="4">
        <f>AVERAGE(E521:E532)</f>
        <v>244.49932181160727</v>
      </c>
    </row>
    <row r="1081" spans="1:5" ht="15">
      <c r="A1081" s="3">
        <f t="shared" si="0"/>
        <v>2059</v>
      </c>
      <c r="B1081" s="4">
        <f>AVERAGE(B533:B544)</f>
        <v>43.913008333333345</v>
      </c>
      <c r="C1081" s="4">
        <f>AVERAGE(C533:C544)</f>
        <v>43.600508333333345</v>
      </c>
      <c r="D1081" s="4">
        <f>AVERAGE(D533:D544)</f>
        <v>46.807750000000006</v>
      </c>
      <c r="E1081" s="4">
        <f>AVERAGE(E533:E544)</f>
        <v>252.20105044867276</v>
      </c>
    </row>
    <row r="1082" spans="1:5" ht="15">
      <c r="A1082" s="3">
        <f t="shared" si="0"/>
        <v>2060</v>
      </c>
      <c r="B1082" s="4">
        <f>AVERAGE(B545:B556)</f>
        <v>45.362941666666671</v>
      </c>
      <c r="C1082" s="4">
        <f>AVERAGE(C545:C556)</f>
        <v>45.050441666666671</v>
      </c>
      <c r="D1082" s="4">
        <f>AVERAGE(D545:D556)</f>
        <v>47.956266666666657</v>
      </c>
      <c r="E1082" s="4">
        <f>AVERAGE(E545:E556)</f>
        <v>260.14538353780608</v>
      </c>
    </row>
    <row r="1083" spans="1:5" ht="15">
      <c r="A1083" s="3">
        <f t="shared" si="0"/>
        <v>2061</v>
      </c>
      <c r="B1083" s="4">
        <f>AVERAGE(B557:B568)</f>
        <v>46.862900000000003</v>
      </c>
      <c r="C1083" s="4">
        <f>AVERAGE(C557:C568)</f>
        <v>46.550400000000003</v>
      </c>
      <c r="D1083" s="4">
        <f>AVERAGE(D557:D568)</f>
        <v>49.133250000000004</v>
      </c>
      <c r="E1083" s="4">
        <f>AVERAGE(E557:E568)</f>
        <v>268.33996311924687</v>
      </c>
    </row>
    <row r="1084" spans="1:5" ht="15">
      <c r="A1084" s="3">
        <f t="shared" si="0"/>
        <v>2062</v>
      </c>
      <c r="B1084" s="4">
        <f t="shared" ref="B1084:E1103" ca="1" si="1">AVERAGE(OFFSET(B$569,($A1084-$A$1084)*12,0,12,1))</f>
        <v>48.414608333333341</v>
      </c>
      <c r="C1084" s="4">
        <f t="shared" ca="1" si="1"/>
        <v>48.102108333333341</v>
      </c>
      <c r="D1084" s="4">
        <f t="shared" ca="1" si="1"/>
        <v>50.339416666666665</v>
      </c>
      <c r="E1084" s="4">
        <f t="shared" ca="1" si="1"/>
        <v>276.79267195750305</v>
      </c>
    </row>
    <row r="1085" spans="1:5" ht="15">
      <c r="A1085" s="3">
        <f t="shared" si="0"/>
        <v>2063</v>
      </c>
      <c r="B1085" s="4">
        <f t="shared" ca="1" si="1"/>
        <v>50.019858333333332</v>
      </c>
      <c r="C1085" s="4">
        <f t="shared" ca="1" si="1"/>
        <v>49.707358333333332</v>
      </c>
      <c r="D1085" s="4">
        <f t="shared" ca="1" si="1"/>
        <v>51.57553333333334</v>
      </c>
      <c r="E1085" s="4">
        <f t="shared" ca="1" si="1"/>
        <v>285.51164112416478</v>
      </c>
    </row>
    <row r="1086" spans="1:5" ht="15">
      <c r="A1086" s="3">
        <f t="shared" si="0"/>
        <v>2064</v>
      </c>
      <c r="B1086" s="4">
        <f t="shared" ca="1" si="1"/>
        <v>51.680500000000002</v>
      </c>
      <c r="C1086" s="4">
        <f t="shared" ca="1" si="1"/>
        <v>51.368000000000002</v>
      </c>
      <c r="D1086" s="4">
        <f t="shared" ca="1" si="1"/>
        <v>52.842266666666667</v>
      </c>
      <c r="E1086" s="4">
        <f t="shared" ca="1" si="1"/>
        <v>294.50525781957595</v>
      </c>
    </row>
    <row r="1087" spans="1:5" ht="15">
      <c r="A1087" s="3">
        <f t="shared" si="0"/>
        <v>2065</v>
      </c>
      <c r="B1087" s="4">
        <f t="shared" ca="1" si="1"/>
        <v>53.398383333333349</v>
      </c>
      <c r="C1087" s="4">
        <f t="shared" ca="1" si="1"/>
        <v>53.085883333333349</v>
      </c>
      <c r="D1087" s="4">
        <f t="shared" ca="1" si="1"/>
        <v>54.140449999999994</v>
      </c>
      <c r="E1087" s="4">
        <f t="shared" ca="1" si="1"/>
        <v>303.78217344089256</v>
      </c>
    </row>
    <row r="1088" spans="1:5" ht="15">
      <c r="A1088" s="3">
        <f t="shared" si="0"/>
        <v>2066</v>
      </c>
      <c r="B1088" s="4">
        <f t="shared" ca="1" si="1"/>
        <v>55.175600000000003</v>
      </c>
      <c r="C1088" s="4">
        <f t="shared" ca="1" si="1"/>
        <v>54.863100000000003</v>
      </c>
      <c r="D1088" s="4">
        <f t="shared" ca="1" si="1"/>
        <v>55.470799999999997</v>
      </c>
      <c r="E1088" s="4">
        <f t="shared" ca="1" si="1"/>
        <v>313.35131190428064</v>
      </c>
    </row>
    <row r="1089" spans="1:5" ht="15">
      <c r="A1089" s="3">
        <f t="shared" si="0"/>
        <v>2067</v>
      </c>
      <c r="B1089" s="4">
        <f t="shared" ca="1" si="1"/>
        <v>57.014091666666666</v>
      </c>
      <c r="C1089" s="4">
        <f t="shared" ca="1" si="1"/>
        <v>56.701591666666666</v>
      </c>
      <c r="D1089" s="4">
        <f t="shared" ca="1" si="1"/>
        <v>56.834141666666675</v>
      </c>
      <c r="E1089" s="4">
        <f t="shared" ca="1" si="1"/>
        <v>323.2218782292656</v>
      </c>
    </row>
    <row r="1090" spans="1:5" ht="15">
      <c r="A1090" s="3">
        <f t="shared" si="0"/>
        <v>2068</v>
      </c>
      <c r="B1090" s="4">
        <f t="shared" ca="1" si="1"/>
        <v>58.91600833333333</v>
      </c>
      <c r="C1090" s="4">
        <f t="shared" ca="1" si="1"/>
        <v>58.60350833333333</v>
      </c>
      <c r="D1090" s="4">
        <f t="shared" ca="1" si="1"/>
        <v>58.231308333333338</v>
      </c>
      <c r="E1090" s="4">
        <f t="shared" ca="1" si="1"/>
        <v>333.40336739348754</v>
      </c>
    </row>
    <row r="1091" spans="1:5" ht="15">
      <c r="A1091" s="3">
        <f t="shared" si="0"/>
        <v>2069</v>
      </c>
      <c r="B1091" s="4">
        <f t="shared" ca="1" si="1"/>
        <v>60.883566666666667</v>
      </c>
      <c r="C1091" s="4">
        <f t="shared" ca="1" si="1"/>
        <v>60.571066666666667</v>
      </c>
      <c r="D1091" s="4">
        <f t="shared" ca="1" si="1"/>
        <v>59.663108333333334</v>
      </c>
      <c r="E1091" s="4">
        <f t="shared" ca="1" si="1"/>
        <v>343.90557346638224</v>
      </c>
    </row>
    <row r="1092" spans="1:5" ht="15">
      <c r="A1092" s="3">
        <f t="shared" ref="A1092:A1122" si="2">A1091+1</f>
        <v>2070</v>
      </c>
      <c r="B1092" s="4">
        <f t="shared" ca="1" si="1"/>
        <v>62.918974999999996</v>
      </c>
      <c r="C1092" s="4">
        <f t="shared" ca="1" si="1"/>
        <v>62.60647500000001</v>
      </c>
      <c r="D1092" s="4">
        <f t="shared" ca="1" si="1"/>
        <v>61.130433333333336</v>
      </c>
      <c r="E1092" s="4">
        <f t="shared" ca="1" si="1"/>
        <v>354.7385990305732</v>
      </c>
    </row>
    <row r="1093" spans="1:5" ht="15">
      <c r="A1093" s="3">
        <f t="shared" si="2"/>
        <v>2071</v>
      </c>
      <c r="B1093" s="4">
        <f t="shared" ca="1" si="1"/>
        <v>65.024633333333327</v>
      </c>
      <c r="C1093" s="4">
        <f t="shared" ca="1" si="1"/>
        <v>64.712133333333327</v>
      </c>
      <c r="D1093" s="4">
        <f t="shared" ca="1" si="1"/>
        <v>62.634141666666672</v>
      </c>
      <c r="E1093" s="4">
        <f t="shared" ca="1" si="1"/>
        <v>365.91286490003648</v>
      </c>
    </row>
    <row r="1094" spans="1:5" ht="15">
      <c r="A1094" s="3">
        <f t="shared" si="2"/>
        <v>2072</v>
      </c>
      <c r="B1094" s="4">
        <f t="shared" ca="1" si="1"/>
        <v>67.202924999999993</v>
      </c>
      <c r="C1094" s="4">
        <f t="shared" ca="1" si="1"/>
        <v>66.890424999999993</v>
      </c>
      <c r="D1094" s="4">
        <f t="shared" ca="1" si="1"/>
        <v>64.175141666666676</v>
      </c>
      <c r="E1094" s="4">
        <f t="shared" ca="1" si="1"/>
        <v>377.43912014438769</v>
      </c>
    </row>
    <row r="1095" spans="1:5" ht="15">
      <c r="A1095" s="3">
        <f t="shared" si="2"/>
        <v>2073</v>
      </c>
      <c r="B1095" s="4">
        <f t="shared" ca="1" si="1"/>
        <v>69.45634166666666</v>
      </c>
      <c r="C1095" s="4">
        <f t="shared" ca="1" si="1"/>
        <v>69.14384166666666</v>
      </c>
      <c r="D1095" s="4">
        <f t="shared" ca="1" si="1"/>
        <v>65.754374999999996</v>
      </c>
      <c r="E1095" s="4">
        <f t="shared" ca="1" si="1"/>
        <v>389.32845242893586</v>
      </c>
    </row>
    <row r="1096" spans="1:5" ht="15">
      <c r="A1096" s="3">
        <f t="shared" si="2"/>
        <v>2074</v>
      </c>
      <c r="B1096" s="4">
        <f t="shared" ca="1" si="1"/>
        <v>71.787549999999996</v>
      </c>
      <c r="C1096" s="4">
        <f t="shared" ca="1" si="1"/>
        <v>71.475049999999996</v>
      </c>
      <c r="D1096" s="4">
        <f t="shared" ca="1" si="1"/>
        <v>67.372749999999996</v>
      </c>
      <c r="E1096" s="4">
        <f t="shared" ca="1" si="1"/>
        <v>401.59229868044753</v>
      </c>
    </row>
    <row r="1097" spans="1:5" ht="15">
      <c r="A1097" s="3">
        <f t="shared" si="2"/>
        <v>2075</v>
      </c>
      <c r="B1097" s="4">
        <f t="shared" ca="1" si="1"/>
        <v>74.199150000000003</v>
      </c>
      <c r="C1097" s="4">
        <f t="shared" ca="1" si="1"/>
        <v>73.886650000000003</v>
      </c>
      <c r="D1097" s="4">
        <f t="shared" ca="1" si="1"/>
        <v>69.031266666666667</v>
      </c>
      <c r="E1097" s="4">
        <f t="shared" ca="1" si="1"/>
        <v>414.24245608888168</v>
      </c>
    </row>
    <row r="1098" spans="1:5" ht="15">
      <c r="A1098" s="3">
        <f t="shared" si="2"/>
        <v>2076</v>
      </c>
      <c r="B1098" s="4">
        <f t="shared" ca="1" si="1"/>
        <v>76.693958333333327</v>
      </c>
      <c r="C1098" s="4">
        <f t="shared" ca="1" si="1"/>
        <v>76.381458333333327</v>
      </c>
      <c r="D1098" s="4">
        <f t="shared" ca="1" si="1"/>
        <v>70.730916666666658</v>
      </c>
      <c r="E1098" s="4">
        <f t="shared" ca="1" si="1"/>
        <v>427.29109345568151</v>
      </c>
    </row>
    <row r="1099" spans="1:5" ht="15">
      <c r="A1099" s="3">
        <f t="shared" si="2"/>
        <v>2077</v>
      </c>
      <c r="B1099" s="4">
        <f t="shared" ca="1" si="1"/>
        <v>79.274833333333333</v>
      </c>
      <c r="C1099" s="4">
        <f t="shared" ca="1" si="1"/>
        <v>78.962333333333333</v>
      </c>
      <c r="D1099" s="4">
        <f t="shared" ca="1" si="1"/>
        <v>72.47270833333333</v>
      </c>
      <c r="E1099" s="4">
        <f t="shared" ca="1" si="1"/>
        <v>440.75076289953535</v>
      </c>
    </row>
    <row r="1100" spans="1:5" ht="15">
      <c r="A1100" s="3">
        <f t="shared" si="2"/>
        <v>2078</v>
      </c>
      <c r="B1100" s="4">
        <f t="shared" ca="1" si="1"/>
        <v>81.944775000000007</v>
      </c>
      <c r="C1100" s="4">
        <f t="shared" ca="1" si="1"/>
        <v>81.632275000000007</v>
      </c>
      <c r="D1100" s="4">
        <f t="shared" ca="1" si="1"/>
        <v>74.257708333333326</v>
      </c>
      <c r="E1100" s="4">
        <f t="shared" ca="1" si="1"/>
        <v>454.63441193087101</v>
      </c>
    </row>
    <row r="1101" spans="1:5" ht="15">
      <c r="A1101" s="3">
        <f t="shared" si="2"/>
        <v>2079</v>
      </c>
      <c r="B1101" s="4">
        <f t="shared" ca="1" si="1"/>
        <v>84.706800000000001</v>
      </c>
      <c r="C1101" s="4">
        <f t="shared" ca="1" si="1"/>
        <v>84.394300000000001</v>
      </c>
      <c r="D1101" s="4">
        <f t="shared" ca="1" si="1"/>
        <v>76.086991666666663</v>
      </c>
      <c r="E1101" s="4">
        <f t="shared" ca="1" si="1"/>
        <v>468.95539590669335</v>
      </c>
    </row>
    <row r="1102" spans="1:5" ht="15">
      <c r="A1102" s="3">
        <f t="shared" si="2"/>
        <v>2080</v>
      </c>
      <c r="B1102" s="4">
        <f t="shared" ca="1" si="1"/>
        <v>87.56412499999999</v>
      </c>
      <c r="C1102" s="4">
        <f t="shared" ca="1" si="1"/>
        <v>87.25162499999999</v>
      </c>
      <c r="D1102" s="4">
        <f t="shared" ca="1" si="1"/>
        <v>77.961600000000004</v>
      </c>
      <c r="E1102" s="4">
        <f t="shared" ca="1" si="1"/>
        <v>483.72749087775429</v>
      </c>
    </row>
    <row r="1103" spans="1:5" ht="15">
      <c r="A1103" s="3">
        <f t="shared" si="2"/>
        <v>2081</v>
      </c>
      <c r="B1103" s="4">
        <f t="shared" ca="1" si="1"/>
        <v>90.520033333333345</v>
      </c>
      <c r="C1103" s="4">
        <f t="shared" ca="1" si="1"/>
        <v>90.207533333333345</v>
      </c>
      <c r="D1103" s="4">
        <f t="shared" ca="1" si="1"/>
        <v>79.882741666666661</v>
      </c>
      <c r="E1103" s="4">
        <f t="shared" ca="1" si="1"/>
        <v>498.96490684040344</v>
      </c>
    </row>
    <row r="1104" spans="1:5" ht="15">
      <c r="A1104" s="3">
        <f t="shared" si="2"/>
        <v>2082</v>
      </c>
      <c r="B1104" s="4">
        <f t="shared" ref="B1104:E1122" ca="1" si="3">AVERAGE(OFFSET(B$569,($A1104-$A$1084)*12,0,12,1))</f>
        <v>93.577916666666638</v>
      </c>
      <c r="C1104" s="4">
        <f t="shared" ca="1" si="3"/>
        <v>93.265416666666638</v>
      </c>
      <c r="D1104" s="4">
        <f t="shared" ca="1" si="3"/>
        <v>81.851499999999987</v>
      </c>
      <c r="E1104" s="4">
        <f t="shared" ca="1" si="3"/>
        <v>514.68230140587605</v>
      </c>
    </row>
    <row r="1105" spans="1:5" ht="15">
      <c r="A1105" s="3">
        <f t="shared" si="2"/>
        <v>2083</v>
      </c>
      <c r="B1105" s="4">
        <f t="shared" ca="1" si="3"/>
        <v>96.74129166666664</v>
      </c>
      <c r="C1105" s="4">
        <f t="shared" ca="1" si="3"/>
        <v>96.42879166666664</v>
      </c>
      <c r="D1105" s="4">
        <f t="shared" ca="1" si="3"/>
        <v>83.869091666666677</v>
      </c>
      <c r="E1105" s="4">
        <f t="shared" ca="1" si="3"/>
        <v>530.89479390016129</v>
      </c>
    </row>
    <row r="1106" spans="1:5" ht="15">
      <c r="A1106" s="3">
        <f t="shared" si="2"/>
        <v>2084</v>
      </c>
      <c r="B1106" s="4">
        <f t="shared" ca="1" si="3"/>
        <v>100.01381666666667</v>
      </c>
      <c r="C1106" s="4">
        <f t="shared" ca="1" si="3"/>
        <v>99.701316666666671</v>
      </c>
      <c r="D1106" s="4">
        <f t="shared" ca="1" si="3"/>
        <v>85.936716666666669</v>
      </c>
      <c r="E1106" s="4">
        <f t="shared" ca="1" si="3"/>
        <v>547.61797990801631</v>
      </c>
    </row>
    <row r="1107" spans="1:5" ht="15">
      <c r="A1107" s="3">
        <f t="shared" si="2"/>
        <v>2085</v>
      </c>
      <c r="B1107" s="4">
        <f t="shared" ca="1" si="3"/>
        <v>103.39921666666665</v>
      </c>
      <c r="C1107" s="4">
        <f t="shared" ca="1" si="3"/>
        <v>103.08671666666665</v>
      </c>
      <c r="D1107" s="4">
        <f t="shared" ca="1" si="3"/>
        <v>88.055625000000006</v>
      </c>
      <c r="E1107" s="4">
        <f t="shared" ca="1" si="3"/>
        <v>564.86794627511904</v>
      </c>
    </row>
    <row r="1108" spans="1:5" ht="15">
      <c r="A1108" s="3">
        <f t="shared" si="2"/>
        <v>2086</v>
      </c>
      <c r="B1108" s="4">
        <f t="shared" ca="1" si="3"/>
        <v>106.90141666666665</v>
      </c>
      <c r="C1108" s="4">
        <f t="shared" ca="1" si="3"/>
        <v>106.58891666666665</v>
      </c>
      <c r="D1108" s="4">
        <f t="shared" ca="1" si="3"/>
        <v>90.227058333333332</v>
      </c>
      <c r="E1108" s="4">
        <f t="shared" ca="1" si="3"/>
        <v>582.66128658278535</v>
      </c>
    </row>
    <row r="1109" spans="1:5" ht="15">
      <c r="A1109" s="3">
        <f t="shared" si="2"/>
        <v>2087</v>
      </c>
      <c r="B1109" s="4">
        <f t="shared" ca="1" si="3"/>
        <v>110.524475</v>
      </c>
      <c r="C1109" s="4">
        <f t="shared" ca="1" si="3"/>
        <v>110.211975</v>
      </c>
      <c r="D1109" s="4">
        <f t="shared" ca="1" si="3"/>
        <v>92.452400000000011</v>
      </c>
      <c r="E1109" s="4">
        <f t="shared" ca="1" si="3"/>
        <v>601.01511711014325</v>
      </c>
    </row>
    <row r="1110" spans="1:5" ht="15">
      <c r="A1110" s="3">
        <f t="shared" si="2"/>
        <v>2088</v>
      </c>
      <c r="B1110" s="4">
        <f t="shared" ca="1" si="3"/>
        <v>114.27250833333333</v>
      </c>
      <c r="C1110" s="4">
        <f t="shared" ca="1" si="3"/>
        <v>113.96000833333333</v>
      </c>
      <c r="D1110" s="4">
        <f t="shared" ca="1" si="3"/>
        <v>94.732883333333334</v>
      </c>
      <c r="E1110" s="4">
        <f t="shared" ca="1" si="3"/>
        <v>619.94709329911279</v>
      </c>
    </row>
    <row r="1111" spans="1:5" ht="15">
      <c r="A1111" s="3">
        <f t="shared" si="2"/>
        <v>2089</v>
      </c>
      <c r="B1111" s="4">
        <f t="shared" ca="1" si="3"/>
        <v>118.14984166666666</v>
      </c>
      <c r="C1111" s="4">
        <f t="shared" ca="1" si="3"/>
        <v>117.83734166666666</v>
      </c>
      <c r="D1111" s="4">
        <f t="shared" ca="1" si="3"/>
        <v>97.069933333333339</v>
      </c>
      <c r="E1111" s="4">
        <f t="shared" ca="1" si="3"/>
        <v>639.47542673803491</v>
      </c>
    </row>
    <row r="1112" spans="1:5" ht="15">
      <c r="A1112" s="3">
        <f t="shared" si="2"/>
        <v>2090</v>
      </c>
      <c r="B1112" s="4">
        <f t="shared" ca="1" si="3"/>
        <v>122.16095</v>
      </c>
      <c r="C1112" s="4">
        <f t="shared" ca="1" si="3"/>
        <v>121.84845</v>
      </c>
      <c r="D1112" s="4">
        <f t="shared" ca="1" si="3"/>
        <v>99.46493333333332</v>
      </c>
      <c r="E1112" s="4">
        <f t="shared" ca="1" si="3"/>
        <v>659.61890268028299</v>
      </c>
    </row>
    <row r="1113" spans="1:5" ht="15">
      <c r="A1113" s="3">
        <f t="shared" si="2"/>
        <v>2091</v>
      </c>
      <c r="B1113" s="4">
        <f t="shared" ca="1" si="3"/>
        <v>126.31044999999999</v>
      </c>
      <c r="C1113" s="4">
        <f t="shared" ca="1" si="3"/>
        <v>125.99794999999999</v>
      </c>
      <c r="D1113" s="4">
        <f t="shared" ca="1" si="3"/>
        <v>101.91934999999999</v>
      </c>
      <c r="E1113" s="4">
        <f t="shared" ca="1" si="3"/>
        <v>680.39689811471192</v>
      </c>
    </row>
    <row r="1114" spans="1:5" ht="15">
      <c r="A1114" s="3">
        <f t="shared" si="2"/>
        <v>2092</v>
      </c>
      <c r="B1114" s="4">
        <f t="shared" ca="1" si="3"/>
        <v>130.60310000000001</v>
      </c>
      <c r="C1114" s="4">
        <f t="shared" ca="1" si="3"/>
        <v>130.29060000000001</v>
      </c>
      <c r="D1114" s="4">
        <f t="shared" ca="1" si="3"/>
        <v>104.43460833333334</v>
      </c>
      <c r="E1114" s="4">
        <f t="shared" ca="1" si="3"/>
        <v>701.82940040532537</v>
      </c>
    </row>
    <row r="1115" spans="1:5" ht="15">
      <c r="A1115" s="3">
        <f t="shared" si="2"/>
        <v>2093</v>
      </c>
      <c r="B1115" s="4">
        <f t="shared" ca="1" si="3"/>
        <v>135.04385000000002</v>
      </c>
      <c r="C1115" s="4">
        <f t="shared" ca="1" si="3"/>
        <v>134.73135000000002</v>
      </c>
      <c r="D1115" s="4">
        <f t="shared" ca="1" si="3"/>
        <v>107.01225833333332</v>
      </c>
      <c r="E1115" s="4">
        <f t="shared" ca="1" si="3"/>
        <v>723.93702651809326</v>
      </c>
    </row>
    <row r="1116" spans="1:5" ht="15">
      <c r="A1116" s="3">
        <f t="shared" si="2"/>
        <v>2094</v>
      </c>
      <c r="B1116" s="4">
        <f t="shared" ca="1" si="3"/>
        <v>139.6378</v>
      </c>
      <c r="C1116" s="4">
        <f t="shared" ca="1" si="3"/>
        <v>139.3253</v>
      </c>
      <c r="D1116" s="4">
        <f t="shared" ca="1" si="3"/>
        <v>109.65385833333335</v>
      </c>
      <c r="E1116" s="4">
        <f t="shared" ca="1" si="3"/>
        <v>746.74104285341309</v>
      </c>
    </row>
    <row r="1117" spans="1:5" ht="15">
      <c r="A1117" s="3">
        <f t="shared" si="2"/>
        <v>2095</v>
      </c>
      <c r="B1117" s="4">
        <f t="shared" ca="1" si="3"/>
        <v>144.39025000000001</v>
      </c>
      <c r="C1117" s="4">
        <f t="shared" ca="1" si="3"/>
        <v>144.07775000000001</v>
      </c>
      <c r="D1117" s="4">
        <f t="shared" ca="1" si="3"/>
        <v>112.36094166666665</v>
      </c>
      <c r="E1117" s="4">
        <f t="shared" ca="1" si="3"/>
        <v>770.26338570329563</v>
      </c>
    </row>
    <row r="1118" spans="1:5" ht="15">
      <c r="A1118" s="3">
        <f t="shared" si="2"/>
        <v>2096</v>
      </c>
      <c r="B1118" s="4">
        <f t="shared" ca="1" si="3"/>
        <v>149.30664166666668</v>
      </c>
      <c r="C1118" s="4">
        <f t="shared" ca="1" si="3"/>
        <v>148.99414166666668</v>
      </c>
      <c r="D1118" s="4">
        <f t="shared" ca="1" si="3"/>
        <v>115.13516666666668</v>
      </c>
      <c r="E1118" s="4">
        <f t="shared" ca="1" si="3"/>
        <v>794.52668235294948</v>
      </c>
    </row>
    <row r="1119" spans="1:5" ht="15">
      <c r="A1119" s="3">
        <f t="shared" si="2"/>
        <v>2097</v>
      </c>
      <c r="B1119" s="4">
        <f t="shared" ca="1" si="3"/>
        <v>154.39264999999997</v>
      </c>
      <c r="C1119" s="4">
        <f t="shared" ca="1" si="3"/>
        <v>154.08014999999997</v>
      </c>
      <c r="D1119" s="4">
        <f t="shared" ca="1" si="3"/>
        <v>117.97822499999999</v>
      </c>
      <c r="E1119" s="4">
        <f t="shared" ca="1" si="3"/>
        <v>819.55427284706741</v>
      </c>
    </row>
    <row r="1120" spans="1:5" ht="15">
      <c r="A1120" s="3">
        <f t="shared" si="2"/>
        <v>2098</v>
      </c>
      <c r="B1120" s="4">
        <f t="shared" ca="1" si="3"/>
        <v>159.65414999999999</v>
      </c>
      <c r="C1120" s="4">
        <f t="shared" ca="1" si="3"/>
        <v>159.34164999999999</v>
      </c>
      <c r="D1120" s="4">
        <f t="shared" ca="1" si="3"/>
        <v>120.89172499999999</v>
      </c>
      <c r="E1120" s="4">
        <f t="shared" ca="1" si="3"/>
        <v>845.37023244175009</v>
      </c>
    </row>
    <row r="1121" spans="1:5" ht="15">
      <c r="A1121" s="3">
        <f t="shared" si="2"/>
        <v>2099</v>
      </c>
      <c r="B1121" s="4">
        <f t="shared" ca="1" si="3"/>
        <v>165.09714166666669</v>
      </c>
      <c r="C1121" s="4">
        <f t="shared" ca="1" si="3"/>
        <v>164.78464166666669</v>
      </c>
      <c r="D1121" s="4">
        <f t="shared" ca="1" si="3"/>
        <v>123.87752500000003</v>
      </c>
      <c r="E1121" s="4">
        <f t="shared" ca="1" si="3"/>
        <v>871.99939476366524</v>
      </c>
    </row>
    <row r="1122" spans="1:5" ht="15">
      <c r="A1122" s="3">
        <f t="shared" si="2"/>
        <v>2100</v>
      </c>
      <c r="B1122" s="4">
        <f t="shared" ca="1" si="3"/>
        <v>170.72795833333336</v>
      </c>
      <c r="C1122" s="4">
        <f t="shared" ca="1" si="3"/>
        <v>170.41545833333333</v>
      </c>
      <c r="D1122" s="4">
        <f t="shared" ca="1" si="3"/>
        <v>126.93735000000002</v>
      </c>
      <c r="E1122" s="4">
        <f t="shared" ca="1" si="3"/>
        <v>899.4673756987205</v>
      </c>
    </row>
    <row r="1123" spans="1:5">
      <c r="A1123" s="29"/>
    </row>
    <row r="1124" spans="1:5">
      <c r="A1124" s="29"/>
    </row>
    <row r="1125" spans="1:5">
      <c r="A1125" s="29"/>
    </row>
    <row r="1126" spans="1:5">
      <c r="A1126" s="29"/>
    </row>
    <row r="1127" spans="1:5">
      <c r="A1127" s="29"/>
    </row>
    <row r="1128" spans="1:5">
      <c r="A1128" s="29"/>
    </row>
    <row r="1129" spans="1:5">
      <c r="A1129" s="29"/>
    </row>
    <row r="1130" spans="1:5">
      <c r="A1130" s="29"/>
    </row>
    <row r="1131" spans="1:5">
      <c r="A1131" s="29"/>
    </row>
    <row r="1132" spans="1:5">
      <c r="A1132" s="29"/>
    </row>
    <row r="1133" spans="1:5">
      <c r="A1133" s="29"/>
    </row>
    <row r="1134" spans="1:5">
      <c r="A1134" s="29"/>
    </row>
    <row r="1135" spans="1:5">
      <c r="A1135" s="29"/>
    </row>
    <row r="1136" spans="1:5">
      <c r="A1136" s="29"/>
    </row>
    <row r="1137" spans="1:1">
      <c r="A1137" s="29"/>
    </row>
    <row r="1138" spans="1:1">
      <c r="A1138" s="29"/>
    </row>
    <row r="1139" spans="1:1">
      <c r="A1139" s="29"/>
    </row>
    <row r="1140" spans="1:1">
      <c r="A1140" s="29"/>
    </row>
    <row r="1141" spans="1:1">
      <c r="A1141" s="29"/>
    </row>
    <row r="1142" spans="1:1">
      <c r="A1142" s="29"/>
    </row>
  </sheetData>
  <mergeCells count="1">
    <mergeCell ref="B14:C14"/>
  </mergeCells>
  <pageMargins left="0.25" right="0.25" top="0.5" bottom="0.5" header="0.25" footer="0.25"/>
  <pageSetup orientation="portrait" horizontalDpi="1200" verticalDpi="1200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9</xdr:row>
                    <xdr:rowOff>171450</xdr:rowOff>
                  </from>
                  <to>
                    <xdr:col>2</xdr:col>
                    <xdr:colOff>666750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9</xdr:row>
                    <xdr:rowOff>171450</xdr:rowOff>
                  </from>
                  <to>
                    <xdr:col>4</xdr:col>
                    <xdr:colOff>371475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22"/>
  <sheetViews>
    <sheetView zoomScale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2.75"/>
  <cols>
    <col min="1" max="1" width="14.5546875" style="29" customWidth="1"/>
    <col min="2" max="2" width="19" style="29" customWidth="1"/>
    <col min="3" max="3" width="16.109375" style="29" customWidth="1"/>
    <col min="4" max="4" width="20.21875" style="29" customWidth="1"/>
    <col min="5" max="5" width="20.6640625" style="29" customWidth="1"/>
    <col min="6" max="6" width="16.109375" style="29" customWidth="1"/>
    <col min="7" max="9" width="20" style="29" customWidth="1"/>
    <col min="10" max="11" width="19.109375" style="29" customWidth="1"/>
    <col min="12" max="12" width="16.109375" style="29" customWidth="1"/>
    <col min="13" max="15" width="17.6640625" style="29" customWidth="1"/>
    <col min="16" max="16384" width="7.109375" style="29"/>
  </cols>
  <sheetData>
    <row r="1" spans="1:15" ht="15.75">
      <c r="A1" s="81" t="s">
        <v>64</v>
      </c>
    </row>
    <row r="2" spans="1:15" ht="15.75">
      <c r="A2" s="81" t="s">
        <v>65</v>
      </c>
    </row>
    <row r="3" spans="1:15" ht="15.75">
      <c r="A3" s="81" t="s">
        <v>66</v>
      </c>
    </row>
    <row r="4" spans="1:15" ht="15.75">
      <c r="A4" s="81" t="s">
        <v>67</v>
      </c>
    </row>
    <row r="5" spans="1:15" ht="15.75">
      <c r="A5" s="81" t="s">
        <v>69</v>
      </c>
    </row>
    <row r="6" spans="1:15" ht="15.75">
      <c r="A6" s="81" t="s">
        <v>72</v>
      </c>
    </row>
    <row r="9" spans="1:15" ht="15" customHeight="1">
      <c r="A9" s="71" t="s">
        <v>25</v>
      </c>
    </row>
    <row r="10" spans="1:15" ht="15" customHeight="1">
      <c r="A10" s="72"/>
    </row>
    <row r="11" spans="1:15" ht="15" customHeight="1">
      <c r="A11" s="72"/>
    </row>
    <row r="12" spans="1:15" ht="15" customHeight="1">
      <c r="B12" s="71"/>
      <c r="H12" s="68" t="s">
        <v>51</v>
      </c>
    </row>
    <row r="13" spans="1:15" ht="15" customHeight="1">
      <c r="A13" s="71"/>
      <c r="B13" s="70" t="s">
        <v>24</v>
      </c>
      <c r="C13" s="69">
        <f>1-0.14</f>
        <v>0.86</v>
      </c>
      <c r="D13" s="70" t="s">
        <v>23</v>
      </c>
      <c r="E13" s="69">
        <f>1+0.14</f>
        <v>1.1400000000000001</v>
      </c>
      <c r="H13" s="68"/>
      <c r="L13" s="86"/>
      <c r="M13" s="86"/>
      <c r="N13" s="86"/>
      <c r="O13" s="86"/>
    </row>
    <row r="14" spans="1:15" ht="15" customHeight="1">
      <c r="B14" s="85" t="s">
        <v>50</v>
      </c>
      <c r="C14" s="85"/>
      <c r="D14" s="85"/>
      <c r="E14" s="87" t="s">
        <v>49</v>
      </c>
      <c r="F14" s="87"/>
      <c r="G14" s="88"/>
      <c r="H14" s="89" t="s">
        <v>48</v>
      </c>
      <c r="I14" s="89"/>
      <c r="J14" s="88" t="s">
        <v>47</v>
      </c>
      <c r="K14" s="88"/>
      <c r="L14" s="86"/>
      <c r="M14" s="86"/>
      <c r="N14" s="86"/>
      <c r="O14" s="86"/>
    </row>
    <row r="15" spans="1:15" ht="63">
      <c r="B15" s="67" t="s">
        <v>46</v>
      </c>
      <c r="C15" s="66" t="s">
        <v>45</v>
      </c>
      <c r="D15" s="65" t="s">
        <v>44</v>
      </c>
      <c r="E15" s="67" t="s">
        <v>46</v>
      </c>
      <c r="F15" s="66" t="s">
        <v>45</v>
      </c>
      <c r="G15" s="65" t="s">
        <v>44</v>
      </c>
      <c r="H15" s="66" t="s">
        <v>45</v>
      </c>
      <c r="I15" s="65" t="s">
        <v>44</v>
      </c>
      <c r="J15" s="66" t="s">
        <v>45</v>
      </c>
      <c r="K15" s="65" t="s">
        <v>44</v>
      </c>
      <c r="L15" s="57"/>
      <c r="M15" s="64"/>
      <c r="N15" s="64"/>
      <c r="O15" s="64"/>
    </row>
    <row r="16" spans="1:15" ht="20.25">
      <c r="A16" s="21" t="s">
        <v>2</v>
      </c>
      <c r="B16" s="63" t="s">
        <v>1</v>
      </c>
      <c r="C16" s="63" t="s">
        <v>1</v>
      </c>
      <c r="D16" s="63" t="s">
        <v>1</v>
      </c>
      <c r="E16" s="63" t="s">
        <v>1</v>
      </c>
      <c r="F16" s="63" t="s">
        <v>1</v>
      </c>
      <c r="G16" s="63" t="s">
        <v>1</v>
      </c>
      <c r="H16" s="63" t="s">
        <v>1</v>
      </c>
      <c r="I16" s="63" t="s">
        <v>1</v>
      </c>
      <c r="J16" s="63" t="s">
        <v>1</v>
      </c>
      <c r="K16" s="63" t="s">
        <v>1</v>
      </c>
      <c r="L16" s="62"/>
      <c r="M16" s="62"/>
      <c r="N16" s="62"/>
      <c r="O16" s="62"/>
    </row>
    <row r="17" spans="1:14" ht="15">
      <c r="A17" s="13">
        <v>42370</v>
      </c>
      <c r="B17" s="60">
        <f>2.6078 * CHOOSE(CONTROL!$C$22, $C$13, 100%, $E$13)</f>
        <v>2.6078000000000001</v>
      </c>
      <c r="C17" s="60">
        <f>2.6078 * CHOOSE(CONTROL!$C$22, $C$13, 100%, $E$13)</f>
        <v>2.6078000000000001</v>
      </c>
      <c r="D17" s="60">
        <f>2.6241 * CHOOSE(CONTROL!$C$22, $C$13, 100%, $E$13)</f>
        <v>2.6240999999999999</v>
      </c>
      <c r="E17" s="61">
        <f>3.383 * CHOOSE(CONTROL!$C$22, $C$13, 100%, $E$13)</f>
        <v>3.383</v>
      </c>
      <c r="F17" s="61">
        <f>4.017 * CHOOSE(CONTROL!$C$22, $C$13, 100%, $E$13)</f>
        <v>4.0170000000000003</v>
      </c>
      <c r="G17" s="61">
        <f>4.0172 * CHOOSE(CONTROL!$C$22, $C$13, 100%, $E$13)</f>
        <v>4.0171999999999999</v>
      </c>
      <c r="H17" s="61">
        <f>5.731* CHOOSE(CONTROL!$C$22, $C$13, 100%, $E$13)</f>
        <v>5.7309999999999999</v>
      </c>
      <c r="I17" s="61">
        <f>5.7312 * CHOOSE(CONTROL!$C$22, $C$13, 100%, $E$13)</f>
        <v>5.7312000000000003</v>
      </c>
      <c r="J17" s="61">
        <f>3.383 * CHOOSE(CONTROL!$C$22, $C$13, 100%, $E$13)</f>
        <v>3.383</v>
      </c>
      <c r="K17" s="61">
        <f>3.3832 * CHOOSE(CONTROL!$C$22, $C$13, 100%, $E$13)</f>
        <v>3.3832</v>
      </c>
      <c r="L17" s="4"/>
      <c r="M17" s="61"/>
      <c r="N17" s="61"/>
    </row>
    <row r="18" spans="1:14" ht="15">
      <c r="A18" s="13">
        <v>42401</v>
      </c>
      <c r="B18" s="60">
        <f>2.6017 * CHOOSE(CONTROL!$C$22, $C$13, 100%, $E$13)</f>
        <v>2.6017000000000001</v>
      </c>
      <c r="C18" s="60">
        <f>2.6017 * CHOOSE(CONTROL!$C$22, $C$13, 100%, $E$13)</f>
        <v>2.6017000000000001</v>
      </c>
      <c r="D18" s="60">
        <f>2.6181 * CHOOSE(CONTROL!$C$22, $C$13, 100%, $E$13)</f>
        <v>2.6181000000000001</v>
      </c>
      <c r="E18" s="61">
        <f>3.3427 * CHOOSE(CONTROL!$C$22, $C$13, 100%, $E$13)</f>
        <v>3.3426999999999998</v>
      </c>
      <c r="F18" s="61">
        <f>4.035 * CHOOSE(CONTROL!$C$22, $C$13, 100%, $E$13)</f>
        <v>4.0350000000000001</v>
      </c>
      <c r="G18" s="61">
        <f>4.0352 * CHOOSE(CONTROL!$C$22, $C$13, 100%, $E$13)</f>
        <v>4.0351999999999997</v>
      </c>
      <c r="H18" s="61">
        <f>5.743* CHOOSE(CONTROL!$C$22, $C$13, 100%, $E$13)</f>
        <v>5.7430000000000003</v>
      </c>
      <c r="I18" s="61">
        <f>5.7432 * CHOOSE(CONTROL!$C$22, $C$13, 100%, $E$13)</f>
        <v>5.7431999999999999</v>
      </c>
      <c r="J18" s="61">
        <f>3.3427 * CHOOSE(CONTROL!$C$22, $C$13, 100%, $E$13)</f>
        <v>3.3426999999999998</v>
      </c>
      <c r="K18" s="61">
        <f>3.3429 * CHOOSE(CONTROL!$C$22, $C$13, 100%, $E$13)</f>
        <v>3.3429000000000002</v>
      </c>
      <c r="L18" s="4"/>
      <c r="M18" s="61"/>
      <c r="N18" s="61"/>
    </row>
    <row r="19" spans="1:14" ht="15">
      <c r="A19" s="13">
        <v>42430</v>
      </c>
      <c r="B19" s="60">
        <f>2.5956 * CHOOSE(CONTROL!$C$22, $C$13, 100%, $E$13)</f>
        <v>2.5956000000000001</v>
      </c>
      <c r="C19" s="60">
        <f>2.5956 * CHOOSE(CONTROL!$C$22, $C$13, 100%, $E$13)</f>
        <v>2.5956000000000001</v>
      </c>
      <c r="D19" s="60">
        <f>2.612 * CHOOSE(CONTROL!$C$22, $C$13, 100%, $E$13)</f>
        <v>2.6120000000000001</v>
      </c>
      <c r="E19" s="61">
        <f>3.5819 * CHOOSE(CONTROL!$C$22, $C$13, 100%, $E$13)</f>
        <v>3.5819000000000001</v>
      </c>
      <c r="F19" s="61">
        <f>4.01 * CHOOSE(CONTROL!$C$22, $C$13, 100%, $E$13)</f>
        <v>4.01</v>
      </c>
      <c r="G19" s="61">
        <f>4.0102 * CHOOSE(CONTROL!$C$22, $C$13, 100%, $E$13)</f>
        <v>4.0102000000000002</v>
      </c>
      <c r="H19" s="61">
        <f>5.7549* CHOOSE(CONTROL!$C$22, $C$13, 100%, $E$13)</f>
        <v>5.7549000000000001</v>
      </c>
      <c r="I19" s="61">
        <f>5.7551 * CHOOSE(CONTROL!$C$22, $C$13, 100%, $E$13)</f>
        <v>5.7550999999999997</v>
      </c>
      <c r="J19" s="61">
        <f>3.5819 * CHOOSE(CONTROL!$C$22, $C$13, 100%, $E$13)</f>
        <v>3.5819000000000001</v>
      </c>
      <c r="K19" s="61">
        <f>3.5821 * CHOOSE(CONTROL!$C$22, $C$13, 100%, $E$13)</f>
        <v>3.5821000000000001</v>
      </c>
      <c r="L19" s="4"/>
      <c r="M19" s="61"/>
      <c r="N19" s="61"/>
    </row>
    <row r="20" spans="1:14" ht="15">
      <c r="A20" s="13">
        <v>42461</v>
      </c>
      <c r="B20" s="60">
        <f>2.6042 * CHOOSE(CONTROL!$C$22, $C$13, 100%, $E$13)</f>
        <v>2.6042000000000001</v>
      </c>
      <c r="C20" s="60">
        <f>2.6042 * CHOOSE(CONTROL!$C$22, $C$13, 100%, $E$13)</f>
        <v>2.6042000000000001</v>
      </c>
      <c r="D20" s="60">
        <f>2.6205 * CHOOSE(CONTROL!$C$22, $C$13, 100%, $E$13)</f>
        <v>2.6204999999999998</v>
      </c>
      <c r="E20" s="61">
        <f>3.3427 * CHOOSE(CONTROL!$C$22, $C$13, 100%, $E$13)</f>
        <v>3.3426999999999998</v>
      </c>
      <c r="F20" s="61">
        <f>4.035 * CHOOSE(CONTROL!$C$22, $C$13, 100%, $E$13)</f>
        <v>4.0350000000000001</v>
      </c>
      <c r="G20" s="61">
        <f>4.0352 * CHOOSE(CONTROL!$C$22, $C$13, 100%, $E$13)</f>
        <v>4.0351999999999997</v>
      </c>
      <c r="H20" s="61">
        <f>5.7669* CHOOSE(CONTROL!$C$22, $C$13, 100%, $E$13)</f>
        <v>5.7668999999999997</v>
      </c>
      <c r="I20" s="61">
        <f>5.7671 * CHOOSE(CONTROL!$C$22, $C$13, 100%, $E$13)</f>
        <v>5.7671000000000001</v>
      </c>
      <c r="J20" s="61">
        <f>3.3427 * CHOOSE(CONTROL!$C$22, $C$13, 100%, $E$13)</f>
        <v>3.3426999999999998</v>
      </c>
      <c r="K20" s="61">
        <f>3.3429 * CHOOSE(CONTROL!$C$22, $C$13, 100%, $E$13)</f>
        <v>3.3429000000000002</v>
      </c>
      <c r="L20" s="4"/>
      <c r="M20" s="61"/>
      <c r="N20" s="61"/>
    </row>
    <row r="21" spans="1:14" ht="15">
      <c r="A21" s="13">
        <v>42491</v>
      </c>
      <c r="B21" s="60">
        <f>2.6103 * CHOOSE(CONTROL!$C$22, $C$13, 100%, $E$13)</f>
        <v>2.6103000000000001</v>
      </c>
      <c r="C21" s="60">
        <f>2.6103 * CHOOSE(CONTROL!$C$22, $C$13, 100%, $E$13)</f>
        <v>2.6103000000000001</v>
      </c>
      <c r="D21" s="60">
        <f>2.643 * CHOOSE(CONTROL!$C$22, $C$13, 100%, $E$13)</f>
        <v>2.6429999999999998</v>
      </c>
      <c r="E21" s="61">
        <f>3.3395 * CHOOSE(CONTROL!$C$22, $C$13, 100%, $E$13)</f>
        <v>3.3395000000000001</v>
      </c>
      <c r="F21" s="61">
        <f>4.005 * CHOOSE(CONTROL!$C$22, $C$13, 100%, $E$13)</f>
        <v>4.0049999999999999</v>
      </c>
      <c r="G21" s="61">
        <f>4.007 * CHOOSE(CONTROL!$C$22, $C$13, 100%, $E$13)</f>
        <v>4.0069999999999997</v>
      </c>
      <c r="H21" s="61">
        <f>5.7789* CHOOSE(CONTROL!$C$22, $C$13, 100%, $E$13)</f>
        <v>5.7789000000000001</v>
      </c>
      <c r="I21" s="61">
        <f>5.781 * CHOOSE(CONTROL!$C$22, $C$13, 100%, $E$13)</f>
        <v>5.7809999999999997</v>
      </c>
      <c r="J21" s="61">
        <f>3.3395 * CHOOSE(CONTROL!$C$22, $C$13, 100%, $E$13)</f>
        <v>3.3395000000000001</v>
      </c>
      <c r="K21" s="61">
        <f>3.3415 * CHOOSE(CONTROL!$C$22, $C$13, 100%, $E$13)</f>
        <v>3.3414999999999999</v>
      </c>
      <c r="L21" s="4"/>
      <c r="M21" s="61"/>
      <c r="N21" s="61"/>
    </row>
    <row r="22" spans="1:14" ht="15">
      <c r="A22" s="13">
        <v>42522</v>
      </c>
      <c r="B22" s="60">
        <f>2.6164 * CHOOSE(CONTROL!$C$22, $C$13, 100%, $E$13)</f>
        <v>2.6164000000000001</v>
      </c>
      <c r="C22" s="60">
        <f>2.6164 * CHOOSE(CONTROL!$C$22, $C$13, 100%, $E$13)</f>
        <v>2.6164000000000001</v>
      </c>
      <c r="D22" s="60">
        <f>2.649 * CHOOSE(CONTROL!$C$22, $C$13, 100%, $E$13)</f>
        <v>2.649</v>
      </c>
      <c r="E22" s="61">
        <f>3.1559 * CHOOSE(CONTROL!$C$22, $C$13, 100%, $E$13)</f>
        <v>3.1558999999999999</v>
      </c>
      <c r="F22" s="61">
        <f>4.017 * CHOOSE(CONTROL!$C$22, $C$13, 100%, $E$13)</f>
        <v>4.0170000000000003</v>
      </c>
      <c r="G22" s="61">
        <f>4.019 * CHOOSE(CONTROL!$C$22, $C$13, 100%, $E$13)</f>
        <v>4.0190000000000001</v>
      </c>
      <c r="H22" s="61">
        <f>5.791* CHOOSE(CONTROL!$C$22, $C$13, 100%, $E$13)</f>
        <v>5.7910000000000004</v>
      </c>
      <c r="I22" s="61">
        <f>5.793 * CHOOSE(CONTROL!$C$22, $C$13, 100%, $E$13)</f>
        <v>5.7930000000000001</v>
      </c>
      <c r="J22" s="61">
        <f>3.1559 * CHOOSE(CONTROL!$C$22, $C$13, 100%, $E$13)</f>
        <v>3.1558999999999999</v>
      </c>
      <c r="K22" s="61">
        <f>3.158 * CHOOSE(CONTROL!$C$22, $C$13, 100%, $E$13)</f>
        <v>3.1579999999999999</v>
      </c>
      <c r="L22" s="4"/>
      <c r="M22" s="61"/>
      <c r="N22" s="61"/>
    </row>
    <row r="23" spans="1:14" ht="15">
      <c r="A23" s="13">
        <v>42552</v>
      </c>
      <c r="B23" s="60">
        <f>2.6506 * CHOOSE(CONTROL!$C$22, $C$13, 100%, $E$13)</f>
        <v>2.6505999999999998</v>
      </c>
      <c r="C23" s="60">
        <f>2.6506 * CHOOSE(CONTROL!$C$22, $C$13, 100%, $E$13)</f>
        <v>2.6505999999999998</v>
      </c>
      <c r="D23" s="60">
        <f>2.6832 * CHOOSE(CONTROL!$C$22, $C$13, 100%, $E$13)</f>
        <v>2.6831999999999998</v>
      </c>
      <c r="E23" s="61">
        <f>3.2732 * CHOOSE(CONTROL!$C$22, $C$13, 100%, $E$13)</f>
        <v>3.2732000000000001</v>
      </c>
      <c r="F23" s="61">
        <f>4.017 * CHOOSE(CONTROL!$C$22, $C$13, 100%, $E$13)</f>
        <v>4.0170000000000003</v>
      </c>
      <c r="G23" s="61">
        <f>4.019 * CHOOSE(CONTROL!$C$22, $C$13, 100%, $E$13)</f>
        <v>4.0190000000000001</v>
      </c>
      <c r="H23" s="61">
        <f>5.8031* CHOOSE(CONTROL!$C$22, $C$13, 100%, $E$13)</f>
        <v>5.8030999999999997</v>
      </c>
      <c r="I23" s="61">
        <f>5.8051 * CHOOSE(CONTROL!$C$22, $C$13, 100%, $E$13)</f>
        <v>5.8051000000000004</v>
      </c>
      <c r="J23" s="61">
        <f>3.2732 * CHOOSE(CONTROL!$C$22, $C$13, 100%, $E$13)</f>
        <v>3.2732000000000001</v>
      </c>
      <c r="K23" s="61">
        <f>3.2752 * CHOOSE(CONTROL!$C$22, $C$13, 100%, $E$13)</f>
        <v>3.2751999999999999</v>
      </c>
      <c r="L23" s="4"/>
      <c r="M23" s="4"/>
      <c r="N23" s="4"/>
    </row>
    <row r="24" spans="1:14" ht="15">
      <c r="A24" s="13">
        <v>42583</v>
      </c>
      <c r="B24" s="60">
        <f>2.6658 * CHOOSE(CONTROL!$C$22, $C$13, 100%, $E$13)</f>
        <v>2.6657999999999999</v>
      </c>
      <c r="C24" s="60">
        <f>2.6658 * CHOOSE(CONTROL!$C$22, $C$13, 100%, $E$13)</f>
        <v>2.6657999999999999</v>
      </c>
      <c r="D24" s="60">
        <f>2.6984 * CHOOSE(CONTROL!$C$22, $C$13, 100%, $E$13)</f>
        <v>2.6983999999999999</v>
      </c>
      <c r="E24" s="61">
        <f>3.383 * CHOOSE(CONTROL!$C$22, $C$13, 100%, $E$13)</f>
        <v>3.383</v>
      </c>
      <c r="F24" s="61">
        <f>4.017 * CHOOSE(CONTROL!$C$22, $C$13, 100%, $E$13)</f>
        <v>4.0170000000000003</v>
      </c>
      <c r="G24" s="61">
        <f>4.019 * CHOOSE(CONTROL!$C$22, $C$13, 100%, $E$13)</f>
        <v>4.0190000000000001</v>
      </c>
      <c r="H24" s="61">
        <f>5.8151* CHOOSE(CONTROL!$C$22, $C$13, 100%, $E$13)</f>
        <v>5.8151000000000002</v>
      </c>
      <c r="I24" s="61">
        <f>5.8172 * CHOOSE(CONTROL!$C$22, $C$13, 100%, $E$13)</f>
        <v>5.8171999999999997</v>
      </c>
      <c r="J24" s="61">
        <f>3.383 * CHOOSE(CONTROL!$C$22, $C$13, 100%, $E$13)</f>
        <v>3.383</v>
      </c>
      <c r="K24" s="61">
        <f>3.3851 * CHOOSE(CONTROL!$C$22, $C$13, 100%, $E$13)</f>
        <v>3.3851</v>
      </c>
      <c r="L24" s="4"/>
      <c r="M24" s="4"/>
      <c r="N24" s="4"/>
    </row>
    <row r="25" spans="1:14" ht="15">
      <c r="A25" s="13">
        <v>42614</v>
      </c>
      <c r="B25" s="60">
        <f>2.6597 * CHOOSE(CONTROL!$C$22, $C$13, 100%, $E$13)</f>
        <v>2.6597</v>
      </c>
      <c r="C25" s="60">
        <f>2.6597 * CHOOSE(CONTROL!$C$22, $C$13, 100%, $E$13)</f>
        <v>2.6597</v>
      </c>
      <c r="D25" s="60">
        <f>2.6924 * CHOOSE(CONTROL!$C$22, $C$13, 100%, $E$13)</f>
        <v>2.6924000000000001</v>
      </c>
      <c r="E25" s="61">
        <f>3.2732 * CHOOSE(CONTROL!$C$22, $C$13, 100%, $E$13)</f>
        <v>3.2732000000000001</v>
      </c>
      <c r="F25" s="61">
        <f>4.017 * CHOOSE(CONTROL!$C$22, $C$13, 100%, $E$13)</f>
        <v>4.0170000000000003</v>
      </c>
      <c r="G25" s="61">
        <f>4.019 * CHOOSE(CONTROL!$C$22, $C$13, 100%, $E$13)</f>
        <v>4.0190000000000001</v>
      </c>
      <c r="H25" s="61">
        <f>5.8273* CHOOSE(CONTROL!$C$22, $C$13, 100%, $E$13)</f>
        <v>5.8273000000000001</v>
      </c>
      <c r="I25" s="61">
        <f>5.8293 * CHOOSE(CONTROL!$C$22, $C$13, 100%, $E$13)</f>
        <v>5.8292999999999999</v>
      </c>
      <c r="J25" s="61">
        <f>3.2732 * CHOOSE(CONTROL!$C$22, $C$13, 100%, $E$13)</f>
        <v>3.2732000000000001</v>
      </c>
      <c r="K25" s="61">
        <f>3.2752 * CHOOSE(CONTROL!$C$22, $C$13, 100%, $E$13)</f>
        <v>3.2751999999999999</v>
      </c>
      <c r="L25" s="4"/>
      <c r="M25" s="4"/>
      <c r="N25" s="4"/>
    </row>
    <row r="26" spans="1:14" ht="15">
      <c r="A26" s="13">
        <v>42644</v>
      </c>
      <c r="B26" s="60">
        <f>2.6898 * CHOOSE(CONTROL!$C$22, $C$13, 100%, $E$13)</f>
        <v>2.6898</v>
      </c>
      <c r="C26" s="60">
        <f>2.6898 * CHOOSE(CONTROL!$C$22, $C$13, 100%, $E$13)</f>
        <v>2.6898</v>
      </c>
      <c r="D26" s="60">
        <f>2.7061 * CHOOSE(CONTROL!$C$22, $C$13, 100%, $E$13)</f>
        <v>2.7061000000000002</v>
      </c>
      <c r="E26" s="61">
        <f>3.3427 * CHOOSE(CONTROL!$C$22, $C$13, 100%, $E$13)</f>
        <v>3.3426999999999998</v>
      </c>
      <c r="F26" s="61">
        <f>4.035 * CHOOSE(CONTROL!$C$22, $C$13, 100%, $E$13)</f>
        <v>4.0350000000000001</v>
      </c>
      <c r="G26" s="61">
        <f>4.0352 * CHOOSE(CONTROL!$C$22, $C$13, 100%, $E$13)</f>
        <v>4.0351999999999997</v>
      </c>
      <c r="H26" s="61">
        <f>5.8394* CHOOSE(CONTROL!$C$22, $C$13, 100%, $E$13)</f>
        <v>5.8394000000000004</v>
      </c>
      <c r="I26" s="61">
        <f>5.8396 * CHOOSE(CONTROL!$C$22, $C$13, 100%, $E$13)</f>
        <v>5.8395999999999999</v>
      </c>
      <c r="J26" s="61">
        <f>3.3427 * CHOOSE(CONTROL!$C$22, $C$13, 100%, $E$13)</f>
        <v>3.3426999999999998</v>
      </c>
      <c r="K26" s="61">
        <f>3.3429 * CHOOSE(CONTROL!$C$22, $C$13, 100%, $E$13)</f>
        <v>3.3429000000000002</v>
      </c>
      <c r="L26" s="4"/>
      <c r="M26" s="4"/>
      <c r="N26" s="4"/>
    </row>
    <row r="27" spans="1:14" ht="15">
      <c r="A27" s="13">
        <v>42675</v>
      </c>
      <c r="B27" s="60">
        <f>2.6928 * CHOOSE(CONTROL!$C$22, $C$13, 100%, $E$13)</f>
        <v>2.6928000000000001</v>
      </c>
      <c r="C27" s="60">
        <f>2.6928 * CHOOSE(CONTROL!$C$22, $C$13, 100%, $E$13)</f>
        <v>2.6928000000000001</v>
      </c>
      <c r="D27" s="60">
        <f>2.7092 * CHOOSE(CONTROL!$C$22, $C$13, 100%, $E$13)</f>
        <v>2.7092000000000001</v>
      </c>
      <c r="E27" s="61">
        <f>3.3427 * CHOOSE(CONTROL!$C$22, $C$13, 100%, $E$13)</f>
        <v>3.3426999999999998</v>
      </c>
      <c r="F27" s="61">
        <f>4.035 * CHOOSE(CONTROL!$C$22, $C$13, 100%, $E$13)</f>
        <v>4.0350000000000001</v>
      </c>
      <c r="G27" s="61">
        <f>4.0352 * CHOOSE(CONTROL!$C$22, $C$13, 100%, $E$13)</f>
        <v>4.0351999999999997</v>
      </c>
      <c r="H27" s="61">
        <f>5.8516* CHOOSE(CONTROL!$C$22, $C$13, 100%, $E$13)</f>
        <v>5.8516000000000004</v>
      </c>
      <c r="I27" s="61">
        <f>5.8517 * CHOOSE(CONTROL!$C$22, $C$13, 100%, $E$13)</f>
        <v>5.8517000000000001</v>
      </c>
      <c r="J27" s="61">
        <f>3.3427 * CHOOSE(CONTROL!$C$22, $C$13, 100%, $E$13)</f>
        <v>3.3426999999999998</v>
      </c>
      <c r="K27" s="61">
        <f>3.3429 * CHOOSE(CONTROL!$C$22, $C$13, 100%, $E$13)</f>
        <v>3.3429000000000002</v>
      </c>
      <c r="L27" s="4"/>
      <c r="M27" s="4"/>
      <c r="N27" s="4"/>
    </row>
    <row r="28" spans="1:14" ht="15">
      <c r="A28" s="13">
        <v>42705</v>
      </c>
      <c r="B28" s="60">
        <f>2.6959 * CHOOSE(CONTROL!$C$22, $C$13, 100%, $E$13)</f>
        <v>2.6959</v>
      </c>
      <c r="C28" s="60">
        <f>2.6959 * CHOOSE(CONTROL!$C$22, $C$13, 100%, $E$13)</f>
        <v>2.6959</v>
      </c>
      <c r="D28" s="60">
        <f>2.7122 * CHOOSE(CONTROL!$C$22, $C$13, 100%, $E$13)</f>
        <v>2.7122000000000002</v>
      </c>
      <c r="E28" s="61">
        <f>3.5831 * CHOOSE(CONTROL!$C$22, $C$13, 100%, $E$13)</f>
        <v>3.5831</v>
      </c>
      <c r="F28" s="61">
        <f>4.017 * CHOOSE(CONTROL!$C$22, $C$13, 100%, $E$13)</f>
        <v>4.0170000000000003</v>
      </c>
      <c r="G28" s="61">
        <f>4.0172 * CHOOSE(CONTROL!$C$22, $C$13, 100%, $E$13)</f>
        <v>4.0171999999999999</v>
      </c>
      <c r="H28" s="61">
        <f>5.8638* CHOOSE(CONTROL!$C$22, $C$13, 100%, $E$13)</f>
        <v>5.8638000000000003</v>
      </c>
      <c r="I28" s="61">
        <f>5.8639 * CHOOSE(CONTROL!$C$22, $C$13, 100%, $E$13)</f>
        <v>5.8639000000000001</v>
      </c>
      <c r="J28" s="61">
        <f>3.5831 * CHOOSE(CONTROL!$C$22, $C$13, 100%, $E$13)</f>
        <v>3.5831</v>
      </c>
      <c r="K28" s="61">
        <f>3.5833 * CHOOSE(CONTROL!$C$22, $C$13, 100%, $E$13)</f>
        <v>3.5832999999999999</v>
      </c>
      <c r="L28" s="4"/>
      <c r="M28" s="4"/>
      <c r="N28" s="4"/>
    </row>
    <row r="29" spans="1:14" ht="15">
      <c r="A29" s="13">
        <v>42736</v>
      </c>
      <c r="B29" s="60">
        <f>2.7015 * CHOOSE(CONTROL!$C$22, $C$13, 100%, $E$13)</f>
        <v>2.7014999999999998</v>
      </c>
      <c r="C29" s="60">
        <f>2.7015 * CHOOSE(CONTROL!$C$22, $C$13, 100%, $E$13)</f>
        <v>2.7014999999999998</v>
      </c>
      <c r="D29" s="60">
        <f>2.7178 * CHOOSE(CONTROL!$C$22, $C$13, 100%, $E$13)</f>
        <v>2.7178</v>
      </c>
      <c r="E29" s="61">
        <f>3.4856 * CHOOSE(CONTROL!$C$22, $C$13, 100%, $E$13)</f>
        <v>3.4855999999999998</v>
      </c>
      <c r="F29" s="61">
        <f>3.4856 * CHOOSE(CONTROL!$C$22, $C$13, 100%, $E$13)</f>
        <v>3.4855999999999998</v>
      </c>
      <c r="G29" s="61">
        <f>3.4858 * CHOOSE(CONTROL!$C$22, $C$13, 100%, $E$13)</f>
        <v>3.4857999999999998</v>
      </c>
      <c r="H29" s="61">
        <f>5.876* CHOOSE(CONTROL!$C$22, $C$13, 100%, $E$13)</f>
        <v>5.8760000000000003</v>
      </c>
      <c r="I29" s="61">
        <f>5.8761 * CHOOSE(CONTROL!$C$22, $C$13, 100%, $E$13)</f>
        <v>5.8761000000000001</v>
      </c>
      <c r="J29" s="61">
        <f>3.4856 * CHOOSE(CONTROL!$C$22, $C$13, 100%, $E$13)</f>
        <v>3.4855999999999998</v>
      </c>
      <c r="K29" s="61">
        <f>3.4858 * CHOOSE(CONTROL!$C$22, $C$13, 100%, $E$13)</f>
        <v>3.4857999999999998</v>
      </c>
      <c r="L29" s="4"/>
      <c r="M29" s="4"/>
      <c r="N29" s="4"/>
    </row>
    <row r="30" spans="1:14" ht="15">
      <c r="A30" s="13">
        <v>42767</v>
      </c>
      <c r="B30" s="60">
        <f>2.6954 * CHOOSE(CONTROL!$C$22, $C$13, 100%, $E$13)</f>
        <v>2.6953999999999998</v>
      </c>
      <c r="C30" s="60">
        <f>2.6954 * CHOOSE(CONTROL!$C$22, $C$13, 100%, $E$13)</f>
        <v>2.6953999999999998</v>
      </c>
      <c r="D30" s="60">
        <f>2.7118 * CHOOSE(CONTROL!$C$22, $C$13, 100%, $E$13)</f>
        <v>2.7118000000000002</v>
      </c>
      <c r="E30" s="61">
        <f>3.3873 * CHOOSE(CONTROL!$C$22, $C$13, 100%, $E$13)</f>
        <v>3.3873000000000002</v>
      </c>
      <c r="F30" s="61">
        <f>3.3873 * CHOOSE(CONTROL!$C$22, $C$13, 100%, $E$13)</f>
        <v>3.3873000000000002</v>
      </c>
      <c r="G30" s="61">
        <f>3.3875 * CHOOSE(CONTROL!$C$22, $C$13, 100%, $E$13)</f>
        <v>3.3875000000000002</v>
      </c>
      <c r="H30" s="61">
        <f>5.8882* CHOOSE(CONTROL!$C$22, $C$13, 100%, $E$13)</f>
        <v>5.8882000000000003</v>
      </c>
      <c r="I30" s="61">
        <f>5.8884 * CHOOSE(CONTROL!$C$22, $C$13, 100%, $E$13)</f>
        <v>5.8883999999999999</v>
      </c>
      <c r="J30" s="61">
        <f>3.3873 * CHOOSE(CONTROL!$C$22, $C$13, 100%, $E$13)</f>
        <v>3.3873000000000002</v>
      </c>
      <c r="K30" s="61">
        <f>3.3875 * CHOOSE(CONTROL!$C$22, $C$13, 100%, $E$13)</f>
        <v>3.3875000000000002</v>
      </c>
      <c r="L30" s="4"/>
      <c r="M30" s="4"/>
      <c r="N30" s="4"/>
    </row>
    <row r="31" spans="1:14" ht="15">
      <c r="A31" s="13">
        <v>42795</v>
      </c>
      <c r="B31" s="60">
        <f>2.6924 * CHOOSE(CONTROL!$C$22, $C$13, 100%, $E$13)</f>
        <v>2.6924000000000001</v>
      </c>
      <c r="C31" s="60">
        <f>2.6924 * CHOOSE(CONTROL!$C$22, $C$13, 100%, $E$13)</f>
        <v>2.6924000000000001</v>
      </c>
      <c r="D31" s="60">
        <f>2.7087 * CHOOSE(CONTROL!$C$22, $C$13, 100%, $E$13)</f>
        <v>2.7086999999999999</v>
      </c>
      <c r="E31" s="61">
        <f>3.4487 * CHOOSE(CONTROL!$C$22, $C$13, 100%, $E$13)</f>
        <v>3.4487000000000001</v>
      </c>
      <c r="F31" s="61">
        <f>3.4487 * CHOOSE(CONTROL!$C$22, $C$13, 100%, $E$13)</f>
        <v>3.4487000000000001</v>
      </c>
      <c r="G31" s="61">
        <f>3.4489 * CHOOSE(CONTROL!$C$22, $C$13, 100%, $E$13)</f>
        <v>3.4489000000000001</v>
      </c>
      <c r="H31" s="61">
        <f>5.9005* CHOOSE(CONTROL!$C$22, $C$13, 100%, $E$13)</f>
        <v>5.9005000000000001</v>
      </c>
      <c r="I31" s="61">
        <f>5.9007 * CHOOSE(CONTROL!$C$22, $C$13, 100%, $E$13)</f>
        <v>5.9006999999999996</v>
      </c>
      <c r="J31" s="61">
        <f>3.4487 * CHOOSE(CONTROL!$C$22, $C$13, 100%, $E$13)</f>
        <v>3.4487000000000001</v>
      </c>
      <c r="K31" s="61">
        <f>3.4489 * CHOOSE(CONTROL!$C$22, $C$13, 100%, $E$13)</f>
        <v>3.4489000000000001</v>
      </c>
      <c r="L31" s="4"/>
      <c r="M31" s="4"/>
      <c r="N31" s="4"/>
    </row>
    <row r="32" spans="1:14" ht="15">
      <c r="A32" s="13">
        <v>42826</v>
      </c>
      <c r="B32" s="60">
        <f>2.7147 * CHOOSE(CONTROL!$C$22, $C$13, 100%, $E$13)</f>
        <v>2.7147000000000001</v>
      </c>
      <c r="C32" s="60">
        <f>2.7147 * CHOOSE(CONTROL!$C$22, $C$13, 100%, $E$13)</f>
        <v>2.7147000000000001</v>
      </c>
      <c r="D32" s="60">
        <f>2.731 * CHOOSE(CONTROL!$C$22, $C$13, 100%, $E$13)</f>
        <v>2.7309999999999999</v>
      </c>
      <c r="E32" s="61">
        <f>3.3873 * CHOOSE(CONTROL!$C$22, $C$13, 100%, $E$13)</f>
        <v>3.3873000000000002</v>
      </c>
      <c r="F32" s="61">
        <f>3.3873 * CHOOSE(CONTROL!$C$22, $C$13, 100%, $E$13)</f>
        <v>3.3873000000000002</v>
      </c>
      <c r="G32" s="61">
        <f>3.3875 * CHOOSE(CONTROL!$C$22, $C$13, 100%, $E$13)</f>
        <v>3.3875000000000002</v>
      </c>
      <c r="H32" s="61">
        <f>5.9128* CHOOSE(CONTROL!$C$22, $C$13, 100%, $E$13)</f>
        <v>5.9127999999999998</v>
      </c>
      <c r="I32" s="61">
        <f>5.9129 * CHOOSE(CONTROL!$C$22, $C$13, 100%, $E$13)</f>
        <v>5.9128999999999996</v>
      </c>
      <c r="J32" s="61">
        <f>3.3873 * CHOOSE(CONTROL!$C$22, $C$13, 100%, $E$13)</f>
        <v>3.3873000000000002</v>
      </c>
      <c r="K32" s="61">
        <f>3.3875 * CHOOSE(CONTROL!$C$22, $C$13, 100%, $E$13)</f>
        <v>3.3875000000000002</v>
      </c>
      <c r="L32" s="4"/>
      <c r="M32" s="4"/>
      <c r="N32" s="4"/>
    </row>
    <row r="33" spans="1:14" ht="15">
      <c r="A33" s="13">
        <v>42856</v>
      </c>
      <c r="B33" s="60">
        <f>2.7117 * CHOOSE(CONTROL!$C$22, $C$13, 100%, $E$13)</f>
        <v>2.7117</v>
      </c>
      <c r="C33" s="60">
        <f>2.7117 * CHOOSE(CONTROL!$C$22, $C$13, 100%, $E$13)</f>
        <v>2.7117</v>
      </c>
      <c r="D33" s="60">
        <f>2.7443 * CHOOSE(CONTROL!$C$22, $C$13, 100%, $E$13)</f>
        <v>2.7443</v>
      </c>
      <c r="E33" s="61">
        <f>3.3873 * CHOOSE(CONTROL!$C$22, $C$13, 100%, $E$13)</f>
        <v>3.3873000000000002</v>
      </c>
      <c r="F33" s="61">
        <f>3.3873 * CHOOSE(CONTROL!$C$22, $C$13, 100%, $E$13)</f>
        <v>3.3873000000000002</v>
      </c>
      <c r="G33" s="61">
        <f>3.3894 * CHOOSE(CONTROL!$C$22, $C$13, 100%, $E$13)</f>
        <v>3.3894000000000002</v>
      </c>
      <c r="H33" s="61">
        <f>5.9251* CHOOSE(CONTROL!$C$22, $C$13, 100%, $E$13)</f>
        <v>5.9250999999999996</v>
      </c>
      <c r="I33" s="61">
        <f>5.9271 * CHOOSE(CONTROL!$C$22, $C$13, 100%, $E$13)</f>
        <v>5.9271000000000003</v>
      </c>
      <c r="J33" s="61">
        <f>3.3873 * CHOOSE(CONTROL!$C$22, $C$13, 100%, $E$13)</f>
        <v>3.3873000000000002</v>
      </c>
      <c r="K33" s="61">
        <f>3.3894 * CHOOSE(CONTROL!$C$22, $C$13, 100%, $E$13)</f>
        <v>3.3894000000000002</v>
      </c>
      <c r="L33" s="4"/>
      <c r="M33" s="4"/>
      <c r="N33" s="4"/>
    </row>
    <row r="34" spans="1:14" ht="15">
      <c r="A34" s="13">
        <v>42887</v>
      </c>
      <c r="B34" s="60">
        <f>2.7177 * CHOOSE(CONTROL!$C$22, $C$13, 100%, $E$13)</f>
        <v>2.7176999999999998</v>
      </c>
      <c r="C34" s="60">
        <f>2.7177 * CHOOSE(CONTROL!$C$22, $C$13, 100%, $E$13)</f>
        <v>2.7176999999999998</v>
      </c>
      <c r="D34" s="60">
        <f>2.7504 * CHOOSE(CONTROL!$C$22, $C$13, 100%, $E$13)</f>
        <v>2.7504</v>
      </c>
      <c r="E34" s="61">
        <f>3.2645 * CHOOSE(CONTROL!$C$22, $C$13, 100%, $E$13)</f>
        <v>3.2645</v>
      </c>
      <c r="F34" s="61">
        <f>3.2645 * CHOOSE(CONTROL!$C$22, $C$13, 100%, $E$13)</f>
        <v>3.2645</v>
      </c>
      <c r="G34" s="61">
        <f>3.2665 * CHOOSE(CONTROL!$C$22, $C$13, 100%, $E$13)</f>
        <v>3.2665000000000002</v>
      </c>
      <c r="H34" s="61">
        <f>5.9374* CHOOSE(CONTROL!$C$22, $C$13, 100%, $E$13)</f>
        <v>5.9374000000000002</v>
      </c>
      <c r="I34" s="61">
        <f>5.9395 * CHOOSE(CONTROL!$C$22, $C$13, 100%, $E$13)</f>
        <v>5.9394999999999998</v>
      </c>
      <c r="J34" s="61">
        <f>3.2645 * CHOOSE(CONTROL!$C$22, $C$13, 100%, $E$13)</f>
        <v>3.2645</v>
      </c>
      <c r="K34" s="61">
        <f>3.2665 * CHOOSE(CONTROL!$C$22, $C$13, 100%, $E$13)</f>
        <v>3.2665000000000002</v>
      </c>
      <c r="L34" s="4"/>
      <c r="M34" s="4"/>
      <c r="N34" s="4"/>
    </row>
    <row r="35" spans="1:14" ht="15">
      <c r="A35" s="13">
        <v>42917</v>
      </c>
      <c r="B35" s="60">
        <f>2.7414 * CHOOSE(CONTROL!$C$22, $C$13, 100%, $E$13)</f>
        <v>2.7414000000000001</v>
      </c>
      <c r="C35" s="60">
        <f>2.7414 * CHOOSE(CONTROL!$C$22, $C$13, 100%, $E$13)</f>
        <v>2.7414000000000001</v>
      </c>
      <c r="D35" s="60">
        <f>2.7741 * CHOOSE(CONTROL!$C$22, $C$13, 100%, $E$13)</f>
        <v>2.7740999999999998</v>
      </c>
      <c r="E35" s="61">
        <f>3.633 * CHOOSE(CONTROL!$C$22, $C$13, 100%, $E$13)</f>
        <v>3.633</v>
      </c>
      <c r="F35" s="61">
        <f>3.633 * CHOOSE(CONTROL!$C$22, $C$13, 100%, $E$13)</f>
        <v>3.633</v>
      </c>
      <c r="G35" s="61">
        <f>3.635 * CHOOSE(CONTROL!$C$22, $C$13, 100%, $E$13)</f>
        <v>3.6349999999999998</v>
      </c>
      <c r="H35" s="61">
        <f>5.9498* CHOOSE(CONTROL!$C$22, $C$13, 100%, $E$13)</f>
        <v>5.9497999999999998</v>
      </c>
      <c r="I35" s="61">
        <f>5.9518 * CHOOSE(CONTROL!$C$22, $C$13, 100%, $E$13)</f>
        <v>5.9518000000000004</v>
      </c>
      <c r="J35" s="61">
        <f>3.633 * CHOOSE(CONTROL!$C$22, $C$13, 100%, $E$13)</f>
        <v>3.633</v>
      </c>
      <c r="K35" s="61">
        <f>3.635 * CHOOSE(CONTROL!$C$22, $C$13, 100%, $E$13)</f>
        <v>3.6349999999999998</v>
      </c>
      <c r="L35" s="4"/>
      <c r="M35" s="4"/>
      <c r="N35" s="4"/>
    </row>
    <row r="36" spans="1:14" ht="15">
      <c r="A36" s="13">
        <v>42948</v>
      </c>
      <c r="B36" s="60">
        <f>2.7566 * CHOOSE(CONTROL!$C$22, $C$13, 100%, $E$13)</f>
        <v>2.7566000000000002</v>
      </c>
      <c r="C36" s="60">
        <f>2.7566 * CHOOSE(CONTROL!$C$22, $C$13, 100%, $E$13)</f>
        <v>2.7566000000000002</v>
      </c>
      <c r="D36" s="60">
        <f>2.7893 * CHOOSE(CONTROL!$C$22, $C$13, 100%, $E$13)</f>
        <v>2.7892999999999999</v>
      </c>
      <c r="E36" s="61">
        <f>3.633 * CHOOSE(CONTROL!$C$22, $C$13, 100%, $E$13)</f>
        <v>3.633</v>
      </c>
      <c r="F36" s="61">
        <f>3.633 * CHOOSE(CONTROL!$C$22, $C$13, 100%, $E$13)</f>
        <v>3.633</v>
      </c>
      <c r="G36" s="61">
        <f>3.635 * CHOOSE(CONTROL!$C$22, $C$13, 100%, $E$13)</f>
        <v>3.6349999999999998</v>
      </c>
      <c r="H36" s="61">
        <f>5.9622* CHOOSE(CONTROL!$C$22, $C$13, 100%, $E$13)</f>
        <v>5.9622000000000002</v>
      </c>
      <c r="I36" s="61">
        <f>5.9642 * CHOOSE(CONTROL!$C$22, $C$13, 100%, $E$13)</f>
        <v>5.9641999999999999</v>
      </c>
      <c r="J36" s="61">
        <f>3.633 * CHOOSE(CONTROL!$C$22, $C$13, 100%, $E$13)</f>
        <v>3.633</v>
      </c>
      <c r="K36" s="61">
        <f>3.635 * CHOOSE(CONTROL!$C$22, $C$13, 100%, $E$13)</f>
        <v>3.6349999999999998</v>
      </c>
      <c r="L36" s="4"/>
      <c r="M36" s="4"/>
      <c r="N36" s="4"/>
    </row>
    <row r="37" spans="1:14" ht="15">
      <c r="A37" s="13">
        <v>42979</v>
      </c>
      <c r="B37" s="60">
        <f>2.7506 * CHOOSE(CONTROL!$C$22, $C$13, 100%, $E$13)</f>
        <v>2.7505999999999999</v>
      </c>
      <c r="C37" s="60">
        <f>2.7506 * CHOOSE(CONTROL!$C$22, $C$13, 100%, $E$13)</f>
        <v>2.7505999999999999</v>
      </c>
      <c r="D37" s="60">
        <f>2.7832 * CHOOSE(CONTROL!$C$22, $C$13, 100%, $E$13)</f>
        <v>2.7831999999999999</v>
      </c>
      <c r="E37" s="61">
        <f>3.633 * CHOOSE(CONTROL!$C$22, $C$13, 100%, $E$13)</f>
        <v>3.633</v>
      </c>
      <c r="F37" s="61">
        <f>3.633 * CHOOSE(CONTROL!$C$22, $C$13, 100%, $E$13)</f>
        <v>3.633</v>
      </c>
      <c r="G37" s="61">
        <f>3.635 * CHOOSE(CONTROL!$C$22, $C$13, 100%, $E$13)</f>
        <v>3.6349999999999998</v>
      </c>
      <c r="H37" s="61">
        <f>5.9746* CHOOSE(CONTROL!$C$22, $C$13, 100%, $E$13)</f>
        <v>5.9745999999999997</v>
      </c>
      <c r="I37" s="61">
        <f>5.9767 * CHOOSE(CONTROL!$C$22, $C$13, 100%, $E$13)</f>
        <v>5.9767000000000001</v>
      </c>
      <c r="J37" s="61">
        <f>3.633 * CHOOSE(CONTROL!$C$22, $C$13, 100%, $E$13)</f>
        <v>3.633</v>
      </c>
      <c r="K37" s="61">
        <f>3.635 * CHOOSE(CONTROL!$C$22, $C$13, 100%, $E$13)</f>
        <v>3.6349999999999998</v>
      </c>
      <c r="L37" s="4"/>
      <c r="M37" s="4"/>
      <c r="N37" s="4"/>
    </row>
    <row r="38" spans="1:14" ht="15">
      <c r="A38" s="13">
        <v>43009</v>
      </c>
      <c r="B38" s="60">
        <f>2.7682 * CHOOSE(CONTROL!$C$22, $C$13, 100%, $E$13)</f>
        <v>2.7682000000000002</v>
      </c>
      <c r="C38" s="60">
        <f>2.7682 * CHOOSE(CONTROL!$C$22, $C$13, 100%, $E$13)</f>
        <v>2.7682000000000002</v>
      </c>
      <c r="D38" s="60">
        <f>2.7846 * CHOOSE(CONTROL!$C$22, $C$13, 100%, $E$13)</f>
        <v>2.7846000000000002</v>
      </c>
      <c r="E38" s="61">
        <f>3.633 * CHOOSE(CONTROL!$C$22, $C$13, 100%, $E$13)</f>
        <v>3.633</v>
      </c>
      <c r="F38" s="61">
        <f>3.633 * CHOOSE(CONTROL!$C$22, $C$13, 100%, $E$13)</f>
        <v>3.633</v>
      </c>
      <c r="G38" s="61">
        <f>3.6332 * CHOOSE(CONTROL!$C$22, $C$13, 100%, $E$13)</f>
        <v>3.6332</v>
      </c>
      <c r="H38" s="61">
        <f>5.9871* CHOOSE(CONTROL!$C$22, $C$13, 100%, $E$13)</f>
        <v>5.9870999999999999</v>
      </c>
      <c r="I38" s="61">
        <f>5.9872 * CHOOSE(CONTROL!$C$22, $C$13, 100%, $E$13)</f>
        <v>5.9871999999999996</v>
      </c>
      <c r="J38" s="61">
        <f>3.633 * CHOOSE(CONTROL!$C$22, $C$13, 100%, $E$13)</f>
        <v>3.633</v>
      </c>
      <c r="K38" s="61">
        <f>3.6332 * CHOOSE(CONTROL!$C$22, $C$13, 100%, $E$13)</f>
        <v>3.6332</v>
      </c>
      <c r="L38" s="4"/>
      <c r="M38" s="4"/>
      <c r="N38" s="4"/>
    </row>
    <row r="39" spans="1:14" ht="15">
      <c r="A39" s="13">
        <v>43040</v>
      </c>
      <c r="B39" s="60">
        <f>2.7713 * CHOOSE(CONTROL!$C$22, $C$13, 100%, $E$13)</f>
        <v>2.7713000000000001</v>
      </c>
      <c r="C39" s="60">
        <f>2.7713 * CHOOSE(CONTROL!$C$22, $C$13, 100%, $E$13)</f>
        <v>2.7713000000000001</v>
      </c>
      <c r="D39" s="60">
        <f>2.7876 * CHOOSE(CONTROL!$C$22, $C$13, 100%, $E$13)</f>
        <v>2.7875999999999999</v>
      </c>
      <c r="E39" s="61">
        <f>3.633 * CHOOSE(CONTROL!$C$22, $C$13, 100%, $E$13)</f>
        <v>3.633</v>
      </c>
      <c r="F39" s="61">
        <f>3.633 * CHOOSE(CONTROL!$C$22, $C$13, 100%, $E$13)</f>
        <v>3.633</v>
      </c>
      <c r="G39" s="61">
        <f>3.6332 * CHOOSE(CONTROL!$C$22, $C$13, 100%, $E$13)</f>
        <v>3.6332</v>
      </c>
      <c r="H39" s="61">
        <f>5.9995* CHOOSE(CONTROL!$C$22, $C$13, 100%, $E$13)</f>
        <v>5.9995000000000003</v>
      </c>
      <c r="I39" s="61">
        <f>5.9997 * CHOOSE(CONTROL!$C$22, $C$13, 100%, $E$13)</f>
        <v>5.9996999999999998</v>
      </c>
      <c r="J39" s="61">
        <f>3.633 * CHOOSE(CONTROL!$C$22, $C$13, 100%, $E$13)</f>
        <v>3.633</v>
      </c>
      <c r="K39" s="61">
        <f>3.6332 * CHOOSE(CONTROL!$C$22, $C$13, 100%, $E$13)</f>
        <v>3.6332</v>
      </c>
      <c r="L39" s="4"/>
      <c r="M39" s="4"/>
      <c r="N39" s="4"/>
    </row>
    <row r="40" spans="1:14" ht="15">
      <c r="A40" s="13">
        <v>43070</v>
      </c>
      <c r="B40" s="60">
        <f>2.7743 * CHOOSE(CONTROL!$C$22, $C$13, 100%, $E$13)</f>
        <v>2.7743000000000002</v>
      </c>
      <c r="C40" s="60">
        <f>2.7743 * CHOOSE(CONTROL!$C$22, $C$13, 100%, $E$13)</f>
        <v>2.7743000000000002</v>
      </c>
      <c r="D40" s="60">
        <f>2.7906 * CHOOSE(CONTROL!$C$22, $C$13, 100%, $E$13)</f>
        <v>2.7906</v>
      </c>
      <c r="E40" s="61">
        <f>3.633 * CHOOSE(CONTROL!$C$22, $C$13, 100%, $E$13)</f>
        <v>3.633</v>
      </c>
      <c r="F40" s="61">
        <f>3.633 * CHOOSE(CONTROL!$C$22, $C$13, 100%, $E$13)</f>
        <v>3.633</v>
      </c>
      <c r="G40" s="61">
        <f>3.6332 * CHOOSE(CONTROL!$C$22, $C$13, 100%, $E$13)</f>
        <v>3.6332</v>
      </c>
      <c r="H40" s="61">
        <f>6.012* CHOOSE(CONTROL!$C$22, $C$13, 100%, $E$13)</f>
        <v>6.0119999999999996</v>
      </c>
      <c r="I40" s="61">
        <f>6.0122 * CHOOSE(CONTROL!$C$22, $C$13, 100%, $E$13)</f>
        <v>6.0122</v>
      </c>
      <c r="J40" s="61">
        <f>3.633 * CHOOSE(CONTROL!$C$22, $C$13, 100%, $E$13)</f>
        <v>3.633</v>
      </c>
      <c r="K40" s="61">
        <f>3.6332 * CHOOSE(CONTROL!$C$22, $C$13, 100%, $E$13)</f>
        <v>3.6332</v>
      </c>
      <c r="L40" s="4"/>
      <c r="M40" s="4"/>
      <c r="N40" s="4"/>
    </row>
    <row r="41" spans="1:14" ht="15">
      <c r="A41" s="13">
        <v>43101</v>
      </c>
      <c r="B41" s="60">
        <f>2.8174 * CHOOSE(CONTROL!$C$22, $C$13, 100%, $E$13)</f>
        <v>2.8174000000000001</v>
      </c>
      <c r="C41" s="60">
        <f>2.8174 * CHOOSE(CONTROL!$C$22, $C$13, 100%, $E$13)</f>
        <v>2.8174000000000001</v>
      </c>
      <c r="D41" s="60">
        <f>2.8337 * CHOOSE(CONTROL!$C$22, $C$13, 100%, $E$13)</f>
        <v>2.8336999999999999</v>
      </c>
      <c r="E41" s="61">
        <f>3.2609 * CHOOSE(CONTROL!$C$22, $C$13, 100%, $E$13)</f>
        <v>3.2608999999999999</v>
      </c>
      <c r="F41" s="61">
        <f>3.2609 * CHOOSE(CONTROL!$C$22, $C$13, 100%, $E$13)</f>
        <v>3.2608999999999999</v>
      </c>
      <c r="G41" s="61">
        <f>3.261 * CHOOSE(CONTROL!$C$22, $C$13, 100%, $E$13)</f>
        <v>3.2610000000000001</v>
      </c>
      <c r="H41" s="61">
        <f>6.0246* CHOOSE(CONTROL!$C$22, $C$13, 100%, $E$13)</f>
        <v>6.0246000000000004</v>
      </c>
      <c r="I41" s="61">
        <f>6.0247 * CHOOSE(CONTROL!$C$22, $C$13, 100%, $E$13)</f>
        <v>6.0247000000000002</v>
      </c>
      <c r="J41" s="61">
        <f>3.2609 * CHOOSE(CONTROL!$C$22, $C$13, 100%, $E$13)</f>
        <v>3.2608999999999999</v>
      </c>
      <c r="K41" s="61">
        <f>3.261 * CHOOSE(CONTROL!$C$22, $C$13, 100%, $E$13)</f>
        <v>3.2610000000000001</v>
      </c>
      <c r="L41" s="4"/>
      <c r="M41" s="4"/>
      <c r="N41" s="4"/>
    </row>
    <row r="42" spans="1:14" ht="15">
      <c r="A42" s="13">
        <v>43132</v>
      </c>
      <c r="B42" s="60">
        <f>2.8144 * CHOOSE(CONTROL!$C$22, $C$13, 100%, $E$13)</f>
        <v>2.8144</v>
      </c>
      <c r="C42" s="60">
        <f>2.8144 * CHOOSE(CONTROL!$C$22, $C$13, 100%, $E$13)</f>
        <v>2.8144</v>
      </c>
      <c r="D42" s="60">
        <f>2.8307 * CHOOSE(CONTROL!$C$22, $C$13, 100%, $E$13)</f>
        <v>2.8307000000000002</v>
      </c>
      <c r="E42" s="61">
        <f>3.2349 * CHOOSE(CONTROL!$C$22, $C$13, 100%, $E$13)</f>
        <v>3.2349000000000001</v>
      </c>
      <c r="F42" s="61">
        <f>3.2349 * CHOOSE(CONTROL!$C$22, $C$13, 100%, $E$13)</f>
        <v>3.2349000000000001</v>
      </c>
      <c r="G42" s="61">
        <f>3.2351 * CHOOSE(CONTROL!$C$22, $C$13, 100%, $E$13)</f>
        <v>3.2351000000000001</v>
      </c>
      <c r="H42" s="61">
        <f>6.0371* CHOOSE(CONTROL!$C$22, $C$13, 100%, $E$13)</f>
        <v>6.0370999999999997</v>
      </c>
      <c r="I42" s="61">
        <f>6.0373 * CHOOSE(CONTROL!$C$22, $C$13, 100%, $E$13)</f>
        <v>6.0373000000000001</v>
      </c>
      <c r="J42" s="61">
        <f>3.2349 * CHOOSE(CONTROL!$C$22, $C$13, 100%, $E$13)</f>
        <v>3.2349000000000001</v>
      </c>
      <c r="K42" s="61">
        <f>3.2351 * CHOOSE(CONTROL!$C$22, $C$13, 100%, $E$13)</f>
        <v>3.2351000000000001</v>
      </c>
      <c r="L42" s="4"/>
      <c r="M42" s="4"/>
      <c r="N42" s="4"/>
    </row>
    <row r="43" spans="1:14" ht="15">
      <c r="A43" s="13">
        <v>43160</v>
      </c>
      <c r="B43" s="60">
        <f>2.8113 * CHOOSE(CONTROL!$C$22, $C$13, 100%, $E$13)</f>
        <v>2.8113000000000001</v>
      </c>
      <c r="C43" s="60">
        <f>2.8113 * CHOOSE(CONTROL!$C$22, $C$13, 100%, $E$13)</f>
        <v>2.8113000000000001</v>
      </c>
      <c r="D43" s="60">
        <f>2.8277 * CHOOSE(CONTROL!$C$22, $C$13, 100%, $E$13)</f>
        <v>2.8277000000000001</v>
      </c>
      <c r="E43" s="61">
        <f>3.2516 * CHOOSE(CONTROL!$C$22, $C$13, 100%, $E$13)</f>
        <v>3.2515999999999998</v>
      </c>
      <c r="F43" s="61">
        <f>3.2516 * CHOOSE(CONTROL!$C$22, $C$13, 100%, $E$13)</f>
        <v>3.2515999999999998</v>
      </c>
      <c r="G43" s="61">
        <f>3.2518 * CHOOSE(CONTROL!$C$22, $C$13, 100%, $E$13)</f>
        <v>3.2517999999999998</v>
      </c>
      <c r="H43" s="61">
        <f>6.0497* CHOOSE(CONTROL!$C$22, $C$13, 100%, $E$13)</f>
        <v>6.0496999999999996</v>
      </c>
      <c r="I43" s="61">
        <f>6.0499 * CHOOSE(CONTROL!$C$22, $C$13, 100%, $E$13)</f>
        <v>6.0499000000000001</v>
      </c>
      <c r="J43" s="61">
        <f>3.2516 * CHOOSE(CONTROL!$C$22, $C$13, 100%, $E$13)</f>
        <v>3.2515999999999998</v>
      </c>
      <c r="K43" s="61">
        <f>3.2518 * CHOOSE(CONTROL!$C$22, $C$13, 100%, $E$13)</f>
        <v>3.2517999999999998</v>
      </c>
      <c r="L43" s="4"/>
      <c r="M43" s="4"/>
      <c r="N43" s="4"/>
    </row>
    <row r="44" spans="1:14" ht="15">
      <c r="A44" s="13">
        <v>43191</v>
      </c>
      <c r="B44" s="60">
        <f>2.8078 * CHOOSE(CONTROL!$C$22, $C$13, 100%, $E$13)</f>
        <v>2.8077999999999999</v>
      </c>
      <c r="C44" s="60">
        <f>2.8078 * CHOOSE(CONTROL!$C$22, $C$13, 100%, $E$13)</f>
        <v>2.8077999999999999</v>
      </c>
      <c r="D44" s="60">
        <f>2.8242 * CHOOSE(CONTROL!$C$22, $C$13, 100%, $E$13)</f>
        <v>2.8241999999999998</v>
      </c>
      <c r="E44" s="61">
        <f>3.2675 * CHOOSE(CONTROL!$C$22, $C$13, 100%, $E$13)</f>
        <v>3.2675000000000001</v>
      </c>
      <c r="F44" s="61">
        <f>3.2675 * CHOOSE(CONTROL!$C$22, $C$13, 100%, $E$13)</f>
        <v>3.2675000000000001</v>
      </c>
      <c r="G44" s="61">
        <f>3.2677 * CHOOSE(CONTROL!$C$22, $C$13, 100%, $E$13)</f>
        <v>3.2677</v>
      </c>
      <c r="H44" s="61">
        <f>6.0623* CHOOSE(CONTROL!$C$22, $C$13, 100%, $E$13)</f>
        <v>6.0622999999999996</v>
      </c>
      <c r="I44" s="61">
        <f>6.0625 * CHOOSE(CONTROL!$C$22, $C$13, 100%, $E$13)</f>
        <v>6.0625</v>
      </c>
      <c r="J44" s="61">
        <f>3.2675 * CHOOSE(CONTROL!$C$22, $C$13, 100%, $E$13)</f>
        <v>3.2675000000000001</v>
      </c>
      <c r="K44" s="61">
        <f>3.2677 * CHOOSE(CONTROL!$C$22, $C$13, 100%, $E$13)</f>
        <v>3.2677</v>
      </c>
      <c r="L44" s="4"/>
      <c r="M44" s="4"/>
      <c r="N44" s="4"/>
    </row>
    <row r="45" spans="1:14" ht="15">
      <c r="A45" s="13">
        <v>43221</v>
      </c>
      <c r="B45" s="60">
        <f>2.8078 * CHOOSE(CONTROL!$C$22, $C$13, 100%, $E$13)</f>
        <v>2.8077999999999999</v>
      </c>
      <c r="C45" s="60">
        <f>2.8078 * CHOOSE(CONTROL!$C$22, $C$13, 100%, $E$13)</f>
        <v>2.8077999999999999</v>
      </c>
      <c r="D45" s="60">
        <f>2.8405 * CHOOSE(CONTROL!$C$22, $C$13, 100%, $E$13)</f>
        <v>2.8405</v>
      </c>
      <c r="E45" s="61">
        <f>3.2751 * CHOOSE(CONTROL!$C$22, $C$13, 100%, $E$13)</f>
        <v>3.2751000000000001</v>
      </c>
      <c r="F45" s="61">
        <f>3.2751 * CHOOSE(CONTROL!$C$22, $C$13, 100%, $E$13)</f>
        <v>3.2751000000000001</v>
      </c>
      <c r="G45" s="61">
        <f>3.2771 * CHOOSE(CONTROL!$C$22, $C$13, 100%, $E$13)</f>
        <v>3.2770999999999999</v>
      </c>
      <c r="H45" s="61">
        <f>6.0749* CHOOSE(CONTROL!$C$22, $C$13, 100%, $E$13)</f>
        <v>6.0749000000000004</v>
      </c>
      <c r="I45" s="61">
        <f>6.077 * CHOOSE(CONTROL!$C$22, $C$13, 100%, $E$13)</f>
        <v>6.077</v>
      </c>
      <c r="J45" s="61">
        <f>3.2751 * CHOOSE(CONTROL!$C$22, $C$13, 100%, $E$13)</f>
        <v>3.2751000000000001</v>
      </c>
      <c r="K45" s="61">
        <f>3.2771 * CHOOSE(CONTROL!$C$22, $C$13, 100%, $E$13)</f>
        <v>3.2770999999999999</v>
      </c>
      <c r="L45" s="4"/>
      <c r="M45" s="4"/>
      <c r="N45" s="4"/>
    </row>
    <row r="46" spans="1:14" ht="15">
      <c r="A46" s="13">
        <v>43252</v>
      </c>
      <c r="B46" s="60">
        <f>2.8139 * CHOOSE(CONTROL!$C$22, $C$13, 100%, $E$13)</f>
        <v>2.8138999999999998</v>
      </c>
      <c r="C46" s="60">
        <f>2.8139 * CHOOSE(CONTROL!$C$22, $C$13, 100%, $E$13)</f>
        <v>2.8138999999999998</v>
      </c>
      <c r="D46" s="60">
        <f>2.8466 * CHOOSE(CONTROL!$C$22, $C$13, 100%, $E$13)</f>
        <v>2.8466</v>
      </c>
      <c r="E46" s="61">
        <f>3.2718 * CHOOSE(CONTROL!$C$22, $C$13, 100%, $E$13)</f>
        <v>3.2717999999999998</v>
      </c>
      <c r="F46" s="61">
        <f>3.2718 * CHOOSE(CONTROL!$C$22, $C$13, 100%, $E$13)</f>
        <v>3.2717999999999998</v>
      </c>
      <c r="G46" s="61">
        <f>3.2738 * CHOOSE(CONTROL!$C$22, $C$13, 100%, $E$13)</f>
        <v>3.2738</v>
      </c>
      <c r="H46" s="61">
        <f>6.0876* CHOOSE(CONTROL!$C$22, $C$13, 100%, $E$13)</f>
        <v>6.0876000000000001</v>
      </c>
      <c r="I46" s="61">
        <f>6.0896 * CHOOSE(CONTROL!$C$22, $C$13, 100%, $E$13)</f>
        <v>6.0895999999999999</v>
      </c>
      <c r="J46" s="61">
        <f>3.2718 * CHOOSE(CONTROL!$C$22, $C$13, 100%, $E$13)</f>
        <v>3.2717999999999998</v>
      </c>
      <c r="K46" s="61">
        <f>3.2738 * CHOOSE(CONTROL!$C$22, $C$13, 100%, $E$13)</f>
        <v>3.2738</v>
      </c>
      <c r="L46" s="4"/>
      <c r="M46" s="4"/>
      <c r="N46" s="4"/>
    </row>
    <row r="47" spans="1:14" ht="15">
      <c r="A47" s="13">
        <v>43282</v>
      </c>
      <c r="B47" s="60">
        <f>2.8974 * CHOOSE(CONTROL!$C$22, $C$13, 100%, $E$13)</f>
        <v>2.8974000000000002</v>
      </c>
      <c r="C47" s="60">
        <f>2.8974 * CHOOSE(CONTROL!$C$22, $C$13, 100%, $E$13)</f>
        <v>2.8974000000000002</v>
      </c>
      <c r="D47" s="60">
        <f>2.93 * CHOOSE(CONTROL!$C$22, $C$13, 100%, $E$13)</f>
        <v>2.93</v>
      </c>
      <c r="E47" s="61">
        <f>3.459 * CHOOSE(CONTROL!$C$22, $C$13, 100%, $E$13)</f>
        <v>3.4590000000000001</v>
      </c>
      <c r="F47" s="61">
        <f>3.459 * CHOOSE(CONTROL!$C$22, $C$13, 100%, $E$13)</f>
        <v>3.4590000000000001</v>
      </c>
      <c r="G47" s="61">
        <f>3.461 * CHOOSE(CONTROL!$C$22, $C$13, 100%, $E$13)</f>
        <v>3.4609999999999999</v>
      </c>
      <c r="H47" s="61">
        <f>6.1003* CHOOSE(CONTROL!$C$22, $C$13, 100%, $E$13)</f>
        <v>6.1002999999999998</v>
      </c>
      <c r="I47" s="61">
        <f>6.1023 * CHOOSE(CONTROL!$C$22, $C$13, 100%, $E$13)</f>
        <v>6.1022999999999996</v>
      </c>
      <c r="J47" s="61">
        <f>3.459 * CHOOSE(CONTROL!$C$22, $C$13, 100%, $E$13)</f>
        <v>3.4590000000000001</v>
      </c>
      <c r="K47" s="61">
        <f>3.461 * CHOOSE(CONTROL!$C$22, $C$13, 100%, $E$13)</f>
        <v>3.4609999999999999</v>
      </c>
      <c r="L47" s="4"/>
      <c r="M47" s="4"/>
      <c r="N47" s="4"/>
    </row>
    <row r="48" spans="1:14" ht="15">
      <c r="A48" s="13">
        <v>43313</v>
      </c>
      <c r="B48" s="60">
        <f>2.904 * CHOOSE(CONTROL!$C$22, $C$13, 100%, $E$13)</f>
        <v>2.9039999999999999</v>
      </c>
      <c r="C48" s="60">
        <f>2.904 * CHOOSE(CONTROL!$C$22, $C$13, 100%, $E$13)</f>
        <v>2.9039999999999999</v>
      </c>
      <c r="D48" s="60">
        <f>2.9367 * CHOOSE(CONTROL!$C$22, $C$13, 100%, $E$13)</f>
        <v>2.9367000000000001</v>
      </c>
      <c r="E48" s="61">
        <f>3.4409 * CHOOSE(CONTROL!$C$22, $C$13, 100%, $E$13)</f>
        <v>3.4409000000000001</v>
      </c>
      <c r="F48" s="61">
        <f>3.4409 * CHOOSE(CONTROL!$C$22, $C$13, 100%, $E$13)</f>
        <v>3.4409000000000001</v>
      </c>
      <c r="G48" s="61">
        <f>3.443 * CHOOSE(CONTROL!$C$22, $C$13, 100%, $E$13)</f>
        <v>3.4430000000000001</v>
      </c>
      <c r="H48" s="61">
        <f>6.113* CHOOSE(CONTROL!$C$22, $C$13, 100%, $E$13)</f>
        <v>6.1130000000000004</v>
      </c>
      <c r="I48" s="61">
        <f>6.115 * CHOOSE(CONTROL!$C$22, $C$13, 100%, $E$13)</f>
        <v>6.1150000000000002</v>
      </c>
      <c r="J48" s="61">
        <f>3.4409 * CHOOSE(CONTROL!$C$22, $C$13, 100%, $E$13)</f>
        <v>3.4409000000000001</v>
      </c>
      <c r="K48" s="61">
        <f>3.443 * CHOOSE(CONTROL!$C$22, $C$13, 100%, $E$13)</f>
        <v>3.4430000000000001</v>
      </c>
      <c r="L48" s="4"/>
      <c r="M48" s="4"/>
      <c r="N48" s="4"/>
    </row>
    <row r="49" spans="1:14" ht="15">
      <c r="A49" s="13">
        <v>43344</v>
      </c>
      <c r="B49" s="60">
        <f>2.901 * CHOOSE(CONTROL!$C$22, $C$13, 100%, $E$13)</f>
        <v>2.9009999999999998</v>
      </c>
      <c r="C49" s="60">
        <f>2.901 * CHOOSE(CONTROL!$C$22, $C$13, 100%, $E$13)</f>
        <v>2.9009999999999998</v>
      </c>
      <c r="D49" s="60">
        <f>2.9337 * CHOOSE(CONTROL!$C$22, $C$13, 100%, $E$13)</f>
        <v>2.9337</v>
      </c>
      <c r="E49" s="61">
        <f>3.4363 * CHOOSE(CONTROL!$C$22, $C$13, 100%, $E$13)</f>
        <v>3.4363000000000001</v>
      </c>
      <c r="F49" s="61">
        <f>3.4363 * CHOOSE(CONTROL!$C$22, $C$13, 100%, $E$13)</f>
        <v>3.4363000000000001</v>
      </c>
      <c r="G49" s="61">
        <f>3.4383 * CHOOSE(CONTROL!$C$22, $C$13, 100%, $E$13)</f>
        <v>3.4382999999999999</v>
      </c>
      <c r="H49" s="61">
        <f>6.1257* CHOOSE(CONTROL!$C$22, $C$13, 100%, $E$13)</f>
        <v>6.1257000000000001</v>
      </c>
      <c r="I49" s="61">
        <f>6.1277 * CHOOSE(CONTROL!$C$22, $C$13, 100%, $E$13)</f>
        <v>6.1276999999999999</v>
      </c>
      <c r="J49" s="61">
        <f>3.4363 * CHOOSE(CONTROL!$C$22, $C$13, 100%, $E$13)</f>
        <v>3.4363000000000001</v>
      </c>
      <c r="K49" s="61">
        <f>3.4383 * CHOOSE(CONTROL!$C$22, $C$13, 100%, $E$13)</f>
        <v>3.4382999999999999</v>
      </c>
      <c r="L49" s="4"/>
      <c r="M49" s="4"/>
      <c r="N49" s="4"/>
    </row>
    <row r="50" spans="1:14" ht="15">
      <c r="A50" s="13">
        <v>43374</v>
      </c>
      <c r="B50" s="60">
        <f>2.8921 * CHOOSE(CONTROL!$C$22, $C$13, 100%, $E$13)</f>
        <v>2.8921000000000001</v>
      </c>
      <c r="C50" s="60">
        <f>2.8921 * CHOOSE(CONTROL!$C$22, $C$13, 100%, $E$13)</f>
        <v>2.8921000000000001</v>
      </c>
      <c r="D50" s="60">
        <f>2.9084 * CHOOSE(CONTROL!$C$22, $C$13, 100%, $E$13)</f>
        <v>2.9083999999999999</v>
      </c>
      <c r="E50" s="61">
        <f>3.433 * CHOOSE(CONTROL!$C$22, $C$13, 100%, $E$13)</f>
        <v>3.4329999999999998</v>
      </c>
      <c r="F50" s="61">
        <f>3.433 * CHOOSE(CONTROL!$C$22, $C$13, 100%, $E$13)</f>
        <v>3.4329999999999998</v>
      </c>
      <c r="G50" s="61">
        <f>3.4331 * CHOOSE(CONTROL!$C$22, $C$13, 100%, $E$13)</f>
        <v>3.4331</v>
      </c>
      <c r="H50" s="61">
        <f>6.1385* CHOOSE(CONTROL!$C$22, $C$13, 100%, $E$13)</f>
        <v>6.1384999999999996</v>
      </c>
      <c r="I50" s="61">
        <f>6.1386 * CHOOSE(CONTROL!$C$22, $C$13, 100%, $E$13)</f>
        <v>6.1386000000000003</v>
      </c>
      <c r="J50" s="61">
        <f>3.433 * CHOOSE(CONTROL!$C$22, $C$13, 100%, $E$13)</f>
        <v>3.4329999999999998</v>
      </c>
      <c r="K50" s="61">
        <f>3.4331 * CHOOSE(CONTROL!$C$22, $C$13, 100%, $E$13)</f>
        <v>3.4331</v>
      </c>
      <c r="L50" s="4"/>
      <c r="M50" s="4"/>
      <c r="N50" s="4"/>
    </row>
    <row r="51" spans="1:14" ht="15">
      <c r="A51" s="13">
        <v>43405</v>
      </c>
      <c r="B51" s="60">
        <f>2.8951 * CHOOSE(CONTROL!$C$22, $C$13, 100%, $E$13)</f>
        <v>2.8950999999999998</v>
      </c>
      <c r="C51" s="60">
        <f>2.8951 * CHOOSE(CONTROL!$C$22, $C$13, 100%, $E$13)</f>
        <v>2.8950999999999998</v>
      </c>
      <c r="D51" s="60">
        <f>2.9115 * CHOOSE(CONTROL!$C$22, $C$13, 100%, $E$13)</f>
        <v>2.9115000000000002</v>
      </c>
      <c r="E51" s="61">
        <f>3.4401 * CHOOSE(CONTROL!$C$22, $C$13, 100%, $E$13)</f>
        <v>3.4401000000000002</v>
      </c>
      <c r="F51" s="61">
        <f>3.4401 * CHOOSE(CONTROL!$C$22, $C$13, 100%, $E$13)</f>
        <v>3.4401000000000002</v>
      </c>
      <c r="G51" s="61">
        <f>3.4403 * CHOOSE(CONTROL!$C$22, $C$13, 100%, $E$13)</f>
        <v>3.4403000000000001</v>
      </c>
      <c r="H51" s="61">
        <f>6.1513* CHOOSE(CONTROL!$C$22, $C$13, 100%, $E$13)</f>
        <v>6.1513</v>
      </c>
      <c r="I51" s="61">
        <f>6.1514 * CHOOSE(CONTROL!$C$22, $C$13, 100%, $E$13)</f>
        <v>6.1513999999999998</v>
      </c>
      <c r="J51" s="61">
        <f>3.4401 * CHOOSE(CONTROL!$C$22, $C$13, 100%, $E$13)</f>
        <v>3.4401000000000002</v>
      </c>
      <c r="K51" s="61">
        <f>3.4403 * CHOOSE(CONTROL!$C$22, $C$13, 100%, $E$13)</f>
        <v>3.4403000000000001</v>
      </c>
      <c r="L51" s="4"/>
      <c r="M51" s="4"/>
      <c r="N51" s="4"/>
    </row>
    <row r="52" spans="1:14" ht="15">
      <c r="A52" s="13">
        <v>43435</v>
      </c>
      <c r="B52" s="60">
        <f>2.8951 * CHOOSE(CONTROL!$C$22, $C$13, 100%, $E$13)</f>
        <v>2.8950999999999998</v>
      </c>
      <c r="C52" s="60">
        <f>2.8951 * CHOOSE(CONTROL!$C$22, $C$13, 100%, $E$13)</f>
        <v>2.8950999999999998</v>
      </c>
      <c r="D52" s="60">
        <f>2.9115 * CHOOSE(CONTROL!$C$22, $C$13, 100%, $E$13)</f>
        <v>2.9115000000000002</v>
      </c>
      <c r="E52" s="61">
        <f>3.4275 * CHOOSE(CONTROL!$C$22, $C$13, 100%, $E$13)</f>
        <v>3.4275000000000002</v>
      </c>
      <c r="F52" s="61">
        <f>3.4275 * CHOOSE(CONTROL!$C$22, $C$13, 100%, $E$13)</f>
        <v>3.4275000000000002</v>
      </c>
      <c r="G52" s="61">
        <f>3.4277 * CHOOSE(CONTROL!$C$22, $C$13, 100%, $E$13)</f>
        <v>3.4277000000000002</v>
      </c>
      <c r="H52" s="61">
        <f>6.1641* CHOOSE(CONTROL!$C$22, $C$13, 100%, $E$13)</f>
        <v>6.1641000000000004</v>
      </c>
      <c r="I52" s="61">
        <f>6.1643 * CHOOSE(CONTROL!$C$22, $C$13, 100%, $E$13)</f>
        <v>6.1642999999999999</v>
      </c>
      <c r="J52" s="61">
        <f>3.4275 * CHOOSE(CONTROL!$C$22, $C$13, 100%, $E$13)</f>
        <v>3.4275000000000002</v>
      </c>
      <c r="K52" s="61">
        <f>3.4277 * CHOOSE(CONTROL!$C$22, $C$13, 100%, $E$13)</f>
        <v>3.4277000000000002</v>
      </c>
      <c r="L52" s="4"/>
      <c r="M52" s="4"/>
      <c r="N52" s="4"/>
    </row>
    <row r="53" spans="1:14" ht="15">
      <c r="A53" s="13">
        <v>43466</v>
      </c>
      <c r="B53" s="60">
        <f>2.9246 * CHOOSE(CONTROL!$C$22, $C$13, 100%, $E$13)</f>
        <v>2.9245999999999999</v>
      </c>
      <c r="C53" s="60">
        <f>2.9246 * CHOOSE(CONTROL!$C$22, $C$13, 100%, $E$13)</f>
        <v>2.9245999999999999</v>
      </c>
      <c r="D53" s="60">
        <f>2.941 * CHOOSE(CONTROL!$C$22, $C$13, 100%, $E$13)</f>
        <v>2.9409999999999998</v>
      </c>
      <c r="E53" s="61">
        <f>3.4699 * CHOOSE(CONTROL!$C$22, $C$13, 100%, $E$13)</f>
        <v>3.4699</v>
      </c>
      <c r="F53" s="61">
        <f>3.4699 * CHOOSE(CONTROL!$C$22, $C$13, 100%, $E$13)</f>
        <v>3.4699</v>
      </c>
      <c r="G53" s="61">
        <f>3.4701 * CHOOSE(CONTROL!$C$22, $C$13, 100%, $E$13)</f>
        <v>3.4701</v>
      </c>
      <c r="H53" s="61">
        <f>6.1769* CHOOSE(CONTROL!$C$22, $C$13, 100%, $E$13)</f>
        <v>6.1768999999999998</v>
      </c>
      <c r="I53" s="61">
        <f>6.1771 * CHOOSE(CONTROL!$C$22, $C$13, 100%, $E$13)</f>
        <v>6.1771000000000003</v>
      </c>
      <c r="J53" s="61">
        <f>3.4699 * CHOOSE(CONTROL!$C$22, $C$13, 100%, $E$13)</f>
        <v>3.4699</v>
      </c>
      <c r="K53" s="61">
        <f>3.4701 * CHOOSE(CONTROL!$C$22, $C$13, 100%, $E$13)</f>
        <v>3.4701</v>
      </c>
      <c r="L53" s="4"/>
      <c r="M53" s="4"/>
      <c r="N53" s="4"/>
    </row>
    <row r="54" spans="1:14" ht="15">
      <c r="A54" s="13">
        <v>43497</v>
      </c>
      <c r="B54" s="60">
        <f>2.9216 * CHOOSE(CONTROL!$C$22, $C$13, 100%, $E$13)</f>
        <v>2.9216000000000002</v>
      </c>
      <c r="C54" s="60">
        <f>2.9216 * CHOOSE(CONTROL!$C$22, $C$13, 100%, $E$13)</f>
        <v>2.9216000000000002</v>
      </c>
      <c r="D54" s="60">
        <f>2.9379 * CHOOSE(CONTROL!$C$22, $C$13, 100%, $E$13)</f>
        <v>2.9379</v>
      </c>
      <c r="E54" s="61">
        <f>3.4392 * CHOOSE(CONTROL!$C$22, $C$13, 100%, $E$13)</f>
        <v>3.4392</v>
      </c>
      <c r="F54" s="61">
        <f>3.4392 * CHOOSE(CONTROL!$C$22, $C$13, 100%, $E$13)</f>
        <v>3.4392</v>
      </c>
      <c r="G54" s="61">
        <f>3.4394 * CHOOSE(CONTROL!$C$22, $C$13, 100%, $E$13)</f>
        <v>3.4394</v>
      </c>
      <c r="H54" s="61">
        <f>6.1898* CHOOSE(CONTROL!$C$22, $C$13, 100%, $E$13)</f>
        <v>6.1898</v>
      </c>
      <c r="I54" s="61">
        <f>6.19 * CHOOSE(CONTROL!$C$22, $C$13, 100%, $E$13)</f>
        <v>6.19</v>
      </c>
      <c r="J54" s="61">
        <f>3.4392 * CHOOSE(CONTROL!$C$22, $C$13, 100%, $E$13)</f>
        <v>3.4392</v>
      </c>
      <c r="K54" s="61">
        <f>3.4394 * CHOOSE(CONTROL!$C$22, $C$13, 100%, $E$13)</f>
        <v>3.4394</v>
      </c>
      <c r="L54" s="4"/>
      <c r="M54" s="4"/>
      <c r="N54" s="4"/>
    </row>
    <row r="55" spans="1:14" ht="15">
      <c r="A55" s="13">
        <v>43525</v>
      </c>
      <c r="B55" s="60">
        <f>2.9185 * CHOOSE(CONTROL!$C$22, $C$13, 100%, $E$13)</f>
        <v>2.9184999999999999</v>
      </c>
      <c r="C55" s="60">
        <f>2.9185 * CHOOSE(CONTROL!$C$22, $C$13, 100%, $E$13)</f>
        <v>2.9184999999999999</v>
      </c>
      <c r="D55" s="60">
        <f>2.9349 * CHOOSE(CONTROL!$C$22, $C$13, 100%, $E$13)</f>
        <v>2.9348999999999998</v>
      </c>
      <c r="E55" s="61">
        <f>3.4596 * CHOOSE(CONTROL!$C$22, $C$13, 100%, $E$13)</f>
        <v>3.4596</v>
      </c>
      <c r="F55" s="61">
        <f>3.4596 * CHOOSE(CONTROL!$C$22, $C$13, 100%, $E$13)</f>
        <v>3.4596</v>
      </c>
      <c r="G55" s="61">
        <f>3.4598 * CHOOSE(CONTROL!$C$22, $C$13, 100%, $E$13)</f>
        <v>3.4598</v>
      </c>
      <c r="H55" s="61">
        <f>6.2027* CHOOSE(CONTROL!$C$22, $C$13, 100%, $E$13)</f>
        <v>6.2027000000000001</v>
      </c>
      <c r="I55" s="61">
        <f>6.2029 * CHOOSE(CONTROL!$C$22, $C$13, 100%, $E$13)</f>
        <v>6.2028999999999996</v>
      </c>
      <c r="J55" s="61">
        <f>3.4596 * CHOOSE(CONTROL!$C$22, $C$13, 100%, $E$13)</f>
        <v>3.4596</v>
      </c>
      <c r="K55" s="61">
        <f>3.4598 * CHOOSE(CONTROL!$C$22, $C$13, 100%, $E$13)</f>
        <v>3.4598</v>
      </c>
      <c r="L55" s="4"/>
      <c r="M55" s="4"/>
      <c r="N55" s="4"/>
    </row>
    <row r="56" spans="1:14" ht="15">
      <c r="A56" s="13">
        <v>43556</v>
      </c>
      <c r="B56" s="60">
        <f>2.9152 * CHOOSE(CONTROL!$C$22, $C$13, 100%, $E$13)</f>
        <v>2.9152</v>
      </c>
      <c r="C56" s="60">
        <f>2.9152 * CHOOSE(CONTROL!$C$22, $C$13, 100%, $E$13)</f>
        <v>2.9152</v>
      </c>
      <c r="D56" s="60">
        <f>2.9315 * CHOOSE(CONTROL!$C$22, $C$13, 100%, $E$13)</f>
        <v>2.9315000000000002</v>
      </c>
      <c r="E56" s="61">
        <f>3.4796 * CHOOSE(CONTROL!$C$22, $C$13, 100%, $E$13)</f>
        <v>3.4796</v>
      </c>
      <c r="F56" s="61">
        <f>3.4796 * CHOOSE(CONTROL!$C$22, $C$13, 100%, $E$13)</f>
        <v>3.4796</v>
      </c>
      <c r="G56" s="61">
        <f>3.4798 * CHOOSE(CONTROL!$C$22, $C$13, 100%, $E$13)</f>
        <v>3.4798</v>
      </c>
      <c r="H56" s="61">
        <f>6.2156* CHOOSE(CONTROL!$C$22, $C$13, 100%, $E$13)</f>
        <v>6.2156000000000002</v>
      </c>
      <c r="I56" s="61">
        <f>6.2158 * CHOOSE(CONTROL!$C$22, $C$13, 100%, $E$13)</f>
        <v>6.2157999999999998</v>
      </c>
      <c r="J56" s="61">
        <f>3.4796 * CHOOSE(CONTROL!$C$22, $C$13, 100%, $E$13)</f>
        <v>3.4796</v>
      </c>
      <c r="K56" s="61">
        <f>3.4798 * CHOOSE(CONTROL!$C$22, $C$13, 100%, $E$13)</f>
        <v>3.4798</v>
      </c>
      <c r="L56" s="4"/>
      <c r="M56" s="4"/>
      <c r="N56" s="4"/>
    </row>
    <row r="57" spans="1:14" ht="15">
      <c r="A57" s="13">
        <v>43586</v>
      </c>
      <c r="B57" s="60">
        <f>2.9152 * CHOOSE(CONTROL!$C$22, $C$13, 100%, $E$13)</f>
        <v>2.9152</v>
      </c>
      <c r="C57" s="60">
        <f>2.9152 * CHOOSE(CONTROL!$C$22, $C$13, 100%, $E$13)</f>
        <v>2.9152</v>
      </c>
      <c r="D57" s="60">
        <f>2.9479 * CHOOSE(CONTROL!$C$22, $C$13, 100%, $E$13)</f>
        <v>2.9479000000000002</v>
      </c>
      <c r="E57" s="61">
        <f>3.4887 * CHOOSE(CONTROL!$C$22, $C$13, 100%, $E$13)</f>
        <v>3.4887000000000001</v>
      </c>
      <c r="F57" s="61">
        <f>3.4887 * CHOOSE(CONTROL!$C$22, $C$13, 100%, $E$13)</f>
        <v>3.4887000000000001</v>
      </c>
      <c r="G57" s="61">
        <f>3.4908 * CHOOSE(CONTROL!$C$22, $C$13, 100%, $E$13)</f>
        <v>3.4908000000000001</v>
      </c>
      <c r="H57" s="61">
        <f>6.2286* CHOOSE(CONTROL!$C$22, $C$13, 100%, $E$13)</f>
        <v>6.2286000000000001</v>
      </c>
      <c r="I57" s="61">
        <f>6.2306 * CHOOSE(CONTROL!$C$22, $C$13, 100%, $E$13)</f>
        <v>6.2305999999999999</v>
      </c>
      <c r="J57" s="61">
        <f>3.4887 * CHOOSE(CONTROL!$C$22, $C$13, 100%, $E$13)</f>
        <v>3.4887000000000001</v>
      </c>
      <c r="K57" s="61">
        <f>3.4908 * CHOOSE(CONTROL!$C$22, $C$13, 100%, $E$13)</f>
        <v>3.4908000000000001</v>
      </c>
      <c r="L57" s="4"/>
      <c r="M57" s="4"/>
      <c r="N57" s="4"/>
    </row>
    <row r="58" spans="1:14" ht="15">
      <c r="A58" s="13">
        <v>43617</v>
      </c>
      <c r="B58" s="60">
        <f>2.9213 * CHOOSE(CONTROL!$C$22, $C$13, 100%, $E$13)</f>
        <v>2.9213</v>
      </c>
      <c r="C58" s="60">
        <f>2.9213 * CHOOSE(CONTROL!$C$22, $C$13, 100%, $E$13)</f>
        <v>2.9213</v>
      </c>
      <c r="D58" s="60">
        <f>2.9539 * CHOOSE(CONTROL!$C$22, $C$13, 100%, $E$13)</f>
        <v>2.9539</v>
      </c>
      <c r="E58" s="61">
        <f>3.4839 * CHOOSE(CONTROL!$C$22, $C$13, 100%, $E$13)</f>
        <v>3.4839000000000002</v>
      </c>
      <c r="F58" s="61">
        <f>3.4839 * CHOOSE(CONTROL!$C$22, $C$13, 100%, $E$13)</f>
        <v>3.4839000000000002</v>
      </c>
      <c r="G58" s="61">
        <f>3.4859 * CHOOSE(CONTROL!$C$22, $C$13, 100%, $E$13)</f>
        <v>3.4859</v>
      </c>
      <c r="H58" s="61">
        <f>6.2415* CHOOSE(CONTROL!$C$22, $C$13, 100%, $E$13)</f>
        <v>6.2415000000000003</v>
      </c>
      <c r="I58" s="61">
        <f>6.2436 * CHOOSE(CONTROL!$C$22, $C$13, 100%, $E$13)</f>
        <v>6.2435999999999998</v>
      </c>
      <c r="J58" s="61">
        <f>3.4839 * CHOOSE(CONTROL!$C$22, $C$13, 100%, $E$13)</f>
        <v>3.4839000000000002</v>
      </c>
      <c r="K58" s="61">
        <f>3.4859 * CHOOSE(CONTROL!$C$22, $C$13, 100%, $E$13)</f>
        <v>3.4859</v>
      </c>
      <c r="L58" s="4"/>
      <c r="M58" s="4"/>
      <c r="N58" s="4"/>
    </row>
    <row r="59" spans="1:14" ht="15">
      <c r="A59" s="13">
        <v>43647</v>
      </c>
      <c r="B59" s="60">
        <f>2.9781 * CHOOSE(CONTROL!$C$22, $C$13, 100%, $E$13)</f>
        <v>2.9781</v>
      </c>
      <c r="C59" s="60">
        <f>2.9781 * CHOOSE(CONTROL!$C$22, $C$13, 100%, $E$13)</f>
        <v>2.9781</v>
      </c>
      <c r="D59" s="60">
        <f>3.0108 * CHOOSE(CONTROL!$C$22, $C$13, 100%, $E$13)</f>
        <v>3.0108000000000001</v>
      </c>
      <c r="E59" s="61">
        <f>3.4566 * CHOOSE(CONTROL!$C$22, $C$13, 100%, $E$13)</f>
        <v>3.4565999999999999</v>
      </c>
      <c r="F59" s="61">
        <f>3.4566 * CHOOSE(CONTROL!$C$22, $C$13, 100%, $E$13)</f>
        <v>3.4565999999999999</v>
      </c>
      <c r="G59" s="61">
        <f>3.4586 * CHOOSE(CONTROL!$C$22, $C$13, 100%, $E$13)</f>
        <v>3.4586000000000001</v>
      </c>
      <c r="H59" s="61">
        <f>6.2545* CHOOSE(CONTROL!$C$22, $C$13, 100%, $E$13)</f>
        <v>6.2545000000000002</v>
      </c>
      <c r="I59" s="61">
        <f>6.2566 * CHOOSE(CONTROL!$C$22, $C$13, 100%, $E$13)</f>
        <v>6.2565999999999997</v>
      </c>
      <c r="J59" s="61">
        <f>3.4566 * CHOOSE(CONTROL!$C$22, $C$13, 100%, $E$13)</f>
        <v>3.4565999999999999</v>
      </c>
      <c r="K59" s="61">
        <f>3.4586 * CHOOSE(CONTROL!$C$22, $C$13, 100%, $E$13)</f>
        <v>3.4586000000000001</v>
      </c>
      <c r="L59" s="4"/>
      <c r="M59" s="4"/>
      <c r="N59" s="4"/>
    </row>
    <row r="60" spans="1:14" ht="15">
      <c r="A60" s="13">
        <v>43678</v>
      </c>
      <c r="B60" s="60">
        <f>2.9848 * CHOOSE(CONTROL!$C$22, $C$13, 100%, $E$13)</f>
        <v>2.9847999999999999</v>
      </c>
      <c r="C60" s="60">
        <f>2.9848 * CHOOSE(CONTROL!$C$22, $C$13, 100%, $E$13)</f>
        <v>2.9847999999999999</v>
      </c>
      <c r="D60" s="60">
        <f>3.0175 * CHOOSE(CONTROL!$C$22, $C$13, 100%, $E$13)</f>
        <v>3.0175000000000001</v>
      </c>
      <c r="E60" s="61">
        <f>3.434 * CHOOSE(CONTROL!$C$22, $C$13, 100%, $E$13)</f>
        <v>3.4340000000000002</v>
      </c>
      <c r="F60" s="61">
        <f>3.434 * CHOOSE(CONTROL!$C$22, $C$13, 100%, $E$13)</f>
        <v>3.4340000000000002</v>
      </c>
      <c r="G60" s="61">
        <f>3.436 * CHOOSE(CONTROL!$C$22, $C$13, 100%, $E$13)</f>
        <v>3.4359999999999999</v>
      </c>
      <c r="H60" s="61">
        <f>6.2676* CHOOSE(CONTROL!$C$22, $C$13, 100%, $E$13)</f>
        <v>6.2675999999999998</v>
      </c>
      <c r="I60" s="61">
        <f>6.2696 * CHOOSE(CONTROL!$C$22, $C$13, 100%, $E$13)</f>
        <v>6.2695999999999996</v>
      </c>
      <c r="J60" s="61">
        <f>3.434 * CHOOSE(CONTROL!$C$22, $C$13, 100%, $E$13)</f>
        <v>3.4340000000000002</v>
      </c>
      <c r="K60" s="61">
        <f>3.436 * CHOOSE(CONTROL!$C$22, $C$13, 100%, $E$13)</f>
        <v>3.4359999999999999</v>
      </c>
      <c r="L60" s="4"/>
      <c r="M60" s="4"/>
      <c r="N60" s="4"/>
    </row>
    <row r="61" spans="1:14" ht="15">
      <c r="A61" s="13">
        <v>43709</v>
      </c>
      <c r="B61" s="60">
        <f>2.9818 * CHOOSE(CONTROL!$C$22, $C$13, 100%, $E$13)</f>
        <v>2.9817999999999998</v>
      </c>
      <c r="C61" s="60">
        <f>2.9818 * CHOOSE(CONTROL!$C$22, $C$13, 100%, $E$13)</f>
        <v>2.9817999999999998</v>
      </c>
      <c r="D61" s="60">
        <f>3.0145 * CHOOSE(CONTROL!$C$22, $C$13, 100%, $E$13)</f>
        <v>3.0145</v>
      </c>
      <c r="E61" s="61">
        <f>3.4288 * CHOOSE(CONTROL!$C$22, $C$13, 100%, $E$13)</f>
        <v>3.4287999999999998</v>
      </c>
      <c r="F61" s="61">
        <f>3.4288 * CHOOSE(CONTROL!$C$22, $C$13, 100%, $E$13)</f>
        <v>3.4287999999999998</v>
      </c>
      <c r="G61" s="61">
        <f>3.4309 * CHOOSE(CONTROL!$C$22, $C$13, 100%, $E$13)</f>
        <v>3.4308999999999998</v>
      </c>
      <c r="H61" s="61">
        <f>6.2806* CHOOSE(CONTROL!$C$22, $C$13, 100%, $E$13)</f>
        <v>6.2805999999999997</v>
      </c>
      <c r="I61" s="61">
        <f>6.2827 * CHOOSE(CONTROL!$C$22, $C$13, 100%, $E$13)</f>
        <v>6.2827000000000002</v>
      </c>
      <c r="J61" s="61">
        <f>3.4288 * CHOOSE(CONTROL!$C$22, $C$13, 100%, $E$13)</f>
        <v>3.4287999999999998</v>
      </c>
      <c r="K61" s="61">
        <f>3.4309 * CHOOSE(CONTROL!$C$22, $C$13, 100%, $E$13)</f>
        <v>3.4308999999999998</v>
      </c>
      <c r="L61" s="4"/>
      <c r="M61" s="4"/>
      <c r="N61" s="4"/>
    </row>
    <row r="62" spans="1:14" ht="15">
      <c r="A62" s="13">
        <v>43739</v>
      </c>
      <c r="B62" s="60">
        <f>2.9731 * CHOOSE(CONTROL!$C$22, $C$13, 100%, $E$13)</f>
        <v>2.9731000000000001</v>
      </c>
      <c r="C62" s="60">
        <f>2.9731 * CHOOSE(CONTROL!$C$22, $C$13, 100%, $E$13)</f>
        <v>2.9731000000000001</v>
      </c>
      <c r="D62" s="60">
        <f>2.9895 * CHOOSE(CONTROL!$C$22, $C$13, 100%, $E$13)</f>
        <v>2.9895</v>
      </c>
      <c r="E62" s="61">
        <f>3.4275 * CHOOSE(CONTROL!$C$22, $C$13, 100%, $E$13)</f>
        <v>3.4275000000000002</v>
      </c>
      <c r="F62" s="61">
        <f>3.4275 * CHOOSE(CONTROL!$C$22, $C$13, 100%, $E$13)</f>
        <v>3.4275000000000002</v>
      </c>
      <c r="G62" s="61">
        <f>3.4277 * CHOOSE(CONTROL!$C$22, $C$13, 100%, $E$13)</f>
        <v>3.4277000000000002</v>
      </c>
      <c r="H62" s="61">
        <f>6.2937* CHOOSE(CONTROL!$C$22, $C$13, 100%, $E$13)</f>
        <v>6.2937000000000003</v>
      </c>
      <c r="I62" s="61">
        <f>6.2939 * CHOOSE(CONTROL!$C$22, $C$13, 100%, $E$13)</f>
        <v>6.2938999999999998</v>
      </c>
      <c r="J62" s="61">
        <f>3.4275 * CHOOSE(CONTROL!$C$22, $C$13, 100%, $E$13)</f>
        <v>3.4275000000000002</v>
      </c>
      <c r="K62" s="61">
        <f>3.4277 * CHOOSE(CONTROL!$C$22, $C$13, 100%, $E$13)</f>
        <v>3.4277000000000002</v>
      </c>
      <c r="L62" s="4"/>
      <c r="M62" s="4"/>
      <c r="N62" s="4"/>
    </row>
    <row r="63" spans="1:14" ht="15">
      <c r="A63" s="13">
        <v>43770</v>
      </c>
      <c r="B63" s="60">
        <f>2.9762 * CHOOSE(CONTROL!$C$22, $C$13, 100%, $E$13)</f>
        <v>2.9762</v>
      </c>
      <c r="C63" s="60">
        <f>2.9762 * CHOOSE(CONTROL!$C$22, $C$13, 100%, $E$13)</f>
        <v>2.9762</v>
      </c>
      <c r="D63" s="60">
        <f>2.9925 * CHOOSE(CONTROL!$C$22, $C$13, 100%, $E$13)</f>
        <v>2.9925000000000002</v>
      </c>
      <c r="E63" s="61">
        <f>3.4357 * CHOOSE(CONTROL!$C$22, $C$13, 100%, $E$13)</f>
        <v>3.4357000000000002</v>
      </c>
      <c r="F63" s="61">
        <f>3.4357 * CHOOSE(CONTROL!$C$22, $C$13, 100%, $E$13)</f>
        <v>3.4357000000000002</v>
      </c>
      <c r="G63" s="61">
        <f>3.4359 * CHOOSE(CONTROL!$C$22, $C$13, 100%, $E$13)</f>
        <v>3.4359000000000002</v>
      </c>
      <c r="H63" s="61">
        <f>6.3068* CHOOSE(CONTROL!$C$22, $C$13, 100%, $E$13)</f>
        <v>6.3068</v>
      </c>
      <c r="I63" s="61">
        <f>6.307 * CHOOSE(CONTROL!$C$22, $C$13, 100%, $E$13)</f>
        <v>6.3070000000000004</v>
      </c>
      <c r="J63" s="61">
        <f>3.4357 * CHOOSE(CONTROL!$C$22, $C$13, 100%, $E$13)</f>
        <v>3.4357000000000002</v>
      </c>
      <c r="K63" s="61">
        <f>3.4359 * CHOOSE(CONTROL!$C$22, $C$13, 100%, $E$13)</f>
        <v>3.4359000000000002</v>
      </c>
      <c r="L63" s="4"/>
      <c r="M63" s="4"/>
      <c r="N63" s="4"/>
    </row>
    <row r="64" spans="1:14" ht="15">
      <c r="A64" s="13">
        <v>43800</v>
      </c>
      <c r="B64" s="60">
        <f>2.9762 * CHOOSE(CONTROL!$C$22, $C$13, 100%, $E$13)</f>
        <v>2.9762</v>
      </c>
      <c r="C64" s="60">
        <f>2.9762 * CHOOSE(CONTROL!$C$22, $C$13, 100%, $E$13)</f>
        <v>2.9762</v>
      </c>
      <c r="D64" s="60">
        <f>2.9925 * CHOOSE(CONTROL!$C$22, $C$13, 100%, $E$13)</f>
        <v>2.9925000000000002</v>
      </c>
      <c r="E64" s="61">
        <f>3.4206 * CHOOSE(CONTROL!$C$22, $C$13, 100%, $E$13)</f>
        <v>3.4205999999999999</v>
      </c>
      <c r="F64" s="61">
        <f>3.4206 * CHOOSE(CONTROL!$C$22, $C$13, 100%, $E$13)</f>
        <v>3.4205999999999999</v>
      </c>
      <c r="G64" s="61">
        <f>3.4207 * CHOOSE(CONTROL!$C$22, $C$13, 100%, $E$13)</f>
        <v>3.4207000000000001</v>
      </c>
      <c r="H64" s="61">
        <f>6.32* CHOOSE(CONTROL!$C$22, $C$13, 100%, $E$13)</f>
        <v>6.32</v>
      </c>
      <c r="I64" s="61">
        <f>6.3201 * CHOOSE(CONTROL!$C$22, $C$13, 100%, $E$13)</f>
        <v>6.3201000000000001</v>
      </c>
      <c r="J64" s="61">
        <f>3.4206 * CHOOSE(CONTROL!$C$22, $C$13, 100%, $E$13)</f>
        <v>3.4205999999999999</v>
      </c>
      <c r="K64" s="61">
        <f>3.4207 * CHOOSE(CONTROL!$C$22, $C$13, 100%, $E$13)</f>
        <v>3.4207000000000001</v>
      </c>
      <c r="L64" s="4"/>
      <c r="M64" s="4"/>
      <c r="N64" s="4"/>
    </row>
    <row r="65" spans="1:14" ht="15">
      <c r="A65" s="13">
        <v>43831</v>
      </c>
      <c r="B65" s="60">
        <f>3.0034 * CHOOSE(CONTROL!$C$22, $C$13, 100%, $E$13)</f>
        <v>3.0034000000000001</v>
      </c>
      <c r="C65" s="60">
        <f>3.0034 * CHOOSE(CONTROL!$C$22, $C$13, 100%, $E$13)</f>
        <v>3.0034000000000001</v>
      </c>
      <c r="D65" s="60">
        <f>3.0197 * CHOOSE(CONTROL!$C$22, $C$13, 100%, $E$13)</f>
        <v>3.0196999999999998</v>
      </c>
      <c r="E65" s="61">
        <f>3.5343 * CHOOSE(CONTROL!$C$22, $C$13, 100%, $E$13)</f>
        <v>3.5343</v>
      </c>
      <c r="F65" s="61">
        <f>3.5343 * CHOOSE(CONTROL!$C$22, $C$13, 100%, $E$13)</f>
        <v>3.5343</v>
      </c>
      <c r="G65" s="61">
        <f>3.5345 * CHOOSE(CONTROL!$C$22, $C$13, 100%, $E$13)</f>
        <v>3.5345</v>
      </c>
      <c r="H65" s="61">
        <f>6.3331* CHOOSE(CONTROL!$C$22, $C$13, 100%, $E$13)</f>
        <v>6.3331</v>
      </c>
      <c r="I65" s="61">
        <f>6.3333 * CHOOSE(CONTROL!$C$22, $C$13, 100%, $E$13)</f>
        <v>6.3333000000000004</v>
      </c>
      <c r="J65" s="61">
        <f>3.5343 * CHOOSE(CONTROL!$C$22, $C$13, 100%, $E$13)</f>
        <v>3.5343</v>
      </c>
      <c r="K65" s="61">
        <f>3.5345 * CHOOSE(CONTROL!$C$22, $C$13, 100%, $E$13)</f>
        <v>3.5345</v>
      </c>
      <c r="L65" s="4"/>
      <c r="M65" s="4"/>
      <c r="N65" s="4"/>
    </row>
    <row r="66" spans="1:14" ht="15">
      <c r="A66" s="13">
        <v>43862</v>
      </c>
      <c r="B66" s="60">
        <f>3.0003 * CHOOSE(CONTROL!$C$22, $C$13, 100%, $E$13)</f>
        <v>3.0003000000000002</v>
      </c>
      <c r="C66" s="60">
        <f>3.0003 * CHOOSE(CONTROL!$C$22, $C$13, 100%, $E$13)</f>
        <v>3.0003000000000002</v>
      </c>
      <c r="D66" s="60">
        <f>3.0167 * CHOOSE(CONTROL!$C$22, $C$13, 100%, $E$13)</f>
        <v>3.0167000000000002</v>
      </c>
      <c r="E66" s="61">
        <f>3.4967 * CHOOSE(CONTROL!$C$22, $C$13, 100%, $E$13)</f>
        <v>3.4967000000000001</v>
      </c>
      <c r="F66" s="61">
        <f>3.4967 * CHOOSE(CONTROL!$C$22, $C$13, 100%, $E$13)</f>
        <v>3.4967000000000001</v>
      </c>
      <c r="G66" s="61">
        <f>3.4969 * CHOOSE(CONTROL!$C$22, $C$13, 100%, $E$13)</f>
        <v>3.4969000000000001</v>
      </c>
      <c r="H66" s="61">
        <f>6.3463* CHOOSE(CONTROL!$C$22, $C$13, 100%, $E$13)</f>
        <v>6.3463000000000003</v>
      </c>
      <c r="I66" s="61">
        <f>6.3465 * CHOOSE(CONTROL!$C$22, $C$13, 100%, $E$13)</f>
        <v>6.3464999999999998</v>
      </c>
      <c r="J66" s="61">
        <f>3.4967 * CHOOSE(CONTROL!$C$22, $C$13, 100%, $E$13)</f>
        <v>3.4967000000000001</v>
      </c>
      <c r="K66" s="61">
        <f>3.4969 * CHOOSE(CONTROL!$C$22, $C$13, 100%, $E$13)</f>
        <v>3.4969000000000001</v>
      </c>
      <c r="L66" s="4"/>
      <c r="M66" s="4"/>
      <c r="N66" s="4"/>
    </row>
    <row r="67" spans="1:14" ht="15">
      <c r="A67" s="13">
        <v>43891</v>
      </c>
      <c r="B67" s="60">
        <f>2.9973 * CHOOSE(CONTROL!$C$22, $C$13, 100%, $E$13)</f>
        <v>2.9973000000000001</v>
      </c>
      <c r="C67" s="60">
        <f>2.9973 * CHOOSE(CONTROL!$C$22, $C$13, 100%, $E$13)</f>
        <v>2.9973000000000001</v>
      </c>
      <c r="D67" s="60">
        <f>3.0136 * CHOOSE(CONTROL!$C$22, $C$13, 100%, $E$13)</f>
        <v>3.0135999999999998</v>
      </c>
      <c r="E67" s="61">
        <f>3.5226 * CHOOSE(CONTROL!$C$22, $C$13, 100%, $E$13)</f>
        <v>3.5226000000000002</v>
      </c>
      <c r="F67" s="61">
        <f>3.5226 * CHOOSE(CONTROL!$C$22, $C$13, 100%, $E$13)</f>
        <v>3.5226000000000002</v>
      </c>
      <c r="G67" s="61">
        <f>3.5228 * CHOOSE(CONTROL!$C$22, $C$13, 100%, $E$13)</f>
        <v>3.5228000000000002</v>
      </c>
      <c r="H67" s="61">
        <f>6.3595* CHOOSE(CONTROL!$C$22, $C$13, 100%, $E$13)</f>
        <v>6.3594999999999997</v>
      </c>
      <c r="I67" s="61">
        <f>6.3597 * CHOOSE(CONTROL!$C$22, $C$13, 100%, $E$13)</f>
        <v>6.3597000000000001</v>
      </c>
      <c r="J67" s="61">
        <f>3.5226 * CHOOSE(CONTROL!$C$22, $C$13, 100%, $E$13)</f>
        <v>3.5226000000000002</v>
      </c>
      <c r="K67" s="61">
        <f>3.5228 * CHOOSE(CONTROL!$C$22, $C$13, 100%, $E$13)</f>
        <v>3.5228000000000002</v>
      </c>
      <c r="L67" s="4"/>
      <c r="M67" s="4"/>
      <c r="N67" s="4"/>
    </row>
    <row r="68" spans="1:14" ht="15">
      <c r="A68" s="13">
        <v>43922</v>
      </c>
      <c r="B68" s="60">
        <f>2.994 * CHOOSE(CONTROL!$C$22, $C$13, 100%, $E$13)</f>
        <v>2.9940000000000002</v>
      </c>
      <c r="C68" s="60">
        <f>2.994 * CHOOSE(CONTROL!$C$22, $C$13, 100%, $E$13)</f>
        <v>2.9940000000000002</v>
      </c>
      <c r="D68" s="60">
        <f>3.0103 * CHOOSE(CONTROL!$C$22, $C$13, 100%, $E$13)</f>
        <v>3.0103</v>
      </c>
      <c r="E68" s="61">
        <f>3.5484 * CHOOSE(CONTROL!$C$22, $C$13, 100%, $E$13)</f>
        <v>3.5484</v>
      </c>
      <c r="F68" s="61">
        <f>3.5484 * CHOOSE(CONTROL!$C$22, $C$13, 100%, $E$13)</f>
        <v>3.5484</v>
      </c>
      <c r="G68" s="61">
        <f>3.5486 * CHOOSE(CONTROL!$C$22, $C$13, 100%, $E$13)</f>
        <v>3.5486</v>
      </c>
      <c r="H68" s="61">
        <f>6.3728* CHOOSE(CONTROL!$C$22, $C$13, 100%, $E$13)</f>
        <v>6.3727999999999998</v>
      </c>
      <c r="I68" s="61">
        <f>6.373 * CHOOSE(CONTROL!$C$22, $C$13, 100%, $E$13)</f>
        <v>6.3730000000000002</v>
      </c>
      <c r="J68" s="61">
        <f>3.5484 * CHOOSE(CONTROL!$C$22, $C$13, 100%, $E$13)</f>
        <v>3.5484</v>
      </c>
      <c r="K68" s="61">
        <f>3.5486 * CHOOSE(CONTROL!$C$22, $C$13, 100%, $E$13)</f>
        <v>3.5486</v>
      </c>
      <c r="L68" s="4"/>
      <c r="M68" s="4"/>
      <c r="N68" s="4"/>
    </row>
    <row r="69" spans="1:14" ht="15">
      <c r="A69" s="13">
        <v>43952</v>
      </c>
      <c r="B69" s="60">
        <f>2.994 * CHOOSE(CONTROL!$C$22, $C$13, 100%, $E$13)</f>
        <v>2.9940000000000002</v>
      </c>
      <c r="C69" s="60">
        <f>2.994 * CHOOSE(CONTROL!$C$22, $C$13, 100%, $E$13)</f>
        <v>2.9940000000000002</v>
      </c>
      <c r="D69" s="60">
        <f>3.0267 * CHOOSE(CONTROL!$C$22, $C$13, 100%, $E$13)</f>
        <v>3.0266999999999999</v>
      </c>
      <c r="E69" s="61">
        <f>3.5597 * CHOOSE(CONTROL!$C$22, $C$13, 100%, $E$13)</f>
        <v>3.5596999999999999</v>
      </c>
      <c r="F69" s="61">
        <f>3.5597 * CHOOSE(CONTROL!$C$22, $C$13, 100%, $E$13)</f>
        <v>3.5596999999999999</v>
      </c>
      <c r="G69" s="61">
        <f>3.5617 * CHOOSE(CONTROL!$C$22, $C$13, 100%, $E$13)</f>
        <v>3.5617000000000001</v>
      </c>
      <c r="H69" s="61">
        <f>6.3861* CHOOSE(CONTROL!$C$22, $C$13, 100%, $E$13)</f>
        <v>6.3860999999999999</v>
      </c>
      <c r="I69" s="61">
        <f>6.3881 * CHOOSE(CONTROL!$C$22, $C$13, 100%, $E$13)</f>
        <v>6.3880999999999997</v>
      </c>
      <c r="J69" s="61">
        <f>3.5597 * CHOOSE(CONTROL!$C$22, $C$13, 100%, $E$13)</f>
        <v>3.5596999999999999</v>
      </c>
      <c r="K69" s="61">
        <f>3.5617 * CHOOSE(CONTROL!$C$22, $C$13, 100%, $E$13)</f>
        <v>3.5617000000000001</v>
      </c>
      <c r="L69" s="4"/>
      <c r="M69" s="4"/>
      <c r="N69" s="4"/>
    </row>
    <row r="70" spans="1:14" ht="15">
      <c r="A70" s="13">
        <v>43983</v>
      </c>
      <c r="B70" s="60">
        <f>3.0001 * CHOOSE(CONTROL!$C$22, $C$13, 100%, $E$13)</f>
        <v>3.0001000000000002</v>
      </c>
      <c r="C70" s="60">
        <f>3.0001 * CHOOSE(CONTROL!$C$22, $C$13, 100%, $E$13)</f>
        <v>3.0001000000000002</v>
      </c>
      <c r="D70" s="60">
        <f>3.0328 * CHOOSE(CONTROL!$C$22, $C$13, 100%, $E$13)</f>
        <v>3.0327999999999999</v>
      </c>
      <c r="E70" s="61">
        <f>3.5526 * CHOOSE(CONTROL!$C$22, $C$13, 100%, $E$13)</f>
        <v>3.5526</v>
      </c>
      <c r="F70" s="61">
        <f>3.5526 * CHOOSE(CONTROL!$C$22, $C$13, 100%, $E$13)</f>
        <v>3.5526</v>
      </c>
      <c r="G70" s="61">
        <f>3.5547 * CHOOSE(CONTROL!$C$22, $C$13, 100%, $E$13)</f>
        <v>3.5547</v>
      </c>
      <c r="H70" s="61">
        <f>6.3994* CHOOSE(CONTROL!$C$22, $C$13, 100%, $E$13)</f>
        <v>6.3994</v>
      </c>
      <c r="I70" s="61">
        <f>6.4014 * CHOOSE(CONTROL!$C$22, $C$13, 100%, $E$13)</f>
        <v>6.4013999999999998</v>
      </c>
      <c r="J70" s="61">
        <f>3.5526 * CHOOSE(CONTROL!$C$22, $C$13, 100%, $E$13)</f>
        <v>3.5526</v>
      </c>
      <c r="K70" s="61">
        <f>3.5547 * CHOOSE(CONTROL!$C$22, $C$13, 100%, $E$13)</f>
        <v>3.5547</v>
      </c>
      <c r="L70" s="4"/>
      <c r="M70" s="4"/>
      <c r="N70" s="4"/>
    </row>
    <row r="71" spans="1:14" ht="15">
      <c r="A71" s="13">
        <v>44013</v>
      </c>
      <c r="B71" s="60">
        <f>3.0509 * CHOOSE(CONTROL!$C$22, $C$13, 100%, $E$13)</f>
        <v>3.0508999999999999</v>
      </c>
      <c r="C71" s="60">
        <f>3.0509 * CHOOSE(CONTROL!$C$22, $C$13, 100%, $E$13)</f>
        <v>3.0508999999999999</v>
      </c>
      <c r="D71" s="60">
        <f>3.0836 * CHOOSE(CONTROL!$C$22, $C$13, 100%, $E$13)</f>
        <v>3.0836000000000001</v>
      </c>
      <c r="E71" s="61">
        <f>3.6456 * CHOOSE(CONTROL!$C$22, $C$13, 100%, $E$13)</f>
        <v>3.6456</v>
      </c>
      <c r="F71" s="61">
        <f>3.6456 * CHOOSE(CONTROL!$C$22, $C$13, 100%, $E$13)</f>
        <v>3.6456</v>
      </c>
      <c r="G71" s="61">
        <f>3.6477 * CHOOSE(CONTROL!$C$22, $C$13, 100%, $E$13)</f>
        <v>3.6476999999999999</v>
      </c>
      <c r="H71" s="61">
        <f>6.4127* CHOOSE(CONTROL!$C$22, $C$13, 100%, $E$13)</f>
        <v>6.4127000000000001</v>
      </c>
      <c r="I71" s="61">
        <f>6.4147 * CHOOSE(CONTROL!$C$22, $C$13, 100%, $E$13)</f>
        <v>6.4146999999999998</v>
      </c>
      <c r="J71" s="61">
        <f>3.6456 * CHOOSE(CONTROL!$C$22, $C$13, 100%, $E$13)</f>
        <v>3.6456</v>
      </c>
      <c r="K71" s="61">
        <f>3.6477 * CHOOSE(CONTROL!$C$22, $C$13, 100%, $E$13)</f>
        <v>3.6476999999999999</v>
      </c>
      <c r="L71" s="4"/>
      <c r="M71" s="4"/>
      <c r="N71" s="4"/>
    </row>
    <row r="72" spans="1:14" ht="15">
      <c r="A72" s="13">
        <v>44044</v>
      </c>
      <c r="B72" s="60">
        <f>3.0576 * CHOOSE(CONTROL!$C$22, $C$13, 100%, $E$13)</f>
        <v>3.0575999999999999</v>
      </c>
      <c r="C72" s="60">
        <f>3.0576 * CHOOSE(CONTROL!$C$22, $C$13, 100%, $E$13)</f>
        <v>3.0575999999999999</v>
      </c>
      <c r="D72" s="60">
        <f>3.0903 * CHOOSE(CONTROL!$C$22, $C$13, 100%, $E$13)</f>
        <v>3.0903</v>
      </c>
      <c r="E72" s="61">
        <f>3.6165 * CHOOSE(CONTROL!$C$22, $C$13, 100%, $E$13)</f>
        <v>3.6164999999999998</v>
      </c>
      <c r="F72" s="61">
        <f>3.6165 * CHOOSE(CONTROL!$C$22, $C$13, 100%, $E$13)</f>
        <v>3.6164999999999998</v>
      </c>
      <c r="G72" s="61">
        <f>3.6185 * CHOOSE(CONTROL!$C$22, $C$13, 100%, $E$13)</f>
        <v>3.6185</v>
      </c>
      <c r="H72" s="61">
        <f>6.4261* CHOOSE(CONTROL!$C$22, $C$13, 100%, $E$13)</f>
        <v>6.4260999999999999</v>
      </c>
      <c r="I72" s="61">
        <f>6.4281 * CHOOSE(CONTROL!$C$22, $C$13, 100%, $E$13)</f>
        <v>6.4280999999999997</v>
      </c>
      <c r="J72" s="61">
        <f>3.6165 * CHOOSE(CONTROL!$C$22, $C$13, 100%, $E$13)</f>
        <v>3.6164999999999998</v>
      </c>
      <c r="K72" s="61">
        <f>3.6185 * CHOOSE(CONTROL!$C$22, $C$13, 100%, $E$13)</f>
        <v>3.6185</v>
      </c>
      <c r="L72" s="4"/>
      <c r="M72" s="4"/>
      <c r="N72" s="4"/>
    </row>
    <row r="73" spans="1:14" ht="15">
      <c r="A73" s="13">
        <v>44075</v>
      </c>
      <c r="B73" s="60">
        <f>3.0545 * CHOOSE(CONTROL!$C$22, $C$13, 100%, $E$13)</f>
        <v>3.0545</v>
      </c>
      <c r="C73" s="60">
        <f>3.0545 * CHOOSE(CONTROL!$C$22, $C$13, 100%, $E$13)</f>
        <v>3.0545</v>
      </c>
      <c r="D73" s="60">
        <f>3.0872 * CHOOSE(CONTROL!$C$22, $C$13, 100%, $E$13)</f>
        <v>3.0872000000000002</v>
      </c>
      <c r="E73" s="61">
        <f>3.6106 * CHOOSE(CONTROL!$C$22, $C$13, 100%, $E$13)</f>
        <v>3.6105999999999998</v>
      </c>
      <c r="F73" s="61">
        <f>3.6106 * CHOOSE(CONTROL!$C$22, $C$13, 100%, $E$13)</f>
        <v>3.6105999999999998</v>
      </c>
      <c r="G73" s="61">
        <f>3.6127 * CHOOSE(CONTROL!$C$22, $C$13, 100%, $E$13)</f>
        <v>3.6126999999999998</v>
      </c>
      <c r="H73" s="61">
        <f>6.4394* CHOOSE(CONTROL!$C$22, $C$13, 100%, $E$13)</f>
        <v>6.4394</v>
      </c>
      <c r="I73" s="61">
        <f>6.4415 * CHOOSE(CONTROL!$C$22, $C$13, 100%, $E$13)</f>
        <v>6.4414999999999996</v>
      </c>
      <c r="J73" s="61">
        <f>3.6106 * CHOOSE(CONTROL!$C$22, $C$13, 100%, $E$13)</f>
        <v>3.6105999999999998</v>
      </c>
      <c r="K73" s="61">
        <f>3.6127 * CHOOSE(CONTROL!$C$22, $C$13, 100%, $E$13)</f>
        <v>3.6126999999999998</v>
      </c>
      <c r="L73" s="4"/>
      <c r="M73" s="4"/>
      <c r="N73" s="4"/>
    </row>
    <row r="74" spans="1:14" ht="15">
      <c r="A74" s="13">
        <v>44105</v>
      </c>
      <c r="B74" s="60">
        <f>3.0462 * CHOOSE(CONTROL!$C$22, $C$13, 100%, $E$13)</f>
        <v>3.0461999999999998</v>
      </c>
      <c r="C74" s="60">
        <f>3.0462 * CHOOSE(CONTROL!$C$22, $C$13, 100%, $E$13)</f>
        <v>3.0461999999999998</v>
      </c>
      <c r="D74" s="60">
        <f>3.0626 * CHOOSE(CONTROL!$C$22, $C$13, 100%, $E$13)</f>
        <v>3.0626000000000002</v>
      </c>
      <c r="E74" s="61">
        <f>3.6122 * CHOOSE(CONTROL!$C$22, $C$13, 100%, $E$13)</f>
        <v>3.6122000000000001</v>
      </c>
      <c r="F74" s="61">
        <f>3.6122 * CHOOSE(CONTROL!$C$22, $C$13, 100%, $E$13)</f>
        <v>3.6122000000000001</v>
      </c>
      <c r="G74" s="61">
        <f>3.6124 * CHOOSE(CONTROL!$C$22, $C$13, 100%, $E$13)</f>
        <v>3.6124000000000001</v>
      </c>
      <c r="H74" s="61">
        <f>6.4529* CHOOSE(CONTROL!$C$22, $C$13, 100%, $E$13)</f>
        <v>6.4528999999999996</v>
      </c>
      <c r="I74" s="61">
        <f>6.453 * CHOOSE(CONTROL!$C$22, $C$13, 100%, $E$13)</f>
        <v>6.4530000000000003</v>
      </c>
      <c r="J74" s="61">
        <f>3.6122 * CHOOSE(CONTROL!$C$22, $C$13, 100%, $E$13)</f>
        <v>3.6122000000000001</v>
      </c>
      <c r="K74" s="61">
        <f>3.6124 * CHOOSE(CONTROL!$C$22, $C$13, 100%, $E$13)</f>
        <v>3.6124000000000001</v>
      </c>
      <c r="L74" s="4"/>
      <c r="M74" s="4"/>
      <c r="N74" s="4"/>
    </row>
    <row r="75" spans="1:14" ht="15">
      <c r="A75" s="13">
        <v>44136</v>
      </c>
      <c r="B75" s="60">
        <f>3.0493 * CHOOSE(CONTROL!$C$22, $C$13, 100%, $E$13)</f>
        <v>3.0493000000000001</v>
      </c>
      <c r="C75" s="60">
        <f>3.0493 * CHOOSE(CONTROL!$C$22, $C$13, 100%, $E$13)</f>
        <v>3.0493000000000001</v>
      </c>
      <c r="D75" s="60">
        <f>3.0656 * CHOOSE(CONTROL!$C$22, $C$13, 100%, $E$13)</f>
        <v>3.0655999999999999</v>
      </c>
      <c r="E75" s="61">
        <f>3.6219 * CHOOSE(CONTROL!$C$22, $C$13, 100%, $E$13)</f>
        <v>3.6219000000000001</v>
      </c>
      <c r="F75" s="61">
        <f>3.6219 * CHOOSE(CONTROL!$C$22, $C$13, 100%, $E$13)</f>
        <v>3.6219000000000001</v>
      </c>
      <c r="G75" s="61">
        <f>3.622 * CHOOSE(CONTROL!$C$22, $C$13, 100%, $E$13)</f>
        <v>3.6219999999999999</v>
      </c>
      <c r="H75" s="61">
        <f>6.4663* CHOOSE(CONTROL!$C$22, $C$13, 100%, $E$13)</f>
        <v>6.4663000000000004</v>
      </c>
      <c r="I75" s="61">
        <f>6.4665 * CHOOSE(CONTROL!$C$22, $C$13, 100%, $E$13)</f>
        <v>6.4664999999999999</v>
      </c>
      <c r="J75" s="61">
        <f>3.6219 * CHOOSE(CONTROL!$C$22, $C$13, 100%, $E$13)</f>
        <v>3.6219000000000001</v>
      </c>
      <c r="K75" s="61">
        <f>3.622 * CHOOSE(CONTROL!$C$22, $C$13, 100%, $E$13)</f>
        <v>3.6219999999999999</v>
      </c>
      <c r="L75" s="4"/>
      <c r="M75" s="4"/>
      <c r="N75" s="4"/>
    </row>
    <row r="76" spans="1:14" ht="15">
      <c r="A76" s="13">
        <v>44166</v>
      </c>
      <c r="B76" s="60">
        <f>3.0493 * CHOOSE(CONTROL!$C$22, $C$13, 100%, $E$13)</f>
        <v>3.0493000000000001</v>
      </c>
      <c r="C76" s="60">
        <f>3.0493 * CHOOSE(CONTROL!$C$22, $C$13, 100%, $E$13)</f>
        <v>3.0493000000000001</v>
      </c>
      <c r="D76" s="60">
        <f>3.0656 * CHOOSE(CONTROL!$C$22, $C$13, 100%, $E$13)</f>
        <v>3.0655999999999999</v>
      </c>
      <c r="E76" s="61">
        <f>3.6031 * CHOOSE(CONTROL!$C$22, $C$13, 100%, $E$13)</f>
        <v>3.6031</v>
      </c>
      <c r="F76" s="61">
        <f>3.6031 * CHOOSE(CONTROL!$C$22, $C$13, 100%, $E$13)</f>
        <v>3.6031</v>
      </c>
      <c r="G76" s="61">
        <f>3.6033 * CHOOSE(CONTROL!$C$22, $C$13, 100%, $E$13)</f>
        <v>3.6032999999999999</v>
      </c>
      <c r="H76" s="61">
        <f>6.4798* CHOOSE(CONTROL!$C$22, $C$13, 100%, $E$13)</f>
        <v>6.4798</v>
      </c>
      <c r="I76" s="61">
        <f>6.48 * CHOOSE(CONTROL!$C$22, $C$13, 100%, $E$13)</f>
        <v>6.48</v>
      </c>
      <c r="J76" s="61">
        <f>3.6031 * CHOOSE(CONTROL!$C$22, $C$13, 100%, $E$13)</f>
        <v>3.6031</v>
      </c>
      <c r="K76" s="61">
        <f>3.6033 * CHOOSE(CONTROL!$C$22, $C$13, 100%, $E$13)</f>
        <v>3.6032999999999999</v>
      </c>
      <c r="L76" s="4"/>
      <c r="M76" s="4"/>
      <c r="N76" s="4"/>
    </row>
    <row r="77" spans="1:14" ht="15">
      <c r="A77" s="13">
        <v>44197</v>
      </c>
      <c r="B77" s="60">
        <f>3.0805 * CHOOSE(CONTROL!$C$22, $C$13, 100%, $E$13)</f>
        <v>3.0804999999999998</v>
      </c>
      <c r="C77" s="60">
        <f>3.0805 * CHOOSE(CONTROL!$C$22, $C$13, 100%, $E$13)</f>
        <v>3.0804999999999998</v>
      </c>
      <c r="D77" s="60">
        <f>3.0968 * CHOOSE(CONTROL!$C$22, $C$13, 100%, $E$13)</f>
        <v>3.0968</v>
      </c>
      <c r="E77" s="61">
        <f>3.649 * CHOOSE(CONTROL!$C$22, $C$13, 100%, $E$13)</f>
        <v>3.649</v>
      </c>
      <c r="F77" s="61">
        <f>3.649 * CHOOSE(CONTROL!$C$22, $C$13, 100%, $E$13)</f>
        <v>3.649</v>
      </c>
      <c r="G77" s="61">
        <f>3.6492 * CHOOSE(CONTROL!$C$22, $C$13, 100%, $E$13)</f>
        <v>3.6492</v>
      </c>
      <c r="H77" s="61">
        <f>6.4933* CHOOSE(CONTROL!$C$22, $C$13, 100%, $E$13)</f>
        <v>6.4932999999999996</v>
      </c>
      <c r="I77" s="61">
        <f>6.4935 * CHOOSE(CONTROL!$C$22, $C$13, 100%, $E$13)</f>
        <v>6.4935</v>
      </c>
      <c r="J77" s="61">
        <f>3.649 * CHOOSE(CONTROL!$C$22, $C$13, 100%, $E$13)</f>
        <v>3.649</v>
      </c>
      <c r="K77" s="61">
        <f>3.6492 * CHOOSE(CONTROL!$C$22, $C$13, 100%, $E$13)</f>
        <v>3.6492</v>
      </c>
      <c r="L77" s="4"/>
      <c r="M77" s="4"/>
      <c r="N77" s="4"/>
    </row>
    <row r="78" spans="1:14" ht="15">
      <c r="A78" s="13">
        <v>44228</v>
      </c>
      <c r="B78" s="60">
        <f>3.0775 * CHOOSE(CONTROL!$C$22, $C$13, 100%, $E$13)</f>
        <v>3.0775000000000001</v>
      </c>
      <c r="C78" s="60">
        <f>3.0775 * CHOOSE(CONTROL!$C$22, $C$13, 100%, $E$13)</f>
        <v>3.0775000000000001</v>
      </c>
      <c r="D78" s="60">
        <f>3.0938 * CHOOSE(CONTROL!$C$22, $C$13, 100%, $E$13)</f>
        <v>3.0937999999999999</v>
      </c>
      <c r="E78" s="61">
        <f>3.6087 * CHOOSE(CONTROL!$C$22, $C$13, 100%, $E$13)</f>
        <v>3.6086999999999998</v>
      </c>
      <c r="F78" s="61">
        <f>3.6087 * CHOOSE(CONTROL!$C$22, $C$13, 100%, $E$13)</f>
        <v>3.6086999999999998</v>
      </c>
      <c r="G78" s="61">
        <f>3.6088 * CHOOSE(CONTROL!$C$22, $C$13, 100%, $E$13)</f>
        <v>3.6088</v>
      </c>
      <c r="H78" s="61">
        <f>6.5068* CHOOSE(CONTROL!$C$22, $C$13, 100%, $E$13)</f>
        <v>6.5068000000000001</v>
      </c>
      <c r="I78" s="61">
        <f>6.507 * CHOOSE(CONTROL!$C$22, $C$13, 100%, $E$13)</f>
        <v>6.5069999999999997</v>
      </c>
      <c r="J78" s="61">
        <f>3.6087 * CHOOSE(CONTROL!$C$22, $C$13, 100%, $E$13)</f>
        <v>3.6086999999999998</v>
      </c>
      <c r="K78" s="61">
        <f>3.6088 * CHOOSE(CONTROL!$C$22, $C$13, 100%, $E$13)</f>
        <v>3.6088</v>
      </c>
      <c r="L78" s="4"/>
      <c r="M78" s="4"/>
      <c r="N78" s="4"/>
    </row>
    <row r="79" spans="1:14" ht="15">
      <c r="A79" s="13">
        <v>44256</v>
      </c>
      <c r="B79" s="60">
        <f>3.0744 * CHOOSE(CONTROL!$C$22, $C$13, 100%, $E$13)</f>
        <v>3.0743999999999998</v>
      </c>
      <c r="C79" s="60">
        <f>3.0744 * CHOOSE(CONTROL!$C$22, $C$13, 100%, $E$13)</f>
        <v>3.0743999999999998</v>
      </c>
      <c r="D79" s="60">
        <f>3.0908 * CHOOSE(CONTROL!$C$22, $C$13, 100%, $E$13)</f>
        <v>3.0908000000000002</v>
      </c>
      <c r="E79" s="61">
        <f>3.6367 * CHOOSE(CONTROL!$C$22, $C$13, 100%, $E$13)</f>
        <v>3.6366999999999998</v>
      </c>
      <c r="F79" s="61">
        <f>3.6367 * CHOOSE(CONTROL!$C$22, $C$13, 100%, $E$13)</f>
        <v>3.6366999999999998</v>
      </c>
      <c r="G79" s="61">
        <f>3.6369 * CHOOSE(CONTROL!$C$22, $C$13, 100%, $E$13)</f>
        <v>3.6368999999999998</v>
      </c>
      <c r="H79" s="61">
        <f>6.5204* CHOOSE(CONTROL!$C$22, $C$13, 100%, $E$13)</f>
        <v>6.5204000000000004</v>
      </c>
      <c r="I79" s="61">
        <f>6.5205 * CHOOSE(CONTROL!$C$22, $C$13, 100%, $E$13)</f>
        <v>6.5205000000000002</v>
      </c>
      <c r="J79" s="61">
        <f>3.6367 * CHOOSE(CONTROL!$C$22, $C$13, 100%, $E$13)</f>
        <v>3.6366999999999998</v>
      </c>
      <c r="K79" s="61">
        <f>3.6369 * CHOOSE(CONTROL!$C$22, $C$13, 100%, $E$13)</f>
        <v>3.6368999999999998</v>
      </c>
      <c r="L79" s="4"/>
      <c r="M79" s="4"/>
      <c r="N79" s="4"/>
    </row>
    <row r="80" spans="1:14" ht="15">
      <c r="A80" s="13">
        <v>44287</v>
      </c>
      <c r="B80" s="60">
        <f>3.0712 * CHOOSE(CONTROL!$C$22, $C$13, 100%, $E$13)</f>
        <v>3.0712000000000002</v>
      </c>
      <c r="C80" s="60">
        <f>3.0712 * CHOOSE(CONTROL!$C$22, $C$13, 100%, $E$13)</f>
        <v>3.0712000000000002</v>
      </c>
      <c r="D80" s="60">
        <f>3.0876 * CHOOSE(CONTROL!$C$22, $C$13, 100%, $E$13)</f>
        <v>3.0876000000000001</v>
      </c>
      <c r="E80" s="61">
        <f>3.6649 * CHOOSE(CONTROL!$C$22, $C$13, 100%, $E$13)</f>
        <v>3.6648999999999998</v>
      </c>
      <c r="F80" s="61">
        <f>3.6649 * CHOOSE(CONTROL!$C$22, $C$13, 100%, $E$13)</f>
        <v>3.6648999999999998</v>
      </c>
      <c r="G80" s="61">
        <f>3.665 * CHOOSE(CONTROL!$C$22, $C$13, 100%, $E$13)</f>
        <v>3.665</v>
      </c>
      <c r="H80" s="61">
        <f>6.5339* CHOOSE(CONTROL!$C$22, $C$13, 100%, $E$13)</f>
        <v>6.5339</v>
      </c>
      <c r="I80" s="61">
        <f>6.5341 * CHOOSE(CONTROL!$C$22, $C$13, 100%, $E$13)</f>
        <v>6.5340999999999996</v>
      </c>
      <c r="J80" s="61">
        <f>3.6649 * CHOOSE(CONTROL!$C$22, $C$13, 100%, $E$13)</f>
        <v>3.6648999999999998</v>
      </c>
      <c r="K80" s="61">
        <f>3.665 * CHOOSE(CONTROL!$C$22, $C$13, 100%, $E$13)</f>
        <v>3.665</v>
      </c>
      <c r="L80" s="4"/>
      <c r="M80" s="4"/>
      <c r="N80" s="4"/>
    </row>
    <row r="81" spans="1:14" ht="15">
      <c r="A81" s="13">
        <v>44317</v>
      </c>
      <c r="B81" s="60">
        <f>3.0712 * CHOOSE(CONTROL!$C$22, $C$13, 100%, $E$13)</f>
        <v>3.0712000000000002</v>
      </c>
      <c r="C81" s="60">
        <f>3.0712 * CHOOSE(CONTROL!$C$22, $C$13, 100%, $E$13)</f>
        <v>3.0712000000000002</v>
      </c>
      <c r="D81" s="60">
        <f>3.1039 * CHOOSE(CONTROL!$C$22, $C$13, 100%, $E$13)</f>
        <v>3.1038999999999999</v>
      </c>
      <c r="E81" s="61">
        <f>3.677 * CHOOSE(CONTROL!$C$22, $C$13, 100%, $E$13)</f>
        <v>3.677</v>
      </c>
      <c r="F81" s="61">
        <f>3.677 * CHOOSE(CONTROL!$C$22, $C$13, 100%, $E$13)</f>
        <v>3.677</v>
      </c>
      <c r="G81" s="61">
        <f>3.6791 * CHOOSE(CONTROL!$C$22, $C$13, 100%, $E$13)</f>
        <v>3.6791</v>
      </c>
      <c r="H81" s="61">
        <f>6.5476* CHOOSE(CONTROL!$C$22, $C$13, 100%, $E$13)</f>
        <v>6.5476000000000001</v>
      </c>
      <c r="I81" s="61">
        <f>6.5496 * CHOOSE(CONTROL!$C$22, $C$13, 100%, $E$13)</f>
        <v>6.5495999999999999</v>
      </c>
      <c r="J81" s="61">
        <f>3.677 * CHOOSE(CONTROL!$C$22, $C$13, 100%, $E$13)</f>
        <v>3.677</v>
      </c>
      <c r="K81" s="61">
        <f>3.6791 * CHOOSE(CONTROL!$C$22, $C$13, 100%, $E$13)</f>
        <v>3.6791</v>
      </c>
      <c r="L81" s="4"/>
      <c r="M81" s="4"/>
      <c r="N81" s="4"/>
    </row>
    <row r="82" spans="1:14" ht="15">
      <c r="A82" s="13">
        <v>44348</v>
      </c>
      <c r="B82" s="60">
        <f>3.0773 * CHOOSE(CONTROL!$C$22, $C$13, 100%, $E$13)</f>
        <v>3.0773000000000001</v>
      </c>
      <c r="C82" s="60">
        <f>3.0773 * CHOOSE(CONTROL!$C$22, $C$13, 100%, $E$13)</f>
        <v>3.0773000000000001</v>
      </c>
      <c r="D82" s="60">
        <f>3.11 * CHOOSE(CONTROL!$C$22, $C$13, 100%, $E$13)</f>
        <v>3.11</v>
      </c>
      <c r="E82" s="61">
        <f>3.6691 * CHOOSE(CONTROL!$C$22, $C$13, 100%, $E$13)</f>
        <v>3.6690999999999998</v>
      </c>
      <c r="F82" s="61">
        <f>3.6691 * CHOOSE(CONTROL!$C$22, $C$13, 100%, $E$13)</f>
        <v>3.6690999999999998</v>
      </c>
      <c r="G82" s="61">
        <f>3.6711 * CHOOSE(CONTROL!$C$22, $C$13, 100%, $E$13)</f>
        <v>3.6711</v>
      </c>
      <c r="H82" s="61">
        <f>6.5612* CHOOSE(CONTROL!$C$22, $C$13, 100%, $E$13)</f>
        <v>6.5612000000000004</v>
      </c>
      <c r="I82" s="61">
        <f>6.5632 * CHOOSE(CONTROL!$C$22, $C$13, 100%, $E$13)</f>
        <v>6.5632000000000001</v>
      </c>
      <c r="J82" s="61">
        <f>3.6691 * CHOOSE(CONTROL!$C$22, $C$13, 100%, $E$13)</f>
        <v>3.6690999999999998</v>
      </c>
      <c r="K82" s="61">
        <f>3.6711 * CHOOSE(CONTROL!$C$22, $C$13, 100%, $E$13)</f>
        <v>3.6711</v>
      </c>
      <c r="L82" s="4"/>
      <c r="M82" s="4"/>
      <c r="N82" s="4"/>
    </row>
    <row r="83" spans="1:14" ht="15">
      <c r="A83" s="13">
        <v>44378</v>
      </c>
      <c r="B83" s="60">
        <f>3.137 * CHOOSE(CONTROL!$C$22, $C$13, 100%, $E$13)</f>
        <v>3.137</v>
      </c>
      <c r="C83" s="60">
        <f>3.137 * CHOOSE(CONTROL!$C$22, $C$13, 100%, $E$13)</f>
        <v>3.137</v>
      </c>
      <c r="D83" s="60">
        <f>3.1696 * CHOOSE(CONTROL!$C$22, $C$13, 100%, $E$13)</f>
        <v>3.1696</v>
      </c>
      <c r="E83" s="61">
        <f>3.6976 * CHOOSE(CONTROL!$C$22, $C$13, 100%, $E$13)</f>
        <v>3.6976</v>
      </c>
      <c r="F83" s="61">
        <f>3.6976 * CHOOSE(CONTROL!$C$22, $C$13, 100%, $E$13)</f>
        <v>3.6976</v>
      </c>
      <c r="G83" s="61">
        <f>3.6997 * CHOOSE(CONTROL!$C$22, $C$13, 100%, $E$13)</f>
        <v>3.6997</v>
      </c>
      <c r="H83" s="61">
        <f>6.5749* CHOOSE(CONTROL!$C$22, $C$13, 100%, $E$13)</f>
        <v>6.5749000000000004</v>
      </c>
      <c r="I83" s="61">
        <f>6.5769 * CHOOSE(CONTROL!$C$22, $C$13, 100%, $E$13)</f>
        <v>6.5769000000000002</v>
      </c>
      <c r="J83" s="61">
        <f>3.6976 * CHOOSE(CONTROL!$C$22, $C$13, 100%, $E$13)</f>
        <v>3.6976</v>
      </c>
      <c r="K83" s="61">
        <f>3.6997 * CHOOSE(CONTROL!$C$22, $C$13, 100%, $E$13)</f>
        <v>3.6997</v>
      </c>
      <c r="L83" s="4"/>
      <c r="M83" s="4"/>
      <c r="N83" s="4"/>
    </row>
    <row r="84" spans="1:14" ht="15">
      <c r="A84" s="13">
        <v>44409</v>
      </c>
      <c r="B84" s="60">
        <f>3.1436 * CHOOSE(CONTROL!$C$22, $C$13, 100%, $E$13)</f>
        <v>3.1436000000000002</v>
      </c>
      <c r="C84" s="60">
        <f>3.1436 * CHOOSE(CONTROL!$C$22, $C$13, 100%, $E$13)</f>
        <v>3.1436000000000002</v>
      </c>
      <c r="D84" s="60">
        <f>3.1763 * CHOOSE(CONTROL!$C$22, $C$13, 100%, $E$13)</f>
        <v>3.1762999999999999</v>
      </c>
      <c r="E84" s="61">
        <f>3.6658 * CHOOSE(CONTROL!$C$22, $C$13, 100%, $E$13)</f>
        <v>3.6657999999999999</v>
      </c>
      <c r="F84" s="61">
        <f>3.6658 * CHOOSE(CONTROL!$C$22, $C$13, 100%, $E$13)</f>
        <v>3.6657999999999999</v>
      </c>
      <c r="G84" s="61">
        <f>3.6679 * CHOOSE(CONTROL!$C$22, $C$13, 100%, $E$13)</f>
        <v>3.6678999999999999</v>
      </c>
      <c r="H84" s="61">
        <f>6.5886* CHOOSE(CONTROL!$C$22, $C$13, 100%, $E$13)</f>
        <v>6.5885999999999996</v>
      </c>
      <c r="I84" s="61">
        <f>6.5906 * CHOOSE(CONTROL!$C$22, $C$13, 100%, $E$13)</f>
        <v>6.5906000000000002</v>
      </c>
      <c r="J84" s="61">
        <f>3.6658 * CHOOSE(CONTROL!$C$22, $C$13, 100%, $E$13)</f>
        <v>3.6657999999999999</v>
      </c>
      <c r="K84" s="61">
        <f>3.6679 * CHOOSE(CONTROL!$C$22, $C$13, 100%, $E$13)</f>
        <v>3.6678999999999999</v>
      </c>
      <c r="L84" s="4"/>
      <c r="M84" s="4"/>
      <c r="N84" s="4"/>
    </row>
    <row r="85" spans="1:14" ht="15">
      <c r="A85" s="13">
        <v>44440</v>
      </c>
      <c r="B85" s="60">
        <f>3.1406 * CHOOSE(CONTROL!$C$22, $C$13, 100%, $E$13)</f>
        <v>3.1406000000000001</v>
      </c>
      <c r="C85" s="60">
        <f>3.1406 * CHOOSE(CONTROL!$C$22, $C$13, 100%, $E$13)</f>
        <v>3.1406000000000001</v>
      </c>
      <c r="D85" s="60">
        <f>3.1733 * CHOOSE(CONTROL!$C$22, $C$13, 100%, $E$13)</f>
        <v>3.1732999999999998</v>
      </c>
      <c r="E85" s="61">
        <f>3.6597 * CHOOSE(CONTROL!$C$22, $C$13, 100%, $E$13)</f>
        <v>3.6597</v>
      </c>
      <c r="F85" s="61">
        <f>3.6597 * CHOOSE(CONTROL!$C$22, $C$13, 100%, $E$13)</f>
        <v>3.6597</v>
      </c>
      <c r="G85" s="61">
        <f>3.6617 * CHOOSE(CONTROL!$C$22, $C$13, 100%, $E$13)</f>
        <v>3.6617000000000002</v>
      </c>
      <c r="H85" s="61">
        <f>6.6023* CHOOSE(CONTROL!$C$22, $C$13, 100%, $E$13)</f>
        <v>6.6022999999999996</v>
      </c>
      <c r="I85" s="61">
        <f>6.6043 * CHOOSE(CONTROL!$C$22, $C$13, 100%, $E$13)</f>
        <v>6.6043000000000003</v>
      </c>
      <c r="J85" s="61">
        <f>3.6597 * CHOOSE(CONTROL!$C$22, $C$13, 100%, $E$13)</f>
        <v>3.6597</v>
      </c>
      <c r="K85" s="61">
        <f>3.6617 * CHOOSE(CONTROL!$C$22, $C$13, 100%, $E$13)</f>
        <v>3.6617000000000002</v>
      </c>
      <c r="L85" s="4"/>
      <c r="M85" s="4"/>
      <c r="N85" s="4"/>
    </row>
    <row r="86" spans="1:14" ht="15">
      <c r="A86" s="13">
        <v>44470</v>
      </c>
      <c r="B86" s="60">
        <f>3.1326 * CHOOSE(CONTROL!$C$22, $C$13, 100%, $E$13)</f>
        <v>3.1326000000000001</v>
      </c>
      <c r="C86" s="60">
        <f>3.1326 * CHOOSE(CONTROL!$C$22, $C$13, 100%, $E$13)</f>
        <v>3.1326000000000001</v>
      </c>
      <c r="D86" s="60">
        <f>3.1489 * CHOOSE(CONTROL!$C$22, $C$13, 100%, $E$13)</f>
        <v>3.1488999999999998</v>
      </c>
      <c r="E86" s="61">
        <f>3.6625 * CHOOSE(CONTROL!$C$22, $C$13, 100%, $E$13)</f>
        <v>3.6625000000000001</v>
      </c>
      <c r="F86" s="61">
        <f>3.6625 * CHOOSE(CONTROL!$C$22, $C$13, 100%, $E$13)</f>
        <v>3.6625000000000001</v>
      </c>
      <c r="G86" s="61">
        <f>3.6626 * CHOOSE(CONTROL!$C$22, $C$13, 100%, $E$13)</f>
        <v>3.6625999999999999</v>
      </c>
      <c r="H86" s="61">
        <f>6.616* CHOOSE(CONTROL!$C$22, $C$13, 100%, $E$13)</f>
        <v>6.6159999999999997</v>
      </c>
      <c r="I86" s="61">
        <f>6.6162 * CHOOSE(CONTROL!$C$22, $C$13, 100%, $E$13)</f>
        <v>6.6162000000000001</v>
      </c>
      <c r="J86" s="61">
        <f>3.6625 * CHOOSE(CONTROL!$C$22, $C$13, 100%, $E$13)</f>
        <v>3.6625000000000001</v>
      </c>
      <c r="K86" s="61">
        <f>3.6626 * CHOOSE(CONTROL!$C$22, $C$13, 100%, $E$13)</f>
        <v>3.6625999999999999</v>
      </c>
      <c r="L86" s="4"/>
      <c r="M86" s="4"/>
      <c r="N86" s="4"/>
    </row>
    <row r="87" spans="1:14" ht="15">
      <c r="A87" s="13">
        <v>44501</v>
      </c>
      <c r="B87" s="60">
        <f>3.1356 * CHOOSE(CONTROL!$C$22, $C$13, 100%, $E$13)</f>
        <v>3.1356000000000002</v>
      </c>
      <c r="C87" s="60">
        <f>3.1356 * CHOOSE(CONTROL!$C$22, $C$13, 100%, $E$13)</f>
        <v>3.1356000000000002</v>
      </c>
      <c r="D87" s="60">
        <f>3.152 * CHOOSE(CONTROL!$C$22, $C$13, 100%, $E$13)</f>
        <v>3.1520000000000001</v>
      </c>
      <c r="E87" s="61">
        <f>3.6727 * CHOOSE(CONTROL!$C$22, $C$13, 100%, $E$13)</f>
        <v>3.6726999999999999</v>
      </c>
      <c r="F87" s="61">
        <f>3.6727 * CHOOSE(CONTROL!$C$22, $C$13, 100%, $E$13)</f>
        <v>3.6726999999999999</v>
      </c>
      <c r="G87" s="61">
        <f>3.6728 * CHOOSE(CONTROL!$C$22, $C$13, 100%, $E$13)</f>
        <v>3.6728000000000001</v>
      </c>
      <c r="H87" s="61">
        <f>6.6298* CHOOSE(CONTROL!$C$22, $C$13, 100%, $E$13)</f>
        <v>6.6298000000000004</v>
      </c>
      <c r="I87" s="61">
        <f>6.63 * CHOOSE(CONTROL!$C$22, $C$13, 100%, $E$13)</f>
        <v>6.63</v>
      </c>
      <c r="J87" s="61">
        <f>3.6727 * CHOOSE(CONTROL!$C$22, $C$13, 100%, $E$13)</f>
        <v>3.6726999999999999</v>
      </c>
      <c r="K87" s="61">
        <f>3.6728 * CHOOSE(CONTROL!$C$22, $C$13, 100%, $E$13)</f>
        <v>3.6728000000000001</v>
      </c>
      <c r="L87" s="4"/>
      <c r="M87" s="4"/>
      <c r="N87" s="4"/>
    </row>
    <row r="88" spans="1:14" ht="15">
      <c r="A88" s="13">
        <v>44531</v>
      </c>
      <c r="B88" s="60">
        <f>3.1356 * CHOOSE(CONTROL!$C$22, $C$13, 100%, $E$13)</f>
        <v>3.1356000000000002</v>
      </c>
      <c r="C88" s="60">
        <f>3.1356 * CHOOSE(CONTROL!$C$22, $C$13, 100%, $E$13)</f>
        <v>3.1356000000000002</v>
      </c>
      <c r="D88" s="60">
        <f>3.152 * CHOOSE(CONTROL!$C$22, $C$13, 100%, $E$13)</f>
        <v>3.1520000000000001</v>
      </c>
      <c r="E88" s="61">
        <f>3.6524 * CHOOSE(CONTROL!$C$22, $C$13, 100%, $E$13)</f>
        <v>3.6524000000000001</v>
      </c>
      <c r="F88" s="61">
        <f>3.6524 * CHOOSE(CONTROL!$C$22, $C$13, 100%, $E$13)</f>
        <v>3.6524000000000001</v>
      </c>
      <c r="G88" s="61">
        <f>3.6526 * CHOOSE(CONTROL!$C$22, $C$13, 100%, $E$13)</f>
        <v>3.6526000000000001</v>
      </c>
      <c r="H88" s="61">
        <f>6.6436* CHOOSE(CONTROL!$C$22, $C$13, 100%, $E$13)</f>
        <v>6.6436000000000002</v>
      </c>
      <c r="I88" s="61">
        <f>6.6438 * CHOOSE(CONTROL!$C$22, $C$13, 100%, $E$13)</f>
        <v>6.6437999999999997</v>
      </c>
      <c r="J88" s="61">
        <f>3.6524 * CHOOSE(CONTROL!$C$22, $C$13, 100%, $E$13)</f>
        <v>3.6524000000000001</v>
      </c>
      <c r="K88" s="61">
        <f>3.6526 * CHOOSE(CONTROL!$C$22, $C$13, 100%, $E$13)</f>
        <v>3.6526000000000001</v>
      </c>
      <c r="L88" s="4"/>
      <c r="M88" s="4"/>
      <c r="N88" s="4"/>
    </row>
    <row r="89" spans="1:14" ht="15">
      <c r="A89" s="13">
        <v>44562</v>
      </c>
      <c r="B89" s="60">
        <f>3.1653 * CHOOSE(CONTROL!$C$22, $C$13, 100%, $E$13)</f>
        <v>3.1652999999999998</v>
      </c>
      <c r="C89" s="60">
        <f>3.1653 * CHOOSE(CONTROL!$C$22, $C$13, 100%, $E$13)</f>
        <v>3.1652999999999998</v>
      </c>
      <c r="D89" s="60">
        <f>3.1817 * CHOOSE(CONTROL!$C$22, $C$13, 100%, $E$13)</f>
        <v>3.1817000000000002</v>
      </c>
      <c r="E89" s="61">
        <f>3.7076 * CHOOSE(CONTROL!$C$22, $C$13, 100%, $E$13)</f>
        <v>3.7075999999999998</v>
      </c>
      <c r="F89" s="61">
        <f>3.7076 * CHOOSE(CONTROL!$C$22, $C$13, 100%, $E$13)</f>
        <v>3.7075999999999998</v>
      </c>
      <c r="G89" s="61">
        <f>3.7078 * CHOOSE(CONTROL!$C$22, $C$13, 100%, $E$13)</f>
        <v>3.7078000000000002</v>
      </c>
      <c r="H89" s="61">
        <f>6.6575* CHOOSE(CONTROL!$C$22, $C$13, 100%, $E$13)</f>
        <v>6.6574999999999998</v>
      </c>
      <c r="I89" s="61">
        <f>6.6577 * CHOOSE(CONTROL!$C$22, $C$13, 100%, $E$13)</f>
        <v>6.6577000000000002</v>
      </c>
      <c r="J89" s="61">
        <f>3.7076 * CHOOSE(CONTROL!$C$22, $C$13, 100%, $E$13)</f>
        <v>3.7075999999999998</v>
      </c>
      <c r="K89" s="61">
        <f>3.7078 * CHOOSE(CONTROL!$C$22, $C$13, 100%, $E$13)</f>
        <v>3.7078000000000002</v>
      </c>
      <c r="L89" s="4"/>
      <c r="M89" s="4"/>
      <c r="N89" s="4"/>
    </row>
    <row r="90" spans="1:14" ht="15">
      <c r="A90" s="13">
        <v>44593</v>
      </c>
      <c r="B90" s="60">
        <f>3.1623 * CHOOSE(CONTROL!$C$22, $C$13, 100%, $E$13)</f>
        <v>3.1623000000000001</v>
      </c>
      <c r="C90" s="60">
        <f>3.1623 * CHOOSE(CONTROL!$C$22, $C$13, 100%, $E$13)</f>
        <v>3.1623000000000001</v>
      </c>
      <c r="D90" s="60">
        <f>3.1786 * CHOOSE(CONTROL!$C$22, $C$13, 100%, $E$13)</f>
        <v>3.1785999999999999</v>
      </c>
      <c r="E90" s="61">
        <f>3.6651 * CHOOSE(CONTROL!$C$22, $C$13, 100%, $E$13)</f>
        <v>3.6650999999999998</v>
      </c>
      <c r="F90" s="61">
        <f>3.6651 * CHOOSE(CONTROL!$C$22, $C$13, 100%, $E$13)</f>
        <v>3.6650999999999998</v>
      </c>
      <c r="G90" s="61">
        <f>3.6653 * CHOOSE(CONTROL!$C$22, $C$13, 100%, $E$13)</f>
        <v>3.6652999999999998</v>
      </c>
      <c r="H90" s="61">
        <f>6.6713* CHOOSE(CONTROL!$C$22, $C$13, 100%, $E$13)</f>
        <v>6.6712999999999996</v>
      </c>
      <c r="I90" s="61">
        <f>6.6715 * CHOOSE(CONTROL!$C$22, $C$13, 100%, $E$13)</f>
        <v>6.6715</v>
      </c>
      <c r="J90" s="61">
        <f>3.6651 * CHOOSE(CONTROL!$C$22, $C$13, 100%, $E$13)</f>
        <v>3.6650999999999998</v>
      </c>
      <c r="K90" s="61">
        <f>3.6653 * CHOOSE(CONTROL!$C$22, $C$13, 100%, $E$13)</f>
        <v>3.6652999999999998</v>
      </c>
      <c r="L90" s="4"/>
      <c r="M90" s="4"/>
      <c r="N90" s="4"/>
    </row>
    <row r="91" spans="1:14" ht="15">
      <c r="A91" s="13">
        <v>44621</v>
      </c>
      <c r="B91" s="60">
        <f>3.1593 * CHOOSE(CONTROL!$C$22, $C$13, 100%, $E$13)</f>
        <v>3.1593</v>
      </c>
      <c r="C91" s="60">
        <f>3.1593 * CHOOSE(CONTROL!$C$22, $C$13, 100%, $E$13)</f>
        <v>3.1593</v>
      </c>
      <c r="D91" s="60">
        <f>3.1756 * CHOOSE(CONTROL!$C$22, $C$13, 100%, $E$13)</f>
        <v>3.1756000000000002</v>
      </c>
      <c r="E91" s="61">
        <f>3.6948 * CHOOSE(CONTROL!$C$22, $C$13, 100%, $E$13)</f>
        <v>3.6947999999999999</v>
      </c>
      <c r="F91" s="61">
        <f>3.6948 * CHOOSE(CONTROL!$C$22, $C$13, 100%, $E$13)</f>
        <v>3.6947999999999999</v>
      </c>
      <c r="G91" s="61">
        <f>3.695 * CHOOSE(CONTROL!$C$22, $C$13, 100%, $E$13)</f>
        <v>3.6949999999999998</v>
      </c>
      <c r="H91" s="61">
        <f>6.6852* CHOOSE(CONTROL!$C$22, $C$13, 100%, $E$13)</f>
        <v>6.6852</v>
      </c>
      <c r="I91" s="61">
        <f>6.6854 * CHOOSE(CONTROL!$C$22, $C$13, 100%, $E$13)</f>
        <v>6.6853999999999996</v>
      </c>
      <c r="J91" s="61">
        <f>3.6948 * CHOOSE(CONTROL!$C$22, $C$13, 100%, $E$13)</f>
        <v>3.6947999999999999</v>
      </c>
      <c r="K91" s="61">
        <f>3.695 * CHOOSE(CONTROL!$C$22, $C$13, 100%, $E$13)</f>
        <v>3.6949999999999998</v>
      </c>
      <c r="L91" s="4"/>
      <c r="M91" s="4"/>
      <c r="N91" s="4"/>
    </row>
    <row r="92" spans="1:14" ht="15">
      <c r="A92" s="13">
        <v>44652</v>
      </c>
      <c r="B92" s="60">
        <f>3.1561 * CHOOSE(CONTROL!$C$22, $C$13, 100%, $E$13)</f>
        <v>3.1560999999999999</v>
      </c>
      <c r="C92" s="60">
        <f>3.1561 * CHOOSE(CONTROL!$C$22, $C$13, 100%, $E$13)</f>
        <v>3.1560999999999999</v>
      </c>
      <c r="D92" s="60">
        <f>3.1725 * CHOOSE(CONTROL!$C$22, $C$13, 100%, $E$13)</f>
        <v>3.1724999999999999</v>
      </c>
      <c r="E92" s="61">
        <f>3.7248 * CHOOSE(CONTROL!$C$22, $C$13, 100%, $E$13)</f>
        <v>3.7248000000000001</v>
      </c>
      <c r="F92" s="61">
        <f>3.7248 * CHOOSE(CONTROL!$C$22, $C$13, 100%, $E$13)</f>
        <v>3.7248000000000001</v>
      </c>
      <c r="G92" s="61">
        <f>3.7249 * CHOOSE(CONTROL!$C$22, $C$13, 100%, $E$13)</f>
        <v>3.7248999999999999</v>
      </c>
      <c r="H92" s="61">
        <f>6.6992* CHOOSE(CONTROL!$C$22, $C$13, 100%, $E$13)</f>
        <v>6.6992000000000003</v>
      </c>
      <c r="I92" s="61">
        <f>6.6994 * CHOOSE(CONTROL!$C$22, $C$13, 100%, $E$13)</f>
        <v>6.6993999999999998</v>
      </c>
      <c r="J92" s="61">
        <f>3.7248 * CHOOSE(CONTROL!$C$22, $C$13, 100%, $E$13)</f>
        <v>3.7248000000000001</v>
      </c>
      <c r="K92" s="61">
        <f>3.7249 * CHOOSE(CONTROL!$C$22, $C$13, 100%, $E$13)</f>
        <v>3.7248999999999999</v>
      </c>
      <c r="L92" s="4"/>
      <c r="M92" s="4"/>
      <c r="N92" s="4"/>
    </row>
    <row r="93" spans="1:14" ht="15">
      <c r="A93" s="13">
        <v>44682</v>
      </c>
      <c r="B93" s="60">
        <f>3.1561 * CHOOSE(CONTROL!$C$22, $C$13, 100%, $E$13)</f>
        <v>3.1560999999999999</v>
      </c>
      <c r="C93" s="60">
        <f>3.1561 * CHOOSE(CONTROL!$C$22, $C$13, 100%, $E$13)</f>
        <v>3.1560999999999999</v>
      </c>
      <c r="D93" s="60">
        <f>3.1888 * CHOOSE(CONTROL!$C$22, $C$13, 100%, $E$13)</f>
        <v>3.1888000000000001</v>
      </c>
      <c r="E93" s="61">
        <f>3.7376 * CHOOSE(CONTROL!$C$22, $C$13, 100%, $E$13)</f>
        <v>3.7376</v>
      </c>
      <c r="F93" s="61">
        <f>3.7376 * CHOOSE(CONTROL!$C$22, $C$13, 100%, $E$13)</f>
        <v>3.7376</v>
      </c>
      <c r="G93" s="61">
        <f>3.7396 * CHOOSE(CONTROL!$C$22, $C$13, 100%, $E$13)</f>
        <v>3.7395999999999998</v>
      </c>
      <c r="H93" s="61">
        <f>6.7131* CHOOSE(CONTROL!$C$22, $C$13, 100%, $E$13)</f>
        <v>6.7130999999999998</v>
      </c>
      <c r="I93" s="61">
        <f>6.7152 * CHOOSE(CONTROL!$C$22, $C$13, 100%, $E$13)</f>
        <v>6.7152000000000003</v>
      </c>
      <c r="J93" s="61">
        <f>3.7376 * CHOOSE(CONTROL!$C$22, $C$13, 100%, $E$13)</f>
        <v>3.7376</v>
      </c>
      <c r="K93" s="61">
        <f>3.7396 * CHOOSE(CONTROL!$C$22, $C$13, 100%, $E$13)</f>
        <v>3.7395999999999998</v>
      </c>
      <c r="L93" s="4"/>
      <c r="M93" s="4"/>
      <c r="N93" s="4"/>
    </row>
    <row r="94" spans="1:14" ht="15">
      <c r="A94" s="13">
        <v>44713</v>
      </c>
      <c r="B94" s="60">
        <f>3.1622 * CHOOSE(CONTROL!$C$22, $C$13, 100%, $E$13)</f>
        <v>3.1621999999999999</v>
      </c>
      <c r="C94" s="60">
        <f>3.1622 * CHOOSE(CONTROL!$C$22, $C$13, 100%, $E$13)</f>
        <v>3.1621999999999999</v>
      </c>
      <c r="D94" s="60">
        <f>3.1949 * CHOOSE(CONTROL!$C$22, $C$13, 100%, $E$13)</f>
        <v>3.1949000000000001</v>
      </c>
      <c r="E94" s="61">
        <f>3.729 * CHOOSE(CONTROL!$C$22, $C$13, 100%, $E$13)</f>
        <v>3.7290000000000001</v>
      </c>
      <c r="F94" s="61">
        <f>3.729 * CHOOSE(CONTROL!$C$22, $C$13, 100%, $E$13)</f>
        <v>3.7290000000000001</v>
      </c>
      <c r="G94" s="61">
        <f>3.731 * CHOOSE(CONTROL!$C$22, $C$13, 100%, $E$13)</f>
        <v>3.7309999999999999</v>
      </c>
      <c r="H94" s="61">
        <f>6.7271* CHOOSE(CONTROL!$C$22, $C$13, 100%, $E$13)</f>
        <v>6.7271000000000001</v>
      </c>
      <c r="I94" s="61">
        <f>6.7292 * CHOOSE(CONTROL!$C$22, $C$13, 100%, $E$13)</f>
        <v>6.7291999999999996</v>
      </c>
      <c r="J94" s="61">
        <f>3.729 * CHOOSE(CONTROL!$C$22, $C$13, 100%, $E$13)</f>
        <v>3.7290000000000001</v>
      </c>
      <c r="K94" s="61">
        <f>3.731 * CHOOSE(CONTROL!$C$22, $C$13, 100%, $E$13)</f>
        <v>3.7309999999999999</v>
      </c>
      <c r="L94" s="4"/>
      <c r="M94" s="4"/>
      <c r="N94" s="4"/>
    </row>
    <row r="95" spans="1:14" ht="15">
      <c r="A95" s="13">
        <v>44743</v>
      </c>
      <c r="B95" s="60">
        <f>3.2179 * CHOOSE(CONTROL!$C$22, $C$13, 100%, $E$13)</f>
        <v>3.2179000000000002</v>
      </c>
      <c r="C95" s="60">
        <f>3.2179 * CHOOSE(CONTROL!$C$22, $C$13, 100%, $E$13)</f>
        <v>3.2179000000000002</v>
      </c>
      <c r="D95" s="60">
        <f>3.2505 * CHOOSE(CONTROL!$C$22, $C$13, 100%, $E$13)</f>
        <v>3.2505000000000002</v>
      </c>
      <c r="E95" s="61">
        <f>3.796 * CHOOSE(CONTROL!$C$22, $C$13, 100%, $E$13)</f>
        <v>3.7959999999999998</v>
      </c>
      <c r="F95" s="61">
        <f>3.796 * CHOOSE(CONTROL!$C$22, $C$13, 100%, $E$13)</f>
        <v>3.7959999999999998</v>
      </c>
      <c r="G95" s="61">
        <f>3.798 * CHOOSE(CONTROL!$C$22, $C$13, 100%, $E$13)</f>
        <v>3.798</v>
      </c>
      <c r="H95" s="61">
        <f>6.7411* CHOOSE(CONTROL!$C$22, $C$13, 100%, $E$13)</f>
        <v>6.7411000000000003</v>
      </c>
      <c r="I95" s="61">
        <f>6.7432 * CHOOSE(CONTROL!$C$22, $C$13, 100%, $E$13)</f>
        <v>6.7431999999999999</v>
      </c>
      <c r="J95" s="61">
        <f>3.796 * CHOOSE(CONTROL!$C$22, $C$13, 100%, $E$13)</f>
        <v>3.7959999999999998</v>
      </c>
      <c r="K95" s="61">
        <f>3.798 * CHOOSE(CONTROL!$C$22, $C$13, 100%, $E$13)</f>
        <v>3.798</v>
      </c>
      <c r="L95" s="4"/>
      <c r="M95" s="4"/>
      <c r="N95" s="4"/>
    </row>
    <row r="96" spans="1:14" ht="15">
      <c r="A96" s="13">
        <v>44774</v>
      </c>
      <c r="B96" s="60">
        <f>3.2245 * CHOOSE(CONTROL!$C$22, $C$13, 100%, $E$13)</f>
        <v>3.2244999999999999</v>
      </c>
      <c r="C96" s="60">
        <f>3.2245 * CHOOSE(CONTROL!$C$22, $C$13, 100%, $E$13)</f>
        <v>3.2244999999999999</v>
      </c>
      <c r="D96" s="60">
        <f>3.2572 * CHOOSE(CONTROL!$C$22, $C$13, 100%, $E$13)</f>
        <v>3.2572000000000001</v>
      </c>
      <c r="E96" s="61">
        <f>3.7622 * CHOOSE(CONTROL!$C$22, $C$13, 100%, $E$13)</f>
        <v>3.7622</v>
      </c>
      <c r="F96" s="61">
        <f>3.7622 * CHOOSE(CONTROL!$C$22, $C$13, 100%, $E$13)</f>
        <v>3.7622</v>
      </c>
      <c r="G96" s="61">
        <f>3.7643 * CHOOSE(CONTROL!$C$22, $C$13, 100%, $E$13)</f>
        <v>3.7643</v>
      </c>
      <c r="H96" s="61">
        <f>6.7552* CHOOSE(CONTROL!$C$22, $C$13, 100%, $E$13)</f>
        <v>6.7552000000000003</v>
      </c>
      <c r="I96" s="61">
        <f>6.7572 * CHOOSE(CONTROL!$C$22, $C$13, 100%, $E$13)</f>
        <v>6.7572000000000001</v>
      </c>
      <c r="J96" s="61">
        <f>3.7622 * CHOOSE(CONTROL!$C$22, $C$13, 100%, $E$13)</f>
        <v>3.7622</v>
      </c>
      <c r="K96" s="61">
        <f>3.7643 * CHOOSE(CONTROL!$C$22, $C$13, 100%, $E$13)</f>
        <v>3.7643</v>
      </c>
      <c r="L96" s="4"/>
      <c r="M96" s="4"/>
      <c r="N96" s="4"/>
    </row>
    <row r="97" spans="1:14" ht="15">
      <c r="A97" s="13">
        <v>44805</v>
      </c>
      <c r="B97" s="60">
        <f>3.2215 * CHOOSE(CONTROL!$C$22, $C$13, 100%, $E$13)</f>
        <v>3.2214999999999998</v>
      </c>
      <c r="C97" s="60">
        <f>3.2215 * CHOOSE(CONTROL!$C$22, $C$13, 100%, $E$13)</f>
        <v>3.2214999999999998</v>
      </c>
      <c r="D97" s="60">
        <f>3.2542 * CHOOSE(CONTROL!$C$22, $C$13, 100%, $E$13)</f>
        <v>3.2542</v>
      </c>
      <c r="E97" s="61">
        <f>3.7558 * CHOOSE(CONTROL!$C$22, $C$13, 100%, $E$13)</f>
        <v>3.7557999999999998</v>
      </c>
      <c r="F97" s="61">
        <f>3.7558 * CHOOSE(CONTROL!$C$22, $C$13, 100%, $E$13)</f>
        <v>3.7557999999999998</v>
      </c>
      <c r="G97" s="61">
        <f>3.7579 * CHOOSE(CONTROL!$C$22, $C$13, 100%, $E$13)</f>
        <v>3.7578999999999998</v>
      </c>
      <c r="H97" s="61">
        <f>6.7692* CHOOSE(CONTROL!$C$22, $C$13, 100%, $E$13)</f>
        <v>6.7691999999999997</v>
      </c>
      <c r="I97" s="61">
        <f>6.7713 * CHOOSE(CONTROL!$C$22, $C$13, 100%, $E$13)</f>
        <v>6.7713000000000001</v>
      </c>
      <c r="J97" s="61">
        <f>3.7558 * CHOOSE(CONTROL!$C$22, $C$13, 100%, $E$13)</f>
        <v>3.7557999999999998</v>
      </c>
      <c r="K97" s="61">
        <f>3.7579 * CHOOSE(CONTROL!$C$22, $C$13, 100%, $E$13)</f>
        <v>3.7578999999999998</v>
      </c>
      <c r="L97" s="4"/>
      <c r="M97" s="4"/>
      <c r="N97" s="4"/>
    </row>
    <row r="98" spans="1:14" ht="15">
      <c r="A98" s="13">
        <v>44835</v>
      </c>
      <c r="B98" s="60">
        <f>3.2138 * CHOOSE(CONTROL!$C$22, $C$13, 100%, $E$13)</f>
        <v>3.2138</v>
      </c>
      <c r="C98" s="60">
        <f>3.2138 * CHOOSE(CONTROL!$C$22, $C$13, 100%, $E$13)</f>
        <v>3.2138</v>
      </c>
      <c r="D98" s="60">
        <f>3.2302 * CHOOSE(CONTROL!$C$22, $C$13, 100%, $E$13)</f>
        <v>3.2302</v>
      </c>
      <c r="E98" s="61">
        <f>3.7595 * CHOOSE(CONTROL!$C$22, $C$13, 100%, $E$13)</f>
        <v>3.7595000000000001</v>
      </c>
      <c r="F98" s="61">
        <f>3.7595 * CHOOSE(CONTROL!$C$22, $C$13, 100%, $E$13)</f>
        <v>3.7595000000000001</v>
      </c>
      <c r="G98" s="61">
        <f>3.7597 * CHOOSE(CONTROL!$C$22, $C$13, 100%, $E$13)</f>
        <v>3.7597</v>
      </c>
      <c r="H98" s="61">
        <f>6.7834* CHOOSE(CONTROL!$C$22, $C$13, 100%, $E$13)</f>
        <v>6.7834000000000003</v>
      </c>
      <c r="I98" s="61">
        <f>6.7835 * CHOOSE(CONTROL!$C$22, $C$13, 100%, $E$13)</f>
        <v>6.7835000000000001</v>
      </c>
      <c r="J98" s="61">
        <f>3.7595 * CHOOSE(CONTROL!$C$22, $C$13, 100%, $E$13)</f>
        <v>3.7595000000000001</v>
      </c>
      <c r="K98" s="61">
        <f>3.7597 * CHOOSE(CONTROL!$C$22, $C$13, 100%, $E$13)</f>
        <v>3.7597</v>
      </c>
      <c r="L98" s="4"/>
      <c r="M98" s="4"/>
      <c r="N98" s="4"/>
    </row>
    <row r="99" spans="1:14" ht="15">
      <c r="A99" s="13">
        <v>44866</v>
      </c>
      <c r="B99" s="60">
        <f>3.2169 * CHOOSE(CONTROL!$C$22, $C$13, 100%, $E$13)</f>
        <v>3.2168999999999999</v>
      </c>
      <c r="C99" s="60">
        <f>3.2169 * CHOOSE(CONTROL!$C$22, $C$13, 100%, $E$13)</f>
        <v>3.2168999999999999</v>
      </c>
      <c r="D99" s="60">
        <f>3.2332 * CHOOSE(CONTROL!$C$22, $C$13, 100%, $E$13)</f>
        <v>3.2332000000000001</v>
      </c>
      <c r="E99" s="61">
        <f>3.7702 * CHOOSE(CONTROL!$C$22, $C$13, 100%, $E$13)</f>
        <v>3.7702</v>
      </c>
      <c r="F99" s="61">
        <f>3.7702 * CHOOSE(CONTROL!$C$22, $C$13, 100%, $E$13)</f>
        <v>3.7702</v>
      </c>
      <c r="G99" s="61">
        <f>3.7703 * CHOOSE(CONTROL!$C$22, $C$13, 100%, $E$13)</f>
        <v>3.7703000000000002</v>
      </c>
      <c r="H99" s="61">
        <f>6.7975* CHOOSE(CONTROL!$C$22, $C$13, 100%, $E$13)</f>
        <v>6.7975000000000003</v>
      </c>
      <c r="I99" s="61">
        <f>6.7977 * CHOOSE(CONTROL!$C$22, $C$13, 100%, $E$13)</f>
        <v>6.7976999999999999</v>
      </c>
      <c r="J99" s="61">
        <f>3.7702 * CHOOSE(CONTROL!$C$22, $C$13, 100%, $E$13)</f>
        <v>3.7702</v>
      </c>
      <c r="K99" s="61">
        <f>3.7703 * CHOOSE(CONTROL!$C$22, $C$13, 100%, $E$13)</f>
        <v>3.7703000000000002</v>
      </c>
      <c r="L99" s="4"/>
      <c r="M99" s="4"/>
      <c r="N99" s="4"/>
    </row>
    <row r="100" spans="1:14" ht="15">
      <c r="A100" s="13">
        <v>44896</v>
      </c>
      <c r="B100" s="60">
        <f>3.2169 * CHOOSE(CONTROL!$C$22, $C$13, 100%, $E$13)</f>
        <v>3.2168999999999999</v>
      </c>
      <c r="C100" s="60">
        <f>3.2169 * CHOOSE(CONTROL!$C$22, $C$13, 100%, $E$13)</f>
        <v>3.2168999999999999</v>
      </c>
      <c r="D100" s="60">
        <f>3.2332 * CHOOSE(CONTROL!$C$22, $C$13, 100%, $E$13)</f>
        <v>3.2332000000000001</v>
      </c>
      <c r="E100" s="61">
        <f>3.7488 * CHOOSE(CONTROL!$C$22, $C$13, 100%, $E$13)</f>
        <v>3.7488000000000001</v>
      </c>
      <c r="F100" s="61">
        <f>3.7488 * CHOOSE(CONTROL!$C$22, $C$13, 100%, $E$13)</f>
        <v>3.7488000000000001</v>
      </c>
      <c r="G100" s="61">
        <f>3.749 * CHOOSE(CONTROL!$C$22, $C$13, 100%, $E$13)</f>
        <v>3.7490000000000001</v>
      </c>
      <c r="H100" s="61">
        <f>6.8116* CHOOSE(CONTROL!$C$22, $C$13, 100%, $E$13)</f>
        <v>6.8116000000000003</v>
      </c>
      <c r="I100" s="61">
        <f>6.8118 * CHOOSE(CONTROL!$C$22, $C$13, 100%, $E$13)</f>
        <v>6.8117999999999999</v>
      </c>
      <c r="J100" s="61">
        <f>3.7488 * CHOOSE(CONTROL!$C$22, $C$13, 100%, $E$13)</f>
        <v>3.7488000000000001</v>
      </c>
      <c r="K100" s="61">
        <f>3.749 * CHOOSE(CONTROL!$C$22, $C$13, 100%, $E$13)</f>
        <v>3.7490000000000001</v>
      </c>
      <c r="L100" s="4"/>
      <c r="M100" s="4"/>
      <c r="N100" s="4"/>
    </row>
    <row r="101" spans="1:14" ht="15">
      <c r="A101" s="13">
        <v>44927</v>
      </c>
      <c r="B101" s="60">
        <f>3.2478 * CHOOSE(CONTROL!$C$22, $C$13, 100%, $E$13)</f>
        <v>3.2477999999999998</v>
      </c>
      <c r="C101" s="60">
        <f>3.2478 * CHOOSE(CONTROL!$C$22, $C$13, 100%, $E$13)</f>
        <v>3.2477999999999998</v>
      </c>
      <c r="D101" s="60">
        <f>3.2642 * CHOOSE(CONTROL!$C$22, $C$13, 100%, $E$13)</f>
        <v>3.2642000000000002</v>
      </c>
      <c r="E101" s="61">
        <f>3.7975 * CHOOSE(CONTROL!$C$22, $C$13, 100%, $E$13)</f>
        <v>3.7974999999999999</v>
      </c>
      <c r="F101" s="61">
        <f>3.7975 * CHOOSE(CONTROL!$C$22, $C$13, 100%, $E$13)</f>
        <v>3.7974999999999999</v>
      </c>
      <c r="G101" s="61">
        <f>3.7977 * CHOOSE(CONTROL!$C$22, $C$13, 100%, $E$13)</f>
        <v>3.7976999999999999</v>
      </c>
      <c r="H101" s="61">
        <f>6.8258* CHOOSE(CONTROL!$C$22, $C$13, 100%, $E$13)</f>
        <v>6.8258000000000001</v>
      </c>
      <c r="I101" s="61">
        <f>6.826 * CHOOSE(CONTROL!$C$22, $C$13, 100%, $E$13)</f>
        <v>6.8259999999999996</v>
      </c>
      <c r="J101" s="61">
        <f>3.7975 * CHOOSE(CONTROL!$C$22, $C$13, 100%, $E$13)</f>
        <v>3.7974999999999999</v>
      </c>
      <c r="K101" s="61">
        <f>3.7977 * CHOOSE(CONTROL!$C$22, $C$13, 100%, $E$13)</f>
        <v>3.7976999999999999</v>
      </c>
      <c r="L101" s="4"/>
      <c r="M101" s="4"/>
      <c r="N101" s="4"/>
    </row>
    <row r="102" spans="1:14" ht="15">
      <c r="A102" s="13">
        <v>44958</v>
      </c>
      <c r="B102" s="60">
        <f>3.2448 * CHOOSE(CONTROL!$C$22, $C$13, 100%, $E$13)</f>
        <v>3.2448000000000001</v>
      </c>
      <c r="C102" s="60">
        <f>3.2448 * CHOOSE(CONTROL!$C$22, $C$13, 100%, $E$13)</f>
        <v>3.2448000000000001</v>
      </c>
      <c r="D102" s="60">
        <f>3.2611 * CHOOSE(CONTROL!$C$22, $C$13, 100%, $E$13)</f>
        <v>3.2610999999999999</v>
      </c>
      <c r="E102" s="61">
        <f>3.7528 * CHOOSE(CONTROL!$C$22, $C$13, 100%, $E$13)</f>
        <v>3.7528000000000001</v>
      </c>
      <c r="F102" s="61">
        <f>3.7528 * CHOOSE(CONTROL!$C$22, $C$13, 100%, $E$13)</f>
        <v>3.7528000000000001</v>
      </c>
      <c r="G102" s="61">
        <f>3.753 * CHOOSE(CONTROL!$C$22, $C$13, 100%, $E$13)</f>
        <v>3.7530000000000001</v>
      </c>
      <c r="H102" s="61">
        <f>6.8401* CHOOSE(CONTROL!$C$22, $C$13, 100%, $E$13)</f>
        <v>6.8400999999999996</v>
      </c>
      <c r="I102" s="61">
        <f>6.8402 * CHOOSE(CONTROL!$C$22, $C$13, 100%, $E$13)</f>
        <v>6.8402000000000003</v>
      </c>
      <c r="J102" s="61">
        <f>3.7528 * CHOOSE(CONTROL!$C$22, $C$13, 100%, $E$13)</f>
        <v>3.7528000000000001</v>
      </c>
      <c r="K102" s="61">
        <f>3.753 * CHOOSE(CONTROL!$C$22, $C$13, 100%, $E$13)</f>
        <v>3.7530000000000001</v>
      </c>
      <c r="L102" s="4"/>
      <c r="M102" s="4"/>
      <c r="N102" s="4"/>
    </row>
    <row r="103" spans="1:14" ht="15">
      <c r="A103" s="13">
        <v>44986</v>
      </c>
      <c r="B103" s="60">
        <f>3.2417 * CHOOSE(CONTROL!$C$22, $C$13, 100%, $E$13)</f>
        <v>3.2416999999999998</v>
      </c>
      <c r="C103" s="60">
        <f>3.2417 * CHOOSE(CONTROL!$C$22, $C$13, 100%, $E$13)</f>
        <v>3.2416999999999998</v>
      </c>
      <c r="D103" s="60">
        <f>3.2581 * CHOOSE(CONTROL!$C$22, $C$13, 100%, $E$13)</f>
        <v>3.2581000000000002</v>
      </c>
      <c r="E103" s="61">
        <f>3.7843 * CHOOSE(CONTROL!$C$22, $C$13, 100%, $E$13)</f>
        <v>3.7843</v>
      </c>
      <c r="F103" s="61">
        <f>3.7843 * CHOOSE(CONTROL!$C$22, $C$13, 100%, $E$13)</f>
        <v>3.7843</v>
      </c>
      <c r="G103" s="61">
        <f>3.7844 * CHOOSE(CONTROL!$C$22, $C$13, 100%, $E$13)</f>
        <v>3.7844000000000002</v>
      </c>
      <c r="H103" s="61">
        <f>6.8543* CHOOSE(CONTROL!$C$22, $C$13, 100%, $E$13)</f>
        <v>6.8543000000000003</v>
      </c>
      <c r="I103" s="61">
        <f>6.8545 * CHOOSE(CONTROL!$C$22, $C$13, 100%, $E$13)</f>
        <v>6.8544999999999998</v>
      </c>
      <c r="J103" s="61">
        <f>3.7843 * CHOOSE(CONTROL!$C$22, $C$13, 100%, $E$13)</f>
        <v>3.7843</v>
      </c>
      <c r="K103" s="61">
        <f>3.7844 * CHOOSE(CONTROL!$C$22, $C$13, 100%, $E$13)</f>
        <v>3.7844000000000002</v>
      </c>
      <c r="L103" s="4"/>
      <c r="M103" s="4"/>
      <c r="N103" s="4"/>
    </row>
    <row r="104" spans="1:14" ht="15">
      <c r="A104" s="13">
        <v>45017</v>
      </c>
      <c r="B104" s="60">
        <f>3.2387 * CHOOSE(CONTROL!$C$22, $C$13, 100%, $E$13)</f>
        <v>3.2387000000000001</v>
      </c>
      <c r="C104" s="60">
        <f>3.2387 * CHOOSE(CONTROL!$C$22, $C$13, 100%, $E$13)</f>
        <v>3.2387000000000001</v>
      </c>
      <c r="D104" s="60">
        <f>3.255 * CHOOSE(CONTROL!$C$22, $C$13, 100%, $E$13)</f>
        <v>3.2549999999999999</v>
      </c>
      <c r="E104" s="61">
        <f>3.816 * CHOOSE(CONTROL!$C$22, $C$13, 100%, $E$13)</f>
        <v>3.8159999999999998</v>
      </c>
      <c r="F104" s="61">
        <f>3.816 * CHOOSE(CONTROL!$C$22, $C$13, 100%, $E$13)</f>
        <v>3.8159999999999998</v>
      </c>
      <c r="G104" s="61">
        <f>3.8162 * CHOOSE(CONTROL!$C$22, $C$13, 100%, $E$13)</f>
        <v>3.8161999999999998</v>
      </c>
      <c r="H104" s="61">
        <f>6.8686* CHOOSE(CONTROL!$C$22, $C$13, 100%, $E$13)</f>
        <v>6.8685999999999998</v>
      </c>
      <c r="I104" s="61">
        <f>6.8688 * CHOOSE(CONTROL!$C$22, $C$13, 100%, $E$13)</f>
        <v>6.8688000000000002</v>
      </c>
      <c r="J104" s="61">
        <f>3.816 * CHOOSE(CONTROL!$C$22, $C$13, 100%, $E$13)</f>
        <v>3.8159999999999998</v>
      </c>
      <c r="K104" s="61">
        <f>3.8162 * CHOOSE(CONTROL!$C$22, $C$13, 100%, $E$13)</f>
        <v>3.8161999999999998</v>
      </c>
      <c r="L104" s="4"/>
      <c r="M104" s="4"/>
      <c r="N104" s="4"/>
    </row>
    <row r="105" spans="1:14" ht="15">
      <c r="A105" s="13">
        <v>45047</v>
      </c>
      <c r="B105" s="60">
        <f>3.2387 * CHOOSE(CONTROL!$C$22, $C$13, 100%, $E$13)</f>
        <v>3.2387000000000001</v>
      </c>
      <c r="C105" s="60">
        <f>3.2387 * CHOOSE(CONTROL!$C$22, $C$13, 100%, $E$13)</f>
        <v>3.2387000000000001</v>
      </c>
      <c r="D105" s="60">
        <f>3.2714 * CHOOSE(CONTROL!$C$22, $C$13, 100%, $E$13)</f>
        <v>3.2713999999999999</v>
      </c>
      <c r="E105" s="61">
        <f>3.8295 * CHOOSE(CONTROL!$C$22, $C$13, 100%, $E$13)</f>
        <v>3.8294999999999999</v>
      </c>
      <c r="F105" s="61">
        <f>3.8295 * CHOOSE(CONTROL!$C$22, $C$13, 100%, $E$13)</f>
        <v>3.8294999999999999</v>
      </c>
      <c r="G105" s="61">
        <f>3.8316 * CHOOSE(CONTROL!$C$22, $C$13, 100%, $E$13)</f>
        <v>3.8315999999999999</v>
      </c>
      <c r="H105" s="61">
        <f>6.8829* CHOOSE(CONTROL!$C$22, $C$13, 100%, $E$13)</f>
        <v>6.8829000000000002</v>
      </c>
      <c r="I105" s="61">
        <f>6.8849 * CHOOSE(CONTROL!$C$22, $C$13, 100%, $E$13)</f>
        <v>6.8849</v>
      </c>
      <c r="J105" s="61">
        <f>3.8295 * CHOOSE(CONTROL!$C$22, $C$13, 100%, $E$13)</f>
        <v>3.8294999999999999</v>
      </c>
      <c r="K105" s="61">
        <f>3.8316 * CHOOSE(CONTROL!$C$22, $C$13, 100%, $E$13)</f>
        <v>3.8315999999999999</v>
      </c>
      <c r="L105" s="4"/>
      <c r="M105" s="4"/>
      <c r="N105" s="4"/>
    </row>
    <row r="106" spans="1:14" ht="15">
      <c r="A106" s="13">
        <v>45078</v>
      </c>
      <c r="B106" s="60">
        <f>3.2448 * CHOOSE(CONTROL!$C$22, $C$13, 100%, $E$13)</f>
        <v>3.2448000000000001</v>
      </c>
      <c r="C106" s="60">
        <f>3.2448 * CHOOSE(CONTROL!$C$22, $C$13, 100%, $E$13)</f>
        <v>3.2448000000000001</v>
      </c>
      <c r="D106" s="60">
        <f>3.2775 * CHOOSE(CONTROL!$C$22, $C$13, 100%, $E$13)</f>
        <v>3.2774999999999999</v>
      </c>
      <c r="E106" s="61">
        <f>3.8203 * CHOOSE(CONTROL!$C$22, $C$13, 100%, $E$13)</f>
        <v>3.8203</v>
      </c>
      <c r="F106" s="61">
        <f>3.8203 * CHOOSE(CONTROL!$C$22, $C$13, 100%, $E$13)</f>
        <v>3.8203</v>
      </c>
      <c r="G106" s="61">
        <f>3.8223 * CHOOSE(CONTROL!$C$22, $C$13, 100%, $E$13)</f>
        <v>3.8222999999999998</v>
      </c>
      <c r="H106" s="61">
        <f>6.8972* CHOOSE(CONTROL!$C$22, $C$13, 100%, $E$13)</f>
        <v>6.8971999999999998</v>
      </c>
      <c r="I106" s="61">
        <f>6.8993 * CHOOSE(CONTROL!$C$22, $C$13, 100%, $E$13)</f>
        <v>6.8993000000000002</v>
      </c>
      <c r="J106" s="61">
        <f>3.8203 * CHOOSE(CONTROL!$C$22, $C$13, 100%, $E$13)</f>
        <v>3.8203</v>
      </c>
      <c r="K106" s="61">
        <f>3.8223 * CHOOSE(CONTROL!$C$22, $C$13, 100%, $E$13)</f>
        <v>3.8222999999999998</v>
      </c>
      <c r="L106" s="4"/>
      <c r="M106" s="4"/>
      <c r="N106" s="4"/>
    </row>
    <row r="107" spans="1:14" ht="15">
      <c r="A107" s="13">
        <v>45108</v>
      </c>
      <c r="B107" s="60">
        <f>3.3031 * CHOOSE(CONTROL!$C$22, $C$13, 100%, $E$13)</f>
        <v>3.3031000000000001</v>
      </c>
      <c r="C107" s="60">
        <f>3.3031 * CHOOSE(CONTROL!$C$22, $C$13, 100%, $E$13)</f>
        <v>3.3031000000000001</v>
      </c>
      <c r="D107" s="60">
        <f>3.3358 * CHOOSE(CONTROL!$C$22, $C$13, 100%, $E$13)</f>
        <v>3.3357999999999999</v>
      </c>
      <c r="E107" s="61">
        <f>3.8691 * CHOOSE(CONTROL!$C$22, $C$13, 100%, $E$13)</f>
        <v>3.8691</v>
      </c>
      <c r="F107" s="61">
        <f>3.8691 * CHOOSE(CONTROL!$C$22, $C$13, 100%, $E$13)</f>
        <v>3.8691</v>
      </c>
      <c r="G107" s="61">
        <f>3.8711 * CHOOSE(CONTROL!$C$22, $C$13, 100%, $E$13)</f>
        <v>3.8711000000000002</v>
      </c>
      <c r="H107" s="61">
        <f>6.9116* CHOOSE(CONTROL!$C$22, $C$13, 100%, $E$13)</f>
        <v>6.9116</v>
      </c>
      <c r="I107" s="61">
        <f>6.9136 * CHOOSE(CONTROL!$C$22, $C$13, 100%, $E$13)</f>
        <v>6.9135999999999997</v>
      </c>
      <c r="J107" s="61">
        <f>3.8691 * CHOOSE(CONTROL!$C$22, $C$13, 100%, $E$13)</f>
        <v>3.8691</v>
      </c>
      <c r="K107" s="61">
        <f>3.8711 * CHOOSE(CONTROL!$C$22, $C$13, 100%, $E$13)</f>
        <v>3.8711000000000002</v>
      </c>
      <c r="L107" s="4"/>
      <c r="M107" s="4"/>
      <c r="N107" s="4"/>
    </row>
    <row r="108" spans="1:14" ht="15">
      <c r="A108" s="13">
        <v>45139</v>
      </c>
      <c r="B108" s="60">
        <f>3.3098 * CHOOSE(CONTROL!$C$22, $C$13, 100%, $E$13)</f>
        <v>3.3098000000000001</v>
      </c>
      <c r="C108" s="60">
        <f>3.3098 * CHOOSE(CONTROL!$C$22, $C$13, 100%, $E$13)</f>
        <v>3.3098000000000001</v>
      </c>
      <c r="D108" s="60">
        <f>3.3425 * CHOOSE(CONTROL!$C$22, $C$13, 100%, $E$13)</f>
        <v>3.3424999999999998</v>
      </c>
      <c r="E108" s="61">
        <f>3.8332 * CHOOSE(CONTROL!$C$22, $C$13, 100%, $E$13)</f>
        <v>3.8332000000000002</v>
      </c>
      <c r="F108" s="61">
        <f>3.8332 * CHOOSE(CONTROL!$C$22, $C$13, 100%, $E$13)</f>
        <v>3.8332000000000002</v>
      </c>
      <c r="G108" s="61">
        <f>3.8353 * CHOOSE(CONTROL!$C$22, $C$13, 100%, $E$13)</f>
        <v>3.8353000000000002</v>
      </c>
      <c r="H108" s="61">
        <f>6.926* CHOOSE(CONTROL!$C$22, $C$13, 100%, $E$13)</f>
        <v>6.9260000000000002</v>
      </c>
      <c r="I108" s="61">
        <f>6.928 * CHOOSE(CONTROL!$C$22, $C$13, 100%, $E$13)</f>
        <v>6.9279999999999999</v>
      </c>
      <c r="J108" s="61">
        <f>3.8332 * CHOOSE(CONTROL!$C$22, $C$13, 100%, $E$13)</f>
        <v>3.8332000000000002</v>
      </c>
      <c r="K108" s="61">
        <f>3.8353 * CHOOSE(CONTROL!$C$22, $C$13, 100%, $E$13)</f>
        <v>3.8353000000000002</v>
      </c>
      <c r="L108" s="4"/>
      <c r="M108" s="4"/>
      <c r="N108" s="4"/>
    </row>
    <row r="109" spans="1:14" ht="15">
      <c r="A109" s="13">
        <v>45170</v>
      </c>
      <c r="B109" s="60">
        <f>3.3067 * CHOOSE(CONTROL!$C$22, $C$13, 100%, $E$13)</f>
        <v>3.3067000000000002</v>
      </c>
      <c r="C109" s="60">
        <f>3.3067 * CHOOSE(CONTROL!$C$22, $C$13, 100%, $E$13)</f>
        <v>3.3067000000000002</v>
      </c>
      <c r="D109" s="60">
        <f>3.3394 * CHOOSE(CONTROL!$C$22, $C$13, 100%, $E$13)</f>
        <v>3.3393999999999999</v>
      </c>
      <c r="E109" s="61">
        <f>3.8266 * CHOOSE(CONTROL!$C$22, $C$13, 100%, $E$13)</f>
        <v>3.8266</v>
      </c>
      <c r="F109" s="61">
        <f>3.8266 * CHOOSE(CONTROL!$C$22, $C$13, 100%, $E$13)</f>
        <v>3.8266</v>
      </c>
      <c r="G109" s="61">
        <f>3.8286 * CHOOSE(CONTROL!$C$22, $C$13, 100%, $E$13)</f>
        <v>3.8285999999999998</v>
      </c>
      <c r="H109" s="61">
        <f>6.9404* CHOOSE(CONTROL!$C$22, $C$13, 100%, $E$13)</f>
        <v>6.9404000000000003</v>
      </c>
      <c r="I109" s="61">
        <f>6.9425 * CHOOSE(CONTROL!$C$22, $C$13, 100%, $E$13)</f>
        <v>6.9424999999999999</v>
      </c>
      <c r="J109" s="61">
        <f>3.8266 * CHOOSE(CONTROL!$C$22, $C$13, 100%, $E$13)</f>
        <v>3.8266</v>
      </c>
      <c r="K109" s="61">
        <f>3.8286 * CHOOSE(CONTROL!$C$22, $C$13, 100%, $E$13)</f>
        <v>3.8285999999999998</v>
      </c>
      <c r="L109" s="4"/>
      <c r="M109" s="4"/>
      <c r="N109" s="4"/>
    </row>
    <row r="110" spans="1:14" ht="15">
      <c r="A110" s="13">
        <v>45200</v>
      </c>
      <c r="B110" s="60">
        <f>3.2994 * CHOOSE(CONTROL!$C$22, $C$13, 100%, $E$13)</f>
        <v>3.2993999999999999</v>
      </c>
      <c r="C110" s="60">
        <f>3.2994 * CHOOSE(CONTROL!$C$22, $C$13, 100%, $E$13)</f>
        <v>3.2993999999999999</v>
      </c>
      <c r="D110" s="60">
        <f>3.3157 * CHOOSE(CONTROL!$C$22, $C$13, 100%, $E$13)</f>
        <v>3.3157000000000001</v>
      </c>
      <c r="E110" s="61">
        <f>3.8312 * CHOOSE(CONTROL!$C$22, $C$13, 100%, $E$13)</f>
        <v>3.8311999999999999</v>
      </c>
      <c r="F110" s="61">
        <f>3.8312 * CHOOSE(CONTROL!$C$22, $C$13, 100%, $E$13)</f>
        <v>3.8311999999999999</v>
      </c>
      <c r="G110" s="61">
        <f>3.8314 * CHOOSE(CONTROL!$C$22, $C$13, 100%, $E$13)</f>
        <v>3.8313999999999999</v>
      </c>
      <c r="H110" s="61">
        <f>6.9549* CHOOSE(CONTROL!$C$22, $C$13, 100%, $E$13)</f>
        <v>6.9549000000000003</v>
      </c>
      <c r="I110" s="61">
        <f>6.9551 * CHOOSE(CONTROL!$C$22, $C$13, 100%, $E$13)</f>
        <v>6.9550999999999998</v>
      </c>
      <c r="J110" s="61">
        <f>3.8312 * CHOOSE(CONTROL!$C$22, $C$13, 100%, $E$13)</f>
        <v>3.8311999999999999</v>
      </c>
      <c r="K110" s="61">
        <f>3.8314 * CHOOSE(CONTROL!$C$22, $C$13, 100%, $E$13)</f>
        <v>3.8313999999999999</v>
      </c>
      <c r="L110" s="4"/>
      <c r="M110" s="4"/>
      <c r="N110" s="4"/>
    </row>
    <row r="111" spans="1:14" ht="15">
      <c r="A111" s="13">
        <v>45231</v>
      </c>
      <c r="B111" s="60">
        <f>3.3024 * CHOOSE(CONTROL!$C$22, $C$13, 100%, $E$13)</f>
        <v>3.3024</v>
      </c>
      <c r="C111" s="60">
        <f>3.3024 * CHOOSE(CONTROL!$C$22, $C$13, 100%, $E$13)</f>
        <v>3.3024</v>
      </c>
      <c r="D111" s="60">
        <f>3.3188 * CHOOSE(CONTROL!$C$22, $C$13, 100%, $E$13)</f>
        <v>3.3188</v>
      </c>
      <c r="E111" s="61">
        <f>3.8423 * CHOOSE(CONTROL!$C$22, $C$13, 100%, $E$13)</f>
        <v>3.8422999999999998</v>
      </c>
      <c r="F111" s="61">
        <f>3.8423 * CHOOSE(CONTROL!$C$22, $C$13, 100%, $E$13)</f>
        <v>3.8422999999999998</v>
      </c>
      <c r="G111" s="61">
        <f>3.8425 * CHOOSE(CONTROL!$C$22, $C$13, 100%, $E$13)</f>
        <v>3.8424999999999998</v>
      </c>
      <c r="H111" s="61">
        <f>6.9694* CHOOSE(CONTROL!$C$22, $C$13, 100%, $E$13)</f>
        <v>6.9694000000000003</v>
      </c>
      <c r="I111" s="61">
        <f>6.9696 * CHOOSE(CONTROL!$C$22, $C$13, 100%, $E$13)</f>
        <v>6.9695999999999998</v>
      </c>
      <c r="J111" s="61">
        <f>3.8423 * CHOOSE(CONTROL!$C$22, $C$13, 100%, $E$13)</f>
        <v>3.8422999999999998</v>
      </c>
      <c r="K111" s="61">
        <f>3.8425 * CHOOSE(CONTROL!$C$22, $C$13, 100%, $E$13)</f>
        <v>3.8424999999999998</v>
      </c>
      <c r="L111" s="4"/>
      <c r="M111" s="4"/>
      <c r="N111" s="4"/>
    </row>
    <row r="112" spans="1:14" ht="15">
      <c r="A112" s="13">
        <v>45261</v>
      </c>
      <c r="B112" s="60">
        <f>3.3024 * CHOOSE(CONTROL!$C$22, $C$13, 100%, $E$13)</f>
        <v>3.3024</v>
      </c>
      <c r="C112" s="60">
        <f>3.3024 * CHOOSE(CONTROL!$C$22, $C$13, 100%, $E$13)</f>
        <v>3.3024</v>
      </c>
      <c r="D112" s="60">
        <f>3.3188 * CHOOSE(CONTROL!$C$22, $C$13, 100%, $E$13)</f>
        <v>3.3188</v>
      </c>
      <c r="E112" s="61">
        <f>3.8198 * CHOOSE(CONTROL!$C$22, $C$13, 100%, $E$13)</f>
        <v>3.8197999999999999</v>
      </c>
      <c r="F112" s="61">
        <f>3.8198 * CHOOSE(CONTROL!$C$22, $C$13, 100%, $E$13)</f>
        <v>3.8197999999999999</v>
      </c>
      <c r="G112" s="61">
        <f>3.82 * CHOOSE(CONTROL!$C$22, $C$13, 100%, $E$13)</f>
        <v>3.82</v>
      </c>
      <c r="H112" s="61">
        <f>6.9839* CHOOSE(CONTROL!$C$22, $C$13, 100%, $E$13)</f>
        <v>6.9839000000000002</v>
      </c>
      <c r="I112" s="61">
        <f>6.9841 * CHOOSE(CONTROL!$C$22, $C$13, 100%, $E$13)</f>
        <v>6.9840999999999998</v>
      </c>
      <c r="J112" s="61">
        <f>3.8198 * CHOOSE(CONTROL!$C$22, $C$13, 100%, $E$13)</f>
        <v>3.8197999999999999</v>
      </c>
      <c r="K112" s="61">
        <f>3.82 * CHOOSE(CONTROL!$C$22, $C$13, 100%, $E$13)</f>
        <v>3.82</v>
      </c>
      <c r="L112" s="4"/>
      <c r="M112" s="4"/>
      <c r="N112" s="4"/>
    </row>
    <row r="113" spans="1:14" ht="15">
      <c r="A113" s="13">
        <v>45292</v>
      </c>
      <c r="B113" s="60">
        <f>3.3324 * CHOOSE(CONTROL!$C$22, $C$13, 100%, $E$13)</f>
        <v>3.3323999999999998</v>
      </c>
      <c r="C113" s="60">
        <f>3.3324 * CHOOSE(CONTROL!$C$22, $C$13, 100%, $E$13)</f>
        <v>3.3323999999999998</v>
      </c>
      <c r="D113" s="60">
        <f>3.3487 * CHOOSE(CONTROL!$C$22, $C$13, 100%, $E$13)</f>
        <v>3.3487</v>
      </c>
      <c r="E113" s="61">
        <f>3.8554 * CHOOSE(CONTROL!$C$22, $C$13, 100%, $E$13)</f>
        <v>3.8553999999999999</v>
      </c>
      <c r="F113" s="61">
        <f>3.8554 * CHOOSE(CONTROL!$C$22, $C$13, 100%, $E$13)</f>
        <v>3.8553999999999999</v>
      </c>
      <c r="G113" s="61">
        <f>3.8555 * CHOOSE(CONTROL!$C$22, $C$13, 100%, $E$13)</f>
        <v>3.8555000000000001</v>
      </c>
      <c r="H113" s="61">
        <f>6.9985* CHOOSE(CONTROL!$C$22, $C$13, 100%, $E$13)</f>
        <v>6.9984999999999999</v>
      </c>
      <c r="I113" s="61">
        <f>6.9986 * CHOOSE(CONTROL!$C$22, $C$13, 100%, $E$13)</f>
        <v>6.9985999999999997</v>
      </c>
      <c r="J113" s="61">
        <f>3.8554 * CHOOSE(CONTROL!$C$22, $C$13, 100%, $E$13)</f>
        <v>3.8553999999999999</v>
      </c>
      <c r="K113" s="61">
        <f>3.8555 * CHOOSE(CONTROL!$C$22, $C$13, 100%, $E$13)</f>
        <v>3.8555000000000001</v>
      </c>
      <c r="L113" s="4"/>
      <c r="M113" s="4"/>
      <c r="N113" s="4"/>
    </row>
    <row r="114" spans="1:14" ht="15">
      <c r="A114" s="13">
        <v>45323</v>
      </c>
      <c r="B114" s="60">
        <f>3.3294 * CHOOSE(CONTROL!$C$22, $C$13, 100%, $E$13)</f>
        <v>3.3294000000000001</v>
      </c>
      <c r="C114" s="60">
        <f>3.3294 * CHOOSE(CONTROL!$C$22, $C$13, 100%, $E$13)</f>
        <v>3.3294000000000001</v>
      </c>
      <c r="D114" s="60">
        <f>3.3457 * CHOOSE(CONTROL!$C$22, $C$13, 100%, $E$13)</f>
        <v>3.3456999999999999</v>
      </c>
      <c r="E114" s="61">
        <f>3.8103 * CHOOSE(CONTROL!$C$22, $C$13, 100%, $E$13)</f>
        <v>3.8102999999999998</v>
      </c>
      <c r="F114" s="61">
        <f>3.8103 * CHOOSE(CONTROL!$C$22, $C$13, 100%, $E$13)</f>
        <v>3.8102999999999998</v>
      </c>
      <c r="G114" s="61">
        <f>3.8105 * CHOOSE(CONTROL!$C$22, $C$13, 100%, $E$13)</f>
        <v>3.8105000000000002</v>
      </c>
      <c r="H114" s="61">
        <f>7.013* CHOOSE(CONTROL!$C$22, $C$13, 100%, $E$13)</f>
        <v>7.0129999999999999</v>
      </c>
      <c r="I114" s="61">
        <f>7.0132 * CHOOSE(CONTROL!$C$22, $C$13, 100%, $E$13)</f>
        <v>7.0132000000000003</v>
      </c>
      <c r="J114" s="61">
        <f>3.8103 * CHOOSE(CONTROL!$C$22, $C$13, 100%, $E$13)</f>
        <v>3.8102999999999998</v>
      </c>
      <c r="K114" s="61">
        <f>3.8105 * CHOOSE(CONTROL!$C$22, $C$13, 100%, $E$13)</f>
        <v>3.8105000000000002</v>
      </c>
      <c r="L114" s="4"/>
      <c r="M114" s="4"/>
      <c r="N114" s="4"/>
    </row>
    <row r="115" spans="1:14" ht="15">
      <c r="A115" s="13">
        <v>45352</v>
      </c>
      <c r="B115" s="60">
        <f>3.3263 * CHOOSE(CONTROL!$C$22, $C$13, 100%, $E$13)</f>
        <v>3.3262999999999998</v>
      </c>
      <c r="C115" s="60">
        <f>3.3263 * CHOOSE(CONTROL!$C$22, $C$13, 100%, $E$13)</f>
        <v>3.3262999999999998</v>
      </c>
      <c r="D115" s="60">
        <f>3.3427 * CHOOSE(CONTROL!$C$22, $C$13, 100%, $E$13)</f>
        <v>3.3426999999999998</v>
      </c>
      <c r="E115" s="61">
        <f>3.842 * CHOOSE(CONTROL!$C$22, $C$13, 100%, $E$13)</f>
        <v>3.8420000000000001</v>
      </c>
      <c r="F115" s="61">
        <f>3.842 * CHOOSE(CONTROL!$C$22, $C$13, 100%, $E$13)</f>
        <v>3.8420000000000001</v>
      </c>
      <c r="G115" s="61">
        <f>3.8422 * CHOOSE(CONTROL!$C$22, $C$13, 100%, $E$13)</f>
        <v>3.8422000000000001</v>
      </c>
      <c r="H115" s="61">
        <f>7.0276* CHOOSE(CONTROL!$C$22, $C$13, 100%, $E$13)</f>
        <v>7.0275999999999996</v>
      </c>
      <c r="I115" s="61">
        <f>7.0278 * CHOOSE(CONTROL!$C$22, $C$13, 100%, $E$13)</f>
        <v>7.0278</v>
      </c>
      <c r="J115" s="61">
        <f>3.842 * CHOOSE(CONTROL!$C$22, $C$13, 100%, $E$13)</f>
        <v>3.8420000000000001</v>
      </c>
      <c r="K115" s="61">
        <f>3.8422 * CHOOSE(CONTROL!$C$22, $C$13, 100%, $E$13)</f>
        <v>3.8422000000000001</v>
      </c>
      <c r="L115" s="4"/>
      <c r="M115" s="4"/>
      <c r="N115" s="4"/>
    </row>
    <row r="116" spans="1:14" ht="15">
      <c r="A116" s="13">
        <v>45383</v>
      </c>
      <c r="B116" s="60">
        <f>3.3234 * CHOOSE(CONTROL!$C$22, $C$13, 100%, $E$13)</f>
        <v>3.3233999999999999</v>
      </c>
      <c r="C116" s="60">
        <f>3.3234 * CHOOSE(CONTROL!$C$22, $C$13, 100%, $E$13)</f>
        <v>3.3233999999999999</v>
      </c>
      <c r="D116" s="60">
        <f>3.3397 * CHOOSE(CONTROL!$C$22, $C$13, 100%, $E$13)</f>
        <v>3.3397000000000001</v>
      </c>
      <c r="E116" s="61">
        <f>3.8741 * CHOOSE(CONTROL!$C$22, $C$13, 100%, $E$13)</f>
        <v>3.8740999999999999</v>
      </c>
      <c r="F116" s="61">
        <f>3.8741 * CHOOSE(CONTROL!$C$22, $C$13, 100%, $E$13)</f>
        <v>3.8740999999999999</v>
      </c>
      <c r="G116" s="61">
        <f>3.8743 * CHOOSE(CONTROL!$C$22, $C$13, 100%, $E$13)</f>
        <v>3.8742999999999999</v>
      </c>
      <c r="H116" s="61">
        <f>7.0423* CHOOSE(CONTROL!$C$22, $C$13, 100%, $E$13)</f>
        <v>7.0423</v>
      </c>
      <c r="I116" s="61">
        <f>7.0425 * CHOOSE(CONTROL!$C$22, $C$13, 100%, $E$13)</f>
        <v>7.0425000000000004</v>
      </c>
      <c r="J116" s="61">
        <f>3.8741 * CHOOSE(CONTROL!$C$22, $C$13, 100%, $E$13)</f>
        <v>3.8740999999999999</v>
      </c>
      <c r="K116" s="61">
        <f>3.8743 * CHOOSE(CONTROL!$C$22, $C$13, 100%, $E$13)</f>
        <v>3.8742999999999999</v>
      </c>
      <c r="L116" s="4"/>
      <c r="M116" s="4"/>
      <c r="N116" s="4"/>
    </row>
    <row r="117" spans="1:14" ht="15">
      <c r="A117" s="13">
        <v>45413</v>
      </c>
      <c r="B117" s="60">
        <f>3.3234 * CHOOSE(CONTROL!$C$22, $C$13, 100%, $E$13)</f>
        <v>3.3233999999999999</v>
      </c>
      <c r="C117" s="60">
        <f>3.3234 * CHOOSE(CONTROL!$C$22, $C$13, 100%, $E$13)</f>
        <v>3.3233999999999999</v>
      </c>
      <c r="D117" s="60">
        <f>3.356 * CHOOSE(CONTROL!$C$22, $C$13, 100%, $E$13)</f>
        <v>3.3559999999999999</v>
      </c>
      <c r="E117" s="61">
        <f>3.8877 * CHOOSE(CONTROL!$C$22, $C$13, 100%, $E$13)</f>
        <v>3.8877000000000002</v>
      </c>
      <c r="F117" s="61">
        <f>3.8877 * CHOOSE(CONTROL!$C$22, $C$13, 100%, $E$13)</f>
        <v>3.8877000000000002</v>
      </c>
      <c r="G117" s="61">
        <f>3.8898 * CHOOSE(CONTROL!$C$22, $C$13, 100%, $E$13)</f>
        <v>3.8898000000000001</v>
      </c>
      <c r="H117" s="61">
        <f>7.057* CHOOSE(CONTROL!$C$22, $C$13, 100%, $E$13)</f>
        <v>7.0570000000000004</v>
      </c>
      <c r="I117" s="61">
        <f>7.059 * CHOOSE(CONTROL!$C$22, $C$13, 100%, $E$13)</f>
        <v>7.0590000000000002</v>
      </c>
      <c r="J117" s="61">
        <f>3.8877 * CHOOSE(CONTROL!$C$22, $C$13, 100%, $E$13)</f>
        <v>3.8877000000000002</v>
      </c>
      <c r="K117" s="61">
        <f>3.8898 * CHOOSE(CONTROL!$C$22, $C$13, 100%, $E$13)</f>
        <v>3.8898000000000001</v>
      </c>
      <c r="L117" s="4"/>
      <c r="M117" s="4"/>
      <c r="N117" s="4"/>
    </row>
    <row r="118" spans="1:14" ht="15">
      <c r="A118" s="13">
        <v>45444</v>
      </c>
      <c r="B118" s="60">
        <f>3.3294 * CHOOSE(CONTROL!$C$22, $C$13, 100%, $E$13)</f>
        <v>3.3294000000000001</v>
      </c>
      <c r="C118" s="60">
        <f>3.3294 * CHOOSE(CONTROL!$C$22, $C$13, 100%, $E$13)</f>
        <v>3.3294000000000001</v>
      </c>
      <c r="D118" s="60">
        <f>3.3621 * CHOOSE(CONTROL!$C$22, $C$13, 100%, $E$13)</f>
        <v>3.3620999999999999</v>
      </c>
      <c r="E118" s="61">
        <f>3.8784 * CHOOSE(CONTROL!$C$22, $C$13, 100%, $E$13)</f>
        <v>3.8784000000000001</v>
      </c>
      <c r="F118" s="61">
        <f>3.8784 * CHOOSE(CONTROL!$C$22, $C$13, 100%, $E$13)</f>
        <v>3.8784000000000001</v>
      </c>
      <c r="G118" s="61">
        <f>3.8804 * CHOOSE(CONTROL!$C$22, $C$13, 100%, $E$13)</f>
        <v>3.8803999999999998</v>
      </c>
      <c r="H118" s="61">
        <f>7.0717* CHOOSE(CONTROL!$C$22, $C$13, 100%, $E$13)</f>
        <v>7.0716999999999999</v>
      </c>
      <c r="I118" s="61">
        <f>7.0737 * CHOOSE(CONTROL!$C$22, $C$13, 100%, $E$13)</f>
        <v>7.0736999999999997</v>
      </c>
      <c r="J118" s="61">
        <f>3.8784 * CHOOSE(CONTROL!$C$22, $C$13, 100%, $E$13)</f>
        <v>3.8784000000000001</v>
      </c>
      <c r="K118" s="61">
        <f>3.8804 * CHOOSE(CONTROL!$C$22, $C$13, 100%, $E$13)</f>
        <v>3.8803999999999998</v>
      </c>
      <c r="L118" s="4"/>
      <c r="M118" s="4"/>
      <c r="N118" s="4"/>
    </row>
    <row r="119" spans="1:14" ht="15">
      <c r="A119" s="13">
        <v>45474</v>
      </c>
      <c r="B119" s="60">
        <f>3.3849 * CHOOSE(CONTROL!$C$22, $C$13, 100%, $E$13)</f>
        <v>3.3849</v>
      </c>
      <c r="C119" s="60">
        <f>3.3849 * CHOOSE(CONTROL!$C$22, $C$13, 100%, $E$13)</f>
        <v>3.3849</v>
      </c>
      <c r="D119" s="60">
        <f>3.4175 * CHOOSE(CONTROL!$C$22, $C$13, 100%, $E$13)</f>
        <v>3.4175</v>
      </c>
      <c r="E119" s="61">
        <f>3.9401 * CHOOSE(CONTROL!$C$22, $C$13, 100%, $E$13)</f>
        <v>3.9401000000000002</v>
      </c>
      <c r="F119" s="61">
        <f>3.9401 * CHOOSE(CONTROL!$C$22, $C$13, 100%, $E$13)</f>
        <v>3.9401000000000002</v>
      </c>
      <c r="G119" s="61">
        <f>3.9421 * CHOOSE(CONTROL!$C$22, $C$13, 100%, $E$13)</f>
        <v>3.9420999999999999</v>
      </c>
      <c r="H119" s="61">
        <f>7.0864* CHOOSE(CONTROL!$C$22, $C$13, 100%, $E$13)</f>
        <v>7.0864000000000003</v>
      </c>
      <c r="I119" s="61">
        <f>7.0884 * CHOOSE(CONTROL!$C$22, $C$13, 100%, $E$13)</f>
        <v>7.0884</v>
      </c>
      <c r="J119" s="61">
        <f>3.9401 * CHOOSE(CONTROL!$C$22, $C$13, 100%, $E$13)</f>
        <v>3.9401000000000002</v>
      </c>
      <c r="K119" s="61">
        <f>3.9421 * CHOOSE(CONTROL!$C$22, $C$13, 100%, $E$13)</f>
        <v>3.9420999999999999</v>
      </c>
      <c r="L119" s="4"/>
      <c r="M119" s="4"/>
      <c r="N119" s="4"/>
    </row>
    <row r="120" spans="1:14" ht="15">
      <c r="A120" s="13">
        <v>45505</v>
      </c>
      <c r="B120" s="60">
        <f>3.3915 * CHOOSE(CONTROL!$C$22, $C$13, 100%, $E$13)</f>
        <v>3.3915000000000002</v>
      </c>
      <c r="C120" s="60">
        <f>3.3915 * CHOOSE(CONTROL!$C$22, $C$13, 100%, $E$13)</f>
        <v>3.3915000000000002</v>
      </c>
      <c r="D120" s="60">
        <f>3.4242 * CHOOSE(CONTROL!$C$22, $C$13, 100%, $E$13)</f>
        <v>3.4241999999999999</v>
      </c>
      <c r="E120" s="61">
        <f>3.9039 * CHOOSE(CONTROL!$C$22, $C$13, 100%, $E$13)</f>
        <v>3.9039000000000001</v>
      </c>
      <c r="F120" s="61">
        <f>3.9039 * CHOOSE(CONTROL!$C$22, $C$13, 100%, $E$13)</f>
        <v>3.9039000000000001</v>
      </c>
      <c r="G120" s="61">
        <f>3.9059 * CHOOSE(CONTROL!$C$22, $C$13, 100%, $E$13)</f>
        <v>3.9058999999999999</v>
      </c>
      <c r="H120" s="61">
        <f>7.1012* CHOOSE(CONTROL!$C$22, $C$13, 100%, $E$13)</f>
        <v>7.1012000000000004</v>
      </c>
      <c r="I120" s="61">
        <f>7.1032 * CHOOSE(CONTROL!$C$22, $C$13, 100%, $E$13)</f>
        <v>7.1032000000000002</v>
      </c>
      <c r="J120" s="61">
        <f>3.9039 * CHOOSE(CONTROL!$C$22, $C$13, 100%, $E$13)</f>
        <v>3.9039000000000001</v>
      </c>
      <c r="K120" s="61">
        <f>3.9059 * CHOOSE(CONTROL!$C$22, $C$13, 100%, $E$13)</f>
        <v>3.9058999999999999</v>
      </c>
      <c r="L120" s="4"/>
      <c r="M120" s="4"/>
      <c r="N120" s="4"/>
    </row>
    <row r="121" spans="1:14" ht="15">
      <c r="A121" s="13">
        <v>45536</v>
      </c>
      <c r="B121" s="60">
        <f>3.3885 * CHOOSE(CONTROL!$C$22, $C$13, 100%, $E$13)</f>
        <v>3.3885000000000001</v>
      </c>
      <c r="C121" s="60">
        <f>3.3885 * CHOOSE(CONTROL!$C$22, $C$13, 100%, $E$13)</f>
        <v>3.3885000000000001</v>
      </c>
      <c r="D121" s="60">
        <f>3.4212 * CHOOSE(CONTROL!$C$22, $C$13, 100%, $E$13)</f>
        <v>3.4211999999999998</v>
      </c>
      <c r="E121" s="61">
        <f>3.8972 * CHOOSE(CONTROL!$C$22, $C$13, 100%, $E$13)</f>
        <v>3.8972000000000002</v>
      </c>
      <c r="F121" s="61">
        <f>3.8972 * CHOOSE(CONTROL!$C$22, $C$13, 100%, $E$13)</f>
        <v>3.8972000000000002</v>
      </c>
      <c r="G121" s="61">
        <f>3.8992 * CHOOSE(CONTROL!$C$22, $C$13, 100%, $E$13)</f>
        <v>3.8992</v>
      </c>
      <c r="H121" s="61">
        <f>7.1159* CHOOSE(CONTROL!$C$22, $C$13, 100%, $E$13)</f>
        <v>7.1158999999999999</v>
      </c>
      <c r="I121" s="61">
        <f>7.118 * CHOOSE(CONTROL!$C$22, $C$13, 100%, $E$13)</f>
        <v>7.1180000000000003</v>
      </c>
      <c r="J121" s="61">
        <f>3.8972 * CHOOSE(CONTROL!$C$22, $C$13, 100%, $E$13)</f>
        <v>3.8972000000000002</v>
      </c>
      <c r="K121" s="61">
        <f>3.8992 * CHOOSE(CONTROL!$C$22, $C$13, 100%, $E$13)</f>
        <v>3.8992</v>
      </c>
      <c r="L121" s="4"/>
      <c r="M121" s="4"/>
      <c r="N121" s="4"/>
    </row>
    <row r="122" spans="1:14" ht="15">
      <c r="A122" s="13">
        <v>45566</v>
      </c>
      <c r="B122" s="60">
        <f>3.3815 * CHOOSE(CONTROL!$C$22, $C$13, 100%, $E$13)</f>
        <v>3.3815</v>
      </c>
      <c r="C122" s="60">
        <f>3.3815 * CHOOSE(CONTROL!$C$22, $C$13, 100%, $E$13)</f>
        <v>3.3815</v>
      </c>
      <c r="D122" s="60">
        <f>3.3978 * CHOOSE(CONTROL!$C$22, $C$13, 100%, $E$13)</f>
        <v>3.3978000000000002</v>
      </c>
      <c r="E122" s="61">
        <f>3.9019 * CHOOSE(CONTROL!$C$22, $C$13, 100%, $E$13)</f>
        <v>3.9018999999999999</v>
      </c>
      <c r="F122" s="61">
        <f>3.9019 * CHOOSE(CONTROL!$C$22, $C$13, 100%, $E$13)</f>
        <v>3.9018999999999999</v>
      </c>
      <c r="G122" s="61">
        <f>3.9021 * CHOOSE(CONTROL!$C$22, $C$13, 100%, $E$13)</f>
        <v>3.9020999999999999</v>
      </c>
      <c r="H122" s="61">
        <f>7.1308* CHOOSE(CONTROL!$C$22, $C$13, 100%, $E$13)</f>
        <v>7.1307999999999998</v>
      </c>
      <c r="I122" s="61">
        <f>7.1309 * CHOOSE(CONTROL!$C$22, $C$13, 100%, $E$13)</f>
        <v>7.1308999999999996</v>
      </c>
      <c r="J122" s="61">
        <f>3.9019 * CHOOSE(CONTROL!$C$22, $C$13, 100%, $E$13)</f>
        <v>3.9018999999999999</v>
      </c>
      <c r="K122" s="61">
        <f>3.9021 * CHOOSE(CONTROL!$C$22, $C$13, 100%, $E$13)</f>
        <v>3.9020999999999999</v>
      </c>
      <c r="L122" s="4"/>
      <c r="M122" s="4"/>
      <c r="N122" s="4"/>
    </row>
    <row r="123" spans="1:14" ht="15">
      <c r="A123" s="13">
        <v>45597</v>
      </c>
      <c r="B123" s="60">
        <f>3.3845 * CHOOSE(CONTROL!$C$22, $C$13, 100%, $E$13)</f>
        <v>3.3845000000000001</v>
      </c>
      <c r="C123" s="60">
        <f>3.3845 * CHOOSE(CONTROL!$C$22, $C$13, 100%, $E$13)</f>
        <v>3.3845000000000001</v>
      </c>
      <c r="D123" s="60">
        <f>3.4009 * CHOOSE(CONTROL!$C$22, $C$13, 100%, $E$13)</f>
        <v>3.4009</v>
      </c>
      <c r="E123" s="61">
        <f>3.9131 * CHOOSE(CONTROL!$C$22, $C$13, 100%, $E$13)</f>
        <v>3.9131</v>
      </c>
      <c r="F123" s="61">
        <f>3.9131 * CHOOSE(CONTROL!$C$22, $C$13, 100%, $E$13)</f>
        <v>3.9131</v>
      </c>
      <c r="G123" s="61">
        <f>3.9133 * CHOOSE(CONTROL!$C$22, $C$13, 100%, $E$13)</f>
        <v>3.9133</v>
      </c>
      <c r="H123" s="61">
        <f>7.1456* CHOOSE(CONTROL!$C$22, $C$13, 100%, $E$13)</f>
        <v>7.1456</v>
      </c>
      <c r="I123" s="61">
        <f>7.1458 * CHOOSE(CONTROL!$C$22, $C$13, 100%, $E$13)</f>
        <v>7.1458000000000004</v>
      </c>
      <c r="J123" s="61">
        <f>3.9131 * CHOOSE(CONTROL!$C$22, $C$13, 100%, $E$13)</f>
        <v>3.9131</v>
      </c>
      <c r="K123" s="61">
        <f>3.9133 * CHOOSE(CONTROL!$C$22, $C$13, 100%, $E$13)</f>
        <v>3.9133</v>
      </c>
      <c r="L123" s="4"/>
      <c r="M123" s="4"/>
      <c r="N123" s="4"/>
    </row>
    <row r="124" spans="1:14" ht="15">
      <c r="A124" s="13">
        <v>45627</v>
      </c>
      <c r="B124" s="60">
        <f>3.3845 * CHOOSE(CONTROL!$C$22, $C$13, 100%, $E$13)</f>
        <v>3.3845000000000001</v>
      </c>
      <c r="C124" s="60">
        <f>3.3845 * CHOOSE(CONTROL!$C$22, $C$13, 100%, $E$13)</f>
        <v>3.3845000000000001</v>
      </c>
      <c r="D124" s="60">
        <f>3.4009 * CHOOSE(CONTROL!$C$22, $C$13, 100%, $E$13)</f>
        <v>3.4009</v>
      </c>
      <c r="E124" s="61">
        <f>3.8904 * CHOOSE(CONTROL!$C$22, $C$13, 100%, $E$13)</f>
        <v>3.8904000000000001</v>
      </c>
      <c r="F124" s="61">
        <f>3.8904 * CHOOSE(CONTROL!$C$22, $C$13, 100%, $E$13)</f>
        <v>3.8904000000000001</v>
      </c>
      <c r="G124" s="61">
        <f>3.8906 * CHOOSE(CONTROL!$C$22, $C$13, 100%, $E$13)</f>
        <v>3.8906000000000001</v>
      </c>
      <c r="H124" s="61">
        <f>7.1605* CHOOSE(CONTROL!$C$22, $C$13, 100%, $E$13)</f>
        <v>7.1604999999999999</v>
      </c>
      <c r="I124" s="61">
        <f>7.1607 * CHOOSE(CONTROL!$C$22, $C$13, 100%, $E$13)</f>
        <v>7.1607000000000003</v>
      </c>
      <c r="J124" s="61">
        <f>3.8904 * CHOOSE(CONTROL!$C$22, $C$13, 100%, $E$13)</f>
        <v>3.8904000000000001</v>
      </c>
      <c r="K124" s="61">
        <f>3.8906 * CHOOSE(CONTROL!$C$22, $C$13, 100%, $E$13)</f>
        <v>3.8906000000000001</v>
      </c>
      <c r="L124" s="4"/>
      <c r="M124" s="4"/>
      <c r="N124" s="4"/>
    </row>
    <row r="125" spans="1:14" ht="15">
      <c r="A125" s="13">
        <v>45658</v>
      </c>
      <c r="B125" s="60">
        <f>3.4166 * CHOOSE(CONTROL!$C$22, $C$13, 100%, $E$13)</f>
        <v>3.4165999999999999</v>
      </c>
      <c r="C125" s="60">
        <f>3.4166 * CHOOSE(CONTROL!$C$22, $C$13, 100%, $E$13)</f>
        <v>3.4165999999999999</v>
      </c>
      <c r="D125" s="60">
        <f>3.4329 * CHOOSE(CONTROL!$C$22, $C$13, 100%, $E$13)</f>
        <v>3.4329000000000001</v>
      </c>
      <c r="E125" s="61">
        <f>3.9232 * CHOOSE(CONTROL!$C$22, $C$13, 100%, $E$13)</f>
        <v>3.9232</v>
      </c>
      <c r="F125" s="61">
        <f>3.9232 * CHOOSE(CONTROL!$C$22, $C$13, 100%, $E$13)</f>
        <v>3.9232</v>
      </c>
      <c r="G125" s="61">
        <f>3.9234 * CHOOSE(CONTROL!$C$22, $C$13, 100%, $E$13)</f>
        <v>3.9234</v>
      </c>
      <c r="H125" s="61">
        <f>7.1754* CHOOSE(CONTROL!$C$22, $C$13, 100%, $E$13)</f>
        <v>7.1753999999999998</v>
      </c>
      <c r="I125" s="61">
        <f>7.1756 * CHOOSE(CONTROL!$C$22, $C$13, 100%, $E$13)</f>
        <v>7.1756000000000002</v>
      </c>
      <c r="J125" s="61">
        <f>3.9232 * CHOOSE(CONTROL!$C$22, $C$13, 100%, $E$13)</f>
        <v>3.9232</v>
      </c>
      <c r="K125" s="61">
        <f>3.9234 * CHOOSE(CONTROL!$C$22, $C$13, 100%, $E$13)</f>
        <v>3.9234</v>
      </c>
      <c r="L125" s="4"/>
      <c r="M125" s="4"/>
      <c r="N125" s="4"/>
    </row>
    <row r="126" spans="1:14" ht="15">
      <c r="A126" s="13">
        <v>45689</v>
      </c>
      <c r="B126" s="60">
        <f>3.4136 * CHOOSE(CONTROL!$C$22, $C$13, 100%, $E$13)</f>
        <v>3.4136000000000002</v>
      </c>
      <c r="C126" s="60">
        <f>3.4136 * CHOOSE(CONTROL!$C$22, $C$13, 100%, $E$13)</f>
        <v>3.4136000000000002</v>
      </c>
      <c r="D126" s="60">
        <f>3.4299 * CHOOSE(CONTROL!$C$22, $C$13, 100%, $E$13)</f>
        <v>3.4298999999999999</v>
      </c>
      <c r="E126" s="61">
        <f>3.8779 * CHOOSE(CONTROL!$C$22, $C$13, 100%, $E$13)</f>
        <v>3.8778999999999999</v>
      </c>
      <c r="F126" s="61">
        <f>3.8779 * CHOOSE(CONTROL!$C$22, $C$13, 100%, $E$13)</f>
        <v>3.8778999999999999</v>
      </c>
      <c r="G126" s="61">
        <f>3.8781 * CHOOSE(CONTROL!$C$22, $C$13, 100%, $E$13)</f>
        <v>3.8780999999999999</v>
      </c>
      <c r="H126" s="61">
        <f>7.1904* CHOOSE(CONTROL!$C$22, $C$13, 100%, $E$13)</f>
        <v>7.1904000000000003</v>
      </c>
      <c r="I126" s="61">
        <f>7.1906 * CHOOSE(CONTROL!$C$22, $C$13, 100%, $E$13)</f>
        <v>7.1905999999999999</v>
      </c>
      <c r="J126" s="61">
        <f>3.8779 * CHOOSE(CONTROL!$C$22, $C$13, 100%, $E$13)</f>
        <v>3.8778999999999999</v>
      </c>
      <c r="K126" s="61">
        <f>3.8781 * CHOOSE(CONTROL!$C$22, $C$13, 100%, $E$13)</f>
        <v>3.8780999999999999</v>
      </c>
      <c r="L126" s="4"/>
      <c r="M126" s="4"/>
      <c r="N126" s="4"/>
    </row>
    <row r="127" spans="1:14" ht="15">
      <c r="A127" s="13">
        <v>45717</v>
      </c>
      <c r="B127" s="60">
        <f>3.4105 * CHOOSE(CONTROL!$C$22, $C$13, 100%, $E$13)</f>
        <v>3.4104999999999999</v>
      </c>
      <c r="C127" s="60">
        <f>3.4105 * CHOOSE(CONTROL!$C$22, $C$13, 100%, $E$13)</f>
        <v>3.4104999999999999</v>
      </c>
      <c r="D127" s="60">
        <f>3.4269 * CHOOSE(CONTROL!$C$22, $C$13, 100%, $E$13)</f>
        <v>3.4268999999999998</v>
      </c>
      <c r="E127" s="61">
        <f>3.9098 * CHOOSE(CONTROL!$C$22, $C$13, 100%, $E$13)</f>
        <v>3.9098000000000002</v>
      </c>
      <c r="F127" s="61">
        <f>3.9098 * CHOOSE(CONTROL!$C$22, $C$13, 100%, $E$13)</f>
        <v>3.9098000000000002</v>
      </c>
      <c r="G127" s="61">
        <f>3.91 * CHOOSE(CONTROL!$C$22, $C$13, 100%, $E$13)</f>
        <v>3.91</v>
      </c>
      <c r="H127" s="61">
        <f>7.2054* CHOOSE(CONTROL!$C$22, $C$13, 100%, $E$13)</f>
        <v>7.2054</v>
      </c>
      <c r="I127" s="61">
        <f>7.2055 * CHOOSE(CONTROL!$C$22, $C$13, 100%, $E$13)</f>
        <v>7.2054999999999998</v>
      </c>
      <c r="J127" s="61">
        <f>3.9098 * CHOOSE(CONTROL!$C$22, $C$13, 100%, $E$13)</f>
        <v>3.9098000000000002</v>
      </c>
      <c r="K127" s="61">
        <f>3.91 * CHOOSE(CONTROL!$C$22, $C$13, 100%, $E$13)</f>
        <v>3.91</v>
      </c>
      <c r="L127" s="4"/>
      <c r="M127" s="4"/>
      <c r="N127" s="4"/>
    </row>
    <row r="128" spans="1:14" ht="15">
      <c r="A128" s="13">
        <v>45748</v>
      </c>
      <c r="B128" s="60">
        <f>3.4077 * CHOOSE(CONTROL!$C$22, $C$13, 100%, $E$13)</f>
        <v>3.4077000000000002</v>
      </c>
      <c r="C128" s="60">
        <f>3.4077 * CHOOSE(CONTROL!$C$22, $C$13, 100%, $E$13)</f>
        <v>3.4077000000000002</v>
      </c>
      <c r="D128" s="60">
        <f>3.424 * CHOOSE(CONTROL!$C$22, $C$13, 100%, $E$13)</f>
        <v>3.4239999999999999</v>
      </c>
      <c r="E128" s="61">
        <f>3.9422 * CHOOSE(CONTROL!$C$22, $C$13, 100%, $E$13)</f>
        <v>3.9422000000000001</v>
      </c>
      <c r="F128" s="61">
        <f>3.9422 * CHOOSE(CONTROL!$C$22, $C$13, 100%, $E$13)</f>
        <v>3.9422000000000001</v>
      </c>
      <c r="G128" s="61">
        <f>3.9424 * CHOOSE(CONTROL!$C$22, $C$13, 100%, $E$13)</f>
        <v>3.9424000000000001</v>
      </c>
      <c r="H128" s="61">
        <f>7.2204* CHOOSE(CONTROL!$C$22, $C$13, 100%, $E$13)</f>
        <v>7.2203999999999997</v>
      </c>
      <c r="I128" s="61">
        <f>7.2205 * CHOOSE(CONTROL!$C$22, $C$13, 100%, $E$13)</f>
        <v>7.2205000000000004</v>
      </c>
      <c r="J128" s="61">
        <f>3.9422 * CHOOSE(CONTROL!$C$22, $C$13, 100%, $E$13)</f>
        <v>3.9422000000000001</v>
      </c>
      <c r="K128" s="61">
        <f>3.9424 * CHOOSE(CONTROL!$C$22, $C$13, 100%, $E$13)</f>
        <v>3.9424000000000001</v>
      </c>
      <c r="L128" s="4"/>
      <c r="M128" s="4"/>
      <c r="N128" s="4"/>
    </row>
    <row r="129" spans="1:14" ht="15">
      <c r="A129" s="13">
        <v>45778</v>
      </c>
      <c r="B129" s="60">
        <f>3.4077 * CHOOSE(CONTROL!$C$22, $C$13, 100%, $E$13)</f>
        <v>3.4077000000000002</v>
      </c>
      <c r="C129" s="60">
        <f>3.4077 * CHOOSE(CONTROL!$C$22, $C$13, 100%, $E$13)</f>
        <v>3.4077000000000002</v>
      </c>
      <c r="D129" s="60">
        <f>3.4403 * CHOOSE(CONTROL!$C$22, $C$13, 100%, $E$13)</f>
        <v>3.4403000000000001</v>
      </c>
      <c r="E129" s="61">
        <f>3.9559 * CHOOSE(CONTROL!$C$22, $C$13, 100%, $E$13)</f>
        <v>3.9559000000000002</v>
      </c>
      <c r="F129" s="61">
        <f>3.9559 * CHOOSE(CONTROL!$C$22, $C$13, 100%, $E$13)</f>
        <v>3.9559000000000002</v>
      </c>
      <c r="G129" s="61">
        <f>3.9579 * CHOOSE(CONTROL!$C$22, $C$13, 100%, $E$13)</f>
        <v>3.9579</v>
      </c>
      <c r="H129" s="61">
        <f>7.2354* CHOOSE(CONTROL!$C$22, $C$13, 100%, $E$13)</f>
        <v>7.2354000000000003</v>
      </c>
      <c r="I129" s="61">
        <f>7.2374 * CHOOSE(CONTROL!$C$22, $C$13, 100%, $E$13)</f>
        <v>7.2374000000000001</v>
      </c>
      <c r="J129" s="61">
        <f>3.9559 * CHOOSE(CONTROL!$C$22, $C$13, 100%, $E$13)</f>
        <v>3.9559000000000002</v>
      </c>
      <c r="K129" s="61">
        <f>3.9579 * CHOOSE(CONTROL!$C$22, $C$13, 100%, $E$13)</f>
        <v>3.9579</v>
      </c>
      <c r="L129" s="4"/>
      <c r="M129" s="4"/>
      <c r="N129" s="4"/>
    </row>
    <row r="130" spans="1:14" ht="15">
      <c r="A130" s="13">
        <v>45809</v>
      </c>
      <c r="B130" s="60">
        <f>3.4137 * CHOOSE(CONTROL!$C$22, $C$13, 100%, $E$13)</f>
        <v>3.4137</v>
      </c>
      <c r="C130" s="60">
        <f>3.4137 * CHOOSE(CONTROL!$C$22, $C$13, 100%, $E$13)</f>
        <v>3.4137</v>
      </c>
      <c r="D130" s="60">
        <f>3.4464 * CHOOSE(CONTROL!$C$22, $C$13, 100%, $E$13)</f>
        <v>3.4464000000000001</v>
      </c>
      <c r="E130" s="61">
        <f>3.9464 * CHOOSE(CONTROL!$C$22, $C$13, 100%, $E$13)</f>
        <v>3.9464000000000001</v>
      </c>
      <c r="F130" s="61">
        <f>3.9464 * CHOOSE(CONTROL!$C$22, $C$13, 100%, $E$13)</f>
        <v>3.9464000000000001</v>
      </c>
      <c r="G130" s="61">
        <f>3.9484 * CHOOSE(CONTROL!$C$22, $C$13, 100%, $E$13)</f>
        <v>3.9483999999999999</v>
      </c>
      <c r="H130" s="61">
        <f>7.2505* CHOOSE(CONTROL!$C$22, $C$13, 100%, $E$13)</f>
        <v>7.2504999999999997</v>
      </c>
      <c r="I130" s="61">
        <f>7.2525 * CHOOSE(CONTROL!$C$22, $C$13, 100%, $E$13)</f>
        <v>7.2525000000000004</v>
      </c>
      <c r="J130" s="61">
        <f>3.9464 * CHOOSE(CONTROL!$C$22, $C$13, 100%, $E$13)</f>
        <v>3.9464000000000001</v>
      </c>
      <c r="K130" s="61">
        <f>3.9484 * CHOOSE(CONTROL!$C$22, $C$13, 100%, $E$13)</f>
        <v>3.9483999999999999</v>
      </c>
      <c r="L130" s="4"/>
      <c r="M130" s="4"/>
      <c r="N130" s="4"/>
    </row>
    <row r="131" spans="1:14" ht="15">
      <c r="A131" s="13">
        <v>45839</v>
      </c>
      <c r="B131" s="60">
        <f>3.4735 * CHOOSE(CONTROL!$C$22, $C$13, 100%, $E$13)</f>
        <v>3.4735</v>
      </c>
      <c r="C131" s="60">
        <f>3.4735 * CHOOSE(CONTROL!$C$22, $C$13, 100%, $E$13)</f>
        <v>3.4735</v>
      </c>
      <c r="D131" s="60">
        <f>3.5062 * CHOOSE(CONTROL!$C$22, $C$13, 100%, $E$13)</f>
        <v>3.5062000000000002</v>
      </c>
      <c r="E131" s="61">
        <f>4.0021 * CHOOSE(CONTROL!$C$22, $C$13, 100%, $E$13)</f>
        <v>4.0021000000000004</v>
      </c>
      <c r="F131" s="61">
        <f>4.0021 * CHOOSE(CONTROL!$C$22, $C$13, 100%, $E$13)</f>
        <v>4.0021000000000004</v>
      </c>
      <c r="G131" s="61">
        <f>4.0042 * CHOOSE(CONTROL!$C$22, $C$13, 100%, $E$13)</f>
        <v>4.0042</v>
      </c>
      <c r="H131" s="61">
        <f>7.2656* CHOOSE(CONTROL!$C$22, $C$13, 100%, $E$13)</f>
        <v>7.2656000000000001</v>
      </c>
      <c r="I131" s="61">
        <f>7.2676 * CHOOSE(CONTROL!$C$22, $C$13, 100%, $E$13)</f>
        <v>7.2675999999999998</v>
      </c>
      <c r="J131" s="61">
        <f>4.0021 * CHOOSE(CONTROL!$C$22, $C$13, 100%, $E$13)</f>
        <v>4.0021000000000004</v>
      </c>
      <c r="K131" s="61">
        <f>4.0042 * CHOOSE(CONTROL!$C$22, $C$13, 100%, $E$13)</f>
        <v>4.0042</v>
      </c>
      <c r="L131" s="4"/>
      <c r="M131" s="4"/>
      <c r="N131" s="4"/>
    </row>
    <row r="132" spans="1:14" ht="15">
      <c r="A132" s="13">
        <v>45870</v>
      </c>
      <c r="B132" s="60">
        <f>3.4802 * CHOOSE(CONTROL!$C$22, $C$13, 100%, $E$13)</f>
        <v>3.4802</v>
      </c>
      <c r="C132" s="60">
        <f>3.4802 * CHOOSE(CONTROL!$C$22, $C$13, 100%, $E$13)</f>
        <v>3.4802</v>
      </c>
      <c r="D132" s="60">
        <f>3.5129 * CHOOSE(CONTROL!$C$22, $C$13, 100%, $E$13)</f>
        <v>3.5129000000000001</v>
      </c>
      <c r="E132" s="61">
        <f>3.9656 * CHOOSE(CONTROL!$C$22, $C$13, 100%, $E$13)</f>
        <v>3.9655999999999998</v>
      </c>
      <c r="F132" s="61">
        <f>3.9656 * CHOOSE(CONTROL!$C$22, $C$13, 100%, $E$13)</f>
        <v>3.9655999999999998</v>
      </c>
      <c r="G132" s="61">
        <f>3.9677 * CHOOSE(CONTROL!$C$22, $C$13, 100%, $E$13)</f>
        <v>3.9676999999999998</v>
      </c>
      <c r="H132" s="61">
        <f>7.2807* CHOOSE(CONTROL!$C$22, $C$13, 100%, $E$13)</f>
        <v>7.2807000000000004</v>
      </c>
      <c r="I132" s="61">
        <f>7.2828 * CHOOSE(CONTROL!$C$22, $C$13, 100%, $E$13)</f>
        <v>7.2827999999999999</v>
      </c>
      <c r="J132" s="61">
        <f>3.9656 * CHOOSE(CONTROL!$C$22, $C$13, 100%, $E$13)</f>
        <v>3.9655999999999998</v>
      </c>
      <c r="K132" s="61">
        <f>3.9677 * CHOOSE(CONTROL!$C$22, $C$13, 100%, $E$13)</f>
        <v>3.9676999999999998</v>
      </c>
      <c r="L132" s="4"/>
      <c r="M132" s="4"/>
      <c r="N132" s="4"/>
    </row>
    <row r="133" spans="1:14" ht="15">
      <c r="A133" s="13">
        <v>45901</v>
      </c>
      <c r="B133" s="60">
        <f>3.4772 * CHOOSE(CONTROL!$C$22, $C$13, 100%, $E$13)</f>
        <v>3.4771999999999998</v>
      </c>
      <c r="C133" s="60">
        <f>3.4772 * CHOOSE(CONTROL!$C$22, $C$13, 100%, $E$13)</f>
        <v>3.4771999999999998</v>
      </c>
      <c r="D133" s="60">
        <f>3.5098 * CHOOSE(CONTROL!$C$22, $C$13, 100%, $E$13)</f>
        <v>3.5097999999999998</v>
      </c>
      <c r="E133" s="61">
        <f>3.959 * CHOOSE(CONTROL!$C$22, $C$13, 100%, $E$13)</f>
        <v>3.9590000000000001</v>
      </c>
      <c r="F133" s="61">
        <f>3.959 * CHOOSE(CONTROL!$C$22, $C$13, 100%, $E$13)</f>
        <v>3.9590000000000001</v>
      </c>
      <c r="G133" s="61">
        <f>3.961 * CHOOSE(CONTROL!$C$22, $C$13, 100%, $E$13)</f>
        <v>3.9609999999999999</v>
      </c>
      <c r="H133" s="61">
        <f>7.2959* CHOOSE(CONTROL!$C$22, $C$13, 100%, $E$13)</f>
        <v>7.2958999999999996</v>
      </c>
      <c r="I133" s="61">
        <f>7.2979 * CHOOSE(CONTROL!$C$22, $C$13, 100%, $E$13)</f>
        <v>7.2979000000000003</v>
      </c>
      <c r="J133" s="61">
        <f>3.959 * CHOOSE(CONTROL!$C$22, $C$13, 100%, $E$13)</f>
        <v>3.9590000000000001</v>
      </c>
      <c r="K133" s="61">
        <f>3.961 * CHOOSE(CONTROL!$C$22, $C$13, 100%, $E$13)</f>
        <v>3.9609999999999999</v>
      </c>
      <c r="L133" s="4"/>
      <c r="M133" s="4"/>
      <c r="N133" s="4"/>
    </row>
    <row r="134" spans="1:14" ht="15">
      <c r="A134" s="13">
        <v>45931</v>
      </c>
      <c r="B134" s="60">
        <f>3.4705 * CHOOSE(CONTROL!$C$22, $C$13, 100%, $E$13)</f>
        <v>3.4704999999999999</v>
      </c>
      <c r="C134" s="60">
        <f>3.4705 * CHOOSE(CONTROL!$C$22, $C$13, 100%, $E$13)</f>
        <v>3.4704999999999999</v>
      </c>
      <c r="D134" s="60">
        <f>3.4868 * CHOOSE(CONTROL!$C$22, $C$13, 100%, $E$13)</f>
        <v>3.4868000000000001</v>
      </c>
      <c r="E134" s="61">
        <f>3.9638 * CHOOSE(CONTROL!$C$22, $C$13, 100%, $E$13)</f>
        <v>3.9638</v>
      </c>
      <c r="F134" s="61">
        <f>3.9638 * CHOOSE(CONTROL!$C$22, $C$13, 100%, $E$13)</f>
        <v>3.9638</v>
      </c>
      <c r="G134" s="61">
        <f>3.964 * CHOOSE(CONTROL!$C$22, $C$13, 100%, $E$13)</f>
        <v>3.964</v>
      </c>
      <c r="H134" s="61">
        <f>7.3111* CHOOSE(CONTROL!$C$22, $C$13, 100%, $E$13)</f>
        <v>7.3110999999999997</v>
      </c>
      <c r="I134" s="61">
        <f>7.3113 * CHOOSE(CONTROL!$C$22, $C$13, 100%, $E$13)</f>
        <v>7.3113000000000001</v>
      </c>
      <c r="J134" s="61">
        <f>3.9638 * CHOOSE(CONTROL!$C$22, $C$13, 100%, $E$13)</f>
        <v>3.9638</v>
      </c>
      <c r="K134" s="61">
        <f>3.964 * CHOOSE(CONTROL!$C$22, $C$13, 100%, $E$13)</f>
        <v>3.964</v>
      </c>
      <c r="L134" s="4"/>
      <c r="M134" s="4"/>
      <c r="N134" s="4"/>
    </row>
    <row r="135" spans="1:14" ht="15">
      <c r="A135" s="13">
        <v>45962</v>
      </c>
      <c r="B135" s="60">
        <f>3.4735 * CHOOSE(CONTROL!$C$22, $C$13, 100%, $E$13)</f>
        <v>3.4735</v>
      </c>
      <c r="C135" s="60">
        <f>3.4735 * CHOOSE(CONTROL!$C$22, $C$13, 100%, $E$13)</f>
        <v>3.4735</v>
      </c>
      <c r="D135" s="60">
        <f>3.4899 * CHOOSE(CONTROL!$C$22, $C$13, 100%, $E$13)</f>
        <v>3.4899</v>
      </c>
      <c r="E135" s="61">
        <f>3.9751 * CHOOSE(CONTROL!$C$22, $C$13, 100%, $E$13)</f>
        <v>3.9750999999999999</v>
      </c>
      <c r="F135" s="61">
        <f>3.9751 * CHOOSE(CONTROL!$C$22, $C$13, 100%, $E$13)</f>
        <v>3.9750999999999999</v>
      </c>
      <c r="G135" s="61">
        <f>3.9753 * CHOOSE(CONTROL!$C$22, $C$13, 100%, $E$13)</f>
        <v>3.9752999999999998</v>
      </c>
      <c r="H135" s="61">
        <f>7.3263* CHOOSE(CONTROL!$C$22, $C$13, 100%, $E$13)</f>
        <v>7.3262999999999998</v>
      </c>
      <c r="I135" s="61">
        <f>7.3265 * CHOOSE(CONTROL!$C$22, $C$13, 100%, $E$13)</f>
        <v>7.3265000000000002</v>
      </c>
      <c r="J135" s="61">
        <f>3.9751 * CHOOSE(CONTROL!$C$22, $C$13, 100%, $E$13)</f>
        <v>3.9750999999999999</v>
      </c>
      <c r="K135" s="61">
        <f>3.9753 * CHOOSE(CONTROL!$C$22, $C$13, 100%, $E$13)</f>
        <v>3.9752999999999998</v>
      </c>
    </row>
    <row r="136" spans="1:14" ht="15">
      <c r="A136" s="13">
        <v>45992</v>
      </c>
      <c r="B136" s="60">
        <f>3.4735 * CHOOSE(CONTROL!$C$22, $C$13, 100%, $E$13)</f>
        <v>3.4735</v>
      </c>
      <c r="C136" s="60">
        <f>3.4735 * CHOOSE(CONTROL!$C$22, $C$13, 100%, $E$13)</f>
        <v>3.4735</v>
      </c>
      <c r="D136" s="60">
        <f>3.4899 * CHOOSE(CONTROL!$C$22, $C$13, 100%, $E$13)</f>
        <v>3.4899</v>
      </c>
      <c r="E136" s="61">
        <f>3.9522 * CHOOSE(CONTROL!$C$22, $C$13, 100%, $E$13)</f>
        <v>3.9521999999999999</v>
      </c>
      <c r="F136" s="61">
        <f>3.9522 * CHOOSE(CONTROL!$C$22, $C$13, 100%, $E$13)</f>
        <v>3.9521999999999999</v>
      </c>
      <c r="G136" s="61">
        <f>3.9524 * CHOOSE(CONTROL!$C$22, $C$13, 100%, $E$13)</f>
        <v>3.9523999999999999</v>
      </c>
      <c r="H136" s="61">
        <f>7.3416* CHOOSE(CONTROL!$C$22, $C$13, 100%, $E$13)</f>
        <v>7.3415999999999997</v>
      </c>
      <c r="I136" s="61">
        <f>7.3418 * CHOOSE(CONTROL!$C$22, $C$13, 100%, $E$13)</f>
        <v>7.3418000000000001</v>
      </c>
      <c r="J136" s="61">
        <f>3.9522 * CHOOSE(CONTROL!$C$22, $C$13, 100%, $E$13)</f>
        <v>3.9521999999999999</v>
      </c>
      <c r="K136" s="61">
        <f>3.9524 * CHOOSE(CONTROL!$C$22, $C$13, 100%, $E$13)</f>
        <v>3.9523999999999999</v>
      </c>
    </row>
    <row r="137" spans="1:14" ht="15">
      <c r="A137" s="13">
        <v>46023</v>
      </c>
      <c r="B137" s="60">
        <f>3.4998 * CHOOSE(CONTROL!$C$22, $C$13, 100%, $E$13)</f>
        <v>3.4998</v>
      </c>
      <c r="C137" s="60">
        <f>3.4998 * CHOOSE(CONTROL!$C$22, $C$13, 100%, $E$13)</f>
        <v>3.4998</v>
      </c>
      <c r="D137" s="60">
        <f>3.5161 * CHOOSE(CONTROL!$C$22, $C$13, 100%, $E$13)</f>
        <v>3.5160999999999998</v>
      </c>
      <c r="E137" s="61">
        <f>3.9948 * CHOOSE(CONTROL!$C$22, $C$13, 100%, $E$13)</f>
        <v>3.9948000000000001</v>
      </c>
      <c r="F137" s="61">
        <f>3.9948 * CHOOSE(CONTROL!$C$22, $C$13, 100%, $E$13)</f>
        <v>3.9948000000000001</v>
      </c>
      <c r="G137" s="61">
        <f>3.995 * CHOOSE(CONTROL!$C$22, $C$13, 100%, $E$13)</f>
        <v>3.9950000000000001</v>
      </c>
      <c r="H137" s="61">
        <f>7.3569* CHOOSE(CONTROL!$C$22, $C$13, 100%, $E$13)</f>
        <v>7.3569000000000004</v>
      </c>
      <c r="I137" s="61">
        <f>7.3571 * CHOOSE(CONTROL!$C$22, $C$13, 100%, $E$13)</f>
        <v>7.3571</v>
      </c>
      <c r="J137" s="61">
        <f>3.9948 * CHOOSE(CONTROL!$C$22, $C$13, 100%, $E$13)</f>
        <v>3.9948000000000001</v>
      </c>
      <c r="K137" s="61">
        <f>3.995 * CHOOSE(CONTROL!$C$22, $C$13, 100%, $E$13)</f>
        <v>3.9950000000000001</v>
      </c>
    </row>
    <row r="138" spans="1:14" ht="15">
      <c r="A138" s="13">
        <v>46054</v>
      </c>
      <c r="B138" s="60">
        <f>3.4968 * CHOOSE(CONTROL!$C$22, $C$13, 100%, $E$13)</f>
        <v>3.4967999999999999</v>
      </c>
      <c r="C138" s="60">
        <f>3.4968 * CHOOSE(CONTROL!$C$22, $C$13, 100%, $E$13)</f>
        <v>3.4967999999999999</v>
      </c>
      <c r="D138" s="60">
        <f>3.5131 * CHOOSE(CONTROL!$C$22, $C$13, 100%, $E$13)</f>
        <v>3.5131000000000001</v>
      </c>
      <c r="E138" s="61">
        <f>3.9484 * CHOOSE(CONTROL!$C$22, $C$13, 100%, $E$13)</f>
        <v>3.9483999999999999</v>
      </c>
      <c r="F138" s="61">
        <f>3.9484 * CHOOSE(CONTROL!$C$22, $C$13, 100%, $E$13)</f>
        <v>3.9483999999999999</v>
      </c>
      <c r="G138" s="61">
        <f>3.9486 * CHOOSE(CONTROL!$C$22, $C$13, 100%, $E$13)</f>
        <v>3.9485999999999999</v>
      </c>
      <c r="H138" s="61">
        <f>7.3722* CHOOSE(CONTROL!$C$22, $C$13, 100%, $E$13)</f>
        <v>7.3722000000000003</v>
      </c>
      <c r="I138" s="61">
        <f>7.3724 * CHOOSE(CONTROL!$C$22, $C$13, 100%, $E$13)</f>
        <v>7.3723999999999998</v>
      </c>
      <c r="J138" s="61">
        <f>3.9484 * CHOOSE(CONTROL!$C$22, $C$13, 100%, $E$13)</f>
        <v>3.9483999999999999</v>
      </c>
      <c r="K138" s="61">
        <f>3.9486 * CHOOSE(CONTROL!$C$22, $C$13, 100%, $E$13)</f>
        <v>3.9485999999999999</v>
      </c>
    </row>
    <row r="139" spans="1:14" ht="15">
      <c r="A139" s="13">
        <v>46082</v>
      </c>
      <c r="B139" s="60">
        <f>3.4937 * CHOOSE(CONTROL!$C$22, $C$13, 100%, $E$13)</f>
        <v>3.4937</v>
      </c>
      <c r="C139" s="60">
        <f>3.4937 * CHOOSE(CONTROL!$C$22, $C$13, 100%, $E$13)</f>
        <v>3.4937</v>
      </c>
      <c r="D139" s="60">
        <f>3.5101 * CHOOSE(CONTROL!$C$22, $C$13, 100%, $E$13)</f>
        <v>3.5101</v>
      </c>
      <c r="E139" s="61">
        <f>3.9812 * CHOOSE(CONTROL!$C$22, $C$13, 100%, $E$13)</f>
        <v>3.9811999999999999</v>
      </c>
      <c r="F139" s="61">
        <f>3.9812 * CHOOSE(CONTROL!$C$22, $C$13, 100%, $E$13)</f>
        <v>3.9811999999999999</v>
      </c>
      <c r="G139" s="61">
        <f>3.9814 * CHOOSE(CONTROL!$C$22, $C$13, 100%, $E$13)</f>
        <v>3.9813999999999998</v>
      </c>
      <c r="H139" s="61">
        <f>7.3876* CHOOSE(CONTROL!$C$22, $C$13, 100%, $E$13)</f>
        <v>7.3875999999999999</v>
      </c>
      <c r="I139" s="61">
        <f>7.3877 * CHOOSE(CONTROL!$C$22, $C$13, 100%, $E$13)</f>
        <v>7.3876999999999997</v>
      </c>
      <c r="J139" s="61">
        <f>3.9812 * CHOOSE(CONTROL!$C$22, $C$13, 100%, $E$13)</f>
        <v>3.9811999999999999</v>
      </c>
      <c r="K139" s="61">
        <f>3.9814 * CHOOSE(CONTROL!$C$22, $C$13, 100%, $E$13)</f>
        <v>3.9813999999999998</v>
      </c>
    </row>
    <row r="140" spans="1:14" ht="15">
      <c r="A140" s="13">
        <v>46113</v>
      </c>
      <c r="B140" s="60">
        <f>3.491 * CHOOSE(CONTROL!$C$22, $C$13, 100%, $E$13)</f>
        <v>3.4910000000000001</v>
      </c>
      <c r="C140" s="60">
        <f>3.491 * CHOOSE(CONTROL!$C$22, $C$13, 100%, $E$13)</f>
        <v>3.4910000000000001</v>
      </c>
      <c r="D140" s="60">
        <f>3.5073 * CHOOSE(CONTROL!$C$22, $C$13, 100%, $E$13)</f>
        <v>3.5072999999999999</v>
      </c>
      <c r="E140" s="61">
        <f>4.0145 * CHOOSE(CONTROL!$C$22, $C$13, 100%, $E$13)</f>
        <v>4.0145</v>
      </c>
      <c r="F140" s="61">
        <f>4.0145 * CHOOSE(CONTROL!$C$22, $C$13, 100%, $E$13)</f>
        <v>4.0145</v>
      </c>
      <c r="G140" s="61">
        <f>4.0147 * CHOOSE(CONTROL!$C$22, $C$13, 100%, $E$13)</f>
        <v>4.0147000000000004</v>
      </c>
      <c r="H140" s="61">
        <f>7.403* CHOOSE(CONTROL!$C$22, $C$13, 100%, $E$13)</f>
        <v>7.4029999999999996</v>
      </c>
      <c r="I140" s="61">
        <f>7.4031 * CHOOSE(CONTROL!$C$22, $C$13, 100%, $E$13)</f>
        <v>7.4031000000000002</v>
      </c>
      <c r="J140" s="61">
        <f>4.0145 * CHOOSE(CONTROL!$C$22, $C$13, 100%, $E$13)</f>
        <v>4.0145</v>
      </c>
      <c r="K140" s="61">
        <f>4.0147 * CHOOSE(CONTROL!$C$22, $C$13, 100%, $E$13)</f>
        <v>4.0147000000000004</v>
      </c>
    </row>
    <row r="141" spans="1:14" ht="15">
      <c r="A141" s="13">
        <v>46143</v>
      </c>
      <c r="B141" s="60">
        <f>3.491 * CHOOSE(CONTROL!$C$22, $C$13, 100%, $E$13)</f>
        <v>3.4910000000000001</v>
      </c>
      <c r="C141" s="60">
        <f>3.491 * CHOOSE(CONTROL!$C$22, $C$13, 100%, $E$13)</f>
        <v>3.4910000000000001</v>
      </c>
      <c r="D141" s="60">
        <f>3.5236 * CHOOSE(CONTROL!$C$22, $C$13, 100%, $E$13)</f>
        <v>3.5236000000000001</v>
      </c>
      <c r="E141" s="61">
        <f>4.0285 * CHOOSE(CONTROL!$C$22, $C$13, 100%, $E$13)</f>
        <v>4.0285000000000002</v>
      </c>
      <c r="F141" s="61">
        <f>4.0285 * CHOOSE(CONTROL!$C$22, $C$13, 100%, $E$13)</f>
        <v>4.0285000000000002</v>
      </c>
      <c r="G141" s="61">
        <f>4.0306 * CHOOSE(CONTROL!$C$22, $C$13, 100%, $E$13)</f>
        <v>4.0305999999999997</v>
      </c>
      <c r="H141" s="61">
        <f>7.4184* CHOOSE(CONTROL!$C$22, $C$13, 100%, $E$13)</f>
        <v>7.4184000000000001</v>
      </c>
      <c r="I141" s="61">
        <f>7.4204 * CHOOSE(CONTROL!$C$22, $C$13, 100%, $E$13)</f>
        <v>7.4203999999999999</v>
      </c>
      <c r="J141" s="61">
        <f>4.0285 * CHOOSE(CONTROL!$C$22, $C$13, 100%, $E$13)</f>
        <v>4.0285000000000002</v>
      </c>
      <c r="K141" s="61">
        <f>4.0306 * CHOOSE(CONTROL!$C$22, $C$13, 100%, $E$13)</f>
        <v>4.0305999999999997</v>
      </c>
    </row>
    <row r="142" spans="1:14" ht="15">
      <c r="A142" s="13">
        <v>46174</v>
      </c>
      <c r="B142" s="60">
        <f>3.497 * CHOOSE(CONTROL!$C$22, $C$13, 100%, $E$13)</f>
        <v>3.4969999999999999</v>
      </c>
      <c r="C142" s="60">
        <f>3.497 * CHOOSE(CONTROL!$C$22, $C$13, 100%, $E$13)</f>
        <v>3.4969999999999999</v>
      </c>
      <c r="D142" s="60">
        <f>3.5297 * CHOOSE(CONTROL!$C$22, $C$13, 100%, $E$13)</f>
        <v>3.5297000000000001</v>
      </c>
      <c r="E142" s="61">
        <f>4.0187 * CHOOSE(CONTROL!$C$22, $C$13, 100%, $E$13)</f>
        <v>4.0186999999999999</v>
      </c>
      <c r="F142" s="61">
        <f>4.0187 * CHOOSE(CONTROL!$C$22, $C$13, 100%, $E$13)</f>
        <v>4.0186999999999999</v>
      </c>
      <c r="G142" s="61">
        <f>4.0207 * CHOOSE(CONTROL!$C$22, $C$13, 100%, $E$13)</f>
        <v>4.0206999999999997</v>
      </c>
      <c r="H142" s="61">
        <f>7.4338* CHOOSE(CONTROL!$C$22, $C$13, 100%, $E$13)</f>
        <v>7.4337999999999997</v>
      </c>
      <c r="I142" s="61">
        <f>7.4359 * CHOOSE(CONTROL!$C$22, $C$13, 100%, $E$13)</f>
        <v>7.4359000000000002</v>
      </c>
      <c r="J142" s="61">
        <f>4.0187 * CHOOSE(CONTROL!$C$22, $C$13, 100%, $E$13)</f>
        <v>4.0186999999999999</v>
      </c>
      <c r="K142" s="61">
        <f>4.0207 * CHOOSE(CONTROL!$C$22, $C$13, 100%, $E$13)</f>
        <v>4.0206999999999997</v>
      </c>
    </row>
    <row r="143" spans="1:14" ht="15">
      <c r="A143" s="13">
        <v>46204</v>
      </c>
      <c r="B143" s="60">
        <f>3.5437 * CHOOSE(CONTROL!$C$22, $C$13, 100%, $E$13)</f>
        <v>3.5436999999999999</v>
      </c>
      <c r="C143" s="60">
        <f>3.5437 * CHOOSE(CONTROL!$C$22, $C$13, 100%, $E$13)</f>
        <v>3.5436999999999999</v>
      </c>
      <c r="D143" s="60">
        <f>3.5763 * CHOOSE(CONTROL!$C$22, $C$13, 100%, $E$13)</f>
        <v>3.5762999999999998</v>
      </c>
      <c r="E143" s="61">
        <f>4.0789 * CHOOSE(CONTROL!$C$22, $C$13, 100%, $E$13)</f>
        <v>4.0789</v>
      </c>
      <c r="F143" s="61">
        <f>4.0789 * CHOOSE(CONTROL!$C$22, $C$13, 100%, $E$13)</f>
        <v>4.0789</v>
      </c>
      <c r="G143" s="61">
        <f>4.081 * CHOOSE(CONTROL!$C$22, $C$13, 100%, $E$13)</f>
        <v>4.0810000000000004</v>
      </c>
      <c r="H143" s="61">
        <f>7.4493* CHOOSE(CONTROL!$C$22, $C$13, 100%, $E$13)</f>
        <v>7.4493</v>
      </c>
      <c r="I143" s="61">
        <f>7.4514 * CHOOSE(CONTROL!$C$22, $C$13, 100%, $E$13)</f>
        <v>7.4513999999999996</v>
      </c>
      <c r="J143" s="61">
        <f>4.0789 * CHOOSE(CONTROL!$C$22, $C$13, 100%, $E$13)</f>
        <v>4.0789</v>
      </c>
      <c r="K143" s="61">
        <f>4.081 * CHOOSE(CONTROL!$C$22, $C$13, 100%, $E$13)</f>
        <v>4.0810000000000004</v>
      </c>
    </row>
    <row r="144" spans="1:14" ht="15">
      <c r="A144" s="13">
        <v>46235</v>
      </c>
      <c r="B144" s="60">
        <f>3.5504 * CHOOSE(CONTROL!$C$22, $C$13, 100%, $E$13)</f>
        <v>3.5503999999999998</v>
      </c>
      <c r="C144" s="60">
        <f>3.5504 * CHOOSE(CONTROL!$C$22, $C$13, 100%, $E$13)</f>
        <v>3.5503999999999998</v>
      </c>
      <c r="D144" s="60">
        <f>3.583 * CHOOSE(CONTROL!$C$22, $C$13, 100%, $E$13)</f>
        <v>3.5830000000000002</v>
      </c>
      <c r="E144" s="61">
        <f>4.0414 * CHOOSE(CONTROL!$C$22, $C$13, 100%, $E$13)</f>
        <v>4.0414000000000003</v>
      </c>
      <c r="F144" s="61">
        <f>4.0414 * CHOOSE(CONTROL!$C$22, $C$13, 100%, $E$13)</f>
        <v>4.0414000000000003</v>
      </c>
      <c r="G144" s="61">
        <f>4.0434 * CHOOSE(CONTROL!$C$22, $C$13, 100%, $E$13)</f>
        <v>4.0434000000000001</v>
      </c>
      <c r="H144" s="61">
        <f>7.4648* CHOOSE(CONTROL!$C$22, $C$13, 100%, $E$13)</f>
        <v>7.4648000000000003</v>
      </c>
      <c r="I144" s="61">
        <f>7.4669 * CHOOSE(CONTROL!$C$22, $C$13, 100%, $E$13)</f>
        <v>7.4668999999999999</v>
      </c>
      <c r="J144" s="61">
        <f>4.0414 * CHOOSE(CONTROL!$C$22, $C$13, 100%, $E$13)</f>
        <v>4.0414000000000003</v>
      </c>
      <c r="K144" s="61">
        <f>4.0434 * CHOOSE(CONTROL!$C$22, $C$13, 100%, $E$13)</f>
        <v>4.0434000000000001</v>
      </c>
    </row>
    <row r="145" spans="1:11" ht="15">
      <c r="A145" s="13">
        <v>46266</v>
      </c>
      <c r="B145" s="60">
        <f>3.5473 * CHOOSE(CONTROL!$C$22, $C$13, 100%, $E$13)</f>
        <v>3.5472999999999999</v>
      </c>
      <c r="C145" s="60">
        <f>3.5473 * CHOOSE(CONTROL!$C$22, $C$13, 100%, $E$13)</f>
        <v>3.5472999999999999</v>
      </c>
      <c r="D145" s="60">
        <f>3.58 * CHOOSE(CONTROL!$C$22, $C$13, 100%, $E$13)</f>
        <v>3.58</v>
      </c>
      <c r="E145" s="61">
        <f>4.0346 * CHOOSE(CONTROL!$C$22, $C$13, 100%, $E$13)</f>
        <v>4.0346000000000002</v>
      </c>
      <c r="F145" s="61">
        <f>4.0346 * CHOOSE(CONTROL!$C$22, $C$13, 100%, $E$13)</f>
        <v>4.0346000000000002</v>
      </c>
      <c r="G145" s="61">
        <f>4.0366 * CHOOSE(CONTROL!$C$22, $C$13, 100%, $E$13)</f>
        <v>4.0366</v>
      </c>
      <c r="H145" s="61">
        <f>7.4804* CHOOSE(CONTROL!$C$22, $C$13, 100%, $E$13)</f>
        <v>7.4804000000000004</v>
      </c>
      <c r="I145" s="61">
        <f>7.4824 * CHOOSE(CONTROL!$C$22, $C$13, 100%, $E$13)</f>
        <v>7.4824000000000002</v>
      </c>
      <c r="J145" s="61">
        <f>4.0346 * CHOOSE(CONTROL!$C$22, $C$13, 100%, $E$13)</f>
        <v>4.0346000000000002</v>
      </c>
      <c r="K145" s="61">
        <f>4.0366 * CHOOSE(CONTROL!$C$22, $C$13, 100%, $E$13)</f>
        <v>4.0366</v>
      </c>
    </row>
    <row r="146" spans="1:11" ht="15">
      <c r="A146" s="13">
        <v>46296</v>
      </c>
      <c r="B146" s="60">
        <f>3.541 * CHOOSE(CONTROL!$C$22, $C$13, 100%, $E$13)</f>
        <v>3.5409999999999999</v>
      </c>
      <c r="C146" s="60">
        <f>3.541 * CHOOSE(CONTROL!$C$22, $C$13, 100%, $E$13)</f>
        <v>3.5409999999999999</v>
      </c>
      <c r="D146" s="60">
        <f>3.5573 * CHOOSE(CONTROL!$C$22, $C$13, 100%, $E$13)</f>
        <v>3.5573000000000001</v>
      </c>
      <c r="E146" s="61">
        <f>4.0399 * CHOOSE(CONTROL!$C$22, $C$13, 100%, $E$13)</f>
        <v>4.0399000000000003</v>
      </c>
      <c r="F146" s="61">
        <f>4.0399 * CHOOSE(CONTROL!$C$22, $C$13, 100%, $E$13)</f>
        <v>4.0399000000000003</v>
      </c>
      <c r="G146" s="61">
        <f>4.0401 * CHOOSE(CONTROL!$C$22, $C$13, 100%, $E$13)</f>
        <v>4.0400999999999998</v>
      </c>
      <c r="H146" s="61">
        <f>7.496* CHOOSE(CONTROL!$C$22, $C$13, 100%, $E$13)</f>
        <v>7.4960000000000004</v>
      </c>
      <c r="I146" s="61">
        <f>7.4962 * CHOOSE(CONTROL!$C$22, $C$13, 100%, $E$13)</f>
        <v>7.4962</v>
      </c>
      <c r="J146" s="61">
        <f>4.0399 * CHOOSE(CONTROL!$C$22, $C$13, 100%, $E$13)</f>
        <v>4.0399000000000003</v>
      </c>
      <c r="K146" s="61">
        <f>4.0401 * CHOOSE(CONTROL!$C$22, $C$13, 100%, $E$13)</f>
        <v>4.0400999999999998</v>
      </c>
    </row>
    <row r="147" spans="1:11" ht="15">
      <c r="A147" s="13">
        <v>46327</v>
      </c>
      <c r="B147" s="60">
        <f>3.544 * CHOOSE(CONTROL!$C$22, $C$13, 100%, $E$13)</f>
        <v>3.544</v>
      </c>
      <c r="C147" s="60">
        <f>3.544 * CHOOSE(CONTROL!$C$22, $C$13, 100%, $E$13)</f>
        <v>3.544</v>
      </c>
      <c r="D147" s="60">
        <f>3.5603 * CHOOSE(CONTROL!$C$22, $C$13, 100%, $E$13)</f>
        <v>3.5602999999999998</v>
      </c>
      <c r="E147" s="61">
        <f>4.0514 * CHOOSE(CONTROL!$C$22, $C$13, 100%, $E$13)</f>
        <v>4.0514000000000001</v>
      </c>
      <c r="F147" s="61">
        <f>4.0514 * CHOOSE(CONTROL!$C$22, $C$13, 100%, $E$13)</f>
        <v>4.0514000000000001</v>
      </c>
      <c r="G147" s="61">
        <f>4.0516 * CHOOSE(CONTROL!$C$22, $C$13, 100%, $E$13)</f>
        <v>4.0515999999999996</v>
      </c>
      <c r="H147" s="61">
        <f>7.5116* CHOOSE(CONTROL!$C$22, $C$13, 100%, $E$13)</f>
        <v>7.5115999999999996</v>
      </c>
      <c r="I147" s="61">
        <f>7.5118 * CHOOSE(CONTROL!$C$22, $C$13, 100%, $E$13)</f>
        <v>7.5118</v>
      </c>
      <c r="J147" s="61">
        <f>4.0514 * CHOOSE(CONTROL!$C$22, $C$13, 100%, $E$13)</f>
        <v>4.0514000000000001</v>
      </c>
      <c r="K147" s="61">
        <f>4.0516 * CHOOSE(CONTROL!$C$22, $C$13, 100%, $E$13)</f>
        <v>4.0515999999999996</v>
      </c>
    </row>
    <row r="148" spans="1:11" ht="15">
      <c r="A148" s="13">
        <v>46357</v>
      </c>
      <c r="B148" s="60">
        <f>3.544 * CHOOSE(CONTROL!$C$22, $C$13, 100%, $E$13)</f>
        <v>3.544</v>
      </c>
      <c r="C148" s="60">
        <f>3.544 * CHOOSE(CONTROL!$C$22, $C$13, 100%, $E$13)</f>
        <v>3.544</v>
      </c>
      <c r="D148" s="60">
        <f>3.5603 * CHOOSE(CONTROL!$C$22, $C$13, 100%, $E$13)</f>
        <v>3.5602999999999998</v>
      </c>
      <c r="E148" s="61">
        <f>4.028 * CHOOSE(CONTROL!$C$22, $C$13, 100%, $E$13)</f>
        <v>4.0279999999999996</v>
      </c>
      <c r="F148" s="61">
        <f>4.028 * CHOOSE(CONTROL!$C$22, $C$13, 100%, $E$13)</f>
        <v>4.0279999999999996</v>
      </c>
      <c r="G148" s="61">
        <f>4.0282 * CHOOSE(CONTROL!$C$22, $C$13, 100%, $E$13)</f>
        <v>4.0282</v>
      </c>
      <c r="H148" s="61">
        <f>7.5273* CHOOSE(CONTROL!$C$22, $C$13, 100%, $E$13)</f>
        <v>7.5273000000000003</v>
      </c>
      <c r="I148" s="61">
        <f>7.5274 * CHOOSE(CONTROL!$C$22, $C$13, 100%, $E$13)</f>
        <v>7.5274000000000001</v>
      </c>
      <c r="J148" s="61">
        <f>4.028 * CHOOSE(CONTROL!$C$22, $C$13, 100%, $E$13)</f>
        <v>4.0279999999999996</v>
      </c>
      <c r="K148" s="61">
        <f>4.0282 * CHOOSE(CONTROL!$C$22, $C$13, 100%, $E$13)</f>
        <v>4.0282</v>
      </c>
    </row>
    <row r="149" spans="1:11" ht="15">
      <c r="A149" s="13">
        <v>46388</v>
      </c>
      <c r="B149" s="60">
        <f>3.5723 * CHOOSE(CONTROL!$C$22, $C$13, 100%, $E$13)</f>
        <v>3.5722999999999998</v>
      </c>
      <c r="C149" s="60">
        <f>3.5723 * CHOOSE(CONTROL!$C$22, $C$13, 100%, $E$13)</f>
        <v>3.5722999999999998</v>
      </c>
      <c r="D149" s="60">
        <f>3.5887 * CHOOSE(CONTROL!$C$22, $C$13, 100%, $E$13)</f>
        <v>3.5886999999999998</v>
      </c>
      <c r="E149" s="61">
        <f>4.0707 * CHOOSE(CONTROL!$C$22, $C$13, 100%, $E$13)</f>
        <v>4.0707000000000004</v>
      </c>
      <c r="F149" s="61">
        <f>4.0707 * CHOOSE(CONTROL!$C$22, $C$13, 100%, $E$13)</f>
        <v>4.0707000000000004</v>
      </c>
      <c r="G149" s="61">
        <f>4.0708 * CHOOSE(CONTROL!$C$22, $C$13, 100%, $E$13)</f>
        <v>4.0708000000000002</v>
      </c>
      <c r="H149" s="61">
        <f>7.5429* CHOOSE(CONTROL!$C$22, $C$13, 100%, $E$13)</f>
        <v>7.5429000000000004</v>
      </c>
      <c r="I149" s="61">
        <f>7.5431 * CHOOSE(CONTROL!$C$22, $C$13, 100%, $E$13)</f>
        <v>7.5430999999999999</v>
      </c>
      <c r="J149" s="61">
        <f>4.0707 * CHOOSE(CONTROL!$C$22, $C$13, 100%, $E$13)</f>
        <v>4.0707000000000004</v>
      </c>
      <c r="K149" s="61">
        <f>4.0708 * CHOOSE(CONTROL!$C$22, $C$13, 100%, $E$13)</f>
        <v>4.0708000000000002</v>
      </c>
    </row>
    <row r="150" spans="1:11" ht="15">
      <c r="A150" s="13">
        <v>46419</v>
      </c>
      <c r="B150" s="60">
        <f>3.5693 * CHOOSE(CONTROL!$C$22, $C$13, 100%, $E$13)</f>
        <v>3.5693000000000001</v>
      </c>
      <c r="C150" s="60">
        <f>3.5693 * CHOOSE(CONTROL!$C$22, $C$13, 100%, $E$13)</f>
        <v>3.5693000000000001</v>
      </c>
      <c r="D150" s="60">
        <f>3.5856 * CHOOSE(CONTROL!$C$22, $C$13, 100%, $E$13)</f>
        <v>3.5855999999999999</v>
      </c>
      <c r="E150" s="61">
        <f>4.0231 * CHOOSE(CONTROL!$C$22, $C$13, 100%, $E$13)</f>
        <v>4.0231000000000003</v>
      </c>
      <c r="F150" s="61">
        <f>4.0231 * CHOOSE(CONTROL!$C$22, $C$13, 100%, $E$13)</f>
        <v>4.0231000000000003</v>
      </c>
      <c r="G150" s="61">
        <f>4.0233 * CHOOSE(CONTROL!$C$22, $C$13, 100%, $E$13)</f>
        <v>4.0232999999999999</v>
      </c>
      <c r="H150" s="61">
        <f>7.5586* CHOOSE(CONTROL!$C$22, $C$13, 100%, $E$13)</f>
        <v>7.5586000000000002</v>
      </c>
      <c r="I150" s="61">
        <f>7.5588 * CHOOSE(CONTROL!$C$22, $C$13, 100%, $E$13)</f>
        <v>7.5587999999999997</v>
      </c>
      <c r="J150" s="61">
        <f>4.0231 * CHOOSE(CONTROL!$C$22, $C$13, 100%, $E$13)</f>
        <v>4.0231000000000003</v>
      </c>
      <c r="K150" s="61">
        <f>4.0233 * CHOOSE(CONTROL!$C$22, $C$13, 100%, $E$13)</f>
        <v>4.0232999999999999</v>
      </c>
    </row>
    <row r="151" spans="1:11" ht="15">
      <c r="A151" s="13">
        <v>46447</v>
      </c>
      <c r="B151" s="60">
        <f>3.5662 * CHOOSE(CONTROL!$C$22, $C$13, 100%, $E$13)</f>
        <v>3.5661999999999998</v>
      </c>
      <c r="C151" s="60">
        <f>3.5662 * CHOOSE(CONTROL!$C$22, $C$13, 100%, $E$13)</f>
        <v>3.5661999999999998</v>
      </c>
      <c r="D151" s="60">
        <f>3.5826 * CHOOSE(CONTROL!$C$22, $C$13, 100%, $E$13)</f>
        <v>3.5825999999999998</v>
      </c>
      <c r="E151" s="61">
        <f>4.0568 * CHOOSE(CONTROL!$C$22, $C$13, 100%, $E$13)</f>
        <v>4.0568</v>
      </c>
      <c r="F151" s="61">
        <f>4.0568 * CHOOSE(CONTROL!$C$22, $C$13, 100%, $E$13)</f>
        <v>4.0568</v>
      </c>
      <c r="G151" s="61">
        <f>4.057 * CHOOSE(CONTROL!$C$22, $C$13, 100%, $E$13)</f>
        <v>4.0570000000000004</v>
      </c>
      <c r="H151" s="61">
        <f>7.5744* CHOOSE(CONTROL!$C$22, $C$13, 100%, $E$13)</f>
        <v>7.5743999999999998</v>
      </c>
      <c r="I151" s="61">
        <f>7.5746 * CHOOSE(CONTROL!$C$22, $C$13, 100%, $E$13)</f>
        <v>7.5746000000000002</v>
      </c>
      <c r="J151" s="61">
        <f>4.0568 * CHOOSE(CONTROL!$C$22, $C$13, 100%, $E$13)</f>
        <v>4.0568</v>
      </c>
      <c r="K151" s="61">
        <f>4.057 * CHOOSE(CONTROL!$C$22, $C$13, 100%, $E$13)</f>
        <v>4.0570000000000004</v>
      </c>
    </row>
    <row r="152" spans="1:11" ht="15">
      <c r="A152" s="13">
        <v>46478</v>
      </c>
      <c r="B152" s="60">
        <f>3.5635 * CHOOSE(CONTROL!$C$22, $C$13, 100%, $E$13)</f>
        <v>3.5634999999999999</v>
      </c>
      <c r="C152" s="60">
        <f>3.5635 * CHOOSE(CONTROL!$C$22, $C$13, 100%, $E$13)</f>
        <v>3.5634999999999999</v>
      </c>
      <c r="D152" s="60">
        <f>3.5799 * CHOOSE(CONTROL!$C$22, $C$13, 100%, $E$13)</f>
        <v>3.5798999999999999</v>
      </c>
      <c r="E152" s="61">
        <f>4.091 * CHOOSE(CONTROL!$C$22, $C$13, 100%, $E$13)</f>
        <v>4.0910000000000002</v>
      </c>
      <c r="F152" s="61">
        <f>4.091 * CHOOSE(CONTROL!$C$22, $C$13, 100%, $E$13)</f>
        <v>4.0910000000000002</v>
      </c>
      <c r="G152" s="61">
        <f>4.0912 * CHOOSE(CONTROL!$C$22, $C$13, 100%, $E$13)</f>
        <v>4.0911999999999997</v>
      </c>
      <c r="H152" s="61">
        <f>7.5902* CHOOSE(CONTROL!$C$22, $C$13, 100%, $E$13)</f>
        <v>7.5902000000000003</v>
      </c>
      <c r="I152" s="61">
        <f>7.5904 * CHOOSE(CONTROL!$C$22, $C$13, 100%, $E$13)</f>
        <v>7.5903999999999998</v>
      </c>
      <c r="J152" s="61">
        <f>4.091 * CHOOSE(CONTROL!$C$22, $C$13, 100%, $E$13)</f>
        <v>4.0910000000000002</v>
      </c>
      <c r="K152" s="61">
        <f>4.0912 * CHOOSE(CONTROL!$C$22, $C$13, 100%, $E$13)</f>
        <v>4.0911999999999997</v>
      </c>
    </row>
    <row r="153" spans="1:11" ht="15">
      <c r="A153" s="13">
        <v>46508</v>
      </c>
      <c r="B153" s="60">
        <f>3.5635 * CHOOSE(CONTROL!$C$22, $C$13, 100%, $E$13)</f>
        <v>3.5634999999999999</v>
      </c>
      <c r="C153" s="60">
        <f>3.5635 * CHOOSE(CONTROL!$C$22, $C$13, 100%, $E$13)</f>
        <v>3.5634999999999999</v>
      </c>
      <c r="D153" s="60">
        <f>3.5962 * CHOOSE(CONTROL!$C$22, $C$13, 100%, $E$13)</f>
        <v>3.5962000000000001</v>
      </c>
      <c r="E153" s="61">
        <f>4.1054 * CHOOSE(CONTROL!$C$22, $C$13, 100%, $E$13)</f>
        <v>4.1054000000000004</v>
      </c>
      <c r="F153" s="61">
        <f>4.1054 * CHOOSE(CONTROL!$C$22, $C$13, 100%, $E$13)</f>
        <v>4.1054000000000004</v>
      </c>
      <c r="G153" s="61">
        <f>4.1075 * CHOOSE(CONTROL!$C$22, $C$13, 100%, $E$13)</f>
        <v>4.1074999999999999</v>
      </c>
      <c r="H153" s="61">
        <f>7.606* CHOOSE(CONTROL!$C$22, $C$13, 100%, $E$13)</f>
        <v>7.6059999999999999</v>
      </c>
      <c r="I153" s="61">
        <f>7.608 * CHOOSE(CONTROL!$C$22, $C$13, 100%, $E$13)</f>
        <v>7.6079999999999997</v>
      </c>
      <c r="J153" s="61">
        <f>4.1054 * CHOOSE(CONTROL!$C$22, $C$13, 100%, $E$13)</f>
        <v>4.1054000000000004</v>
      </c>
      <c r="K153" s="61">
        <f>4.1075 * CHOOSE(CONTROL!$C$22, $C$13, 100%, $E$13)</f>
        <v>4.1074999999999999</v>
      </c>
    </row>
    <row r="154" spans="1:11" ht="15">
      <c r="A154" s="13">
        <v>46539</v>
      </c>
      <c r="B154" s="60">
        <f>3.5696 * CHOOSE(CONTROL!$C$22, $C$13, 100%, $E$13)</f>
        <v>3.5695999999999999</v>
      </c>
      <c r="C154" s="60">
        <f>3.5696 * CHOOSE(CONTROL!$C$22, $C$13, 100%, $E$13)</f>
        <v>3.5695999999999999</v>
      </c>
      <c r="D154" s="60">
        <f>3.6023 * CHOOSE(CONTROL!$C$22, $C$13, 100%, $E$13)</f>
        <v>3.6023000000000001</v>
      </c>
      <c r="E154" s="61">
        <f>4.0953 * CHOOSE(CONTROL!$C$22, $C$13, 100%, $E$13)</f>
        <v>4.0952999999999999</v>
      </c>
      <c r="F154" s="61">
        <f>4.0953 * CHOOSE(CONTROL!$C$22, $C$13, 100%, $E$13)</f>
        <v>4.0952999999999999</v>
      </c>
      <c r="G154" s="61">
        <f>4.0973 * CHOOSE(CONTROL!$C$22, $C$13, 100%, $E$13)</f>
        <v>4.0972999999999997</v>
      </c>
      <c r="H154" s="61">
        <f>7.6218* CHOOSE(CONTROL!$C$22, $C$13, 100%, $E$13)</f>
        <v>7.6218000000000004</v>
      </c>
      <c r="I154" s="61">
        <f>7.6239 * CHOOSE(CONTROL!$C$22, $C$13, 100%, $E$13)</f>
        <v>7.6238999999999999</v>
      </c>
      <c r="J154" s="61">
        <f>4.0953 * CHOOSE(CONTROL!$C$22, $C$13, 100%, $E$13)</f>
        <v>4.0952999999999999</v>
      </c>
      <c r="K154" s="61">
        <f>4.0973 * CHOOSE(CONTROL!$C$22, $C$13, 100%, $E$13)</f>
        <v>4.0972999999999997</v>
      </c>
    </row>
    <row r="155" spans="1:11" ht="15">
      <c r="A155" s="13">
        <v>46569</v>
      </c>
      <c r="B155" s="60">
        <f>3.6201 * CHOOSE(CONTROL!$C$22, $C$13, 100%, $E$13)</f>
        <v>3.6200999999999999</v>
      </c>
      <c r="C155" s="60">
        <f>3.6201 * CHOOSE(CONTROL!$C$22, $C$13, 100%, $E$13)</f>
        <v>3.6200999999999999</v>
      </c>
      <c r="D155" s="60">
        <f>3.6527 * CHOOSE(CONTROL!$C$22, $C$13, 100%, $E$13)</f>
        <v>3.6526999999999998</v>
      </c>
      <c r="E155" s="61">
        <f>4.1543 * CHOOSE(CONTROL!$C$22, $C$13, 100%, $E$13)</f>
        <v>4.1543000000000001</v>
      </c>
      <c r="F155" s="61">
        <f>4.1543 * CHOOSE(CONTROL!$C$22, $C$13, 100%, $E$13)</f>
        <v>4.1543000000000001</v>
      </c>
      <c r="G155" s="61">
        <f>4.1563 * CHOOSE(CONTROL!$C$22, $C$13, 100%, $E$13)</f>
        <v>4.1562999999999999</v>
      </c>
      <c r="H155" s="61">
        <f>7.6377* CHOOSE(CONTROL!$C$22, $C$13, 100%, $E$13)</f>
        <v>7.6376999999999997</v>
      </c>
      <c r="I155" s="61">
        <f>7.6397 * CHOOSE(CONTROL!$C$22, $C$13, 100%, $E$13)</f>
        <v>7.6397000000000004</v>
      </c>
      <c r="J155" s="61">
        <f>4.1543 * CHOOSE(CONTROL!$C$22, $C$13, 100%, $E$13)</f>
        <v>4.1543000000000001</v>
      </c>
      <c r="K155" s="61">
        <f>4.1563 * CHOOSE(CONTROL!$C$22, $C$13, 100%, $E$13)</f>
        <v>4.1562999999999999</v>
      </c>
    </row>
    <row r="156" spans="1:11" ht="15">
      <c r="A156" s="13">
        <v>46600</v>
      </c>
      <c r="B156" s="60">
        <f>3.6268 * CHOOSE(CONTROL!$C$22, $C$13, 100%, $E$13)</f>
        <v>3.6267999999999998</v>
      </c>
      <c r="C156" s="60">
        <f>3.6268 * CHOOSE(CONTROL!$C$22, $C$13, 100%, $E$13)</f>
        <v>3.6267999999999998</v>
      </c>
      <c r="D156" s="60">
        <f>3.6594 * CHOOSE(CONTROL!$C$22, $C$13, 100%, $E$13)</f>
        <v>3.6594000000000002</v>
      </c>
      <c r="E156" s="61">
        <f>4.1157 * CHOOSE(CONTROL!$C$22, $C$13, 100%, $E$13)</f>
        <v>4.1157000000000004</v>
      </c>
      <c r="F156" s="61">
        <f>4.1157 * CHOOSE(CONTROL!$C$22, $C$13, 100%, $E$13)</f>
        <v>4.1157000000000004</v>
      </c>
      <c r="G156" s="61">
        <f>4.1177 * CHOOSE(CONTROL!$C$22, $C$13, 100%, $E$13)</f>
        <v>4.1177000000000001</v>
      </c>
      <c r="H156" s="61">
        <f>7.6536* CHOOSE(CONTROL!$C$22, $C$13, 100%, $E$13)</f>
        <v>7.6536</v>
      </c>
      <c r="I156" s="61">
        <f>7.6557 * CHOOSE(CONTROL!$C$22, $C$13, 100%, $E$13)</f>
        <v>7.6557000000000004</v>
      </c>
      <c r="J156" s="61">
        <f>4.1157 * CHOOSE(CONTROL!$C$22, $C$13, 100%, $E$13)</f>
        <v>4.1157000000000004</v>
      </c>
      <c r="K156" s="61">
        <f>4.1177 * CHOOSE(CONTROL!$C$22, $C$13, 100%, $E$13)</f>
        <v>4.1177000000000001</v>
      </c>
    </row>
    <row r="157" spans="1:11" ht="15">
      <c r="A157" s="13">
        <v>46631</v>
      </c>
      <c r="B157" s="60">
        <f>3.6237 * CHOOSE(CONTROL!$C$22, $C$13, 100%, $E$13)</f>
        <v>3.6236999999999999</v>
      </c>
      <c r="C157" s="60">
        <f>3.6237 * CHOOSE(CONTROL!$C$22, $C$13, 100%, $E$13)</f>
        <v>3.6236999999999999</v>
      </c>
      <c r="D157" s="60">
        <f>3.6564 * CHOOSE(CONTROL!$C$22, $C$13, 100%, $E$13)</f>
        <v>3.6564000000000001</v>
      </c>
      <c r="E157" s="61">
        <f>4.1088 * CHOOSE(CONTROL!$C$22, $C$13, 100%, $E$13)</f>
        <v>4.1087999999999996</v>
      </c>
      <c r="F157" s="61">
        <f>4.1088 * CHOOSE(CONTROL!$C$22, $C$13, 100%, $E$13)</f>
        <v>4.1087999999999996</v>
      </c>
      <c r="G157" s="61">
        <f>4.1108 * CHOOSE(CONTROL!$C$22, $C$13, 100%, $E$13)</f>
        <v>4.1108000000000002</v>
      </c>
      <c r="H157" s="61">
        <f>7.6696* CHOOSE(CONTROL!$C$22, $C$13, 100%, $E$13)</f>
        <v>7.6696</v>
      </c>
      <c r="I157" s="61">
        <f>7.6716 * CHOOSE(CONTROL!$C$22, $C$13, 100%, $E$13)</f>
        <v>7.6715999999999998</v>
      </c>
      <c r="J157" s="61">
        <f>4.1088 * CHOOSE(CONTROL!$C$22, $C$13, 100%, $E$13)</f>
        <v>4.1087999999999996</v>
      </c>
      <c r="K157" s="61">
        <f>4.1108 * CHOOSE(CONTROL!$C$22, $C$13, 100%, $E$13)</f>
        <v>4.1108000000000002</v>
      </c>
    </row>
    <row r="158" spans="1:11" ht="15">
      <c r="A158" s="13">
        <v>46661</v>
      </c>
      <c r="B158" s="60">
        <f>3.6177 * CHOOSE(CONTROL!$C$22, $C$13, 100%, $E$13)</f>
        <v>3.6177000000000001</v>
      </c>
      <c r="C158" s="60">
        <f>3.6177 * CHOOSE(CONTROL!$C$22, $C$13, 100%, $E$13)</f>
        <v>3.6177000000000001</v>
      </c>
      <c r="D158" s="60">
        <f>3.634 * CHOOSE(CONTROL!$C$22, $C$13, 100%, $E$13)</f>
        <v>3.6339999999999999</v>
      </c>
      <c r="E158" s="61">
        <f>4.1146 * CHOOSE(CONTROL!$C$22, $C$13, 100%, $E$13)</f>
        <v>4.1146000000000003</v>
      </c>
      <c r="F158" s="61">
        <f>4.1146 * CHOOSE(CONTROL!$C$22, $C$13, 100%, $E$13)</f>
        <v>4.1146000000000003</v>
      </c>
      <c r="G158" s="61">
        <f>4.1148 * CHOOSE(CONTROL!$C$22, $C$13, 100%, $E$13)</f>
        <v>4.1147999999999998</v>
      </c>
      <c r="H158" s="61">
        <f>7.6855* CHOOSE(CONTROL!$C$22, $C$13, 100%, $E$13)</f>
        <v>7.6855000000000002</v>
      </c>
      <c r="I158" s="61">
        <f>7.6857 * CHOOSE(CONTROL!$C$22, $C$13, 100%, $E$13)</f>
        <v>7.6856999999999998</v>
      </c>
      <c r="J158" s="61">
        <f>4.1146 * CHOOSE(CONTROL!$C$22, $C$13, 100%, $E$13)</f>
        <v>4.1146000000000003</v>
      </c>
      <c r="K158" s="61">
        <f>4.1148 * CHOOSE(CONTROL!$C$22, $C$13, 100%, $E$13)</f>
        <v>4.1147999999999998</v>
      </c>
    </row>
    <row r="159" spans="1:11" ht="15">
      <c r="A159" s="13">
        <v>46692</v>
      </c>
      <c r="B159" s="60">
        <f>3.6207 * CHOOSE(CONTROL!$C$22, $C$13, 100%, $E$13)</f>
        <v>3.6206999999999998</v>
      </c>
      <c r="C159" s="60">
        <f>3.6207 * CHOOSE(CONTROL!$C$22, $C$13, 100%, $E$13)</f>
        <v>3.6206999999999998</v>
      </c>
      <c r="D159" s="60">
        <f>3.6371 * CHOOSE(CONTROL!$C$22, $C$13, 100%, $E$13)</f>
        <v>3.6371000000000002</v>
      </c>
      <c r="E159" s="61">
        <f>4.1263 * CHOOSE(CONTROL!$C$22, $C$13, 100%, $E$13)</f>
        <v>4.1262999999999996</v>
      </c>
      <c r="F159" s="61">
        <f>4.1263 * CHOOSE(CONTROL!$C$22, $C$13, 100%, $E$13)</f>
        <v>4.1262999999999996</v>
      </c>
      <c r="G159" s="61">
        <f>4.1265 * CHOOSE(CONTROL!$C$22, $C$13, 100%, $E$13)</f>
        <v>4.1265000000000001</v>
      </c>
      <c r="H159" s="61">
        <f>7.7016* CHOOSE(CONTROL!$C$22, $C$13, 100%, $E$13)</f>
        <v>7.7016</v>
      </c>
      <c r="I159" s="61">
        <f>7.7017 * CHOOSE(CONTROL!$C$22, $C$13, 100%, $E$13)</f>
        <v>7.7016999999999998</v>
      </c>
      <c r="J159" s="61">
        <f>4.1263 * CHOOSE(CONTROL!$C$22, $C$13, 100%, $E$13)</f>
        <v>4.1262999999999996</v>
      </c>
      <c r="K159" s="61">
        <f>4.1265 * CHOOSE(CONTROL!$C$22, $C$13, 100%, $E$13)</f>
        <v>4.1265000000000001</v>
      </c>
    </row>
    <row r="160" spans="1:11" ht="15">
      <c r="A160" s="13">
        <v>46722</v>
      </c>
      <c r="B160" s="60">
        <f>3.6207 * CHOOSE(CONTROL!$C$22, $C$13, 100%, $E$13)</f>
        <v>3.6206999999999998</v>
      </c>
      <c r="C160" s="60">
        <f>3.6207 * CHOOSE(CONTROL!$C$22, $C$13, 100%, $E$13)</f>
        <v>3.6206999999999998</v>
      </c>
      <c r="D160" s="60">
        <f>3.6371 * CHOOSE(CONTROL!$C$22, $C$13, 100%, $E$13)</f>
        <v>3.6371000000000002</v>
      </c>
      <c r="E160" s="61">
        <f>4.1023 * CHOOSE(CONTROL!$C$22, $C$13, 100%, $E$13)</f>
        <v>4.1022999999999996</v>
      </c>
      <c r="F160" s="61">
        <f>4.1023 * CHOOSE(CONTROL!$C$22, $C$13, 100%, $E$13)</f>
        <v>4.1022999999999996</v>
      </c>
      <c r="G160" s="61">
        <f>4.1024 * CHOOSE(CONTROL!$C$22, $C$13, 100%, $E$13)</f>
        <v>4.1024000000000003</v>
      </c>
      <c r="H160" s="61">
        <f>7.7176* CHOOSE(CONTROL!$C$22, $C$13, 100%, $E$13)</f>
        <v>7.7176</v>
      </c>
      <c r="I160" s="61">
        <f>7.7178 * CHOOSE(CONTROL!$C$22, $C$13, 100%, $E$13)</f>
        <v>7.7178000000000004</v>
      </c>
      <c r="J160" s="61">
        <f>4.1023 * CHOOSE(CONTROL!$C$22, $C$13, 100%, $E$13)</f>
        <v>4.1022999999999996</v>
      </c>
      <c r="K160" s="61">
        <f>4.1024 * CHOOSE(CONTROL!$C$22, $C$13, 100%, $E$13)</f>
        <v>4.1024000000000003</v>
      </c>
    </row>
    <row r="161" spans="1:11" ht="15">
      <c r="A161" s="13">
        <v>46753</v>
      </c>
      <c r="B161" s="60">
        <f>3.656 * CHOOSE(CONTROL!$C$22, $C$13, 100%, $E$13)</f>
        <v>3.6560000000000001</v>
      </c>
      <c r="C161" s="60">
        <f>3.656 * CHOOSE(CONTROL!$C$22, $C$13, 100%, $E$13)</f>
        <v>3.6560000000000001</v>
      </c>
      <c r="D161" s="60">
        <f>3.6723 * CHOOSE(CONTROL!$C$22, $C$13, 100%, $E$13)</f>
        <v>3.6722999999999999</v>
      </c>
      <c r="E161" s="61">
        <f>4.1535 * CHOOSE(CONTROL!$C$22, $C$13, 100%, $E$13)</f>
        <v>4.1535000000000002</v>
      </c>
      <c r="F161" s="61">
        <f>4.1535 * CHOOSE(CONTROL!$C$22, $C$13, 100%, $E$13)</f>
        <v>4.1535000000000002</v>
      </c>
      <c r="G161" s="61">
        <f>4.1537 * CHOOSE(CONTROL!$C$22, $C$13, 100%, $E$13)</f>
        <v>4.1536999999999997</v>
      </c>
      <c r="H161" s="61">
        <f>7.7337* CHOOSE(CONTROL!$C$22, $C$13, 100%, $E$13)</f>
        <v>7.7336999999999998</v>
      </c>
      <c r="I161" s="61">
        <f>7.7339 * CHOOSE(CONTROL!$C$22, $C$13, 100%, $E$13)</f>
        <v>7.7339000000000002</v>
      </c>
      <c r="J161" s="61">
        <f>4.1535 * CHOOSE(CONTROL!$C$22, $C$13, 100%, $E$13)</f>
        <v>4.1535000000000002</v>
      </c>
      <c r="K161" s="61">
        <f>4.1537 * CHOOSE(CONTROL!$C$22, $C$13, 100%, $E$13)</f>
        <v>4.1536999999999997</v>
      </c>
    </row>
    <row r="162" spans="1:11" ht="15">
      <c r="A162" s="13">
        <v>46784</v>
      </c>
      <c r="B162" s="60">
        <f>3.6529 * CHOOSE(CONTROL!$C$22, $C$13, 100%, $E$13)</f>
        <v>3.6528999999999998</v>
      </c>
      <c r="C162" s="60">
        <f>3.6529 * CHOOSE(CONTROL!$C$22, $C$13, 100%, $E$13)</f>
        <v>3.6528999999999998</v>
      </c>
      <c r="D162" s="60">
        <f>3.6693 * CHOOSE(CONTROL!$C$22, $C$13, 100%, $E$13)</f>
        <v>3.6692999999999998</v>
      </c>
      <c r="E162" s="61">
        <f>4.1048 * CHOOSE(CONTROL!$C$22, $C$13, 100%, $E$13)</f>
        <v>4.1048</v>
      </c>
      <c r="F162" s="61">
        <f>4.1048 * CHOOSE(CONTROL!$C$22, $C$13, 100%, $E$13)</f>
        <v>4.1048</v>
      </c>
      <c r="G162" s="61">
        <f>4.105 * CHOOSE(CONTROL!$C$22, $C$13, 100%, $E$13)</f>
        <v>4.1050000000000004</v>
      </c>
      <c r="H162" s="61">
        <f>7.7498* CHOOSE(CONTROL!$C$22, $C$13, 100%, $E$13)</f>
        <v>7.7497999999999996</v>
      </c>
      <c r="I162" s="61">
        <f>7.75 * CHOOSE(CONTROL!$C$22, $C$13, 100%, $E$13)</f>
        <v>7.75</v>
      </c>
      <c r="J162" s="61">
        <f>4.1048 * CHOOSE(CONTROL!$C$22, $C$13, 100%, $E$13)</f>
        <v>4.1048</v>
      </c>
      <c r="K162" s="61">
        <f>4.105 * CHOOSE(CONTROL!$C$22, $C$13, 100%, $E$13)</f>
        <v>4.1050000000000004</v>
      </c>
    </row>
    <row r="163" spans="1:11" ht="15">
      <c r="A163" s="13">
        <v>46813</v>
      </c>
      <c r="B163" s="60">
        <f>3.6499 * CHOOSE(CONTROL!$C$22, $C$13, 100%, $E$13)</f>
        <v>3.6499000000000001</v>
      </c>
      <c r="C163" s="60">
        <f>3.6499 * CHOOSE(CONTROL!$C$22, $C$13, 100%, $E$13)</f>
        <v>3.6499000000000001</v>
      </c>
      <c r="D163" s="60">
        <f>3.6662 * CHOOSE(CONTROL!$C$22, $C$13, 100%, $E$13)</f>
        <v>3.6661999999999999</v>
      </c>
      <c r="E163" s="61">
        <f>4.1394 * CHOOSE(CONTROL!$C$22, $C$13, 100%, $E$13)</f>
        <v>4.1394000000000002</v>
      </c>
      <c r="F163" s="61">
        <f>4.1394 * CHOOSE(CONTROL!$C$22, $C$13, 100%, $E$13)</f>
        <v>4.1394000000000002</v>
      </c>
      <c r="G163" s="61">
        <f>4.1396 * CHOOSE(CONTROL!$C$22, $C$13, 100%, $E$13)</f>
        <v>4.1395999999999997</v>
      </c>
      <c r="H163" s="61">
        <f>7.7659* CHOOSE(CONTROL!$C$22, $C$13, 100%, $E$13)</f>
        <v>7.7659000000000002</v>
      </c>
      <c r="I163" s="61">
        <f>7.7661 * CHOOSE(CONTROL!$C$22, $C$13, 100%, $E$13)</f>
        <v>7.7660999999999998</v>
      </c>
      <c r="J163" s="61">
        <f>4.1394 * CHOOSE(CONTROL!$C$22, $C$13, 100%, $E$13)</f>
        <v>4.1394000000000002</v>
      </c>
      <c r="K163" s="61">
        <f>4.1396 * CHOOSE(CONTROL!$C$22, $C$13, 100%, $E$13)</f>
        <v>4.1395999999999997</v>
      </c>
    </row>
    <row r="164" spans="1:11" ht="15">
      <c r="A164" s="13">
        <v>46844</v>
      </c>
      <c r="B164" s="60">
        <f>3.6473 * CHOOSE(CONTROL!$C$22, $C$13, 100%, $E$13)</f>
        <v>3.6473</v>
      </c>
      <c r="C164" s="60">
        <f>3.6473 * CHOOSE(CONTROL!$C$22, $C$13, 100%, $E$13)</f>
        <v>3.6473</v>
      </c>
      <c r="D164" s="60">
        <f>3.6636 * CHOOSE(CONTROL!$C$22, $C$13, 100%, $E$13)</f>
        <v>3.6636000000000002</v>
      </c>
      <c r="E164" s="61">
        <f>4.1746 * CHOOSE(CONTROL!$C$22, $C$13, 100%, $E$13)</f>
        <v>4.1745999999999999</v>
      </c>
      <c r="F164" s="61">
        <f>4.1746 * CHOOSE(CONTROL!$C$22, $C$13, 100%, $E$13)</f>
        <v>4.1745999999999999</v>
      </c>
      <c r="G164" s="61">
        <f>4.1748 * CHOOSE(CONTROL!$C$22, $C$13, 100%, $E$13)</f>
        <v>4.1748000000000003</v>
      </c>
      <c r="H164" s="61">
        <f>7.7821* CHOOSE(CONTROL!$C$22, $C$13, 100%, $E$13)</f>
        <v>7.7820999999999998</v>
      </c>
      <c r="I164" s="61">
        <f>7.7823 * CHOOSE(CONTROL!$C$22, $C$13, 100%, $E$13)</f>
        <v>7.7823000000000002</v>
      </c>
      <c r="J164" s="61">
        <f>4.1746 * CHOOSE(CONTROL!$C$22, $C$13, 100%, $E$13)</f>
        <v>4.1745999999999999</v>
      </c>
      <c r="K164" s="61">
        <f>4.1748 * CHOOSE(CONTROL!$C$22, $C$13, 100%, $E$13)</f>
        <v>4.1748000000000003</v>
      </c>
    </row>
    <row r="165" spans="1:11" ht="15">
      <c r="A165" s="13">
        <v>46874</v>
      </c>
      <c r="B165" s="60">
        <f>3.6473 * CHOOSE(CONTROL!$C$22, $C$13, 100%, $E$13)</f>
        <v>3.6473</v>
      </c>
      <c r="C165" s="60">
        <f>3.6473 * CHOOSE(CONTROL!$C$22, $C$13, 100%, $E$13)</f>
        <v>3.6473</v>
      </c>
      <c r="D165" s="60">
        <f>3.68 * CHOOSE(CONTROL!$C$22, $C$13, 100%, $E$13)</f>
        <v>3.68</v>
      </c>
      <c r="E165" s="61">
        <f>4.1894 * CHOOSE(CONTROL!$C$22, $C$13, 100%, $E$13)</f>
        <v>4.1894</v>
      </c>
      <c r="F165" s="61">
        <f>4.1894 * CHOOSE(CONTROL!$C$22, $C$13, 100%, $E$13)</f>
        <v>4.1894</v>
      </c>
      <c r="G165" s="61">
        <f>4.1914 * CHOOSE(CONTROL!$C$22, $C$13, 100%, $E$13)</f>
        <v>4.1913999999999998</v>
      </c>
      <c r="H165" s="61">
        <f>7.7983* CHOOSE(CONTROL!$C$22, $C$13, 100%, $E$13)</f>
        <v>7.7983000000000002</v>
      </c>
      <c r="I165" s="61">
        <f>7.8004 * CHOOSE(CONTROL!$C$22, $C$13, 100%, $E$13)</f>
        <v>7.8003999999999998</v>
      </c>
      <c r="J165" s="61">
        <f>4.1894 * CHOOSE(CONTROL!$C$22, $C$13, 100%, $E$13)</f>
        <v>4.1894</v>
      </c>
      <c r="K165" s="61">
        <f>4.1914 * CHOOSE(CONTROL!$C$22, $C$13, 100%, $E$13)</f>
        <v>4.1913999999999998</v>
      </c>
    </row>
    <row r="166" spans="1:11" ht="15">
      <c r="A166" s="13">
        <v>46905</v>
      </c>
      <c r="B166" s="60">
        <f>3.6534 * CHOOSE(CONTROL!$C$22, $C$13, 100%, $E$13)</f>
        <v>3.6534</v>
      </c>
      <c r="C166" s="60">
        <f>3.6534 * CHOOSE(CONTROL!$C$22, $C$13, 100%, $E$13)</f>
        <v>3.6534</v>
      </c>
      <c r="D166" s="60">
        <f>3.686 * CHOOSE(CONTROL!$C$22, $C$13, 100%, $E$13)</f>
        <v>3.6859999999999999</v>
      </c>
      <c r="E166" s="61">
        <f>4.1788 * CHOOSE(CONTROL!$C$22, $C$13, 100%, $E$13)</f>
        <v>4.1787999999999998</v>
      </c>
      <c r="F166" s="61">
        <f>4.1788 * CHOOSE(CONTROL!$C$22, $C$13, 100%, $E$13)</f>
        <v>4.1787999999999998</v>
      </c>
      <c r="G166" s="61">
        <f>4.1809 * CHOOSE(CONTROL!$C$22, $C$13, 100%, $E$13)</f>
        <v>4.1809000000000003</v>
      </c>
      <c r="H166" s="61">
        <f>7.8146* CHOOSE(CONTROL!$C$22, $C$13, 100%, $E$13)</f>
        <v>7.8146000000000004</v>
      </c>
      <c r="I166" s="61">
        <f>7.8166 * CHOOSE(CONTROL!$C$22, $C$13, 100%, $E$13)</f>
        <v>7.8166000000000002</v>
      </c>
      <c r="J166" s="61">
        <f>4.1788 * CHOOSE(CONTROL!$C$22, $C$13, 100%, $E$13)</f>
        <v>4.1787999999999998</v>
      </c>
      <c r="K166" s="61">
        <f>4.1809 * CHOOSE(CONTROL!$C$22, $C$13, 100%, $E$13)</f>
        <v>4.1809000000000003</v>
      </c>
    </row>
    <row r="167" spans="1:11" ht="15">
      <c r="A167" s="13">
        <v>46935</v>
      </c>
      <c r="B167" s="60">
        <f>3.7202 * CHOOSE(CONTROL!$C$22, $C$13, 100%, $E$13)</f>
        <v>3.7202000000000002</v>
      </c>
      <c r="C167" s="60">
        <f>3.7202 * CHOOSE(CONTROL!$C$22, $C$13, 100%, $E$13)</f>
        <v>3.7202000000000002</v>
      </c>
      <c r="D167" s="60">
        <f>3.7529 * CHOOSE(CONTROL!$C$22, $C$13, 100%, $E$13)</f>
        <v>3.7528999999999999</v>
      </c>
      <c r="E167" s="61">
        <f>4.2571 * CHOOSE(CONTROL!$C$22, $C$13, 100%, $E$13)</f>
        <v>4.2571000000000003</v>
      </c>
      <c r="F167" s="61">
        <f>4.2571 * CHOOSE(CONTROL!$C$22, $C$13, 100%, $E$13)</f>
        <v>4.2571000000000003</v>
      </c>
      <c r="G167" s="61">
        <f>4.2591 * CHOOSE(CONTROL!$C$22, $C$13, 100%, $E$13)</f>
        <v>4.2591000000000001</v>
      </c>
      <c r="H167" s="61">
        <f>7.8309* CHOOSE(CONTROL!$C$22, $C$13, 100%, $E$13)</f>
        <v>7.8308999999999997</v>
      </c>
      <c r="I167" s="61">
        <f>7.8329 * CHOOSE(CONTROL!$C$22, $C$13, 100%, $E$13)</f>
        <v>7.8329000000000004</v>
      </c>
      <c r="J167" s="61">
        <f>4.2571 * CHOOSE(CONTROL!$C$22, $C$13, 100%, $E$13)</f>
        <v>4.2571000000000003</v>
      </c>
      <c r="K167" s="61">
        <f>4.2591 * CHOOSE(CONTROL!$C$22, $C$13, 100%, $E$13)</f>
        <v>4.2591000000000001</v>
      </c>
    </row>
    <row r="168" spans="1:11" ht="15">
      <c r="A168" s="13">
        <v>46966</v>
      </c>
      <c r="B168" s="60">
        <f>3.7269 * CHOOSE(CONTROL!$C$22, $C$13, 100%, $E$13)</f>
        <v>3.7269000000000001</v>
      </c>
      <c r="C168" s="60">
        <f>3.7269 * CHOOSE(CONTROL!$C$22, $C$13, 100%, $E$13)</f>
        <v>3.7269000000000001</v>
      </c>
      <c r="D168" s="60">
        <f>3.7596 * CHOOSE(CONTROL!$C$22, $C$13, 100%, $E$13)</f>
        <v>3.7595999999999998</v>
      </c>
      <c r="E168" s="61">
        <f>4.2174 * CHOOSE(CONTROL!$C$22, $C$13, 100%, $E$13)</f>
        <v>4.2173999999999996</v>
      </c>
      <c r="F168" s="61">
        <f>4.2174 * CHOOSE(CONTROL!$C$22, $C$13, 100%, $E$13)</f>
        <v>4.2173999999999996</v>
      </c>
      <c r="G168" s="61">
        <f>4.2194 * CHOOSE(CONTROL!$C$22, $C$13, 100%, $E$13)</f>
        <v>4.2194000000000003</v>
      </c>
      <c r="H168" s="61">
        <f>7.8472* CHOOSE(CONTROL!$C$22, $C$13, 100%, $E$13)</f>
        <v>7.8472</v>
      </c>
      <c r="I168" s="61">
        <f>7.8492 * CHOOSE(CONTROL!$C$22, $C$13, 100%, $E$13)</f>
        <v>7.8491999999999997</v>
      </c>
      <c r="J168" s="61">
        <f>4.2174 * CHOOSE(CONTROL!$C$22, $C$13, 100%, $E$13)</f>
        <v>4.2173999999999996</v>
      </c>
      <c r="K168" s="61">
        <f>4.2194 * CHOOSE(CONTROL!$C$22, $C$13, 100%, $E$13)</f>
        <v>4.2194000000000003</v>
      </c>
    </row>
    <row r="169" spans="1:11" ht="15">
      <c r="A169" s="13">
        <v>46997</v>
      </c>
      <c r="B169" s="60">
        <f>3.7239 * CHOOSE(CONTROL!$C$22, $C$13, 100%, $E$13)</f>
        <v>3.7239</v>
      </c>
      <c r="C169" s="60">
        <f>3.7239 * CHOOSE(CONTROL!$C$22, $C$13, 100%, $E$13)</f>
        <v>3.7239</v>
      </c>
      <c r="D169" s="60">
        <f>3.7565 * CHOOSE(CONTROL!$C$22, $C$13, 100%, $E$13)</f>
        <v>3.7565</v>
      </c>
      <c r="E169" s="61">
        <f>4.2103 * CHOOSE(CONTROL!$C$22, $C$13, 100%, $E$13)</f>
        <v>4.2103000000000002</v>
      </c>
      <c r="F169" s="61">
        <f>4.2103 * CHOOSE(CONTROL!$C$22, $C$13, 100%, $E$13)</f>
        <v>4.2103000000000002</v>
      </c>
      <c r="G169" s="61">
        <f>4.2123 * CHOOSE(CONTROL!$C$22, $C$13, 100%, $E$13)</f>
        <v>4.2122999999999999</v>
      </c>
      <c r="H169" s="61">
        <f>7.8635* CHOOSE(CONTROL!$C$22, $C$13, 100%, $E$13)</f>
        <v>7.8635000000000002</v>
      </c>
      <c r="I169" s="61">
        <f>7.8656 * CHOOSE(CONTROL!$C$22, $C$13, 100%, $E$13)</f>
        <v>7.8655999999999997</v>
      </c>
      <c r="J169" s="61">
        <f>4.2103 * CHOOSE(CONTROL!$C$22, $C$13, 100%, $E$13)</f>
        <v>4.2103000000000002</v>
      </c>
      <c r="K169" s="61">
        <f>4.2123 * CHOOSE(CONTROL!$C$22, $C$13, 100%, $E$13)</f>
        <v>4.2122999999999999</v>
      </c>
    </row>
    <row r="170" spans="1:11" ht="15">
      <c r="A170" s="13">
        <v>47027</v>
      </c>
      <c r="B170" s="60">
        <f>3.7182 * CHOOSE(CONTROL!$C$22, $C$13, 100%, $E$13)</f>
        <v>3.7181999999999999</v>
      </c>
      <c r="C170" s="60">
        <f>3.7182 * CHOOSE(CONTROL!$C$22, $C$13, 100%, $E$13)</f>
        <v>3.7181999999999999</v>
      </c>
      <c r="D170" s="60">
        <f>3.7345 * CHOOSE(CONTROL!$C$22, $C$13, 100%, $E$13)</f>
        <v>3.7345000000000002</v>
      </c>
      <c r="E170" s="61">
        <f>4.2166 * CHOOSE(CONTROL!$C$22, $C$13, 100%, $E$13)</f>
        <v>4.2165999999999997</v>
      </c>
      <c r="F170" s="61">
        <f>4.2166 * CHOOSE(CONTROL!$C$22, $C$13, 100%, $E$13)</f>
        <v>4.2165999999999997</v>
      </c>
      <c r="G170" s="61">
        <f>4.2168 * CHOOSE(CONTROL!$C$22, $C$13, 100%, $E$13)</f>
        <v>4.2168000000000001</v>
      </c>
      <c r="H170" s="61">
        <f>7.8799* CHOOSE(CONTROL!$C$22, $C$13, 100%, $E$13)</f>
        <v>7.8799000000000001</v>
      </c>
      <c r="I170" s="61">
        <f>7.8801 * CHOOSE(CONTROL!$C$22, $C$13, 100%, $E$13)</f>
        <v>7.8800999999999997</v>
      </c>
      <c r="J170" s="61">
        <f>4.2166 * CHOOSE(CONTROL!$C$22, $C$13, 100%, $E$13)</f>
        <v>4.2165999999999997</v>
      </c>
      <c r="K170" s="61">
        <f>4.2168 * CHOOSE(CONTROL!$C$22, $C$13, 100%, $E$13)</f>
        <v>4.2168000000000001</v>
      </c>
    </row>
    <row r="171" spans="1:11" ht="15">
      <c r="A171" s="13">
        <v>47058</v>
      </c>
      <c r="B171" s="60">
        <f>3.7212 * CHOOSE(CONTROL!$C$22, $C$13, 100%, $E$13)</f>
        <v>3.7212000000000001</v>
      </c>
      <c r="C171" s="60">
        <f>3.7212 * CHOOSE(CONTROL!$C$22, $C$13, 100%, $E$13)</f>
        <v>3.7212000000000001</v>
      </c>
      <c r="D171" s="60">
        <f>3.7375 * CHOOSE(CONTROL!$C$22, $C$13, 100%, $E$13)</f>
        <v>3.7374999999999998</v>
      </c>
      <c r="E171" s="61">
        <f>4.2286 * CHOOSE(CONTROL!$C$22, $C$13, 100%, $E$13)</f>
        <v>4.2286000000000001</v>
      </c>
      <c r="F171" s="61">
        <f>4.2286 * CHOOSE(CONTROL!$C$22, $C$13, 100%, $E$13)</f>
        <v>4.2286000000000001</v>
      </c>
      <c r="G171" s="61">
        <f>4.2288 * CHOOSE(CONTROL!$C$22, $C$13, 100%, $E$13)</f>
        <v>4.2287999999999997</v>
      </c>
      <c r="H171" s="61">
        <f>7.8963* CHOOSE(CONTROL!$C$22, $C$13, 100%, $E$13)</f>
        <v>7.8963000000000001</v>
      </c>
      <c r="I171" s="61">
        <f>7.8965 * CHOOSE(CONTROL!$C$22, $C$13, 100%, $E$13)</f>
        <v>7.8964999999999996</v>
      </c>
      <c r="J171" s="61">
        <f>4.2286 * CHOOSE(CONTROL!$C$22, $C$13, 100%, $E$13)</f>
        <v>4.2286000000000001</v>
      </c>
      <c r="K171" s="61">
        <f>4.2288 * CHOOSE(CONTROL!$C$22, $C$13, 100%, $E$13)</f>
        <v>4.2287999999999997</v>
      </c>
    </row>
    <row r="172" spans="1:11" ht="15">
      <c r="A172" s="13">
        <v>47088</v>
      </c>
      <c r="B172" s="60">
        <f>3.7212 * CHOOSE(CONTROL!$C$22, $C$13, 100%, $E$13)</f>
        <v>3.7212000000000001</v>
      </c>
      <c r="C172" s="60">
        <f>3.7212 * CHOOSE(CONTROL!$C$22, $C$13, 100%, $E$13)</f>
        <v>3.7212000000000001</v>
      </c>
      <c r="D172" s="60">
        <f>3.7375 * CHOOSE(CONTROL!$C$22, $C$13, 100%, $E$13)</f>
        <v>3.7374999999999998</v>
      </c>
      <c r="E172" s="61">
        <f>4.2039 * CHOOSE(CONTROL!$C$22, $C$13, 100%, $E$13)</f>
        <v>4.2039</v>
      </c>
      <c r="F172" s="61">
        <f>4.2039 * CHOOSE(CONTROL!$C$22, $C$13, 100%, $E$13)</f>
        <v>4.2039</v>
      </c>
      <c r="G172" s="61">
        <f>4.2041 * CHOOSE(CONTROL!$C$22, $C$13, 100%, $E$13)</f>
        <v>4.2041000000000004</v>
      </c>
      <c r="H172" s="61">
        <f>7.9128* CHOOSE(CONTROL!$C$22, $C$13, 100%, $E$13)</f>
        <v>7.9127999999999998</v>
      </c>
      <c r="I172" s="61">
        <f>7.9129 * CHOOSE(CONTROL!$C$22, $C$13, 100%, $E$13)</f>
        <v>7.9128999999999996</v>
      </c>
      <c r="J172" s="61">
        <f>4.2039 * CHOOSE(CONTROL!$C$22, $C$13, 100%, $E$13)</f>
        <v>4.2039</v>
      </c>
      <c r="K172" s="61">
        <f>4.2041 * CHOOSE(CONTROL!$C$22, $C$13, 100%, $E$13)</f>
        <v>4.2041000000000004</v>
      </c>
    </row>
    <row r="173" spans="1:11" ht="15">
      <c r="A173" s="13">
        <v>47119</v>
      </c>
      <c r="B173" s="60">
        <f>3.7543 * CHOOSE(CONTROL!$C$22, $C$13, 100%, $E$13)</f>
        <v>3.7543000000000002</v>
      </c>
      <c r="C173" s="60">
        <f>3.7543 * CHOOSE(CONTROL!$C$22, $C$13, 100%, $E$13)</f>
        <v>3.7543000000000002</v>
      </c>
      <c r="D173" s="60">
        <f>3.7706 * CHOOSE(CONTROL!$C$22, $C$13, 100%, $E$13)</f>
        <v>3.7706</v>
      </c>
      <c r="E173" s="61">
        <f>4.2617 * CHOOSE(CONTROL!$C$22, $C$13, 100%, $E$13)</f>
        <v>4.2617000000000003</v>
      </c>
      <c r="F173" s="61">
        <f>4.2617 * CHOOSE(CONTROL!$C$22, $C$13, 100%, $E$13)</f>
        <v>4.2617000000000003</v>
      </c>
      <c r="G173" s="61">
        <f>4.2619 * CHOOSE(CONTROL!$C$22, $C$13, 100%, $E$13)</f>
        <v>4.2618999999999998</v>
      </c>
      <c r="H173" s="61">
        <f>7.9293* CHOOSE(CONTROL!$C$22, $C$13, 100%, $E$13)</f>
        <v>7.9292999999999996</v>
      </c>
      <c r="I173" s="61">
        <f>7.9294 * CHOOSE(CONTROL!$C$22, $C$13, 100%, $E$13)</f>
        <v>7.9294000000000002</v>
      </c>
      <c r="J173" s="61">
        <f>4.2617 * CHOOSE(CONTROL!$C$22, $C$13, 100%, $E$13)</f>
        <v>4.2617000000000003</v>
      </c>
      <c r="K173" s="61">
        <f>4.2619 * CHOOSE(CONTROL!$C$22, $C$13, 100%, $E$13)</f>
        <v>4.2618999999999998</v>
      </c>
    </row>
    <row r="174" spans="1:11" ht="15">
      <c r="A174" s="13">
        <v>47150</v>
      </c>
      <c r="B174" s="60">
        <f>3.7513 * CHOOSE(CONTROL!$C$22, $C$13, 100%, $E$13)</f>
        <v>3.7513000000000001</v>
      </c>
      <c r="C174" s="60">
        <f>3.7513 * CHOOSE(CONTROL!$C$22, $C$13, 100%, $E$13)</f>
        <v>3.7513000000000001</v>
      </c>
      <c r="D174" s="60">
        <f>3.7676 * CHOOSE(CONTROL!$C$22, $C$13, 100%, $E$13)</f>
        <v>3.7675999999999998</v>
      </c>
      <c r="E174" s="61">
        <f>4.2118 * CHOOSE(CONTROL!$C$22, $C$13, 100%, $E$13)</f>
        <v>4.2118000000000002</v>
      </c>
      <c r="F174" s="61">
        <f>4.2118 * CHOOSE(CONTROL!$C$22, $C$13, 100%, $E$13)</f>
        <v>4.2118000000000002</v>
      </c>
      <c r="G174" s="61">
        <f>4.212 * CHOOSE(CONTROL!$C$22, $C$13, 100%, $E$13)</f>
        <v>4.2119999999999997</v>
      </c>
      <c r="H174" s="61">
        <f>7.9458* CHOOSE(CONTROL!$C$22, $C$13, 100%, $E$13)</f>
        <v>7.9458000000000002</v>
      </c>
      <c r="I174" s="61">
        <f>7.9459 * CHOOSE(CONTROL!$C$22, $C$13, 100%, $E$13)</f>
        <v>7.9459</v>
      </c>
      <c r="J174" s="61">
        <f>4.2118 * CHOOSE(CONTROL!$C$22, $C$13, 100%, $E$13)</f>
        <v>4.2118000000000002</v>
      </c>
      <c r="K174" s="61">
        <f>4.212 * CHOOSE(CONTROL!$C$22, $C$13, 100%, $E$13)</f>
        <v>4.2119999999999997</v>
      </c>
    </row>
    <row r="175" spans="1:11" ht="15">
      <c r="A175" s="13">
        <v>47178</v>
      </c>
      <c r="B175" s="60">
        <f>3.7482 * CHOOSE(CONTROL!$C$22, $C$13, 100%, $E$13)</f>
        <v>3.7482000000000002</v>
      </c>
      <c r="C175" s="60">
        <f>3.7482 * CHOOSE(CONTROL!$C$22, $C$13, 100%, $E$13)</f>
        <v>3.7482000000000002</v>
      </c>
      <c r="D175" s="60">
        <f>3.7646 * CHOOSE(CONTROL!$C$22, $C$13, 100%, $E$13)</f>
        <v>3.7646000000000002</v>
      </c>
      <c r="E175" s="61">
        <f>4.2474 * CHOOSE(CONTROL!$C$22, $C$13, 100%, $E$13)</f>
        <v>4.2473999999999998</v>
      </c>
      <c r="F175" s="61">
        <f>4.2474 * CHOOSE(CONTROL!$C$22, $C$13, 100%, $E$13)</f>
        <v>4.2473999999999998</v>
      </c>
      <c r="G175" s="61">
        <f>4.2476 * CHOOSE(CONTROL!$C$22, $C$13, 100%, $E$13)</f>
        <v>4.2476000000000003</v>
      </c>
      <c r="H175" s="61">
        <f>7.9623* CHOOSE(CONTROL!$C$22, $C$13, 100%, $E$13)</f>
        <v>7.9622999999999999</v>
      </c>
      <c r="I175" s="61">
        <f>7.9625 * CHOOSE(CONTROL!$C$22, $C$13, 100%, $E$13)</f>
        <v>7.9625000000000004</v>
      </c>
      <c r="J175" s="61">
        <f>4.2474 * CHOOSE(CONTROL!$C$22, $C$13, 100%, $E$13)</f>
        <v>4.2473999999999998</v>
      </c>
      <c r="K175" s="61">
        <f>4.2476 * CHOOSE(CONTROL!$C$22, $C$13, 100%, $E$13)</f>
        <v>4.2476000000000003</v>
      </c>
    </row>
    <row r="176" spans="1:11" ht="15">
      <c r="A176" s="13">
        <v>47209</v>
      </c>
      <c r="B176" s="60">
        <f>3.7457 * CHOOSE(CONTROL!$C$22, $C$13, 100%, $E$13)</f>
        <v>3.7456999999999998</v>
      </c>
      <c r="C176" s="60">
        <f>3.7457 * CHOOSE(CONTROL!$C$22, $C$13, 100%, $E$13)</f>
        <v>3.7456999999999998</v>
      </c>
      <c r="D176" s="60">
        <f>3.7621 * CHOOSE(CONTROL!$C$22, $C$13, 100%, $E$13)</f>
        <v>3.7621000000000002</v>
      </c>
      <c r="E176" s="61">
        <f>4.2836 * CHOOSE(CONTROL!$C$22, $C$13, 100%, $E$13)</f>
        <v>4.2835999999999999</v>
      </c>
      <c r="F176" s="61">
        <f>4.2836 * CHOOSE(CONTROL!$C$22, $C$13, 100%, $E$13)</f>
        <v>4.2835999999999999</v>
      </c>
      <c r="G176" s="61">
        <f>4.2838 * CHOOSE(CONTROL!$C$22, $C$13, 100%, $E$13)</f>
        <v>4.2838000000000003</v>
      </c>
      <c r="H176" s="61">
        <f>7.9789* CHOOSE(CONTROL!$C$22, $C$13, 100%, $E$13)</f>
        <v>7.9789000000000003</v>
      </c>
      <c r="I176" s="61">
        <f>7.9791 * CHOOSE(CONTROL!$C$22, $C$13, 100%, $E$13)</f>
        <v>7.9790999999999999</v>
      </c>
      <c r="J176" s="61">
        <f>4.2836 * CHOOSE(CONTROL!$C$22, $C$13, 100%, $E$13)</f>
        <v>4.2835999999999999</v>
      </c>
      <c r="K176" s="61">
        <f>4.2838 * CHOOSE(CONTROL!$C$22, $C$13, 100%, $E$13)</f>
        <v>4.2838000000000003</v>
      </c>
    </row>
    <row r="177" spans="1:11" ht="15">
      <c r="A177" s="13">
        <v>47239</v>
      </c>
      <c r="B177" s="60">
        <f>3.7457 * CHOOSE(CONTROL!$C$22, $C$13, 100%, $E$13)</f>
        <v>3.7456999999999998</v>
      </c>
      <c r="C177" s="60">
        <f>3.7457 * CHOOSE(CONTROL!$C$22, $C$13, 100%, $E$13)</f>
        <v>3.7456999999999998</v>
      </c>
      <c r="D177" s="60">
        <f>3.7784 * CHOOSE(CONTROL!$C$22, $C$13, 100%, $E$13)</f>
        <v>3.7784</v>
      </c>
      <c r="E177" s="61">
        <f>4.2988 * CHOOSE(CONTROL!$C$22, $C$13, 100%, $E$13)</f>
        <v>4.2988</v>
      </c>
      <c r="F177" s="61">
        <f>4.2988 * CHOOSE(CONTROL!$C$22, $C$13, 100%, $E$13)</f>
        <v>4.2988</v>
      </c>
      <c r="G177" s="61">
        <f>4.3008 * CHOOSE(CONTROL!$C$22, $C$13, 100%, $E$13)</f>
        <v>4.3007999999999997</v>
      </c>
      <c r="H177" s="61">
        <f>7.9955* CHOOSE(CONTROL!$C$22, $C$13, 100%, $E$13)</f>
        <v>7.9954999999999998</v>
      </c>
      <c r="I177" s="61">
        <f>7.9976 * CHOOSE(CONTROL!$C$22, $C$13, 100%, $E$13)</f>
        <v>7.9976000000000003</v>
      </c>
      <c r="J177" s="61">
        <f>4.2988 * CHOOSE(CONTROL!$C$22, $C$13, 100%, $E$13)</f>
        <v>4.2988</v>
      </c>
      <c r="K177" s="61">
        <f>4.3008 * CHOOSE(CONTROL!$C$22, $C$13, 100%, $E$13)</f>
        <v>4.3007999999999997</v>
      </c>
    </row>
    <row r="178" spans="1:11" ht="15">
      <c r="A178" s="13">
        <v>47270</v>
      </c>
      <c r="B178" s="60">
        <f>3.7518 * CHOOSE(CONTROL!$C$22, $C$13, 100%, $E$13)</f>
        <v>3.7517999999999998</v>
      </c>
      <c r="C178" s="60">
        <f>3.7518 * CHOOSE(CONTROL!$C$22, $C$13, 100%, $E$13)</f>
        <v>3.7517999999999998</v>
      </c>
      <c r="D178" s="60">
        <f>3.7845 * CHOOSE(CONTROL!$C$22, $C$13, 100%, $E$13)</f>
        <v>3.7845</v>
      </c>
      <c r="E178" s="61">
        <f>4.2878 * CHOOSE(CONTROL!$C$22, $C$13, 100%, $E$13)</f>
        <v>4.2877999999999998</v>
      </c>
      <c r="F178" s="61">
        <f>4.2878 * CHOOSE(CONTROL!$C$22, $C$13, 100%, $E$13)</f>
        <v>4.2877999999999998</v>
      </c>
      <c r="G178" s="61">
        <f>4.2899 * CHOOSE(CONTROL!$C$22, $C$13, 100%, $E$13)</f>
        <v>4.2899000000000003</v>
      </c>
      <c r="H178" s="61">
        <f>8.0122* CHOOSE(CONTROL!$C$22, $C$13, 100%, $E$13)</f>
        <v>8.0122</v>
      </c>
      <c r="I178" s="61">
        <f>8.0142 * CHOOSE(CONTROL!$C$22, $C$13, 100%, $E$13)</f>
        <v>8.0142000000000007</v>
      </c>
      <c r="J178" s="61">
        <f>4.2878 * CHOOSE(CONTROL!$C$22, $C$13, 100%, $E$13)</f>
        <v>4.2877999999999998</v>
      </c>
      <c r="K178" s="61">
        <f>4.2899 * CHOOSE(CONTROL!$C$22, $C$13, 100%, $E$13)</f>
        <v>4.2899000000000003</v>
      </c>
    </row>
    <row r="179" spans="1:11" ht="15">
      <c r="A179" s="13">
        <v>47300</v>
      </c>
      <c r="B179" s="60">
        <f>3.8127 * CHOOSE(CONTROL!$C$22, $C$13, 100%, $E$13)</f>
        <v>3.8127</v>
      </c>
      <c r="C179" s="60">
        <f>3.8127 * CHOOSE(CONTROL!$C$22, $C$13, 100%, $E$13)</f>
        <v>3.8127</v>
      </c>
      <c r="D179" s="60">
        <f>3.8454 * CHOOSE(CONTROL!$C$22, $C$13, 100%, $E$13)</f>
        <v>3.8454000000000002</v>
      </c>
      <c r="E179" s="61">
        <f>4.3812 * CHOOSE(CONTROL!$C$22, $C$13, 100%, $E$13)</f>
        <v>4.3811999999999998</v>
      </c>
      <c r="F179" s="61">
        <f>4.3812 * CHOOSE(CONTROL!$C$22, $C$13, 100%, $E$13)</f>
        <v>4.3811999999999998</v>
      </c>
      <c r="G179" s="61">
        <f>4.3833 * CHOOSE(CONTROL!$C$22, $C$13, 100%, $E$13)</f>
        <v>4.3833000000000002</v>
      </c>
      <c r="H179" s="61">
        <f>8.0289* CHOOSE(CONTROL!$C$22, $C$13, 100%, $E$13)</f>
        <v>8.0289000000000001</v>
      </c>
      <c r="I179" s="61">
        <f>8.0309 * CHOOSE(CONTROL!$C$22, $C$13, 100%, $E$13)</f>
        <v>8.0309000000000008</v>
      </c>
      <c r="J179" s="61">
        <f>4.3812 * CHOOSE(CONTROL!$C$22, $C$13, 100%, $E$13)</f>
        <v>4.3811999999999998</v>
      </c>
      <c r="K179" s="61">
        <f>4.3833 * CHOOSE(CONTROL!$C$22, $C$13, 100%, $E$13)</f>
        <v>4.3833000000000002</v>
      </c>
    </row>
    <row r="180" spans="1:11" ht="15">
      <c r="A180" s="13">
        <v>47331</v>
      </c>
      <c r="B180" s="60">
        <f>3.8194 * CHOOSE(CONTROL!$C$22, $C$13, 100%, $E$13)</f>
        <v>3.8193999999999999</v>
      </c>
      <c r="C180" s="60">
        <f>3.8194 * CHOOSE(CONTROL!$C$22, $C$13, 100%, $E$13)</f>
        <v>3.8193999999999999</v>
      </c>
      <c r="D180" s="60">
        <f>3.8521 * CHOOSE(CONTROL!$C$22, $C$13, 100%, $E$13)</f>
        <v>3.8521000000000001</v>
      </c>
      <c r="E180" s="61">
        <f>4.3404 * CHOOSE(CONTROL!$C$22, $C$13, 100%, $E$13)</f>
        <v>4.3403999999999998</v>
      </c>
      <c r="F180" s="61">
        <f>4.3404 * CHOOSE(CONTROL!$C$22, $C$13, 100%, $E$13)</f>
        <v>4.3403999999999998</v>
      </c>
      <c r="G180" s="61">
        <f>4.3424 * CHOOSE(CONTROL!$C$22, $C$13, 100%, $E$13)</f>
        <v>4.3423999999999996</v>
      </c>
      <c r="H180" s="61">
        <f>8.0456* CHOOSE(CONTROL!$C$22, $C$13, 100%, $E$13)</f>
        <v>8.0456000000000003</v>
      </c>
      <c r="I180" s="61">
        <f>8.0476 * CHOOSE(CONTROL!$C$22, $C$13, 100%, $E$13)</f>
        <v>8.0475999999999992</v>
      </c>
      <c r="J180" s="61">
        <f>4.3404 * CHOOSE(CONTROL!$C$22, $C$13, 100%, $E$13)</f>
        <v>4.3403999999999998</v>
      </c>
      <c r="K180" s="61">
        <f>4.3424 * CHOOSE(CONTROL!$C$22, $C$13, 100%, $E$13)</f>
        <v>4.3423999999999996</v>
      </c>
    </row>
    <row r="181" spans="1:11" ht="15">
      <c r="A181" s="13">
        <v>47362</v>
      </c>
      <c r="B181" s="60">
        <f>3.8164 * CHOOSE(CONTROL!$C$22, $C$13, 100%, $E$13)</f>
        <v>3.8163999999999998</v>
      </c>
      <c r="C181" s="60">
        <f>3.8164 * CHOOSE(CONTROL!$C$22, $C$13, 100%, $E$13)</f>
        <v>3.8163999999999998</v>
      </c>
      <c r="D181" s="60">
        <f>3.849 * CHOOSE(CONTROL!$C$22, $C$13, 100%, $E$13)</f>
        <v>3.8490000000000002</v>
      </c>
      <c r="E181" s="61">
        <f>4.3332 * CHOOSE(CONTROL!$C$22, $C$13, 100%, $E$13)</f>
        <v>4.3331999999999997</v>
      </c>
      <c r="F181" s="61">
        <f>4.3332 * CHOOSE(CONTROL!$C$22, $C$13, 100%, $E$13)</f>
        <v>4.3331999999999997</v>
      </c>
      <c r="G181" s="61">
        <f>4.3352 * CHOOSE(CONTROL!$C$22, $C$13, 100%, $E$13)</f>
        <v>4.3352000000000004</v>
      </c>
      <c r="H181" s="61">
        <f>8.0624* CHOOSE(CONTROL!$C$22, $C$13, 100%, $E$13)</f>
        <v>8.0624000000000002</v>
      </c>
      <c r="I181" s="61">
        <f>8.0644 * CHOOSE(CONTROL!$C$22, $C$13, 100%, $E$13)</f>
        <v>8.0643999999999991</v>
      </c>
      <c r="J181" s="61">
        <f>4.3332 * CHOOSE(CONTROL!$C$22, $C$13, 100%, $E$13)</f>
        <v>4.3331999999999997</v>
      </c>
      <c r="K181" s="61">
        <f>4.3352 * CHOOSE(CONTROL!$C$22, $C$13, 100%, $E$13)</f>
        <v>4.3352000000000004</v>
      </c>
    </row>
    <row r="182" spans="1:11" ht="15">
      <c r="A182" s="13">
        <v>47392</v>
      </c>
      <c r="B182" s="60">
        <f>3.811 * CHOOSE(CONTROL!$C$22, $C$13, 100%, $E$13)</f>
        <v>3.8109999999999999</v>
      </c>
      <c r="C182" s="60">
        <f>3.811 * CHOOSE(CONTROL!$C$22, $C$13, 100%, $E$13)</f>
        <v>3.8109999999999999</v>
      </c>
      <c r="D182" s="60">
        <f>3.8274 * CHOOSE(CONTROL!$C$22, $C$13, 100%, $E$13)</f>
        <v>3.8273999999999999</v>
      </c>
      <c r="E182" s="61">
        <f>4.34 * CHOOSE(CONTROL!$C$22, $C$13, 100%, $E$13)</f>
        <v>4.34</v>
      </c>
      <c r="F182" s="61">
        <f>4.34 * CHOOSE(CONTROL!$C$22, $C$13, 100%, $E$13)</f>
        <v>4.34</v>
      </c>
      <c r="G182" s="61">
        <f>4.3402 * CHOOSE(CONTROL!$C$22, $C$13, 100%, $E$13)</f>
        <v>4.3402000000000003</v>
      </c>
      <c r="H182" s="61">
        <f>8.0792* CHOOSE(CONTROL!$C$22, $C$13, 100%, $E$13)</f>
        <v>8.0792000000000002</v>
      </c>
      <c r="I182" s="61">
        <f>8.0793 * CHOOSE(CONTROL!$C$22, $C$13, 100%, $E$13)</f>
        <v>8.0792999999999999</v>
      </c>
      <c r="J182" s="61">
        <f>4.34 * CHOOSE(CONTROL!$C$22, $C$13, 100%, $E$13)</f>
        <v>4.34</v>
      </c>
      <c r="K182" s="61">
        <f>4.3402 * CHOOSE(CONTROL!$C$22, $C$13, 100%, $E$13)</f>
        <v>4.3402000000000003</v>
      </c>
    </row>
    <row r="183" spans="1:11" ht="15">
      <c r="A183" s="13">
        <v>47423</v>
      </c>
      <c r="B183" s="60">
        <f>3.8141 * CHOOSE(CONTROL!$C$22, $C$13, 100%, $E$13)</f>
        <v>3.8140999999999998</v>
      </c>
      <c r="C183" s="60">
        <f>3.8141 * CHOOSE(CONTROL!$C$22, $C$13, 100%, $E$13)</f>
        <v>3.8140999999999998</v>
      </c>
      <c r="D183" s="60">
        <f>3.8304 * CHOOSE(CONTROL!$C$22, $C$13, 100%, $E$13)</f>
        <v>3.8304</v>
      </c>
      <c r="E183" s="61">
        <f>4.3522 * CHOOSE(CONTROL!$C$22, $C$13, 100%, $E$13)</f>
        <v>4.3521999999999998</v>
      </c>
      <c r="F183" s="61">
        <f>4.3522 * CHOOSE(CONTROL!$C$22, $C$13, 100%, $E$13)</f>
        <v>4.3521999999999998</v>
      </c>
      <c r="G183" s="61">
        <f>4.3524 * CHOOSE(CONTROL!$C$22, $C$13, 100%, $E$13)</f>
        <v>4.3524000000000003</v>
      </c>
      <c r="H183" s="61">
        <f>8.096* CHOOSE(CONTROL!$C$22, $C$13, 100%, $E$13)</f>
        <v>8.0960000000000001</v>
      </c>
      <c r="I183" s="61">
        <f>8.0962 * CHOOSE(CONTROL!$C$22, $C$13, 100%, $E$13)</f>
        <v>8.0961999999999996</v>
      </c>
      <c r="J183" s="61">
        <f>4.3522 * CHOOSE(CONTROL!$C$22, $C$13, 100%, $E$13)</f>
        <v>4.3521999999999998</v>
      </c>
      <c r="K183" s="61">
        <f>4.3524 * CHOOSE(CONTROL!$C$22, $C$13, 100%, $E$13)</f>
        <v>4.3524000000000003</v>
      </c>
    </row>
    <row r="184" spans="1:11" ht="15">
      <c r="A184" s="13">
        <v>47453</v>
      </c>
      <c r="B184" s="60">
        <f>3.8141 * CHOOSE(CONTROL!$C$22, $C$13, 100%, $E$13)</f>
        <v>3.8140999999999998</v>
      </c>
      <c r="C184" s="60">
        <f>3.8141 * CHOOSE(CONTROL!$C$22, $C$13, 100%, $E$13)</f>
        <v>3.8140999999999998</v>
      </c>
      <c r="D184" s="60">
        <f>3.8304 * CHOOSE(CONTROL!$C$22, $C$13, 100%, $E$13)</f>
        <v>3.8304</v>
      </c>
      <c r="E184" s="61">
        <f>4.327 * CHOOSE(CONTROL!$C$22, $C$13, 100%, $E$13)</f>
        <v>4.327</v>
      </c>
      <c r="F184" s="61">
        <f>4.327 * CHOOSE(CONTROL!$C$22, $C$13, 100%, $E$13)</f>
        <v>4.327</v>
      </c>
      <c r="G184" s="61">
        <f>4.3271 * CHOOSE(CONTROL!$C$22, $C$13, 100%, $E$13)</f>
        <v>4.3270999999999997</v>
      </c>
      <c r="H184" s="61">
        <f>8.1129* CHOOSE(CONTROL!$C$22, $C$13, 100%, $E$13)</f>
        <v>8.1128999999999998</v>
      </c>
      <c r="I184" s="61">
        <f>8.113 * CHOOSE(CONTROL!$C$22, $C$13, 100%, $E$13)</f>
        <v>8.1129999999999995</v>
      </c>
      <c r="J184" s="61">
        <f>4.327 * CHOOSE(CONTROL!$C$22, $C$13, 100%, $E$13)</f>
        <v>4.327</v>
      </c>
      <c r="K184" s="61">
        <f>4.3271 * CHOOSE(CONTROL!$C$22, $C$13, 100%, $E$13)</f>
        <v>4.3270999999999997</v>
      </c>
    </row>
    <row r="185" spans="1:11" ht="15">
      <c r="A185" s="13">
        <v>47484</v>
      </c>
      <c r="B185" s="60">
        <f>3.85 * CHOOSE(CONTROL!$C$22, $C$13, 100%, $E$13)</f>
        <v>3.85</v>
      </c>
      <c r="C185" s="60">
        <f>3.85 * CHOOSE(CONTROL!$C$22, $C$13, 100%, $E$13)</f>
        <v>3.85</v>
      </c>
      <c r="D185" s="60">
        <f>3.8664 * CHOOSE(CONTROL!$C$22, $C$13, 100%, $E$13)</f>
        <v>3.8664000000000001</v>
      </c>
      <c r="E185" s="61">
        <f>4.3833 * CHOOSE(CONTROL!$C$22, $C$13, 100%, $E$13)</f>
        <v>4.3833000000000002</v>
      </c>
      <c r="F185" s="61">
        <f>4.3833 * CHOOSE(CONTROL!$C$22, $C$13, 100%, $E$13)</f>
        <v>4.3833000000000002</v>
      </c>
      <c r="G185" s="61">
        <f>4.3835 * CHOOSE(CONTROL!$C$22, $C$13, 100%, $E$13)</f>
        <v>4.3834999999999997</v>
      </c>
      <c r="H185" s="61">
        <f>8.1298* CHOOSE(CONTROL!$C$22, $C$13, 100%, $E$13)</f>
        <v>8.1297999999999995</v>
      </c>
      <c r="I185" s="61">
        <f>8.1299 * CHOOSE(CONTROL!$C$22, $C$13, 100%, $E$13)</f>
        <v>8.1298999999999992</v>
      </c>
      <c r="J185" s="61">
        <f>4.3833 * CHOOSE(CONTROL!$C$22, $C$13, 100%, $E$13)</f>
        <v>4.3833000000000002</v>
      </c>
      <c r="K185" s="61">
        <f>4.3835 * CHOOSE(CONTROL!$C$22, $C$13, 100%, $E$13)</f>
        <v>4.3834999999999997</v>
      </c>
    </row>
    <row r="186" spans="1:11" ht="15">
      <c r="A186" s="13">
        <v>47515</v>
      </c>
      <c r="B186" s="60">
        <f>3.847 * CHOOSE(CONTROL!$C$22, $C$13, 100%, $E$13)</f>
        <v>3.847</v>
      </c>
      <c r="C186" s="60">
        <f>3.847 * CHOOSE(CONTROL!$C$22, $C$13, 100%, $E$13)</f>
        <v>3.847</v>
      </c>
      <c r="D186" s="60">
        <f>3.8633 * CHOOSE(CONTROL!$C$22, $C$13, 100%, $E$13)</f>
        <v>3.8633000000000002</v>
      </c>
      <c r="E186" s="61">
        <f>4.3322 * CHOOSE(CONTROL!$C$22, $C$13, 100%, $E$13)</f>
        <v>4.3322000000000003</v>
      </c>
      <c r="F186" s="61">
        <f>4.3322 * CHOOSE(CONTROL!$C$22, $C$13, 100%, $E$13)</f>
        <v>4.3322000000000003</v>
      </c>
      <c r="G186" s="61">
        <f>4.3324 * CHOOSE(CONTROL!$C$22, $C$13, 100%, $E$13)</f>
        <v>4.3323999999999998</v>
      </c>
      <c r="H186" s="61">
        <f>8.1467* CHOOSE(CONTROL!$C$22, $C$13, 100%, $E$13)</f>
        <v>8.1466999999999992</v>
      </c>
      <c r="I186" s="61">
        <f>8.1469 * CHOOSE(CONTROL!$C$22, $C$13, 100%, $E$13)</f>
        <v>8.1469000000000005</v>
      </c>
      <c r="J186" s="61">
        <f>4.3322 * CHOOSE(CONTROL!$C$22, $C$13, 100%, $E$13)</f>
        <v>4.3322000000000003</v>
      </c>
      <c r="K186" s="61">
        <f>4.3324 * CHOOSE(CONTROL!$C$22, $C$13, 100%, $E$13)</f>
        <v>4.3323999999999998</v>
      </c>
    </row>
    <row r="187" spans="1:11" ht="15">
      <c r="A187" s="13">
        <v>47543</v>
      </c>
      <c r="B187" s="60">
        <f>3.844 * CHOOSE(CONTROL!$C$22, $C$13, 100%, $E$13)</f>
        <v>3.8439999999999999</v>
      </c>
      <c r="C187" s="60">
        <f>3.844 * CHOOSE(CONTROL!$C$22, $C$13, 100%, $E$13)</f>
        <v>3.8439999999999999</v>
      </c>
      <c r="D187" s="60">
        <f>3.8603 * CHOOSE(CONTROL!$C$22, $C$13, 100%, $E$13)</f>
        <v>3.8603000000000001</v>
      </c>
      <c r="E187" s="61">
        <f>4.3687 * CHOOSE(CONTROL!$C$22, $C$13, 100%, $E$13)</f>
        <v>4.3686999999999996</v>
      </c>
      <c r="F187" s="61">
        <f>4.3687 * CHOOSE(CONTROL!$C$22, $C$13, 100%, $E$13)</f>
        <v>4.3686999999999996</v>
      </c>
      <c r="G187" s="61">
        <f>4.3689 * CHOOSE(CONTROL!$C$22, $C$13, 100%, $E$13)</f>
        <v>4.3689</v>
      </c>
      <c r="H187" s="61">
        <f>8.1637* CHOOSE(CONTROL!$C$22, $C$13, 100%, $E$13)</f>
        <v>8.1637000000000004</v>
      </c>
      <c r="I187" s="61">
        <f>8.1639 * CHOOSE(CONTROL!$C$22, $C$13, 100%, $E$13)</f>
        <v>8.1638999999999999</v>
      </c>
      <c r="J187" s="61">
        <f>4.3687 * CHOOSE(CONTROL!$C$22, $C$13, 100%, $E$13)</f>
        <v>4.3686999999999996</v>
      </c>
      <c r="K187" s="61">
        <f>4.3689 * CHOOSE(CONTROL!$C$22, $C$13, 100%, $E$13)</f>
        <v>4.3689</v>
      </c>
    </row>
    <row r="188" spans="1:11" ht="15">
      <c r="A188" s="13">
        <v>47574</v>
      </c>
      <c r="B188" s="60">
        <f>3.8415 * CHOOSE(CONTROL!$C$22, $C$13, 100%, $E$13)</f>
        <v>3.8414999999999999</v>
      </c>
      <c r="C188" s="60">
        <f>3.8415 * CHOOSE(CONTROL!$C$22, $C$13, 100%, $E$13)</f>
        <v>3.8414999999999999</v>
      </c>
      <c r="D188" s="60">
        <f>3.8579 * CHOOSE(CONTROL!$C$22, $C$13, 100%, $E$13)</f>
        <v>3.8578999999999999</v>
      </c>
      <c r="E188" s="61">
        <f>4.406 * CHOOSE(CONTROL!$C$22, $C$13, 100%, $E$13)</f>
        <v>4.4059999999999997</v>
      </c>
      <c r="F188" s="61">
        <f>4.406 * CHOOSE(CONTROL!$C$22, $C$13, 100%, $E$13)</f>
        <v>4.4059999999999997</v>
      </c>
      <c r="G188" s="61">
        <f>4.4061 * CHOOSE(CONTROL!$C$22, $C$13, 100%, $E$13)</f>
        <v>4.4061000000000003</v>
      </c>
      <c r="H188" s="61">
        <f>8.1807* CHOOSE(CONTROL!$C$22, $C$13, 100%, $E$13)</f>
        <v>8.1806999999999999</v>
      </c>
      <c r="I188" s="61">
        <f>8.1809 * CHOOSE(CONTROL!$C$22, $C$13, 100%, $E$13)</f>
        <v>8.1808999999999994</v>
      </c>
      <c r="J188" s="61">
        <f>4.406 * CHOOSE(CONTROL!$C$22, $C$13, 100%, $E$13)</f>
        <v>4.4059999999999997</v>
      </c>
      <c r="K188" s="61">
        <f>4.4061 * CHOOSE(CONTROL!$C$22, $C$13, 100%, $E$13)</f>
        <v>4.4061000000000003</v>
      </c>
    </row>
    <row r="189" spans="1:11" ht="15">
      <c r="A189" s="13">
        <v>47604</v>
      </c>
      <c r="B189" s="60">
        <f>3.8415 * CHOOSE(CONTROL!$C$22, $C$13, 100%, $E$13)</f>
        <v>3.8414999999999999</v>
      </c>
      <c r="C189" s="60">
        <f>3.8415 * CHOOSE(CONTROL!$C$22, $C$13, 100%, $E$13)</f>
        <v>3.8414999999999999</v>
      </c>
      <c r="D189" s="60">
        <f>3.8742 * CHOOSE(CONTROL!$C$22, $C$13, 100%, $E$13)</f>
        <v>3.8742000000000001</v>
      </c>
      <c r="E189" s="61">
        <f>4.4215 * CHOOSE(CONTROL!$C$22, $C$13, 100%, $E$13)</f>
        <v>4.4215</v>
      </c>
      <c r="F189" s="61">
        <f>4.4215 * CHOOSE(CONTROL!$C$22, $C$13, 100%, $E$13)</f>
        <v>4.4215</v>
      </c>
      <c r="G189" s="61">
        <f>4.4236 * CHOOSE(CONTROL!$C$22, $C$13, 100%, $E$13)</f>
        <v>4.4236000000000004</v>
      </c>
      <c r="H189" s="61">
        <f>8.1977* CHOOSE(CONTROL!$C$22, $C$13, 100%, $E$13)</f>
        <v>8.1976999999999993</v>
      </c>
      <c r="I189" s="61">
        <f>8.1998 * CHOOSE(CONTROL!$C$22, $C$13, 100%, $E$13)</f>
        <v>8.1997999999999998</v>
      </c>
      <c r="J189" s="61">
        <f>4.4215 * CHOOSE(CONTROL!$C$22, $C$13, 100%, $E$13)</f>
        <v>4.4215</v>
      </c>
      <c r="K189" s="61">
        <f>4.4236 * CHOOSE(CONTROL!$C$22, $C$13, 100%, $E$13)</f>
        <v>4.4236000000000004</v>
      </c>
    </row>
    <row r="190" spans="1:11" ht="15">
      <c r="A190" s="13">
        <v>47635</v>
      </c>
      <c r="B190" s="60">
        <f>3.8476 * CHOOSE(CONTROL!$C$22, $C$13, 100%, $E$13)</f>
        <v>3.8475999999999999</v>
      </c>
      <c r="C190" s="60">
        <f>3.8476 * CHOOSE(CONTROL!$C$22, $C$13, 100%, $E$13)</f>
        <v>3.8475999999999999</v>
      </c>
      <c r="D190" s="60">
        <f>3.8803 * CHOOSE(CONTROL!$C$22, $C$13, 100%, $E$13)</f>
        <v>3.8803000000000001</v>
      </c>
      <c r="E190" s="61">
        <f>4.4102 * CHOOSE(CONTROL!$C$22, $C$13, 100%, $E$13)</f>
        <v>4.4101999999999997</v>
      </c>
      <c r="F190" s="61">
        <f>4.4102 * CHOOSE(CONTROL!$C$22, $C$13, 100%, $E$13)</f>
        <v>4.4101999999999997</v>
      </c>
      <c r="G190" s="61">
        <f>4.4122 * CHOOSE(CONTROL!$C$22, $C$13, 100%, $E$13)</f>
        <v>4.4122000000000003</v>
      </c>
      <c r="H190" s="61">
        <f>8.2148* CHOOSE(CONTROL!$C$22, $C$13, 100%, $E$13)</f>
        <v>8.2148000000000003</v>
      </c>
      <c r="I190" s="61">
        <f>8.2168 * CHOOSE(CONTROL!$C$22, $C$13, 100%, $E$13)</f>
        <v>8.2167999999999992</v>
      </c>
      <c r="J190" s="61">
        <f>4.4102 * CHOOSE(CONTROL!$C$22, $C$13, 100%, $E$13)</f>
        <v>4.4101999999999997</v>
      </c>
      <c r="K190" s="61">
        <f>4.4122 * CHOOSE(CONTROL!$C$22, $C$13, 100%, $E$13)</f>
        <v>4.4122000000000003</v>
      </c>
    </row>
    <row r="191" spans="1:11" ht="15">
      <c r="A191" s="13">
        <v>47665</v>
      </c>
      <c r="B191" s="60">
        <f>3.915 * CHOOSE(CONTROL!$C$22, $C$13, 100%, $E$13)</f>
        <v>3.915</v>
      </c>
      <c r="C191" s="60">
        <f>3.915 * CHOOSE(CONTROL!$C$22, $C$13, 100%, $E$13)</f>
        <v>3.915</v>
      </c>
      <c r="D191" s="60">
        <f>3.9477 * CHOOSE(CONTROL!$C$22, $C$13, 100%, $E$13)</f>
        <v>3.9477000000000002</v>
      </c>
      <c r="E191" s="61">
        <f>4.4986 * CHOOSE(CONTROL!$C$22, $C$13, 100%, $E$13)</f>
        <v>4.4985999999999997</v>
      </c>
      <c r="F191" s="61">
        <f>4.4986 * CHOOSE(CONTROL!$C$22, $C$13, 100%, $E$13)</f>
        <v>4.4985999999999997</v>
      </c>
      <c r="G191" s="61">
        <f>4.5007 * CHOOSE(CONTROL!$C$22, $C$13, 100%, $E$13)</f>
        <v>4.5007000000000001</v>
      </c>
      <c r="H191" s="61">
        <f>8.2319* CHOOSE(CONTROL!$C$22, $C$13, 100%, $E$13)</f>
        <v>8.2318999999999996</v>
      </c>
      <c r="I191" s="61">
        <f>8.234 * CHOOSE(CONTROL!$C$22, $C$13, 100%, $E$13)</f>
        <v>8.234</v>
      </c>
      <c r="J191" s="61">
        <f>4.4986 * CHOOSE(CONTROL!$C$22, $C$13, 100%, $E$13)</f>
        <v>4.4985999999999997</v>
      </c>
      <c r="K191" s="61">
        <f>4.5007 * CHOOSE(CONTROL!$C$22, $C$13, 100%, $E$13)</f>
        <v>4.5007000000000001</v>
      </c>
    </row>
    <row r="192" spans="1:11" ht="15">
      <c r="A192" s="13">
        <v>47696</v>
      </c>
      <c r="B192" s="60">
        <f>3.9217 * CHOOSE(CONTROL!$C$22, $C$13, 100%, $E$13)</f>
        <v>3.9217</v>
      </c>
      <c r="C192" s="60">
        <f>3.9217 * CHOOSE(CONTROL!$C$22, $C$13, 100%, $E$13)</f>
        <v>3.9217</v>
      </c>
      <c r="D192" s="60">
        <f>3.9544 * CHOOSE(CONTROL!$C$22, $C$13, 100%, $E$13)</f>
        <v>3.9544000000000001</v>
      </c>
      <c r="E192" s="61">
        <f>4.4566 * CHOOSE(CONTROL!$C$22, $C$13, 100%, $E$13)</f>
        <v>4.4565999999999999</v>
      </c>
      <c r="F192" s="61">
        <f>4.4566 * CHOOSE(CONTROL!$C$22, $C$13, 100%, $E$13)</f>
        <v>4.4565999999999999</v>
      </c>
      <c r="G192" s="61">
        <f>4.4587 * CHOOSE(CONTROL!$C$22, $C$13, 100%, $E$13)</f>
        <v>4.4587000000000003</v>
      </c>
      <c r="H192" s="61">
        <f>8.2491* CHOOSE(CONTROL!$C$22, $C$13, 100%, $E$13)</f>
        <v>8.2491000000000003</v>
      </c>
      <c r="I192" s="61">
        <f>8.2511 * CHOOSE(CONTROL!$C$22, $C$13, 100%, $E$13)</f>
        <v>8.2510999999999992</v>
      </c>
      <c r="J192" s="61">
        <f>4.4566 * CHOOSE(CONTROL!$C$22, $C$13, 100%, $E$13)</f>
        <v>4.4565999999999999</v>
      </c>
      <c r="K192" s="61">
        <f>4.4587 * CHOOSE(CONTROL!$C$22, $C$13, 100%, $E$13)</f>
        <v>4.4587000000000003</v>
      </c>
    </row>
    <row r="193" spans="1:11" ht="15">
      <c r="A193" s="13">
        <v>47727</v>
      </c>
      <c r="B193" s="60">
        <f>3.9187 * CHOOSE(CONTROL!$C$22, $C$13, 100%, $E$13)</f>
        <v>3.9186999999999999</v>
      </c>
      <c r="C193" s="60">
        <f>3.9187 * CHOOSE(CONTROL!$C$22, $C$13, 100%, $E$13)</f>
        <v>3.9186999999999999</v>
      </c>
      <c r="D193" s="60">
        <f>3.9514 * CHOOSE(CONTROL!$C$22, $C$13, 100%, $E$13)</f>
        <v>3.9514</v>
      </c>
      <c r="E193" s="61">
        <f>4.4493 * CHOOSE(CONTROL!$C$22, $C$13, 100%, $E$13)</f>
        <v>4.4493</v>
      </c>
      <c r="F193" s="61">
        <f>4.4493 * CHOOSE(CONTROL!$C$22, $C$13, 100%, $E$13)</f>
        <v>4.4493</v>
      </c>
      <c r="G193" s="61">
        <f>4.4513 * CHOOSE(CONTROL!$C$22, $C$13, 100%, $E$13)</f>
        <v>4.4512999999999998</v>
      </c>
      <c r="H193" s="61">
        <f>8.2663* CHOOSE(CONTROL!$C$22, $C$13, 100%, $E$13)</f>
        <v>8.2662999999999993</v>
      </c>
      <c r="I193" s="61">
        <f>8.2683 * CHOOSE(CONTROL!$C$22, $C$13, 100%, $E$13)</f>
        <v>8.2683</v>
      </c>
      <c r="J193" s="61">
        <f>4.4493 * CHOOSE(CONTROL!$C$22, $C$13, 100%, $E$13)</f>
        <v>4.4493</v>
      </c>
      <c r="K193" s="61">
        <f>4.4513 * CHOOSE(CONTROL!$C$22, $C$13, 100%, $E$13)</f>
        <v>4.4512999999999998</v>
      </c>
    </row>
    <row r="194" spans="1:11" ht="15">
      <c r="A194" s="13">
        <v>47757</v>
      </c>
      <c r="B194" s="60">
        <f>3.9137 * CHOOSE(CONTROL!$C$22, $C$13, 100%, $E$13)</f>
        <v>3.9137</v>
      </c>
      <c r="C194" s="60">
        <f>3.9137 * CHOOSE(CONTROL!$C$22, $C$13, 100%, $E$13)</f>
        <v>3.9137</v>
      </c>
      <c r="D194" s="60">
        <f>3.9301 * CHOOSE(CONTROL!$C$22, $C$13, 100%, $E$13)</f>
        <v>3.9300999999999999</v>
      </c>
      <c r="E194" s="61">
        <f>4.4566 * CHOOSE(CONTROL!$C$22, $C$13, 100%, $E$13)</f>
        <v>4.4565999999999999</v>
      </c>
      <c r="F194" s="61">
        <f>4.4566 * CHOOSE(CONTROL!$C$22, $C$13, 100%, $E$13)</f>
        <v>4.4565999999999999</v>
      </c>
      <c r="G194" s="61">
        <f>4.4568 * CHOOSE(CONTROL!$C$22, $C$13, 100%, $E$13)</f>
        <v>4.4568000000000003</v>
      </c>
      <c r="H194" s="61">
        <f>8.2835* CHOOSE(CONTROL!$C$22, $C$13, 100%, $E$13)</f>
        <v>8.2835000000000001</v>
      </c>
      <c r="I194" s="61">
        <f>8.2837 * CHOOSE(CONTROL!$C$22, $C$13, 100%, $E$13)</f>
        <v>8.2836999999999996</v>
      </c>
      <c r="J194" s="61">
        <f>4.4566 * CHOOSE(CONTROL!$C$22, $C$13, 100%, $E$13)</f>
        <v>4.4565999999999999</v>
      </c>
      <c r="K194" s="61">
        <f>4.4568 * CHOOSE(CONTROL!$C$22, $C$13, 100%, $E$13)</f>
        <v>4.4568000000000003</v>
      </c>
    </row>
    <row r="195" spans="1:11" ht="15">
      <c r="A195" s="13">
        <v>47788</v>
      </c>
      <c r="B195" s="60">
        <f>3.9168 * CHOOSE(CONTROL!$C$22, $C$13, 100%, $E$13)</f>
        <v>3.9167999999999998</v>
      </c>
      <c r="C195" s="60">
        <f>3.9168 * CHOOSE(CONTROL!$C$22, $C$13, 100%, $E$13)</f>
        <v>3.9167999999999998</v>
      </c>
      <c r="D195" s="60">
        <f>3.9331 * CHOOSE(CONTROL!$C$22, $C$13, 100%, $E$13)</f>
        <v>3.9331</v>
      </c>
      <c r="E195" s="61">
        <f>4.4691 * CHOOSE(CONTROL!$C$22, $C$13, 100%, $E$13)</f>
        <v>4.4691000000000001</v>
      </c>
      <c r="F195" s="61">
        <f>4.4691 * CHOOSE(CONTROL!$C$22, $C$13, 100%, $E$13)</f>
        <v>4.4691000000000001</v>
      </c>
      <c r="G195" s="61">
        <f>4.4693 * CHOOSE(CONTROL!$C$22, $C$13, 100%, $E$13)</f>
        <v>4.4692999999999996</v>
      </c>
      <c r="H195" s="61">
        <f>8.3007* CHOOSE(CONTROL!$C$22, $C$13, 100%, $E$13)</f>
        <v>8.3007000000000009</v>
      </c>
      <c r="I195" s="61">
        <f>8.3009 * CHOOSE(CONTROL!$C$22, $C$13, 100%, $E$13)</f>
        <v>8.3009000000000004</v>
      </c>
      <c r="J195" s="61">
        <f>4.4691 * CHOOSE(CONTROL!$C$22, $C$13, 100%, $E$13)</f>
        <v>4.4691000000000001</v>
      </c>
      <c r="K195" s="61">
        <f>4.4693 * CHOOSE(CONTROL!$C$22, $C$13, 100%, $E$13)</f>
        <v>4.4692999999999996</v>
      </c>
    </row>
    <row r="196" spans="1:11" ht="15">
      <c r="A196" s="13">
        <v>47818</v>
      </c>
      <c r="B196" s="60">
        <f>3.9168 * CHOOSE(CONTROL!$C$22, $C$13, 100%, $E$13)</f>
        <v>3.9167999999999998</v>
      </c>
      <c r="C196" s="60">
        <f>3.9168 * CHOOSE(CONTROL!$C$22, $C$13, 100%, $E$13)</f>
        <v>3.9167999999999998</v>
      </c>
      <c r="D196" s="60">
        <f>3.9331 * CHOOSE(CONTROL!$C$22, $C$13, 100%, $E$13)</f>
        <v>3.9331</v>
      </c>
      <c r="E196" s="61">
        <f>4.4432 * CHOOSE(CONTROL!$C$22, $C$13, 100%, $E$13)</f>
        <v>4.4432</v>
      </c>
      <c r="F196" s="61">
        <f>4.4432 * CHOOSE(CONTROL!$C$22, $C$13, 100%, $E$13)</f>
        <v>4.4432</v>
      </c>
      <c r="G196" s="61">
        <f>4.4434 * CHOOSE(CONTROL!$C$22, $C$13, 100%, $E$13)</f>
        <v>4.4433999999999996</v>
      </c>
      <c r="H196" s="61">
        <f>8.318* CHOOSE(CONTROL!$C$22, $C$13, 100%, $E$13)</f>
        <v>8.3179999999999996</v>
      </c>
      <c r="I196" s="61">
        <f>8.3182 * CHOOSE(CONTROL!$C$22, $C$13, 100%, $E$13)</f>
        <v>8.3181999999999992</v>
      </c>
      <c r="J196" s="61">
        <f>4.4432 * CHOOSE(CONTROL!$C$22, $C$13, 100%, $E$13)</f>
        <v>4.4432</v>
      </c>
      <c r="K196" s="61">
        <f>4.4434 * CHOOSE(CONTROL!$C$22, $C$13, 100%, $E$13)</f>
        <v>4.4433999999999996</v>
      </c>
    </row>
    <row r="197" spans="1:11" ht="15">
      <c r="A197" s="13">
        <v>47849</v>
      </c>
      <c r="B197" s="60">
        <f>3.9538 * CHOOSE(CONTROL!$C$22, $C$13, 100%, $E$13)</f>
        <v>3.9538000000000002</v>
      </c>
      <c r="C197" s="60">
        <f>3.9538 * CHOOSE(CONTROL!$C$22, $C$13, 100%, $E$13)</f>
        <v>3.9538000000000002</v>
      </c>
      <c r="D197" s="60">
        <f>3.9701 * CHOOSE(CONTROL!$C$22, $C$13, 100%, $E$13)</f>
        <v>3.9701</v>
      </c>
      <c r="E197" s="61">
        <f>4.5104 * CHOOSE(CONTROL!$C$22, $C$13, 100%, $E$13)</f>
        <v>4.5103999999999997</v>
      </c>
      <c r="F197" s="61">
        <f>4.5104 * CHOOSE(CONTROL!$C$22, $C$13, 100%, $E$13)</f>
        <v>4.5103999999999997</v>
      </c>
      <c r="G197" s="61">
        <f>4.5106 * CHOOSE(CONTROL!$C$22, $C$13, 100%, $E$13)</f>
        <v>4.5106000000000002</v>
      </c>
      <c r="H197" s="61">
        <f>8.3354* CHOOSE(CONTROL!$C$22, $C$13, 100%, $E$13)</f>
        <v>8.3353999999999999</v>
      </c>
      <c r="I197" s="61">
        <f>8.3355 * CHOOSE(CONTROL!$C$22, $C$13, 100%, $E$13)</f>
        <v>8.3354999999999997</v>
      </c>
      <c r="J197" s="61">
        <f>4.5104 * CHOOSE(CONTROL!$C$22, $C$13, 100%, $E$13)</f>
        <v>4.5103999999999997</v>
      </c>
      <c r="K197" s="61">
        <f>4.5106 * CHOOSE(CONTROL!$C$22, $C$13, 100%, $E$13)</f>
        <v>4.5106000000000002</v>
      </c>
    </row>
    <row r="198" spans="1:11" ht="15">
      <c r="A198" s="13">
        <v>47880</v>
      </c>
      <c r="B198" s="60">
        <f>3.9507 * CHOOSE(CONTROL!$C$22, $C$13, 100%, $E$13)</f>
        <v>3.9506999999999999</v>
      </c>
      <c r="C198" s="60">
        <f>3.9507 * CHOOSE(CONTROL!$C$22, $C$13, 100%, $E$13)</f>
        <v>3.9506999999999999</v>
      </c>
      <c r="D198" s="60">
        <f>3.9671 * CHOOSE(CONTROL!$C$22, $C$13, 100%, $E$13)</f>
        <v>3.9670999999999998</v>
      </c>
      <c r="E198" s="61">
        <f>4.4581 * CHOOSE(CONTROL!$C$22, $C$13, 100%, $E$13)</f>
        <v>4.4581</v>
      </c>
      <c r="F198" s="61">
        <f>4.4581 * CHOOSE(CONTROL!$C$22, $C$13, 100%, $E$13)</f>
        <v>4.4581</v>
      </c>
      <c r="G198" s="61">
        <f>4.4582 * CHOOSE(CONTROL!$C$22, $C$13, 100%, $E$13)</f>
        <v>4.4581999999999997</v>
      </c>
      <c r="H198" s="61">
        <f>8.3527* CHOOSE(CONTROL!$C$22, $C$13, 100%, $E$13)</f>
        <v>8.3527000000000005</v>
      </c>
      <c r="I198" s="61">
        <f>8.3529 * CHOOSE(CONTROL!$C$22, $C$13, 100%, $E$13)</f>
        <v>8.3529</v>
      </c>
      <c r="J198" s="61">
        <f>4.4581 * CHOOSE(CONTROL!$C$22, $C$13, 100%, $E$13)</f>
        <v>4.4581</v>
      </c>
      <c r="K198" s="61">
        <f>4.4582 * CHOOSE(CONTROL!$C$22, $C$13, 100%, $E$13)</f>
        <v>4.4581999999999997</v>
      </c>
    </row>
    <row r="199" spans="1:11" ht="15">
      <c r="A199" s="13">
        <v>47908</v>
      </c>
      <c r="B199" s="60">
        <f>3.9477 * CHOOSE(CONTROL!$C$22, $C$13, 100%, $E$13)</f>
        <v>3.9477000000000002</v>
      </c>
      <c r="C199" s="60">
        <f>3.9477 * CHOOSE(CONTROL!$C$22, $C$13, 100%, $E$13)</f>
        <v>3.9477000000000002</v>
      </c>
      <c r="D199" s="60">
        <f>3.964 * CHOOSE(CONTROL!$C$22, $C$13, 100%, $E$13)</f>
        <v>3.964</v>
      </c>
      <c r="E199" s="61">
        <f>4.4956 * CHOOSE(CONTROL!$C$22, $C$13, 100%, $E$13)</f>
        <v>4.4955999999999996</v>
      </c>
      <c r="F199" s="61">
        <f>4.4956 * CHOOSE(CONTROL!$C$22, $C$13, 100%, $E$13)</f>
        <v>4.4955999999999996</v>
      </c>
      <c r="G199" s="61">
        <f>4.4957 * CHOOSE(CONTROL!$C$22, $C$13, 100%, $E$13)</f>
        <v>4.4957000000000003</v>
      </c>
      <c r="H199" s="61">
        <f>8.3701* CHOOSE(CONTROL!$C$22, $C$13, 100%, $E$13)</f>
        <v>8.3701000000000008</v>
      </c>
      <c r="I199" s="61">
        <f>8.3703 * CHOOSE(CONTROL!$C$22, $C$13, 100%, $E$13)</f>
        <v>8.3703000000000003</v>
      </c>
      <c r="J199" s="61">
        <f>4.4956 * CHOOSE(CONTROL!$C$22, $C$13, 100%, $E$13)</f>
        <v>4.4955999999999996</v>
      </c>
      <c r="K199" s="61">
        <f>4.4957 * CHOOSE(CONTROL!$C$22, $C$13, 100%, $E$13)</f>
        <v>4.4957000000000003</v>
      </c>
    </row>
    <row r="200" spans="1:11" ht="15">
      <c r="A200" s="13">
        <v>47939</v>
      </c>
      <c r="B200" s="60">
        <f>3.9454 * CHOOSE(CONTROL!$C$22, $C$13, 100%, $E$13)</f>
        <v>3.9453999999999998</v>
      </c>
      <c r="C200" s="60">
        <f>3.9454 * CHOOSE(CONTROL!$C$22, $C$13, 100%, $E$13)</f>
        <v>3.9453999999999998</v>
      </c>
      <c r="D200" s="60">
        <f>3.9617 * CHOOSE(CONTROL!$C$22, $C$13, 100%, $E$13)</f>
        <v>3.9617</v>
      </c>
      <c r="E200" s="61">
        <f>4.5339 * CHOOSE(CONTROL!$C$22, $C$13, 100%, $E$13)</f>
        <v>4.5339</v>
      </c>
      <c r="F200" s="61">
        <f>4.5339 * CHOOSE(CONTROL!$C$22, $C$13, 100%, $E$13)</f>
        <v>4.5339</v>
      </c>
      <c r="G200" s="61">
        <f>4.5341 * CHOOSE(CONTROL!$C$22, $C$13, 100%, $E$13)</f>
        <v>4.5340999999999996</v>
      </c>
      <c r="H200" s="61">
        <f>8.3876* CHOOSE(CONTROL!$C$22, $C$13, 100%, $E$13)</f>
        <v>8.3876000000000008</v>
      </c>
      <c r="I200" s="61">
        <f>8.3877 * CHOOSE(CONTROL!$C$22, $C$13, 100%, $E$13)</f>
        <v>8.3877000000000006</v>
      </c>
      <c r="J200" s="61">
        <f>4.5339 * CHOOSE(CONTROL!$C$22, $C$13, 100%, $E$13)</f>
        <v>4.5339</v>
      </c>
      <c r="K200" s="61">
        <f>4.5341 * CHOOSE(CONTROL!$C$22, $C$13, 100%, $E$13)</f>
        <v>4.5340999999999996</v>
      </c>
    </row>
    <row r="201" spans="1:11" ht="15">
      <c r="A201" s="13">
        <v>47969</v>
      </c>
      <c r="B201" s="60">
        <f>3.9454 * CHOOSE(CONTROL!$C$22, $C$13, 100%, $E$13)</f>
        <v>3.9453999999999998</v>
      </c>
      <c r="C201" s="60">
        <f>3.9454 * CHOOSE(CONTROL!$C$22, $C$13, 100%, $E$13)</f>
        <v>3.9453999999999998</v>
      </c>
      <c r="D201" s="60">
        <f>3.9781 * CHOOSE(CONTROL!$C$22, $C$13, 100%, $E$13)</f>
        <v>3.9781</v>
      </c>
      <c r="E201" s="61">
        <f>4.5498 * CHOOSE(CONTROL!$C$22, $C$13, 100%, $E$13)</f>
        <v>4.5498000000000003</v>
      </c>
      <c r="F201" s="61">
        <f>4.5498 * CHOOSE(CONTROL!$C$22, $C$13, 100%, $E$13)</f>
        <v>4.5498000000000003</v>
      </c>
      <c r="G201" s="61">
        <f>4.5519 * CHOOSE(CONTROL!$C$22, $C$13, 100%, $E$13)</f>
        <v>4.5518999999999998</v>
      </c>
      <c r="H201" s="61">
        <f>8.405* CHOOSE(CONTROL!$C$22, $C$13, 100%, $E$13)</f>
        <v>8.4049999999999994</v>
      </c>
      <c r="I201" s="61">
        <f>8.4071 * CHOOSE(CONTROL!$C$22, $C$13, 100%, $E$13)</f>
        <v>8.4070999999999998</v>
      </c>
      <c r="J201" s="61">
        <f>4.5498 * CHOOSE(CONTROL!$C$22, $C$13, 100%, $E$13)</f>
        <v>4.5498000000000003</v>
      </c>
      <c r="K201" s="61">
        <f>4.5519 * CHOOSE(CONTROL!$C$22, $C$13, 100%, $E$13)</f>
        <v>4.5518999999999998</v>
      </c>
    </row>
    <row r="202" spans="1:11" ht="15">
      <c r="A202" s="13">
        <v>48000</v>
      </c>
      <c r="B202" s="60">
        <f>3.9515 * CHOOSE(CONTROL!$C$22, $C$13, 100%, $E$13)</f>
        <v>3.9514999999999998</v>
      </c>
      <c r="C202" s="60">
        <f>3.9515 * CHOOSE(CONTROL!$C$22, $C$13, 100%, $E$13)</f>
        <v>3.9514999999999998</v>
      </c>
      <c r="D202" s="60">
        <f>3.9841 * CHOOSE(CONTROL!$C$22, $C$13, 100%, $E$13)</f>
        <v>3.9841000000000002</v>
      </c>
      <c r="E202" s="61">
        <f>4.5381 * CHOOSE(CONTROL!$C$22, $C$13, 100%, $E$13)</f>
        <v>4.5381</v>
      </c>
      <c r="F202" s="61">
        <f>4.5381 * CHOOSE(CONTROL!$C$22, $C$13, 100%, $E$13)</f>
        <v>4.5381</v>
      </c>
      <c r="G202" s="61">
        <f>4.5402 * CHOOSE(CONTROL!$C$22, $C$13, 100%, $E$13)</f>
        <v>4.5401999999999996</v>
      </c>
      <c r="H202" s="61">
        <f>8.4226* CHOOSE(CONTROL!$C$22, $C$13, 100%, $E$13)</f>
        <v>8.4225999999999992</v>
      </c>
      <c r="I202" s="61">
        <f>8.4246 * CHOOSE(CONTROL!$C$22, $C$13, 100%, $E$13)</f>
        <v>8.4245999999999999</v>
      </c>
      <c r="J202" s="61">
        <f>4.5381 * CHOOSE(CONTROL!$C$22, $C$13, 100%, $E$13)</f>
        <v>4.5381</v>
      </c>
      <c r="K202" s="61">
        <f>4.5402 * CHOOSE(CONTROL!$C$22, $C$13, 100%, $E$13)</f>
        <v>4.5401999999999996</v>
      </c>
    </row>
    <row r="203" spans="1:11" ht="15">
      <c r="A203" s="13">
        <v>48030</v>
      </c>
      <c r="B203" s="60">
        <f>4.021 * CHOOSE(CONTROL!$C$22, $C$13, 100%, $E$13)</f>
        <v>4.0209999999999999</v>
      </c>
      <c r="C203" s="60">
        <f>4.021 * CHOOSE(CONTROL!$C$22, $C$13, 100%, $E$13)</f>
        <v>4.0209999999999999</v>
      </c>
      <c r="D203" s="60">
        <f>4.0536 * CHOOSE(CONTROL!$C$22, $C$13, 100%, $E$13)</f>
        <v>4.0536000000000003</v>
      </c>
      <c r="E203" s="61">
        <f>4.6515 * CHOOSE(CONTROL!$C$22, $C$13, 100%, $E$13)</f>
        <v>4.6515000000000004</v>
      </c>
      <c r="F203" s="61">
        <f>4.6515 * CHOOSE(CONTROL!$C$22, $C$13, 100%, $E$13)</f>
        <v>4.6515000000000004</v>
      </c>
      <c r="G203" s="61">
        <f>4.6535 * CHOOSE(CONTROL!$C$22, $C$13, 100%, $E$13)</f>
        <v>4.6535000000000002</v>
      </c>
      <c r="H203" s="61">
        <f>8.4401* CHOOSE(CONTROL!$C$22, $C$13, 100%, $E$13)</f>
        <v>8.4400999999999993</v>
      </c>
      <c r="I203" s="61">
        <f>8.4421 * CHOOSE(CONTROL!$C$22, $C$13, 100%, $E$13)</f>
        <v>8.4420999999999999</v>
      </c>
      <c r="J203" s="61">
        <f>4.6515 * CHOOSE(CONTROL!$C$22, $C$13, 100%, $E$13)</f>
        <v>4.6515000000000004</v>
      </c>
      <c r="K203" s="61">
        <f>4.6535 * CHOOSE(CONTROL!$C$22, $C$13, 100%, $E$13)</f>
        <v>4.6535000000000002</v>
      </c>
    </row>
    <row r="204" spans="1:11" ht="15">
      <c r="A204" s="13">
        <v>48061</v>
      </c>
      <c r="B204" s="60">
        <f>4.0277 * CHOOSE(CONTROL!$C$22, $C$13, 100%, $E$13)</f>
        <v>4.0277000000000003</v>
      </c>
      <c r="C204" s="60">
        <f>4.0277 * CHOOSE(CONTROL!$C$22, $C$13, 100%, $E$13)</f>
        <v>4.0277000000000003</v>
      </c>
      <c r="D204" s="60">
        <f>4.0603 * CHOOSE(CONTROL!$C$22, $C$13, 100%, $E$13)</f>
        <v>4.0602999999999998</v>
      </c>
      <c r="E204" s="61">
        <f>4.6083 * CHOOSE(CONTROL!$C$22, $C$13, 100%, $E$13)</f>
        <v>4.6082999999999998</v>
      </c>
      <c r="F204" s="61">
        <f>4.6083 * CHOOSE(CONTROL!$C$22, $C$13, 100%, $E$13)</f>
        <v>4.6082999999999998</v>
      </c>
      <c r="G204" s="61">
        <f>4.6103 * CHOOSE(CONTROL!$C$22, $C$13, 100%, $E$13)</f>
        <v>4.6102999999999996</v>
      </c>
      <c r="H204" s="61">
        <f>8.4577* CHOOSE(CONTROL!$C$22, $C$13, 100%, $E$13)</f>
        <v>8.4577000000000009</v>
      </c>
      <c r="I204" s="61">
        <f>8.4597 * CHOOSE(CONTROL!$C$22, $C$13, 100%, $E$13)</f>
        <v>8.4596999999999998</v>
      </c>
      <c r="J204" s="61">
        <f>4.6083 * CHOOSE(CONTROL!$C$22, $C$13, 100%, $E$13)</f>
        <v>4.6082999999999998</v>
      </c>
      <c r="K204" s="61">
        <f>4.6103 * CHOOSE(CONTROL!$C$22, $C$13, 100%, $E$13)</f>
        <v>4.6102999999999996</v>
      </c>
    </row>
    <row r="205" spans="1:11" ht="15">
      <c r="A205" s="13">
        <v>48092</v>
      </c>
      <c r="B205" s="60">
        <f>4.0246 * CHOOSE(CONTROL!$C$22, $C$13, 100%, $E$13)</f>
        <v>4.0246000000000004</v>
      </c>
      <c r="C205" s="60">
        <f>4.0246 * CHOOSE(CONTROL!$C$22, $C$13, 100%, $E$13)</f>
        <v>4.0246000000000004</v>
      </c>
      <c r="D205" s="60">
        <f>4.0573 * CHOOSE(CONTROL!$C$22, $C$13, 100%, $E$13)</f>
        <v>4.0572999999999997</v>
      </c>
      <c r="E205" s="61">
        <f>4.6008 * CHOOSE(CONTROL!$C$22, $C$13, 100%, $E$13)</f>
        <v>4.6007999999999996</v>
      </c>
      <c r="F205" s="61">
        <f>4.6008 * CHOOSE(CONTROL!$C$22, $C$13, 100%, $E$13)</f>
        <v>4.6007999999999996</v>
      </c>
      <c r="G205" s="61">
        <f>4.6028 * CHOOSE(CONTROL!$C$22, $C$13, 100%, $E$13)</f>
        <v>4.6028000000000002</v>
      </c>
      <c r="H205" s="61">
        <f>8.4753* CHOOSE(CONTROL!$C$22, $C$13, 100%, $E$13)</f>
        <v>8.4753000000000007</v>
      </c>
      <c r="I205" s="61">
        <f>8.4773 * CHOOSE(CONTROL!$C$22, $C$13, 100%, $E$13)</f>
        <v>8.4772999999999996</v>
      </c>
      <c r="J205" s="61">
        <f>4.6008 * CHOOSE(CONTROL!$C$22, $C$13, 100%, $E$13)</f>
        <v>4.6007999999999996</v>
      </c>
      <c r="K205" s="61">
        <f>4.6028 * CHOOSE(CONTROL!$C$22, $C$13, 100%, $E$13)</f>
        <v>4.6028000000000002</v>
      </c>
    </row>
    <row r="206" spans="1:11" ht="15">
      <c r="A206" s="13">
        <v>48122</v>
      </c>
      <c r="B206" s="60">
        <f>4.02 * CHOOSE(CONTROL!$C$22, $C$13, 100%, $E$13)</f>
        <v>4.0199999999999996</v>
      </c>
      <c r="C206" s="60">
        <f>4.02 * CHOOSE(CONTROL!$C$22, $C$13, 100%, $E$13)</f>
        <v>4.0199999999999996</v>
      </c>
      <c r="D206" s="60">
        <f>4.0364 * CHOOSE(CONTROL!$C$22, $C$13, 100%, $E$13)</f>
        <v>4.0364000000000004</v>
      </c>
      <c r="E206" s="61">
        <f>4.6087 * CHOOSE(CONTROL!$C$22, $C$13, 100%, $E$13)</f>
        <v>4.6086999999999998</v>
      </c>
      <c r="F206" s="61">
        <f>4.6087 * CHOOSE(CONTROL!$C$22, $C$13, 100%, $E$13)</f>
        <v>4.6086999999999998</v>
      </c>
      <c r="G206" s="61">
        <f>4.6089 * CHOOSE(CONTROL!$C$22, $C$13, 100%, $E$13)</f>
        <v>4.6089000000000002</v>
      </c>
      <c r="H206" s="61">
        <f>8.493* CHOOSE(CONTROL!$C$22, $C$13, 100%, $E$13)</f>
        <v>8.4930000000000003</v>
      </c>
      <c r="I206" s="61">
        <f>8.4931 * CHOOSE(CONTROL!$C$22, $C$13, 100%, $E$13)</f>
        <v>8.4931000000000001</v>
      </c>
      <c r="J206" s="61">
        <f>4.6087 * CHOOSE(CONTROL!$C$22, $C$13, 100%, $E$13)</f>
        <v>4.6086999999999998</v>
      </c>
      <c r="K206" s="61">
        <f>4.6089 * CHOOSE(CONTROL!$C$22, $C$13, 100%, $E$13)</f>
        <v>4.6089000000000002</v>
      </c>
    </row>
    <row r="207" spans="1:11" ht="15">
      <c r="A207" s="13">
        <v>48153</v>
      </c>
      <c r="B207" s="60">
        <f>4.0231 * CHOOSE(CONTROL!$C$22, $C$13, 100%, $E$13)</f>
        <v>4.0231000000000003</v>
      </c>
      <c r="C207" s="60">
        <f>4.0231 * CHOOSE(CONTROL!$C$22, $C$13, 100%, $E$13)</f>
        <v>4.0231000000000003</v>
      </c>
      <c r="D207" s="60">
        <f>4.0394 * CHOOSE(CONTROL!$C$22, $C$13, 100%, $E$13)</f>
        <v>4.0393999999999997</v>
      </c>
      <c r="E207" s="61">
        <f>4.6214 * CHOOSE(CONTROL!$C$22, $C$13, 100%, $E$13)</f>
        <v>4.6214000000000004</v>
      </c>
      <c r="F207" s="61">
        <f>4.6214 * CHOOSE(CONTROL!$C$22, $C$13, 100%, $E$13)</f>
        <v>4.6214000000000004</v>
      </c>
      <c r="G207" s="61">
        <f>4.6216 * CHOOSE(CONTROL!$C$22, $C$13, 100%, $E$13)</f>
        <v>4.6215999999999999</v>
      </c>
      <c r="H207" s="61">
        <f>8.5107* CHOOSE(CONTROL!$C$22, $C$13, 100%, $E$13)</f>
        <v>8.5106999999999999</v>
      </c>
      <c r="I207" s="61">
        <f>8.5108 * CHOOSE(CONTROL!$C$22, $C$13, 100%, $E$13)</f>
        <v>8.5107999999999997</v>
      </c>
      <c r="J207" s="61">
        <f>4.6214 * CHOOSE(CONTROL!$C$22, $C$13, 100%, $E$13)</f>
        <v>4.6214000000000004</v>
      </c>
      <c r="K207" s="61">
        <f>4.6216 * CHOOSE(CONTROL!$C$22, $C$13, 100%, $E$13)</f>
        <v>4.6215999999999999</v>
      </c>
    </row>
    <row r="208" spans="1:11" ht="15">
      <c r="A208" s="13">
        <v>48183</v>
      </c>
      <c r="B208" s="60">
        <f>4.0231 * CHOOSE(CONTROL!$C$22, $C$13, 100%, $E$13)</f>
        <v>4.0231000000000003</v>
      </c>
      <c r="C208" s="60">
        <f>4.0231 * CHOOSE(CONTROL!$C$22, $C$13, 100%, $E$13)</f>
        <v>4.0231000000000003</v>
      </c>
      <c r="D208" s="60">
        <f>4.0394 * CHOOSE(CONTROL!$C$22, $C$13, 100%, $E$13)</f>
        <v>4.0393999999999997</v>
      </c>
      <c r="E208" s="61">
        <f>4.5948 * CHOOSE(CONTROL!$C$22, $C$13, 100%, $E$13)</f>
        <v>4.5948000000000002</v>
      </c>
      <c r="F208" s="61">
        <f>4.5948 * CHOOSE(CONTROL!$C$22, $C$13, 100%, $E$13)</f>
        <v>4.5948000000000002</v>
      </c>
      <c r="G208" s="61">
        <f>4.595 * CHOOSE(CONTROL!$C$22, $C$13, 100%, $E$13)</f>
        <v>4.5949999999999998</v>
      </c>
      <c r="H208" s="61">
        <f>8.5284* CHOOSE(CONTROL!$C$22, $C$13, 100%, $E$13)</f>
        <v>8.5283999999999995</v>
      </c>
      <c r="I208" s="61">
        <f>8.5286 * CHOOSE(CONTROL!$C$22, $C$13, 100%, $E$13)</f>
        <v>8.5286000000000008</v>
      </c>
      <c r="J208" s="61">
        <f>4.5948 * CHOOSE(CONTROL!$C$22, $C$13, 100%, $E$13)</f>
        <v>4.5948000000000002</v>
      </c>
      <c r="K208" s="61">
        <f>4.595 * CHOOSE(CONTROL!$C$22, $C$13, 100%, $E$13)</f>
        <v>4.5949999999999998</v>
      </c>
    </row>
    <row r="209" spans="1:11" ht="15">
      <c r="A209" s="13">
        <v>48214</v>
      </c>
      <c r="B209" s="60">
        <f>4.0668 * CHOOSE(CONTROL!$C$22, $C$13, 100%, $E$13)</f>
        <v>4.0667999999999997</v>
      </c>
      <c r="C209" s="60">
        <f>4.0668 * CHOOSE(CONTROL!$C$22, $C$13, 100%, $E$13)</f>
        <v>4.0667999999999997</v>
      </c>
      <c r="D209" s="60">
        <f>4.0831 * CHOOSE(CONTROL!$C$22, $C$13, 100%, $E$13)</f>
        <v>4.0831</v>
      </c>
      <c r="E209" s="61">
        <f>4.6594 * CHOOSE(CONTROL!$C$22, $C$13, 100%, $E$13)</f>
        <v>4.6593999999999998</v>
      </c>
      <c r="F209" s="61">
        <f>4.6594 * CHOOSE(CONTROL!$C$22, $C$13, 100%, $E$13)</f>
        <v>4.6593999999999998</v>
      </c>
      <c r="G209" s="61">
        <f>4.6595 * CHOOSE(CONTROL!$C$22, $C$13, 100%, $E$13)</f>
        <v>4.6595000000000004</v>
      </c>
      <c r="H209" s="61">
        <f>8.5462* CHOOSE(CONTROL!$C$22, $C$13, 100%, $E$13)</f>
        <v>8.5462000000000007</v>
      </c>
      <c r="I209" s="61">
        <f>8.5463 * CHOOSE(CONTROL!$C$22, $C$13, 100%, $E$13)</f>
        <v>8.5463000000000005</v>
      </c>
      <c r="J209" s="61">
        <f>4.6594 * CHOOSE(CONTROL!$C$22, $C$13, 100%, $E$13)</f>
        <v>4.6593999999999998</v>
      </c>
      <c r="K209" s="61">
        <f>4.6595 * CHOOSE(CONTROL!$C$22, $C$13, 100%, $E$13)</f>
        <v>4.6595000000000004</v>
      </c>
    </row>
    <row r="210" spans="1:11" ht="15">
      <c r="A210" s="13">
        <v>48245</v>
      </c>
      <c r="B210" s="60">
        <f>4.0637 * CHOOSE(CONTROL!$C$22, $C$13, 100%, $E$13)</f>
        <v>4.0636999999999999</v>
      </c>
      <c r="C210" s="60">
        <f>4.0637 * CHOOSE(CONTROL!$C$22, $C$13, 100%, $E$13)</f>
        <v>4.0636999999999999</v>
      </c>
      <c r="D210" s="60">
        <f>4.0801 * CHOOSE(CONTROL!$C$22, $C$13, 100%, $E$13)</f>
        <v>4.0800999999999998</v>
      </c>
      <c r="E210" s="61">
        <f>4.6056 * CHOOSE(CONTROL!$C$22, $C$13, 100%, $E$13)</f>
        <v>4.6055999999999999</v>
      </c>
      <c r="F210" s="61">
        <f>4.6056 * CHOOSE(CONTROL!$C$22, $C$13, 100%, $E$13)</f>
        <v>4.6055999999999999</v>
      </c>
      <c r="G210" s="61">
        <f>4.6058 * CHOOSE(CONTROL!$C$22, $C$13, 100%, $E$13)</f>
        <v>4.6058000000000003</v>
      </c>
      <c r="H210" s="61">
        <f>8.564* CHOOSE(CONTROL!$C$22, $C$13, 100%, $E$13)</f>
        <v>8.5640000000000001</v>
      </c>
      <c r="I210" s="61">
        <f>8.5641 * CHOOSE(CONTROL!$C$22, $C$13, 100%, $E$13)</f>
        <v>8.5640999999999998</v>
      </c>
      <c r="J210" s="61">
        <f>4.6056 * CHOOSE(CONTROL!$C$22, $C$13, 100%, $E$13)</f>
        <v>4.6055999999999999</v>
      </c>
      <c r="K210" s="61">
        <f>4.6058 * CHOOSE(CONTROL!$C$22, $C$13, 100%, $E$13)</f>
        <v>4.6058000000000003</v>
      </c>
    </row>
    <row r="211" spans="1:11" ht="15">
      <c r="A211" s="13">
        <v>48274</v>
      </c>
      <c r="B211" s="60">
        <f>4.0607 * CHOOSE(CONTROL!$C$22, $C$13, 100%, $E$13)</f>
        <v>4.0606999999999998</v>
      </c>
      <c r="C211" s="60">
        <f>4.0607 * CHOOSE(CONTROL!$C$22, $C$13, 100%, $E$13)</f>
        <v>4.0606999999999998</v>
      </c>
      <c r="D211" s="60">
        <f>4.077 * CHOOSE(CONTROL!$C$22, $C$13, 100%, $E$13)</f>
        <v>4.077</v>
      </c>
      <c r="E211" s="61">
        <f>4.6442 * CHOOSE(CONTROL!$C$22, $C$13, 100%, $E$13)</f>
        <v>4.6441999999999997</v>
      </c>
      <c r="F211" s="61">
        <f>4.6442 * CHOOSE(CONTROL!$C$22, $C$13, 100%, $E$13)</f>
        <v>4.6441999999999997</v>
      </c>
      <c r="G211" s="61">
        <f>4.6444 * CHOOSE(CONTROL!$C$22, $C$13, 100%, $E$13)</f>
        <v>4.6444000000000001</v>
      </c>
      <c r="H211" s="61">
        <f>8.5818* CHOOSE(CONTROL!$C$22, $C$13, 100%, $E$13)</f>
        <v>8.5817999999999994</v>
      </c>
      <c r="I211" s="61">
        <f>8.582 * CHOOSE(CONTROL!$C$22, $C$13, 100%, $E$13)</f>
        <v>8.5820000000000007</v>
      </c>
      <c r="J211" s="61">
        <f>4.6442 * CHOOSE(CONTROL!$C$22, $C$13, 100%, $E$13)</f>
        <v>4.6441999999999997</v>
      </c>
      <c r="K211" s="61">
        <f>4.6444 * CHOOSE(CONTROL!$C$22, $C$13, 100%, $E$13)</f>
        <v>4.6444000000000001</v>
      </c>
    </row>
    <row r="212" spans="1:11" ht="15">
      <c r="A212" s="13">
        <v>48305</v>
      </c>
      <c r="B212" s="60">
        <f>4.0585 * CHOOSE(CONTROL!$C$22, $C$13, 100%, $E$13)</f>
        <v>4.0585000000000004</v>
      </c>
      <c r="C212" s="60">
        <f>4.0585 * CHOOSE(CONTROL!$C$22, $C$13, 100%, $E$13)</f>
        <v>4.0585000000000004</v>
      </c>
      <c r="D212" s="60">
        <f>4.0748 * CHOOSE(CONTROL!$C$22, $C$13, 100%, $E$13)</f>
        <v>4.0747999999999998</v>
      </c>
      <c r="E212" s="61">
        <f>4.6837 * CHOOSE(CONTROL!$C$22, $C$13, 100%, $E$13)</f>
        <v>4.6837</v>
      </c>
      <c r="F212" s="61">
        <f>4.6837 * CHOOSE(CONTROL!$C$22, $C$13, 100%, $E$13)</f>
        <v>4.6837</v>
      </c>
      <c r="G212" s="61">
        <f>4.6838 * CHOOSE(CONTROL!$C$22, $C$13, 100%, $E$13)</f>
        <v>4.6837999999999997</v>
      </c>
      <c r="H212" s="61">
        <f>8.5997* CHOOSE(CONTROL!$C$22, $C$13, 100%, $E$13)</f>
        <v>8.5997000000000003</v>
      </c>
      <c r="I212" s="61">
        <f>8.5999 * CHOOSE(CONTROL!$C$22, $C$13, 100%, $E$13)</f>
        <v>8.5998999999999999</v>
      </c>
      <c r="J212" s="61">
        <f>4.6837 * CHOOSE(CONTROL!$C$22, $C$13, 100%, $E$13)</f>
        <v>4.6837</v>
      </c>
      <c r="K212" s="61">
        <f>4.6838 * CHOOSE(CONTROL!$C$22, $C$13, 100%, $E$13)</f>
        <v>4.6837999999999997</v>
      </c>
    </row>
    <row r="213" spans="1:11" ht="15">
      <c r="A213" s="13">
        <v>48335</v>
      </c>
      <c r="B213" s="60">
        <f>4.0585 * CHOOSE(CONTROL!$C$22, $C$13, 100%, $E$13)</f>
        <v>4.0585000000000004</v>
      </c>
      <c r="C213" s="60">
        <f>4.0585 * CHOOSE(CONTROL!$C$22, $C$13, 100%, $E$13)</f>
        <v>4.0585000000000004</v>
      </c>
      <c r="D213" s="60">
        <f>4.0912 * CHOOSE(CONTROL!$C$22, $C$13, 100%, $E$13)</f>
        <v>4.0911999999999997</v>
      </c>
      <c r="E213" s="61">
        <f>4.7 * CHOOSE(CONTROL!$C$22, $C$13, 100%, $E$13)</f>
        <v>4.7</v>
      </c>
      <c r="F213" s="61">
        <f>4.7 * CHOOSE(CONTROL!$C$22, $C$13, 100%, $E$13)</f>
        <v>4.7</v>
      </c>
      <c r="G213" s="61">
        <f>4.7021 * CHOOSE(CONTROL!$C$22, $C$13, 100%, $E$13)</f>
        <v>4.7020999999999997</v>
      </c>
      <c r="H213" s="61">
        <f>8.6176* CHOOSE(CONTROL!$C$22, $C$13, 100%, $E$13)</f>
        <v>8.6175999999999995</v>
      </c>
      <c r="I213" s="61">
        <f>8.6196 * CHOOSE(CONTROL!$C$22, $C$13, 100%, $E$13)</f>
        <v>8.6196000000000002</v>
      </c>
      <c r="J213" s="61">
        <f>4.7 * CHOOSE(CONTROL!$C$22, $C$13, 100%, $E$13)</f>
        <v>4.7</v>
      </c>
      <c r="K213" s="61">
        <f>4.7021 * CHOOSE(CONTROL!$C$22, $C$13, 100%, $E$13)</f>
        <v>4.7020999999999997</v>
      </c>
    </row>
    <row r="214" spans="1:11" ht="15">
      <c r="A214" s="13">
        <v>48366</v>
      </c>
      <c r="B214" s="60">
        <f>4.0646 * CHOOSE(CONTROL!$C$22, $C$13, 100%, $E$13)</f>
        <v>4.0646000000000004</v>
      </c>
      <c r="C214" s="60">
        <f>4.0646 * CHOOSE(CONTROL!$C$22, $C$13, 100%, $E$13)</f>
        <v>4.0646000000000004</v>
      </c>
      <c r="D214" s="60">
        <f>4.0972 * CHOOSE(CONTROL!$C$22, $C$13, 100%, $E$13)</f>
        <v>4.0972</v>
      </c>
      <c r="E214" s="61">
        <f>4.6879 * CHOOSE(CONTROL!$C$22, $C$13, 100%, $E$13)</f>
        <v>4.6879</v>
      </c>
      <c r="F214" s="61">
        <f>4.6879 * CHOOSE(CONTROL!$C$22, $C$13, 100%, $E$13)</f>
        <v>4.6879</v>
      </c>
      <c r="G214" s="61">
        <f>4.6899 * CHOOSE(CONTROL!$C$22, $C$13, 100%, $E$13)</f>
        <v>4.6898999999999997</v>
      </c>
      <c r="H214" s="61">
        <f>8.6355* CHOOSE(CONTROL!$C$22, $C$13, 100%, $E$13)</f>
        <v>8.6355000000000004</v>
      </c>
      <c r="I214" s="61">
        <f>8.6376 * CHOOSE(CONTROL!$C$22, $C$13, 100%, $E$13)</f>
        <v>8.6376000000000008</v>
      </c>
      <c r="J214" s="61">
        <f>4.6879 * CHOOSE(CONTROL!$C$22, $C$13, 100%, $E$13)</f>
        <v>4.6879</v>
      </c>
      <c r="K214" s="61">
        <f>4.6899 * CHOOSE(CONTROL!$C$22, $C$13, 100%, $E$13)</f>
        <v>4.6898999999999997</v>
      </c>
    </row>
    <row r="215" spans="1:11" ht="15">
      <c r="A215" s="13">
        <v>48396</v>
      </c>
      <c r="B215" s="60">
        <f>4.1497 * CHOOSE(CONTROL!$C$22, $C$13, 100%, $E$13)</f>
        <v>4.1497000000000002</v>
      </c>
      <c r="C215" s="60">
        <f>4.1497 * CHOOSE(CONTROL!$C$22, $C$13, 100%, $E$13)</f>
        <v>4.1497000000000002</v>
      </c>
      <c r="D215" s="60">
        <f>4.1823 * CHOOSE(CONTROL!$C$22, $C$13, 100%, $E$13)</f>
        <v>4.1822999999999997</v>
      </c>
      <c r="E215" s="61">
        <f>4.7922 * CHOOSE(CONTROL!$C$22, $C$13, 100%, $E$13)</f>
        <v>4.7922000000000002</v>
      </c>
      <c r="F215" s="61">
        <f>4.7922 * CHOOSE(CONTROL!$C$22, $C$13, 100%, $E$13)</f>
        <v>4.7922000000000002</v>
      </c>
      <c r="G215" s="61">
        <f>4.7942 * CHOOSE(CONTROL!$C$22, $C$13, 100%, $E$13)</f>
        <v>4.7942</v>
      </c>
      <c r="H215" s="61">
        <f>8.6535* CHOOSE(CONTROL!$C$22, $C$13, 100%, $E$13)</f>
        <v>8.6534999999999993</v>
      </c>
      <c r="I215" s="61">
        <f>8.6556 * CHOOSE(CONTROL!$C$22, $C$13, 100%, $E$13)</f>
        <v>8.6555999999999997</v>
      </c>
      <c r="J215" s="61">
        <f>4.7922 * CHOOSE(CONTROL!$C$22, $C$13, 100%, $E$13)</f>
        <v>4.7922000000000002</v>
      </c>
      <c r="K215" s="61">
        <f>4.7942 * CHOOSE(CONTROL!$C$22, $C$13, 100%, $E$13)</f>
        <v>4.7942</v>
      </c>
    </row>
    <row r="216" spans="1:11" ht="15">
      <c r="A216" s="13">
        <v>48427</v>
      </c>
      <c r="B216" s="60">
        <f>4.1564 * CHOOSE(CONTROL!$C$22, $C$13, 100%, $E$13)</f>
        <v>4.1563999999999997</v>
      </c>
      <c r="C216" s="60">
        <f>4.1564 * CHOOSE(CONTROL!$C$22, $C$13, 100%, $E$13)</f>
        <v>4.1563999999999997</v>
      </c>
      <c r="D216" s="60">
        <f>4.189 * CHOOSE(CONTROL!$C$22, $C$13, 100%, $E$13)</f>
        <v>4.1890000000000001</v>
      </c>
      <c r="E216" s="61">
        <f>4.7477 * CHOOSE(CONTROL!$C$22, $C$13, 100%, $E$13)</f>
        <v>4.7477</v>
      </c>
      <c r="F216" s="61">
        <f>4.7477 * CHOOSE(CONTROL!$C$22, $C$13, 100%, $E$13)</f>
        <v>4.7477</v>
      </c>
      <c r="G216" s="61">
        <f>4.7497 * CHOOSE(CONTROL!$C$22, $C$13, 100%, $E$13)</f>
        <v>4.7496999999999998</v>
      </c>
      <c r="H216" s="61">
        <f>8.6716* CHOOSE(CONTROL!$C$22, $C$13, 100%, $E$13)</f>
        <v>8.6715999999999998</v>
      </c>
      <c r="I216" s="61">
        <f>8.6736 * CHOOSE(CONTROL!$C$22, $C$13, 100%, $E$13)</f>
        <v>8.6736000000000004</v>
      </c>
      <c r="J216" s="61">
        <f>4.7477 * CHOOSE(CONTROL!$C$22, $C$13, 100%, $E$13)</f>
        <v>4.7477</v>
      </c>
      <c r="K216" s="61">
        <f>4.7497 * CHOOSE(CONTROL!$C$22, $C$13, 100%, $E$13)</f>
        <v>4.7496999999999998</v>
      </c>
    </row>
    <row r="217" spans="1:11" ht="15">
      <c r="A217" s="13">
        <v>48458</v>
      </c>
      <c r="B217" s="60">
        <f>4.1533 * CHOOSE(CONTROL!$C$22, $C$13, 100%, $E$13)</f>
        <v>4.1532999999999998</v>
      </c>
      <c r="C217" s="60">
        <f>4.1533 * CHOOSE(CONTROL!$C$22, $C$13, 100%, $E$13)</f>
        <v>4.1532999999999998</v>
      </c>
      <c r="D217" s="60">
        <f>4.186 * CHOOSE(CONTROL!$C$22, $C$13, 100%, $E$13)</f>
        <v>4.1859999999999999</v>
      </c>
      <c r="E217" s="61">
        <f>4.7401 * CHOOSE(CONTROL!$C$22, $C$13, 100%, $E$13)</f>
        <v>4.7401</v>
      </c>
      <c r="F217" s="61">
        <f>4.7401 * CHOOSE(CONTROL!$C$22, $C$13, 100%, $E$13)</f>
        <v>4.7401</v>
      </c>
      <c r="G217" s="61">
        <f>4.7421 * CHOOSE(CONTROL!$C$22, $C$13, 100%, $E$13)</f>
        <v>4.7420999999999998</v>
      </c>
      <c r="H217" s="61">
        <f>8.6896* CHOOSE(CONTROL!$C$22, $C$13, 100%, $E$13)</f>
        <v>8.6896000000000004</v>
      </c>
      <c r="I217" s="61">
        <f>8.6917 * CHOOSE(CONTROL!$C$22, $C$13, 100%, $E$13)</f>
        <v>8.6917000000000009</v>
      </c>
      <c r="J217" s="61">
        <f>4.7401 * CHOOSE(CONTROL!$C$22, $C$13, 100%, $E$13)</f>
        <v>4.7401</v>
      </c>
      <c r="K217" s="61">
        <f>4.7421 * CHOOSE(CONTROL!$C$22, $C$13, 100%, $E$13)</f>
        <v>4.7420999999999998</v>
      </c>
    </row>
    <row r="218" spans="1:11" ht="15">
      <c r="A218" s="13">
        <v>48488</v>
      </c>
      <c r="B218" s="60">
        <f>4.1491 * CHOOSE(CONTROL!$C$22, $C$13, 100%, $E$13)</f>
        <v>4.1490999999999998</v>
      </c>
      <c r="C218" s="60">
        <f>4.1491 * CHOOSE(CONTROL!$C$22, $C$13, 100%, $E$13)</f>
        <v>4.1490999999999998</v>
      </c>
      <c r="D218" s="60">
        <f>4.1655 * CHOOSE(CONTROL!$C$22, $C$13, 100%, $E$13)</f>
        <v>4.1654999999999998</v>
      </c>
      <c r="E218" s="61">
        <f>4.7485 * CHOOSE(CONTROL!$C$22, $C$13, 100%, $E$13)</f>
        <v>4.7484999999999999</v>
      </c>
      <c r="F218" s="61">
        <f>4.7485 * CHOOSE(CONTROL!$C$22, $C$13, 100%, $E$13)</f>
        <v>4.7484999999999999</v>
      </c>
      <c r="G218" s="61">
        <f>4.7487 * CHOOSE(CONTROL!$C$22, $C$13, 100%, $E$13)</f>
        <v>4.7487000000000004</v>
      </c>
      <c r="H218" s="61">
        <f>8.7077* CHOOSE(CONTROL!$C$22, $C$13, 100%, $E$13)</f>
        <v>8.7077000000000009</v>
      </c>
      <c r="I218" s="61">
        <f>8.7079 * CHOOSE(CONTROL!$C$22, $C$13, 100%, $E$13)</f>
        <v>8.7079000000000004</v>
      </c>
      <c r="J218" s="61">
        <f>4.7485 * CHOOSE(CONTROL!$C$22, $C$13, 100%, $E$13)</f>
        <v>4.7484999999999999</v>
      </c>
      <c r="K218" s="61">
        <f>4.7487 * CHOOSE(CONTROL!$C$22, $C$13, 100%, $E$13)</f>
        <v>4.7487000000000004</v>
      </c>
    </row>
    <row r="219" spans="1:11" ht="15">
      <c r="A219" s="13">
        <v>48519</v>
      </c>
      <c r="B219" s="60">
        <f>4.1522 * CHOOSE(CONTROL!$C$22, $C$13, 100%, $E$13)</f>
        <v>4.1521999999999997</v>
      </c>
      <c r="C219" s="60">
        <f>4.1522 * CHOOSE(CONTROL!$C$22, $C$13, 100%, $E$13)</f>
        <v>4.1521999999999997</v>
      </c>
      <c r="D219" s="60">
        <f>4.1685 * CHOOSE(CONTROL!$C$22, $C$13, 100%, $E$13)</f>
        <v>4.1684999999999999</v>
      </c>
      <c r="E219" s="61">
        <f>4.7616 * CHOOSE(CONTROL!$C$22, $C$13, 100%, $E$13)</f>
        <v>4.7615999999999996</v>
      </c>
      <c r="F219" s="61">
        <f>4.7616 * CHOOSE(CONTROL!$C$22, $C$13, 100%, $E$13)</f>
        <v>4.7615999999999996</v>
      </c>
      <c r="G219" s="61">
        <f>4.7617 * CHOOSE(CONTROL!$C$22, $C$13, 100%, $E$13)</f>
        <v>4.7617000000000003</v>
      </c>
      <c r="H219" s="61">
        <f>8.7259* CHOOSE(CONTROL!$C$22, $C$13, 100%, $E$13)</f>
        <v>8.7258999999999993</v>
      </c>
      <c r="I219" s="61">
        <f>8.7261 * CHOOSE(CONTROL!$C$22, $C$13, 100%, $E$13)</f>
        <v>8.7261000000000006</v>
      </c>
      <c r="J219" s="61">
        <f>4.7616 * CHOOSE(CONTROL!$C$22, $C$13, 100%, $E$13)</f>
        <v>4.7615999999999996</v>
      </c>
      <c r="K219" s="61">
        <f>4.7617 * CHOOSE(CONTROL!$C$22, $C$13, 100%, $E$13)</f>
        <v>4.7617000000000003</v>
      </c>
    </row>
    <row r="220" spans="1:11" ht="15">
      <c r="A220" s="13">
        <v>48549</v>
      </c>
      <c r="B220" s="60">
        <f>4.1522 * CHOOSE(CONTROL!$C$22, $C$13, 100%, $E$13)</f>
        <v>4.1521999999999997</v>
      </c>
      <c r="C220" s="60">
        <f>4.1522 * CHOOSE(CONTROL!$C$22, $C$13, 100%, $E$13)</f>
        <v>4.1521999999999997</v>
      </c>
      <c r="D220" s="60">
        <f>4.1685 * CHOOSE(CONTROL!$C$22, $C$13, 100%, $E$13)</f>
        <v>4.1684999999999999</v>
      </c>
      <c r="E220" s="61">
        <f>4.7343 * CHOOSE(CONTROL!$C$22, $C$13, 100%, $E$13)</f>
        <v>4.7343000000000002</v>
      </c>
      <c r="F220" s="61">
        <f>4.7343 * CHOOSE(CONTROL!$C$22, $C$13, 100%, $E$13)</f>
        <v>4.7343000000000002</v>
      </c>
      <c r="G220" s="61">
        <f>4.7344 * CHOOSE(CONTROL!$C$22, $C$13, 100%, $E$13)</f>
        <v>4.7343999999999999</v>
      </c>
      <c r="H220" s="61">
        <f>8.7441* CHOOSE(CONTROL!$C$22, $C$13, 100%, $E$13)</f>
        <v>8.7440999999999995</v>
      </c>
      <c r="I220" s="61">
        <f>8.7442 * CHOOSE(CONTROL!$C$22, $C$13, 100%, $E$13)</f>
        <v>8.7441999999999993</v>
      </c>
      <c r="J220" s="61">
        <f>4.7343 * CHOOSE(CONTROL!$C$22, $C$13, 100%, $E$13)</f>
        <v>4.7343000000000002</v>
      </c>
      <c r="K220" s="61">
        <f>4.7344 * CHOOSE(CONTROL!$C$22, $C$13, 100%, $E$13)</f>
        <v>4.7343999999999999</v>
      </c>
    </row>
    <row r="221" spans="1:11" ht="15">
      <c r="A221" s="13">
        <v>48580</v>
      </c>
      <c r="B221" s="60">
        <f>4.1941 * CHOOSE(CONTROL!$C$22, $C$13, 100%, $E$13)</f>
        <v>4.1940999999999997</v>
      </c>
      <c r="C221" s="60">
        <f>4.1941 * CHOOSE(CONTROL!$C$22, $C$13, 100%, $E$13)</f>
        <v>4.1940999999999997</v>
      </c>
      <c r="D221" s="60">
        <f>4.2104 * CHOOSE(CONTROL!$C$22, $C$13, 100%, $E$13)</f>
        <v>4.2103999999999999</v>
      </c>
      <c r="E221" s="61">
        <f>4.8032 * CHOOSE(CONTROL!$C$22, $C$13, 100%, $E$13)</f>
        <v>4.8032000000000004</v>
      </c>
      <c r="F221" s="61">
        <f>4.8032 * CHOOSE(CONTROL!$C$22, $C$13, 100%, $E$13)</f>
        <v>4.8032000000000004</v>
      </c>
      <c r="G221" s="61">
        <f>4.8033 * CHOOSE(CONTROL!$C$22, $C$13, 100%, $E$13)</f>
        <v>4.8033000000000001</v>
      </c>
      <c r="H221" s="61">
        <f>8.7623* CHOOSE(CONTROL!$C$22, $C$13, 100%, $E$13)</f>
        <v>8.7622999999999998</v>
      </c>
      <c r="I221" s="61">
        <f>8.7624 * CHOOSE(CONTROL!$C$22, $C$13, 100%, $E$13)</f>
        <v>8.7623999999999995</v>
      </c>
      <c r="J221" s="61">
        <f>4.8032 * CHOOSE(CONTROL!$C$22, $C$13, 100%, $E$13)</f>
        <v>4.8032000000000004</v>
      </c>
      <c r="K221" s="61">
        <f>4.8033 * CHOOSE(CONTROL!$C$22, $C$13, 100%, $E$13)</f>
        <v>4.8033000000000001</v>
      </c>
    </row>
    <row r="222" spans="1:11" ht="15">
      <c r="A222" s="13">
        <v>48611</v>
      </c>
      <c r="B222" s="60">
        <f>4.191 * CHOOSE(CONTROL!$C$22, $C$13, 100%, $E$13)</f>
        <v>4.1909999999999998</v>
      </c>
      <c r="C222" s="60">
        <f>4.191 * CHOOSE(CONTROL!$C$22, $C$13, 100%, $E$13)</f>
        <v>4.1909999999999998</v>
      </c>
      <c r="D222" s="60">
        <f>4.2074 * CHOOSE(CONTROL!$C$22, $C$13, 100%, $E$13)</f>
        <v>4.2073999999999998</v>
      </c>
      <c r="E222" s="61">
        <f>4.7481 * CHOOSE(CONTROL!$C$22, $C$13, 100%, $E$13)</f>
        <v>4.7481</v>
      </c>
      <c r="F222" s="61">
        <f>4.7481 * CHOOSE(CONTROL!$C$22, $C$13, 100%, $E$13)</f>
        <v>4.7481</v>
      </c>
      <c r="G222" s="61">
        <f>4.7483 * CHOOSE(CONTROL!$C$22, $C$13, 100%, $E$13)</f>
        <v>4.7483000000000004</v>
      </c>
      <c r="H222" s="61">
        <f>8.7805* CHOOSE(CONTROL!$C$22, $C$13, 100%, $E$13)</f>
        <v>8.7805</v>
      </c>
      <c r="I222" s="61">
        <f>8.7807 * CHOOSE(CONTROL!$C$22, $C$13, 100%, $E$13)</f>
        <v>8.7806999999999995</v>
      </c>
      <c r="J222" s="61">
        <f>4.7481 * CHOOSE(CONTROL!$C$22, $C$13, 100%, $E$13)</f>
        <v>4.7481</v>
      </c>
      <c r="K222" s="61">
        <f>4.7483 * CHOOSE(CONTROL!$C$22, $C$13, 100%, $E$13)</f>
        <v>4.7483000000000004</v>
      </c>
    </row>
    <row r="223" spans="1:11" ht="15">
      <c r="A223" s="13">
        <v>48639</v>
      </c>
      <c r="B223" s="60">
        <f>4.188 * CHOOSE(CONTROL!$C$22, $C$13, 100%, $E$13)</f>
        <v>4.1879999999999997</v>
      </c>
      <c r="C223" s="60">
        <f>4.188 * CHOOSE(CONTROL!$C$22, $C$13, 100%, $E$13)</f>
        <v>4.1879999999999997</v>
      </c>
      <c r="D223" s="60">
        <f>4.2043 * CHOOSE(CONTROL!$C$22, $C$13, 100%, $E$13)</f>
        <v>4.2042999999999999</v>
      </c>
      <c r="E223" s="61">
        <f>4.7877 * CHOOSE(CONTROL!$C$22, $C$13, 100%, $E$13)</f>
        <v>4.7877000000000001</v>
      </c>
      <c r="F223" s="61">
        <f>4.7877 * CHOOSE(CONTROL!$C$22, $C$13, 100%, $E$13)</f>
        <v>4.7877000000000001</v>
      </c>
      <c r="G223" s="61">
        <f>4.7879 * CHOOSE(CONTROL!$C$22, $C$13, 100%, $E$13)</f>
        <v>4.7878999999999996</v>
      </c>
      <c r="H223" s="61">
        <f>8.7988* CHOOSE(CONTROL!$C$22, $C$13, 100%, $E$13)</f>
        <v>8.7988</v>
      </c>
      <c r="I223" s="61">
        <f>8.799 * CHOOSE(CONTROL!$C$22, $C$13, 100%, $E$13)</f>
        <v>8.7989999999999995</v>
      </c>
      <c r="J223" s="61">
        <f>4.7877 * CHOOSE(CONTROL!$C$22, $C$13, 100%, $E$13)</f>
        <v>4.7877000000000001</v>
      </c>
      <c r="K223" s="61">
        <f>4.7879 * CHOOSE(CONTROL!$C$22, $C$13, 100%, $E$13)</f>
        <v>4.7878999999999996</v>
      </c>
    </row>
    <row r="224" spans="1:11" ht="15">
      <c r="A224" s="13">
        <v>48670</v>
      </c>
      <c r="B224" s="60">
        <f>4.1858 * CHOOSE(CONTROL!$C$22, $C$13, 100%, $E$13)</f>
        <v>4.1858000000000004</v>
      </c>
      <c r="C224" s="60">
        <f>4.1858 * CHOOSE(CONTROL!$C$22, $C$13, 100%, $E$13)</f>
        <v>4.1858000000000004</v>
      </c>
      <c r="D224" s="60">
        <f>4.2022 * CHOOSE(CONTROL!$C$22, $C$13, 100%, $E$13)</f>
        <v>4.2022000000000004</v>
      </c>
      <c r="E224" s="61">
        <f>4.8283 * CHOOSE(CONTROL!$C$22, $C$13, 100%, $E$13)</f>
        <v>4.8282999999999996</v>
      </c>
      <c r="F224" s="61">
        <f>4.8283 * CHOOSE(CONTROL!$C$22, $C$13, 100%, $E$13)</f>
        <v>4.8282999999999996</v>
      </c>
      <c r="G224" s="61">
        <f>4.8285 * CHOOSE(CONTROL!$C$22, $C$13, 100%, $E$13)</f>
        <v>4.8285</v>
      </c>
      <c r="H224" s="61">
        <f>8.8171* CHOOSE(CONTROL!$C$22, $C$13, 100%, $E$13)</f>
        <v>8.8170999999999999</v>
      </c>
      <c r="I224" s="61">
        <f>8.8173 * CHOOSE(CONTROL!$C$22, $C$13, 100%, $E$13)</f>
        <v>8.8172999999999995</v>
      </c>
      <c r="J224" s="61">
        <f>4.8283 * CHOOSE(CONTROL!$C$22, $C$13, 100%, $E$13)</f>
        <v>4.8282999999999996</v>
      </c>
      <c r="K224" s="61">
        <f>4.8285 * CHOOSE(CONTROL!$C$22, $C$13, 100%, $E$13)</f>
        <v>4.8285</v>
      </c>
    </row>
    <row r="225" spans="1:11" ht="15">
      <c r="A225" s="13">
        <v>48700</v>
      </c>
      <c r="B225" s="60">
        <f>4.1858 * CHOOSE(CONTROL!$C$22, $C$13, 100%, $E$13)</f>
        <v>4.1858000000000004</v>
      </c>
      <c r="C225" s="60">
        <f>4.1858 * CHOOSE(CONTROL!$C$22, $C$13, 100%, $E$13)</f>
        <v>4.1858000000000004</v>
      </c>
      <c r="D225" s="60">
        <f>4.2185 * CHOOSE(CONTROL!$C$22, $C$13, 100%, $E$13)</f>
        <v>4.2184999999999997</v>
      </c>
      <c r="E225" s="61">
        <f>4.8452 * CHOOSE(CONTROL!$C$22, $C$13, 100%, $E$13)</f>
        <v>4.8452000000000002</v>
      </c>
      <c r="F225" s="61">
        <f>4.8452 * CHOOSE(CONTROL!$C$22, $C$13, 100%, $E$13)</f>
        <v>4.8452000000000002</v>
      </c>
      <c r="G225" s="61">
        <f>4.8472 * CHOOSE(CONTROL!$C$22, $C$13, 100%, $E$13)</f>
        <v>4.8472</v>
      </c>
      <c r="H225" s="61">
        <f>8.8355* CHOOSE(CONTROL!$C$22, $C$13, 100%, $E$13)</f>
        <v>8.8354999999999997</v>
      </c>
      <c r="I225" s="61">
        <f>8.8375 * CHOOSE(CONTROL!$C$22, $C$13, 100%, $E$13)</f>
        <v>8.8375000000000004</v>
      </c>
      <c r="J225" s="61">
        <f>4.8452 * CHOOSE(CONTROL!$C$22, $C$13, 100%, $E$13)</f>
        <v>4.8452000000000002</v>
      </c>
      <c r="K225" s="61">
        <f>4.8472 * CHOOSE(CONTROL!$C$22, $C$13, 100%, $E$13)</f>
        <v>4.8472</v>
      </c>
    </row>
    <row r="226" spans="1:11" ht="15">
      <c r="A226" s="13">
        <v>48731</v>
      </c>
      <c r="B226" s="60">
        <f>4.1919 * CHOOSE(CONTROL!$C$22, $C$13, 100%, $E$13)</f>
        <v>4.1919000000000004</v>
      </c>
      <c r="C226" s="60">
        <f>4.1919 * CHOOSE(CONTROL!$C$22, $C$13, 100%, $E$13)</f>
        <v>4.1919000000000004</v>
      </c>
      <c r="D226" s="60">
        <f>4.2246 * CHOOSE(CONTROL!$C$22, $C$13, 100%, $E$13)</f>
        <v>4.2245999999999997</v>
      </c>
      <c r="E226" s="61">
        <f>4.8326 * CHOOSE(CONTROL!$C$22, $C$13, 100%, $E$13)</f>
        <v>4.8326000000000002</v>
      </c>
      <c r="F226" s="61">
        <f>4.8326 * CHOOSE(CONTROL!$C$22, $C$13, 100%, $E$13)</f>
        <v>4.8326000000000002</v>
      </c>
      <c r="G226" s="61">
        <f>4.8346 * CHOOSE(CONTROL!$C$22, $C$13, 100%, $E$13)</f>
        <v>4.8346</v>
      </c>
      <c r="H226" s="61">
        <f>8.8539* CHOOSE(CONTROL!$C$22, $C$13, 100%, $E$13)</f>
        <v>8.8538999999999994</v>
      </c>
      <c r="I226" s="61">
        <f>8.856 * CHOOSE(CONTROL!$C$22, $C$13, 100%, $E$13)</f>
        <v>8.8559999999999999</v>
      </c>
      <c r="J226" s="61">
        <f>4.8326 * CHOOSE(CONTROL!$C$22, $C$13, 100%, $E$13)</f>
        <v>4.8326000000000002</v>
      </c>
      <c r="K226" s="61">
        <f>4.8346 * CHOOSE(CONTROL!$C$22, $C$13, 100%, $E$13)</f>
        <v>4.8346</v>
      </c>
    </row>
    <row r="227" spans="1:11" ht="15">
      <c r="A227" s="13">
        <v>48761</v>
      </c>
      <c r="B227" s="60">
        <f>4.2719 * CHOOSE(CONTROL!$C$22, $C$13, 100%, $E$13)</f>
        <v>4.2718999999999996</v>
      </c>
      <c r="C227" s="60">
        <f>4.2719 * CHOOSE(CONTROL!$C$22, $C$13, 100%, $E$13)</f>
        <v>4.2718999999999996</v>
      </c>
      <c r="D227" s="60">
        <f>4.3046 * CHOOSE(CONTROL!$C$22, $C$13, 100%, $E$13)</f>
        <v>4.3045999999999998</v>
      </c>
      <c r="E227" s="61">
        <f>4.9466 * CHOOSE(CONTROL!$C$22, $C$13, 100%, $E$13)</f>
        <v>4.9466000000000001</v>
      </c>
      <c r="F227" s="61">
        <f>4.9466 * CHOOSE(CONTROL!$C$22, $C$13, 100%, $E$13)</f>
        <v>4.9466000000000001</v>
      </c>
      <c r="G227" s="61">
        <f>4.9486 * CHOOSE(CONTROL!$C$22, $C$13, 100%, $E$13)</f>
        <v>4.9485999999999999</v>
      </c>
      <c r="H227" s="61">
        <f>8.8724* CHOOSE(CONTROL!$C$22, $C$13, 100%, $E$13)</f>
        <v>8.8724000000000007</v>
      </c>
      <c r="I227" s="61">
        <f>8.8744 * CHOOSE(CONTROL!$C$22, $C$13, 100%, $E$13)</f>
        <v>8.8743999999999996</v>
      </c>
      <c r="J227" s="61">
        <f>4.9466 * CHOOSE(CONTROL!$C$22, $C$13, 100%, $E$13)</f>
        <v>4.9466000000000001</v>
      </c>
      <c r="K227" s="61">
        <f>4.9486 * CHOOSE(CONTROL!$C$22, $C$13, 100%, $E$13)</f>
        <v>4.9485999999999999</v>
      </c>
    </row>
    <row r="228" spans="1:11" ht="15">
      <c r="A228" s="13">
        <v>48792</v>
      </c>
      <c r="B228" s="60">
        <f>4.2786 * CHOOSE(CONTROL!$C$22, $C$13, 100%, $E$13)</f>
        <v>4.2786</v>
      </c>
      <c r="C228" s="60">
        <f>4.2786 * CHOOSE(CONTROL!$C$22, $C$13, 100%, $E$13)</f>
        <v>4.2786</v>
      </c>
      <c r="D228" s="60">
        <f>4.3113 * CHOOSE(CONTROL!$C$22, $C$13, 100%, $E$13)</f>
        <v>4.3113000000000001</v>
      </c>
      <c r="E228" s="61">
        <f>4.9008 * CHOOSE(CONTROL!$C$22, $C$13, 100%, $E$13)</f>
        <v>4.9008000000000003</v>
      </c>
      <c r="F228" s="61">
        <f>4.9008 * CHOOSE(CONTROL!$C$22, $C$13, 100%, $E$13)</f>
        <v>4.9008000000000003</v>
      </c>
      <c r="G228" s="61">
        <f>4.9028 * CHOOSE(CONTROL!$C$22, $C$13, 100%, $E$13)</f>
        <v>4.9028</v>
      </c>
      <c r="H228" s="61">
        <f>8.8909* CHOOSE(CONTROL!$C$22, $C$13, 100%, $E$13)</f>
        <v>8.8909000000000002</v>
      </c>
      <c r="I228" s="61">
        <f>8.8929 * CHOOSE(CONTROL!$C$22, $C$13, 100%, $E$13)</f>
        <v>8.8928999999999991</v>
      </c>
      <c r="J228" s="61">
        <f>4.9008 * CHOOSE(CONTROL!$C$22, $C$13, 100%, $E$13)</f>
        <v>4.9008000000000003</v>
      </c>
      <c r="K228" s="61">
        <f>4.9028 * CHOOSE(CONTROL!$C$22, $C$13, 100%, $E$13)</f>
        <v>4.9028</v>
      </c>
    </row>
    <row r="229" spans="1:11" ht="15">
      <c r="A229" s="13">
        <v>48823</v>
      </c>
      <c r="B229" s="60">
        <f>4.2756 * CHOOSE(CONTROL!$C$22, $C$13, 100%, $E$13)</f>
        <v>4.2755999999999998</v>
      </c>
      <c r="C229" s="60">
        <f>4.2756 * CHOOSE(CONTROL!$C$22, $C$13, 100%, $E$13)</f>
        <v>4.2755999999999998</v>
      </c>
      <c r="D229" s="60">
        <f>4.3083 * CHOOSE(CONTROL!$C$22, $C$13, 100%, $E$13)</f>
        <v>4.3083</v>
      </c>
      <c r="E229" s="61">
        <f>4.8931 * CHOOSE(CONTROL!$C$22, $C$13, 100%, $E$13)</f>
        <v>4.8930999999999996</v>
      </c>
      <c r="F229" s="61">
        <f>4.8931 * CHOOSE(CONTROL!$C$22, $C$13, 100%, $E$13)</f>
        <v>4.8930999999999996</v>
      </c>
      <c r="G229" s="61">
        <f>4.8951 * CHOOSE(CONTROL!$C$22, $C$13, 100%, $E$13)</f>
        <v>4.8951000000000002</v>
      </c>
      <c r="H229" s="61">
        <f>8.9094* CHOOSE(CONTROL!$C$22, $C$13, 100%, $E$13)</f>
        <v>8.9093999999999998</v>
      </c>
      <c r="I229" s="61">
        <f>8.9114 * CHOOSE(CONTROL!$C$22, $C$13, 100%, $E$13)</f>
        <v>8.9114000000000004</v>
      </c>
      <c r="J229" s="61">
        <f>4.8931 * CHOOSE(CONTROL!$C$22, $C$13, 100%, $E$13)</f>
        <v>4.8930999999999996</v>
      </c>
      <c r="K229" s="61">
        <f>4.8951 * CHOOSE(CONTROL!$C$22, $C$13, 100%, $E$13)</f>
        <v>4.8951000000000002</v>
      </c>
    </row>
    <row r="230" spans="1:11" ht="15">
      <c r="A230" s="13">
        <v>48853</v>
      </c>
      <c r="B230" s="60">
        <f>4.2718 * CHOOSE(CONTROL!$C$22, $C$13, 100%, $E$13)</f>
        <v>4.2717999999999998</v>
      </c>
      <c r="C230" s="60">
        <f>4.2718 * CHOOSE(CONTROL!$C$22, $C$13, 100%, $E$13)</f>
        <v>4.2717999999999998</v>
      </c>
      <c r="D230" s="60">
        <f>4.2881 * CHOOSE(CONTROL!$C$22, $C$13, 100%, $E$13)</f>
        <v>4.2881</v>
      </c>
      <c r="E230" s="61">
        <f>4.9021 * CHOOSE(CONTROL!$C$22, $C$13, 100%, $E$13)</f>
        <v>4.9020999999999999</v>
      </c>
      <c r="F230" s="61">
        <f>4.9021 * CHOOSE(CONTROL!$C$22, $C$13, 100%, $E$13)</f>
        <v>4.9020999999999999</v>
      </c>
      <c r="G230" s="61">
        <f>4.9023 * CHOOSE(CONTROL!$C$22, $C$13, 100%, $E$13)</f>
        <v>4.9023000000000003</v>
      </c>
      <c r="H230" s="61">
        <f>8.9279* CHOOSE(CONTROL!$C$22, $C$13, 100%, $E$13)</f>
        <v>8.9278999999999993</v>
      </c>
      <c r="I230" s="61">
        <f>8.9281 * CHOOSE(CONTROL!$C$22, $C$13, 100%, $E$13)</f>
        <v>8.9281000000000006</v>
      </c>
      <c r="J230" s="61">
        <f>4.9021 * CHOOSE(CONTROL!$C$22, $C$13, 100%, $E$13)</f>
        <v>4.9020999999999999</v>
      </c>
      <c r="K230" s="61">
        <f>4.9023 * CHOOSE(CONTROL!$C$22, $C$13, 100%, $E$13)</f>
        <v>4.9023000000000003</v>
      </c>
    </row>
    <row r="231" spans="1:11" ht="15">
      <c r="A231" s="13">
        <v>48884</v>
      </c>
      <c r="B231" s="60">
        <f>4.2748 * CHOOSE(CONTROL!$C$22, $C$13, 100%, $E$13)</f>
        <v>4.2747999999999999</v>
      </c>
      <c r="C231" s="60">
        <f>4.2748 * CHOOSE(CONTROL!$C$22, $C$13, 100%, $E$13)</f>
        <v>4.2747999999999999</v>
      </c>
      <c r="D231" s="60">
        <f>4.2912 * CHOOSE(CONTROL!$C$22, $C$13, 100%, $E$13)</f>
        <v>4.2911999999999999</v>
      </c>
      <c r="E231" s="61">
        <f>4.9154 * CHOOSE(CONTROL!$C$22, $C$13, 100%, $E$13)</f>
        <v>4.9154</v>
      </c>
      <c r="F231" s="61">
        <f>4.9154 * CHOOSE(CONTROL!$C$22, $C$13, 100%, $E$13)</f>
        <v>4.9154</v>
      </c>
      <c r="G231" s="61">
        <f>4.9156 * CHOOSE(CONTROL!$C$22, $C$13, 100%, $E$13)</f>
        <v>4.9156000000000004</v>
      </c>
      <c r="H231" s="61">
        <f>8.9465* CHOOSE(CONTROL!$C$22, $C$13, 100%, $E$13)</f>
        <v>8.9465000000000003</v>
      </c>
      <c r="I231" s="61">
        <f>8.9467 * CHOOSE(CONTROL!$C$22, $C$13, 100%, $E$13)</f>
        <v>8.9466999999999999</v>
      </c>
      <c r="J231" s="61">
        <f>4.9154 * CHOOSE(CONTROL!$C$22, $C$13, 100%, $E$13)</f>
        <v>4.9154</v>
      </c>
      <c r="K231" s="61">
        <f>4.9156 * CHOOSE(CONTROL!$C$22, $C$13, 100%, $E$13)</f>
        <v>4.9156000000000004</v>
      </c>
    </row>
    <row r="232" spans="1:11" ht="15">
      <c r="A232" s="13">
        <v>48914</v>
      </c>
      <c r="B232" s="60">
        <f>4.2748 * CHOOSE(CONTROL!$C$22, $C$13, 100%, $E$13)</f>
        <v>4.2747999999999999</v>
      </c>
      <c r="C232" s="60">
        <f>4.2748 * CHOOSE(CONTROL!$C$22, $C$13, 100%, $E$13)</f>
        <v>4.2747999999999999</v>
      </c>
      <c r="D232" s="60">
        <f>4.2912 * CHOOSE(CONTROL!$C$22, $C$13, 100%, $E$13)</f>
        <v>4.2911999999999999</v>
      </c>
      <c r="E232" s="61">
        <f>4.8874 * CHOOSE(CONTROL!$C$22, $C$13, 100%, $E$13)</f>
        <v>4.8874000000000004</v>
      </c>
      <c r="F232" s="61">
        <f>4.8874 * CHOOSE(CONTROL!$C$22, $C$13, 100%, $E$13)</f>
        <v>4.8874000000000004</v>
      </c>
      <c r="G232" s="61">
        <f>4.8876 * CHOOSE(CONTROL!$C$22, $C$13, 100%, $E$13)</f>
        <v>4.8875999999999999</v>
      </c>
      <c r="H232" s="61">
        <f>8.9652* CHOOSE(CONTROL!$C$22, $C$13, 100%, $E$13)</f>
        <v>8.9651999999999994</v>
      </c>
      <c r="I232" s="61">
        <f>8.9654 * CHOOSE(CONTROL!$C$22, $C$13, 100%, $E$13)</f>
        <v>8.9654000000000007</v>
      </c>
      <c r="J232" s="61">
        <f>4.8874 * CHOOSE(CONTROL!$C$22, $C$13, 100%, $E$13)</f>
        <v>4.8874000000000004</v>
      </c>
      <c r="K232" s="61">
        <f>4.8876 * CHOOSE(CONTROL!$C$22, $C$13, 100%, $E$13)</f>
        <v>4.8875999999999999</v>
      </c>
    </row>
    <row r="233" spans="1:11" ht="15">
      <c r="A233" s="13">
        <v>48945</v>
      </c>
      <c r="B233" s="60">
        <f>4.32 * CHOOSE(CONTROL!$C$22, $C$13, 100%, $E$13)</f>
        <v>4.32</v>
      </c>
      <c r="C233" s="60">
        <f>4.32 * CHOOSE(CONTROL!$C$22, $C$13, 100%, $E$13)</f>
        <v>4.32</v>
      </c>
      <c r="D233" s="60">
        <f>4.3363 * CHOOSE(CONTROL!$C$22, $C$13, 100%, $E$13)</f>
        <v>4.3362999999999996</v>
      </c>
      <c r="E233" s="61">
        <f>4.957 * CHOOSE(CONTROL!$C$22, $C$13, 100%, $E$13)</f>
        <v>4.9569999999999999</v>
      </c>
      <c r="F233" s="61">
        <f>4.957 * CHOOSE(CONTROL!$C$22, $C$13, 100%, $E$13)</f>
        <v>4.9569999999999999</v>
      </c>
      <c r="G233" s="61">
        <f>4.9572 * CHOOSE(CONTROL!$C$22, $C$13, 100%, $E$13)</f>
        <v>4.9572000000000003</v>
      </c>
      <c r="H233" s="61">
        <f>8.9839* CHOOSE(CONTROL!$C$22, $C$13, 100%, $E$13)</f>
        <v>8.9839000000000002</v>
      </c>
      <c r="I233" s="61">
        <f>8.984 * CHOOSE(CONTROL!$C$22, $C$13, 100%, $E$13)</f>
        <v>8.984</v>
      </c>
      <c r="J233" s="61">
        <f>4.957 * CHOOSE(CONTROL!$C$22, $C$13, 100%, $E$13)</f>
        <v>4.9569999999999999</v>
      </c>
      <c r="K233" s="61">
        <f>4.9572 * CHOOSE(CONTROL!$C$22, $C$13, 100%, $E$13)</f>
        <v>4.9572000000000003</v>
      </c>
    </row>
    <row r="234" spans="1:11" ht="15">
      <c r="A234" s="13">
        <v>48976</v>
      </c>
      <c r="B234" s="60">
        <f>4.3169 * CHOOSE(CONTROL!$C$22, $C$13, 100%, $E$13)</f>
        <v>4.3169000000000004</v>
      </c>
      <c r="C234" s="60">
        <f>4.3169 * CHOOSE(CONTROL!$C$22, $C$13, 100%, $E$13)</f>
        <v>4.3169000000000004</v>
      </c>
      <c r="D234" s="60">
        <f>4.3333 * CHOOSE(CONTROL!$C$22, $C$13, 100%, $E$13)</f>
        <v>4.3333000000000004</v>
      </c>
      <c r="E234" s="61">
        <f>4.9005 * CHOOSE(CONTROL!$C$22, $C$13, 100%, $E$13)</f>
        <v>4.9005000000000001</v>
      </c>
      <c r="F234" s="61">
        <f>4.9005 * CHOOSE(CONTROL!$C$22, $C$13, 100%, $E$13)</f>
        <v>4.9005000000000001</v>
      </c>
      <c r="G234" s="61">
        <f>4.9007 * CHOOSE(CONTROL!$C$22, $C$13, 100%, $E$13)</f>
        <v>4.9006999999999996</v>
      </c>
      <c r="H234" s="61">
        <f>9.0026* CHOOSE(CONTROL!$C$22, $C$13, 100%, $E$13)</f>
        <v>9.0025999999999993</v>
      </c>
      <c r="I234" s="61">
        <f>9.0027 * CHOOSE(CONTROL!$C$22, $C$13, 100%, $E$13)</f>
        <v>9.0027000000000008</v>
      </c>
      <c r="J234" s="61">
        <f>4.9005 * CHOOSE(CONTROL!$C$22, $C$13, 100%, $E$13)</f>
        <v>4.9005000000000001</v>
      </c>
      <c r="K234" s="61">
        <f>4.9007 * CHOOSE(CONTROL!$C$22, $C$13, 100%, $E$13)</f>
        <v>4.9006999999999996</v>
      </c>
    </row>
    <row r="235" spans="1:11" ht="15">
      <c r="A235" s="13">
        <v>49004</v>
      </c>
      <c r="B235" s="60">
        <f>4.3139 * CHOOSE(CONTROL!$C$22, $C$13, 100%, $E$13)</f>
        <v>4.3139000000000003</v>
      </c>
      <c r="C235" s="60">
        <f>4.3139 * CHOOSE(CONTROL!$C$22, $C$13, 100%, $E$13)</f>
        <v>4.3139000000000003</v>
      </c>
      <c r="D235" s="60">
        <f>4.3302 * CHOOSE(CONTROL!$C$22, $C$13, 100%, $E$13)</f>
        <v>4.3301999999999996</v>
      </c>
      <c r="E235" s="61">
        <f>4.9413 * CHOOSE(CONTROL!$C$22, $C$13, 100%, $E$13)</f>
        <v>4.9413</v>
      </c>
      <c r="F235" s="61">
        <f>4.9413 * CHOOSE(CONTROL!$C$22, $C$13, 100%, $E$13)</f>
        <v>4.9413</v>
      </c>
      <c r="G235" s="61">
        <f>4.9414 * CHOOSE(CONTROL!$C$22, $C$13, 100%, $E$13)</f>
        <v>4.9413999999999998</v>
      </c>
      <c r="H235" s="61">
        <f>9.0213* CHOOSE(CONTROL!$C$22, $C$13, 100%, $E$13)</f>
        <v>9.0213000000000001</v>
      </c>
      <c r="I235" s="61">
        <f>9.0215 * CHOOSE(CONTROL!$C$22, $C$13, 100%, $E$13)</f>
        <v>9.0214999999999996</v>
      </c>
      <c r="J235" s="61">
        <f>4.9413 * CHOOSE(CONTROL!$C$22, $C$13, 100%, $E$13)</f>
        <v>4.9413</v>
      </c>
      <c r="K235" s="61">
        <f>4.9414 * CHOOSE(CONTROL!$C$22, $C$13, 100%, $E$13)</f>
        <v>4.9413999999999998</v>
      </c>
    </row>
    <row r="236" spans="1:11" ht="15">
      <c r="A236" s="13">
        <v>49035</v>
      </c>
      <c r="B236" s="60">
        <f>4.3119 * CHOOSE(CONTROL!$C$22, $C$13, 100%, $E$13)</f>
        <v>4.3118999999999996</v>
      </c>
      <c r="C236" s="60">
        <f>4.3119 * CHOOSE(CONTROL!$C$22, $C$13, 100%, $E$13)</f>
        <v>4.3118999999999996</v>
      </c>
      <c r="D236" s="60">
        <f>4.3282 * CHOOSE(CONTROL!$C$22, $C$13, 100%, $E$13)</f>
        <v>4.3281999999999998</v>
      </c>
      <c r="E236" s="61">
        <f>4.9831 * CHOOSE(CONTROL!$C$22, $C$13, 100%, $E$13)</f>
        <v>4.9831000000000003</v>
      </c>
      <c r="F236" s="61">
        <f>4.9831 * CHOOSE(CONTROL!$C$22, $C$13, 100%, $E$13)</f>
        <v>4.9831000000000003</v>
      </c>
      <c r="G236" s="61">
        <f>4.9833 * CHOOSE(CONTROL!$C$22, $C$13, 100%, $E$13)</f>
        <v>4.9832999999999998</v>
      </c>
      <c r="H236" s="61">
        <f>9.0401* CHOOSE(CONTROL!$C$22, $C$13, 100%, $E$13)</f>
        <v>9.0401000000000007</v>
      </c>
      <c r="I236" s="61">
        <f>9.0403 * CHOOSE(CONTROL!$C$22, $C$13, 100%, $E$13)</f>
        <v>9.0403000000000002</v>
      </c>
      <c r="J236" s="61">
        <f>4.9831 * CHOOSE(CONTROL!$C$22, $C$13, 100%, $E$13)</f>
        <v>4.9831000000000003</v>
      </c>
      <c r="K236" s="61">
        <f>4.9833 * CHOOSE(CONTROL!$C$22, $C$13, 100%, $E$13)</f>
        <v>4.9832999999999998</v>
      </c>
    </row>
    <row r="237" spans="1:11" ht="15">
      <c r="A237" s="13">
        <v>49065</v>
      </c>
      <c r="B237" s="60">
        <f>4.3119 * CHOOSE(CONTROL!$C$22, $C$13, 100%, $E$13)</f>
        <v>4.3118999999999996</v>
      </c>
      <c r="C237" s="60">
        <f>4.3119 * CHOOSE(CONTROL!$C$22, $C$13, 100%, $E$13)</f>
        <v>4.3118999999999996</v>
      </c>
      <c r="D237" s="60">
        <f>4.3445 * CHOOSE(CONTROL!$C$22, $C$13, 100%, $E$13)</f>
        <v>4.3445</v>
      </c>
      <c r="E237" s="61">
        <f>5.0004 * CHOOSE(CONTROL!$C$22, $C$13, 100%, $E$13)</f>
        <v>5.0004</v>
      </c>
      <c r="F237" s="61">
        <f>5.0004 * CHOOSE(CONTROL!$C$22, $C$13, 100%, $E$13)</f>
        <v>5.0004</v>
      </c>
      <c r="G237" s="61">
        <f>5.0024 * CHOOSE(CONTROL!$C$22, $C$13, 100%, $E$13)</f>
        <v>5.0023999999999997</v>
      </c>
      <c r="H237" s="61">
        <f>9.059* CHOOSE(CONTROL!$C$22, $C$13, 100%, $E$13)</f>
        <v>9.0589999999999993</v>
      </c>
      <c r="I237" s="61">
        <f>9.061 * CHOOSE(CONTROL!$C$22, $C$13, 100%, $E$13)</f>
        <v>9.0609999999999999</v>
      </c>
      <c r="J237" s="61">
        <f>5.0004 * CHOOSE(CONTROL!$C$22, $C$13, 100%, $E$13)</f>
        <v>5.0004</v>
      </c>
      <c r="K237" s="61">
        <f>5.0024 * CHOOSE(CONTROL!$C$22, $C$13, 100%, $E$13)</f>
        <v>5.0023999999999997</v>
      </c>
    </row>
    <row r="238" spans="1:11" ht="15">
      <c r="A238" s="13">
        <v>49096</v>
      </c>
      <c r="B238" s="60">
        <f>4.3179 * CHOOSE(CONTROL!$C$22, $C$13, 100%, $E$13)</f>
        <v>4.3178999999999998</v>
      </c>
      <c r="C238" s="60">
        <f>4.3179 * CHOOSE(CONTROL!$C$22, $C$13, 100%, $E$13)</f>
        <v>4.3178999999999998</v>
      </c>
      <c r="D238" s="60">
        <f>4.3506 * CHOOSE(CONTROL!$C$22, $C$13, 100%, $E$13)</f>
        <v>4.3506</v>
      </c>
      <c r="E238" s="61">
        <f>4.9873 * CHOOSE(CONTROL!$C$22, $C$13, 100%, $E$13)</f>
        <v>4.9873000000000003</v>
      </c>
      <c r="F238" s="61">
        <f>4.9873 * CHOOSE(CONTROL!$C$22, $C$13, 100%, $E$13)</f>
        <v>4.9873000000000003</v>
      </c>
      <c r="G238" s="61">
        <f>4.9894 * CHOOSE(CONTROL!$C$22, $C$13, 100%, $E$13)</f>
        <v>4.9893999999999998</v>
      </c>
      <c r="H238" s="61">
        <f>9.0778* CHOOSE(CONTROL!$C$22, $C$13, 100%, $E$13)</f>
        <v>9.0777999999999999</v>
      </c>
      <c r="I238" s="61">
        <f>9.0799 * CHOOSE(CONTROL!$C$22, $C$13, 100%, $E$13)</f>
        <v>9.0799000000000003</v>
      </c>
      <c r="J238" s="61">
        <f>4.9873 * CHOOSE(CONTROL!$C$22, $C$13, 100%, $E$13)</f>
        <v>4.9873000000000003</v>
      </c>
      <c r="K238" s="61">
        <f>4.9894 * CHOOSE(CONTROL!$C$22, $C$13, 100%, $E$13)</f>
        <v>4.9893999999999998</v>
      </c>
    </row>
    <row r="239" spans="1:11" ht="15">
      <c r="A239" s="13">
        <v>49126</v>
      </c>
      <c r="B239" s="60">
        <f>4.4051 * CHOOSE(CONTROL!$C$22, $C$13, 100%, $E$13)</f>
        <v>4.4051</v>
      </c>
      <c r="C239" s="60">
        <f>4.4051 * CHOOSE(CONTROL!$C$22, $C$13, 100%, $E$13)</f>
        <v>4.4051</v>
      </c>
      <c r="D239" s="60">
        <f>4.4378 * CHOOSE(CONTROL!$C$22, $C$13, 100%, $E$13)</f>
        <v>4.4378000000000002</v>
      </c>
      <c r="E239" s="61">
        <f>5.1009 * CHOOSE(CONTROL!$C$22, $C$13, 100%, $E$13)</f>
        <v>5.1009000000000002</v>
      </c>
      <c r="F239" s="61">
        <f>5.1009 * CHOOSE(CONTROL!$C$22, $C$13, 100%, $E$13)</f>
        <v>5.1009000000000002</v>
      </c>
      <c r="G239" s="61">
        <f>5.103 * CHOOSE(CONTROL!$C$22, $C$13, 100%, $E$13)</f>
        <v>5.1029999999999998</v>
      </c>
      <c r="H239" s="61">
        <f>9.0967* CHOOSE(CONTROL!$C$22, $C$13, 100%, $E$13)</f>
        <v>9.0967000000000002</v>
      </c>
      <c r="I239" s="61">
        <f>9.0988 * CHOOSE(CONTROL!$C$22, $C$13, 100%, $E$13)</f>
        <v>9.0988000000000007</v>
      </c>
      <c r="J239" s="61">
        <f>5.1009 * CHOOSE(CONTROL!$C$22, $C$13, 100%, $E$13)</f>
        <v>5.1009000000000002</v>
      </c>
      <c r="K239" s="61">
        <f>5.103 * CHOOSE(CONTROL!$C$22, $C$13, 100%, $E$13)</f>
        <v>5.1029999999999998</v>
      </c>
    </row>
    <row r="240" spans="1:11" ht="15">
      <c r="A240" s="13">
        <v>49157</v>
      </c>
      <c r="B240" s="60">
        <f>4.4118 * CHOOSE(CONTROL!$C$22, $C$13, 100%, $E$13)</f>
        <v>4.4118000000000004</v>
      </c>
      <c r="C240" s="60">
        <f>4.4118 * CHOOSE(CONTROL!$C$22, $C$13, 100%, $E$13)</f>
        <v>4.4118000000000004</v>
      </c>
      <c r="D240" s="60">
        <f>4.4445 * CHOOSE(CONTROL!$C$22, $C$13, 100%, $E$13)</f>
        <v>4.4444999999999997</v>
      </c>
      <c r="E240" s="61">
        <f>5.0538 * CHOOSE(CONTROL!$C$22, $C$13, 100%, $E$13)</f>
        <v>5.0537999999999998</v>
      </c>
      <c r="F240" s="61">
        <f>5.0538 * CHOOSE(CONTROL!$C$22, $C$13, 100%, $E$13)</f>
        <v>5.0537999999999998</v>
      </c>
      <c r="G240" s="61">
        <f>5.0558 * CHOOSE(CONTROL!$C$22, $C$13, 100%, $E$13)</f>
        <v>5.0557999999999996</v>
      </c>
      <c r="H240" s="61">
        <f>9.1157* CHOOSE(CONTROL!$C$22, $C$13, 100%, $E$13)</f>
        <v>9.1157000000000004</v>
      </c>
      <c r="I240" s="61">
        <f>9.1177 * CHOOSE(CONTROL!$C$22, $C$13, 100%, $E$13)</f>
        <v>9.1176999999999992</v>
      </c>
      <c r="J240" s="61">
        <f>5.0538 * CHOOSE(CONTROL!$C$22, $C$13, 100%, $E$13)</f>
        <v>5.0537999999999998</v>
      </c>
      <c r="K240" s="61">
        <f>5.0558 * CHOOSE(CONTROL!$C$22, $C$13, 100%, $E$13)</f>
        <v>5.0557999999999996</v>
      </c>
    </row>
    <row r="241" spans="1:11" ht="15">
      <c r="A241" s="13">
        <v>49188</v>
      </c>
      <c r="B241" s="60">
        <f>4.4088 * CHOOSE(CONTROL!$C$22, $C$13, 100%, $E$13)</f>
        <v>4.4088000000000003</v>
      </c>
      <c r="C241" s="60">
        <f>4.4088 * CHOOSE(CONTROL!$C$22, $C$13, 100%, $E$13)</f>
        <v>4.4088000000000003</v>
      </c>
      <c r="D241" s="60">
        <f>4.4415 * CHOOSE(CONTROL!$C$22, $C$13, 100%, $E$13)</f>
        <v>4.4414999999999996</v>
      </c>
      <c r="E241" s="61">
        <f>5.0459 * CHOOSE(CONTROL!$C$22, $C$13, 100%, $E$13)</f>
        <v>5.0458999999999996</v>
      </c>
      <c r="F241" s="61">
        <f>5.0459 * CHOOSE(CONTROL!$C$22, $C$13, 100%, $E$13)</f>
        <v>5.0458999999999996</v>
      </c>
      <c r="G241" s="61">
        <f>5.0479 * CHOOSE(CONTROL!$C$22, $C$13, 100%, $E$13)</f>
        <v>5.0479000000000003</v>
      </c>
      <c r="H241" s="61">
        <f>9.1347* CHOOSE(CONTROL!$C$22, $C$13, 100%, $E$13)</f>
        <v>9.1347000000000005</v>
      </c>
      <c r="I241" s="61">
        <f>9.1367 * CHOOSE(CONTROL!$C$22, $C$13, 100%, $E$13)</f>
        <v>9.1366999999999994</v>
      </c>
      <c r="J241" s="61">
        <f>5.0459 * CHOOSE(CONTROL!$C$22, $C$13, 100%, $E$13)</f>
        <v>5.0458999999999996</v>
      </c>
      <c r="K241" s="61">
        <f>5.0479 * CHOOSE(CONTROL!$C$22, $C$13, 100%, $E$13)</f>
        <v>5.0479000000000003</v>
      </c>
    </row>
    <row r="242" spans="1:11" ht="15">
      <c r="A242" s="13">
        <v>49218</v>
      </c>
      <c r="B242" s="60">
        <f>4.4054 * CHOOSE(CONTROL!$C$22, $C$13, 100%, $E$13)</f>
        <v>4.4054000000000002</v>
      </c>
      <c r="C242" s="60">
        <f>4.4054 * CHOOSE(CONTROL!$C$22, $C$13, 100%, $E$13)</f>
        <v>4.4054000000000002</v>
      </c>
      <c r="D242" s="60">
        <f>4.4217 * CHOOSE(CONTROL!$C$22, $C$13, 100%, $E$13)</f>
        <v>4.4217000000000004</v>
      </c>
      <c r="E242" s="61">
        <f>5.0555 * CHOOSE(CONTROL!$C$22, $C$13, 100%, $E$13)</f>
        <v>5.0555000000000003</v>
      </c>
      <c r="F242" s="61">
        <f>5.0555 * CHOOSE(CONTROL!$C$22, $C$13, 100%, $E$13)</f>
        <v>5.0555000000000003</v>
      </c>
      <c r="G242" s="61">
        <f>5.0557 * CHOOSE(CONTROL!$C$22, $C$13, 100%, $E$13)</f>
        <v>5.0556999999999999</v>
      </c>
      <c r="H242" s="61">
        <f>9.1537* CHOOSE(CONTROL!$C$22, $C$13, 100%, $E$13)</f>
        <v>9.1537000000000006</v>
      </c>
      <c r="I242" s="61">
        <f>9.1539 * CHOOSE(CONTROL!$C$22, $C$13, 100%, $E$13)</f>
        <v>9.1539000000000001</v>
      </c>
      <c r="J242" s="61">
        <f>5.0555 * CHOOSE(CONTROL!$C$22, $C$13, 100%, $E$13)</f>
        <v>5.0555000000000003</v>
      </c>
      <c r="K242" s="61">
        <f>5.0557 * CHOOSE(CONTROL!$C$22, $C$13, 100%, $E$13)</f>
        <v>5.0556999999999999</v>
      </c>
    </row>
    <row r="243" spans="1:11" ht="15">
      <c r="A243" s="13">
        <v>49249</v>
      </c>
      <c r="B243" s="60">
        <f>4.4084 * CHOOSE(CONTROL!$C$22, $C$13, 100%, $E$13)</f>
        <v>4.4084000000000003</v>
      </c>
      <c r="C243" s="60">
        <f>4.4084 * CHOOSE(CONTROL!$C$22, $C$13, 100%, $E$13)</f>
        <v>4.4084000000000003</v>
      </c>
      <c r="D243" s="60">
        <f>4.4248 * CHOOSE(CONTROL!$C$22, $C$13, 100%, $E$13)</f>
        <v>4.4248000000000003</v>
      </c>
      <c r="E243" s="61">
        <f>5.0691 * CHOOSE(CONTROL!$C$22, $C$13, 100%, $E$13)</f>
        <v>5.0690999999999997</v>
      </c>
      <c r="F243" s="61">
        <f>5.0691 * CHOOSE(CONTROL!$C$22, $C$13, 100%, $E$13)</f>
        <v>5.0690999999999997</v>
      </c>
      <c r="G243" s="61">
        <f>5.0693 * CHOOSE(CONTROL!$C$22, $C$13, 100%, $E$13)</f>
        <v>5.0693000000000001</v>
      </c>
      <c r="H243" s="61">
        <f>9.1728* CHOOSE(CONTROL!$C$22, $C$13, 100%, $E$13)</f>
        <v>9.1728000000000005</v>
      </c>
      <c r="I243" s="61">
        <f>9.173 * CHOOSE(CONTROL!$C$22, $C$13, 100%, $E$13)</f>
        <v>9.173</v>
      </c>
      <c r="J243" s="61">
        <f>5.0691 * CHOOSE(CONTROL!$C$22, $C$13, 100%, $E$13)</f>
        <v>5.0690999999999997</v>
      </c>
      <c r="K243" s="61">
        <f>5.0693 * CHOOSE(CONTROL!$C$22, $C$13, 100%, $E$13)</f>
        <v>5.0693000000000001</v>
      </c>
    </row>
    <row r="244" spans="1:11" ht="15">
      <c r="A244" s="13">
        <v>49279</v>
      </c>
      <c r="B244" s="60">
        <f>4.4084 * CHOOSE(CONTROL!$C$22, $C$13, 100%, $E$13)</f>
        <v>4.4084000000000003</v>
      </c>
      <c r="C244" s="60">
        <f>4.4084 * CHOOSE(CONTROL!$C$22, $C$13, 100%, $E$13)</f>
        <v>4.4084000000000003</v>
      </c>
      <c r="D244" s="60">
        <f>4.4248 * CHOOSE(CONTROL!$C$22, $C$13, 100%, $E$13)</f>
        <v>4.4248000000000003</v>
      </c>
      <c r="E244" s="61">
        <f>5.0404 * CHOOSE(CONTROL!$C$22, $C$13, 100%, $E$13)</f>
        <v>5.0404</v>
      </c>
      <c r="F244" s="61">
        <f>5.0404 * CHOOSE(CONTROL!$C$22, $C$13, 100%, $E$13)</f>
        <v>5.0404</v>
      </c>
      <c r="G244" s="61">
        <f>5.0405 * CHOOSE(CONTROL!$C$22, $C$13, 100%, $E$13)</f>
        <v>5.0404999999999998</v>
      </c>
      <c r="H244" s="61">
        <f>9.1919* CHOOSE(CONTROL!$C$22, $C$13, 100%, $E$13)</f>
        <v>9.1919000000000004</v>
      </c>
      <c r="I244" s="61">
        <f>9.1921 * CHOOSE(CONTROL!$C$22, $C$13, 100%, $E$13)</f>
        <v>9.1920999999999999</v>
      </c>
      <c r="J244" s="61">
        <f>5.0404 * CHOOSE(CONTROL!$C$22, $C$13, 100%, $E$13)</f>
        <v>5.0404</v>
      </c>
      <c r="K244" s="61">
        <f>5.0405 * CHOOSE(CONTROL!$C$22, $C$13, 100%, $E$13)</f>
        <v>5.0404999999999998</v>
      </c>
    </row>
    <row r="245" spans="1:11" ht="15">
      <c r="A245" s="13">
        <v>49310</v>
      </c>
      <c r="B245" s="60">
        <f>4.4493 * CHOOSE(CONTROL!$C$22, $C$13, 100%, $E$13)</f>
        <v>4.4493</v>
      </c>
      <c r="C245" s="60">
        <f>4.4493 * CHOOSE(CONTROL!$C$22, $C$13, 100%, $E$13)</f>
        <v>4.4493</v>
      </c>
      <c r="D245" s="60">
        <f>4.4657 * CHOOSE(CONTROL!$C$22, $C$13, 100%, $E$13)</f>
        <v>4.4657</v>
      </c>
      <c r="E245" s="61">
        <f>5.1042 * CHOOSE(CONTROL!$C$22, $C$13, 100%, $E$13)</f>
        <v>5.1041999999999996</v>
      </c>
      <c r="F245" s="61">
        <f>5.1042 * CHOOSE(CONTROL!$C$22, $C$13, 100%, $E$13)</f>
        <v>5.1041999999999996</v>
      </c>
      <c r="G245" s="61">
        <f>5.1043 * CHOOSE(CONTROL!$C$22, $C$13, 100%, $E$13)</f>
        <v>5.1043000000000003</v>
      </c>
      <c r="H245" s="61">
        <f>9.211* CHOOSE(CONTROL!$C$22, $C$13, 100%, $E$13)</f>
        <v>9.2110000000000003</v>
      </c>
      <c r="I245" s="61">
        <f>9.2112 * CHOOSE(CONTROL!$C$22, $C$13, 100%, $E$13)</f>
        <v>9.2111999999999998</v>
      </c>
      <c r="J245" s="61">
        <f>5.1042 * CHOOSE(CONTROL!$C$22, $C$13, 100%, $E$13)</f>
        <v>5.1041999999999996</v>
      </c>
      <c r="K245" s="61">
        <f>5.1043 * CHOOSE(CONTROL!$C$22, $C$13, 100%, $E$13)</f>
        <v>5.1043000000000003</v>
      </c>
    </row>
    <row r="246" spans="1:11" ht="15">
      <c r="A246" s="13">
        <v>49341</v>
      </c>
      <c r="B246" s="60">
        <f>4.4463 * CHOOSE(CONTROL!$C$22, $C$13, 100%, $E$13)</f>
        <v>4.4462999999999999</v>
      </c>
      <c r="C246" s="60">
        <f>4.4463 * CHOOSE(CONTROL!$C$22, $C$13, 100%, $E$13)</f>
        <v>4.4462999999999999</v>
      </c>
      <c r="D246" s="60">
        <f>4.4626 * CHOOSE(CONTROL!$C$22, $C$13, 100%, $E$13)</f>
        <v>4.4626000000000001</v>
      </c>
      <c r="E246" s="61">
        <f>5.0462 * CHOOSE(CONTROL!$C$22, $C$13, 100%, $E$13)</f>
        <v>5.0461999999999998</v>
      </c>
      <c r="F246" s="61">
        <f>5.0462 * CHOOSE(CONTROL!$C$22, $C$13, 100%, $E$13)</f>
        <v>5.0461999999999998</v>
      </c>
      <c r="G246" s="61">
        <f>5.0464 * CHOOSE(CONTROL!$C$22, $C$13, 100%, $E$13)</f>
        <v>5.0464000000000002</v>
      </c>
      <c r="H246" s="61">
        <f>9.2302* CHOOSE(CONTROL!$C$22, $C$13, 100%, $E$13)</f>
        <v>9.2302</v>
      </c>
      <c r="I246" s="61">
        <f>9.2304 * CHOOSE(CONTROL!$C$22, $C$13, 100%, $E$13)</f>
        <v>9.2303999999999995</v>
      </c>
      <c r="J246" s="61">
        <f>5.0462 * CHOOSE(CONTROL!$C$22, $C$13, 100%, $E$13)</f>
        <v>5.0461999999999998</v>
      </c>
      <c r="K246" s="61">
        <f>5.0464 * CHOOSE(CONTROL!$C$22, $C$13, 100%, $E$13)</f>
        <v>5.0464000000000002</v>
      </c>
    </row>
    <row r="247" spans="1:11" ht="15">
      <c r="A247" s="13">
        <v>49369</v>
      </c>
      <c r="B247" s="60">
        <f>4.4432 * CHOOSE(CONTROL!$C$22, $C$13, 100%, $E$13)</f>
        <v>4.4432</v>
      </c>
      <c r="C247" s="60">
        <f>4.4432 * CHOOSE(CONTROL!$C$22, $C$13, 100%, $E$13)</f>
        <v>4.4432</v>
      </c>
      <c r="D247" s="60">
        <f>4.4596 * CHOOSE(CONTROL!$C$22, $C$13, 100%, $E$13)</f>
        <v>4.4596</v>
      </c>
      <c r="E247" s="61">
        <f>5.0881 * CHOOSE(CONTROL!$C$22, $C$13, 100%, $E$13)</f>
        <v>5.0880999999999998</v>
      </c>
      <c r="F247" s="61">
        <f>5.0881 * CHOOSE(CONTROL!$C$22, $C$13, 100%, $E$13)</f>
        <v>5.0880999999999998</v>
      </c>
      <c r="G247" s="61">
        <f>5.0883 * CHOOSE(CONTROL!$C$22, $C$13, 100%, $E$13)</f>
        <v>5.0883000000000003</v>
      </c>
      <c r="H247" s="61">
        <f>9.2495* CHOOSE(CONTROL!$C$22, $C$13, 100%, $E$13)</f>
        <v>9.2494999999999994</v>
      </c>
      <c r="I247" s="61">
        <f>9.2496 * CHOOSE(CONTROL!$C$22, $C$13, 100%, $E$13)</f>
        <v>9.2495999999999992</v>
      </c>
      <c r="J247" s="61">
        <f>5.0881 * CHOOSE(CONTROL!$C$22, $C$13, 100%, $E$13)</f>
        <v>5.0880999999999998</v>
      </c>
      <c r="K247" s="61">
        <f>5.0883 * CHOOSE(CONTROL!$C$22, $C$13, 100%, $E$13)</f>
        <v>5.0883000000000003</v>
      </c>
    </row>
    <row r="248" spans="1:11" ht="15">
      <c r="A248" s="13">
        <v>49400</v>
      </c>
      <c r="B248" s="60">
        <f>4.4413 * CHOOSE(CONTROL!$C$22, $C$13, 100%, $E$13)</f>
        <v>4.4413</v>
      </c>
      <c r="C248" s="60">
        <f>4.4413 * CHOOSE(CONTROL!$C$22, $C$13, 100%, $E$13)</f>
        <v>4.4413</v>
      </c>
      <c r="D248" s="60">
        <f>4.4577 * CHOOSE(CONTROL!$C$22, $C$13, 100%, $E$13)</f>
        <v>4.4577</v>
      </c>
      <c r="E248" s="61">
        <f>5.1311 * CHOOSE(CONTROL!$C$22, $C$13, 100%, $E$13)</f>
        <v>5.1311</v>
      </c>
      <c r="F248" s="61">
        <f>5.1311 * CHOOSE(CONTROL!$C$22, $C$13, 100%, $E$13)</f>
        <v>5.1311</v>
      </c>
      <c r="G248" s="61">
        <f>5.1313 * CHOOSE(CONTROL!$C$22, $C$13, 100%, $E$13)</f>
        <v>5.1313000000000004</v>
      </c>
      <c r="H248" s="61">
        <f>9.2687* CHOOSE(CONTROL!$C$22, $C$13, 100%, $E$13)</f>
        <v>9.2687000000000008</v>
      </c>
      <c r="I248" s="61">
        <f>9.2689 * CHOOSE(CONTROL!$C$22, $C$13, 100%, $E$13)</f>
        <v>9.2689000000000004</v>
      </c>
      <c r="J248" s="61">
        <f>5.1311 * CHOOSE(CONTROL!$C$22, $C$13, 100%, $E$13)</f>
        <v>5.1311</v>
      </c>
      <c r="K248" s="61">
        <f>5.1313 * CHOOSE(CONTROL!$C$22, $C$13, 100%, $E$13)</f>
        <v>5.1313000000000004</v>
      </c>
    </row>
    <row r="249" spans="1:11" ht="15">
      <c r="A249" s="13">
        <v>49430</v>
      </c>
      <c r="B249" s="60">
        <f>4.4413 * CHOOSE(CONTROL!$C$22, $C$13, 100%, $E$13)</f>
        <v>4.4413</v>
      </c>
      <c r="C249" s="60">
        <f>4.4413 * CHOOSE(CONTROL!$C$22, $C$13, 100%, $E$13)</f>
        <v>4.4413</v>
      </c>
      <c r="D249" s="60">
        <f>4.474 * CHOOSE(CONTROL!$C$22, $C$13, 100%, $E$13)</f>
        <v>4.4740000000000002</v>
      </c>
      <c r="E249" s="61">
        <f>5.1489 * CHOOSE(CONTROL!$C$22, $C$13, 100%, $E$13)</f>
        <v>5.1489000000000003</v>
      </c>
      <c r="F249" s="61">
        <f>5.1489 * CHOOSE(CONTROL!$C$22, $C$13, 100%, $E$13)</f>
        <v>5.1489000000000003</v>
      </c>
      <c r="G249" s="61">
        <f>5.1509 * CHOOSE(CONTROL!$C$22, $C$13, 100%, $E$13)</f>
        <v>5.1509</v>
      </c>
      <c r="H249" s="61">
        <f>9.288* CHOOSE(CONTROL!$C$22, $C$13, 100%, $E$13)</f>
        <v>9.2880000000000003</v>
      </c>
      <c r="I249" s="61">
        <f>9.2901 * CHOOSE(CONTROL!$C$22, $C$13, 100%, $E$13)</f>
        <v>9.2901000000000007</v>
      </c>
      <c r="J249" s="61">
        <f>5.1489 * CHOOSE(CONTROL!$C$22, $C$13, 100%, $E$13)</f>
        <v>5.1489000000000003</v>
      </c>
      <c r="K249" s="61">
        <f>5.1509 * CHOOSE(CONTROL!$C$22, $C$13, 100%, $E$13)</f>
        <v>5.1509</v>
      </c>
    </row>
    <row r="250" spans="1:11" ht="15">
      <c r="A250" s="13">
        <v>49461</v>
      </c>
      <c r="B250" s="60">
        <f>4.4474 * CHOOSE(CONTROL!$C$22, $C$13, 100%, $E$13)</f>
        <v>4.4474</v>
      </c>
      <c r="C250" s="60">
        <f>4.4474 * CHOOSE(CONTROL!$C$22, $C$13, 100%, $E$13)</f>
        <v>4.4474</v>
      </c>
      <c r="D250" s="60">
        <f>4.4801 * CHOOSE(CONTROL!$C$22, $C$13, 100%, $E$13)</f>
        <v>4.4801000000000002</v>
      </c>
      <c r="E250" s="61">
        <f>5.1354 * CHOOSE(CONTROL!$C$22, $C$13, 100%, $E$13)</f>
        <v>5.1353999999999997</v>
      </c>
      <c r="F250" s="61">
        <f>5.1354 * CHOOSE(CONTROL!$C$22, $C$13, 100%, $E$13)</f>
        <v>5.1353999999999997</v>
      </c>
      <c r="G250" s="61">
        <f>5.1374 * CHOOSE(CONTROL!$C$22, $C$13, 100%, $E$13)</f>
        <v>5.1374000000000004</v>
      </c>
      <c r="H250" s="61">
        <f>9.3074* CHOOSE(CONTROL!$C$22, $C$13, 100%, $E$13)</f>
        <v>9.3073999999999995</v>
      </c>
      <c r="I250" s="61">
        <f>9.3094 * CHOOSE(CONTROL!$C$22, $C$13, 100%, $E$13)</f>
        <v>9.3094000000000001</v>
      </c>
      <c r="J250" s="61">
        <f>5.1354 * CHOOSE(CONTROL!$C$22, $C$13, 100%, $E$13)</f>
        <v>5.1353999999999997</v>
      </c>
      <c r="K250" s="61">
        <f>5.1374 * CHOOSE(CONTROL!$C$22, $C$13, 100%, $E$13)</f>
        <v>5.1374000000000004</v>
      </c>
    </row>
    <row r="251" spans="1:11" ht="15">
      <c r="A251" s="13">
        <v>49491</v>
      </c>
      <c r="B251" s="60">
        <f>4.5237 * CHOOSE(CONTROL!$C$22, $C$13, 100%, $E$13)</f>
        <v>4.5236999999999998</v>
      </c>
      <c r="C251" s="60">
        <f>4.5237 * CHOOSE(CONTROL!$C$22, $C$13, 100%, $E$13)</f>
        <v>4.5236999999999998</v>
      </c>
      <c r="D251" s="60">
        <f>4.5564 * CHOOSE(CONTROL!$C$22, $C$13, 100%, $E$13)</f>
        <v>4.5564</v>
      </c>
      <c r="E251" s="61">
        <f>5.2334 * CHOOSE(CONTROL!$C$22, $C$13, 100%, $E$13)</f>
        <v>5.2333999999999996</v>
      </c>
      <c r="F251" s="61">
        <f>5.2334 * CHOOSE(CONTROL!$C$22, $C$13, 100%, $E$13)</f>
        <v>5.2333999999999996</v>
      </c>
      <c r="G251" s="61">
        <f>5.2354 * CHOOSE(CONTROL!$C$22, $C$13, 100%, $E$13)</f>
        <v>5.2354000000000003</v>
      </c>
      <c r="H251" s="61">
        <f>9.3268* CHOOSE(CONTROL!$C$22, $C$13, 100%, $E$13)</f>
        <v>9.3268000000000004</v>
      </c>
      <c r="I251" s="61">
        <f>9.3288 * CHOOSE(CONTROL!$C$22, $C$13, 100%, $E$13)</f>
        <v>9.3287999999999993</v>
      </c>
      <c r="J251" s="61">
        <f>5.2334 * CHOOSE(CONTROL!$C$22, $C$13, 100%, $E$13)</f>
        <v>5.2333999999999996</v>
      </c>
      <c r="K251" s="61">
        <f>5.2354 * CHOOSE(CONTROL!$C$22, $C$13, 100%, $E$13)</f>
        <v>5.2354000000000003</v>
      </c>
    </row>
    <row r="252" spans="1:11" ht="15">
      <c r="A252" s="13">
        <v>49522</v>
      </c>
      <c r="B252" s="60">
        <f>4.5304 * CHOOSE(CONTROL!$C$22, $C$13, 100%, $E$13)</f>
        <v>4.5304000000000002</v>
      </c>
      <c r="C252" s="60">
        <f>4.5304 * CHOOSE(CONTROL!$C$22, $C$13, 100%, $E$13)</f>
        <v>4.5304000000000002</v>
      </c>
      <c r="D252" s="60">
        <f>4.5631 * CHOOSE(CONTROL!$C$22, $C$13, 100%, $E$13)</f>
        <v>4.5631000000000004</v>
      </c>
      <c r="E252" s="61">
        <f>5.1849 * CHOOSE(CONTROL!$C$22, $C$13, 100%, $E$13)</f>
        <v>5.1848999999999998</v>
      </c>
      <c r="F252" s="61">
        <f>5.1849 * CHOOSE(CONTROL!$C$22, $C$13, 100%, $E$13)</f>
        <v>5.1848999999999998</v>
      </c>
      <c r="G252" s="61">
        <f>5.1869 * CHOOSE(CONTROL!$C$22, $C$13, 100%, $E$13)</f>
        <v>5.1868999999999996</v>
      </c>
      <c r="H252" s="61">
        <f>9.3462* CHOOSE(CONTROL!$C$22, $C$13, 100%, $E$13)</f>
        <v>9.3461999999999996</v>
      </c>
      <c r="I252" s="61">
        <f>9.3482 * CHOOSE(CONTROL!$C$22, $C$13, 100%, $E$13)</f>
        <v>9.3482000000000003</v>
      </c>
      <c r="J252" s="61">
        <f>5.1849 * CHOOSE(CONTROL!$C$22, $C$13, 100%, $E$13)</f>
        <v>5.1848999999999998</v>
      </c>
      <c r="K252" s="61">
        <f>5.1869 * CHOOSE(CONTROL!$C$22, $C$13, 100%, $E$13)</f>
        <v>5.1868999999999996</v>
      </c>
    </row>
    <row r="253" spans="1:11" ht="15">
      <c r="A253" s="13">
        <v>49553</v>
      </c>
      <c r="B253" s="60">
        <f>4.5274 * CHOOSE(CONTROL!$C$22, $C$13, 100%, $E$13)</f>
        <v>4.5274000000000001</v>
      </c>
      <c r="C253" s="60">
        <f>4.5274 * CHOOSE(CONTROL!$C$22, $C$13, 100%, $E$13)</f>
        <v>4.5274000000000001</v>
      </c>
      <c r="D253" s="60">
        <f>4.5601 * CHOOSE(CONTROL!$C$22, $C$13, 100%, $E$13)</f>
        <v>4.5601000000000003</v>
      </c>
      <c r="E253" s="61">
        <f>5.1768 * CHOOSE(CONTROL!$C$22, $C$13, 100%, $E$13)</f>
        <v>5.1768000000000001</v>
      </c>
      <c r="F253" s="61">
        <f>5.1768 * CHOOSE(CONTROL!$C$22, $C$13, 100%, $E$13)</f>
        <v>5.1768000000000001</v>
      </c>
      <c r="G253" s="61">
        <f>5.1789 * CHOOSE(CONTROL!$C$22, $C$13, 100%, $E$13)</f>
        <v>5.1788999999999996</v>
      </c>
      <c r="H253" s="61">
        <f>9.3657* CHOOSE(CONTROL!$C$22, $C$13, 100%, $E$13)</f>
        <v>9.3657000000000004</v>
      </c>
      <c r="I253" s="61">
        <f>9.3677 * CHOOSE(CONTROL!$C$22, $C$13, 100%, $E$13)</f>
        <v>9.3676999999999992</v>
      </c>
      <c r="J253" s="61">
        <f>5.1768 * CHOOSE(CONTROL!$C$22, $C$13, 100%, $E$13)</f>
        <v>5.1768000000000001</v>
      </c>
      <c r="K253" s="61">
        <f>5.1789 * CHOOSE(CONTROL!$C$22, $C$13, 100%, $E$13)</f>
        <v>5.1788999999999996</v>
      </c>
    </row>
    <row r="254" spans="1:11" ht="15">
      <c r="A254" s="13">
        <v>49583</v>
      </c>
      <c r="B254" s="60">
        <f>4.5244 * CHOOSE(CONTROL!$C$22, $C$13, 100%, $E$13)</f>
        <v>4.5244</v>
      </c>
      <c r="C254" s="60">
        <f>4.5244 * CHOOSE(CONTROL!$C$22, $C$13, 100%, $E$13)</f>
        <v>4.5244</v>
      </c>
      <c r="D254" s="60">
        <f>4.5407 * CHOOSE(CONTROL!$C$22, $C$13, 100%, $E$13)</f>
        <v>4.5407000000000002</v>
      </c>
      <c r="E254" s="61">
        <f>5.1871 * CHOOSE(CONTROL!$C$22, $C$13, 100%, $E$13)</f>
        <v>5.1871</v>
      </c>
      <c r="F254" s="61">
        <f>5.1871 * CHOOSE(CONTROL!$C$22, $C$13, 100%, $E$13)</f>
        <v>5.1871</v>
      </c>
      <c r="G254" s="61">
        <f>5.1872 * CHOOSE(CONTROL!$C$22, $C$13, 100%, $E$13)</f>
        <v>5.1871999999999998</v>
      </c>
      <c r="H254" s="61">
        <f>9.3852* CHOOSE(CONTROL!$C$22, $C$13, 100%, $E$13)</f>
        <v>9.3851999999999993</v>
      </c>
      <c r="I254" s="61">
        <f>9.3854 * CHOOSE(CONTROL!$C$22, $C$13, 100%, $E$13)</f>
        <v>9.3854000000000006</v>
      </c>
      <c r="J254" s="61">
        <f>5.1871 * CHOOSE(CONTROL!$C$22, $C$13, 100%, $E$13)</f>
        <v>5.1871</v>
      </c>
      <c r="K254" s="61">
        <f>5.1872 * CHOOSE(CONTROL!$C$22, $C$13, 100%, $E$13)</f>
        <v>5.1871999999999998</v>
      </c>
    </row>
    <row r="255" spans="1:11" ht="15">
      <c r="A255" s="13">
        <v>49614</v>
      </c>
      <c r="B255" s="60">
        <f>4.5275 * CHOOSE(CONTROL!$C$22, $C$13, 100%, $E$13)</f>
        <v>4.5274999999999999</v>
      </c>
      <c r="C255" s="60">
        <f>4.5275 * CHOOSE(CONTROL!$C$22, $C$13, 100%, $E$13)</f>
        <v>4.5274999999999999</v>
      </c>
      <c r="D255" s="60">
        <f>4.5438 * CHOOSE(CONTROL!$C$22, $C$13, 100%, $E$13)</f>
        <v>4.5438000000000001</v>
      </c>
      <c r="E255" s="61">
        <f>5.201 * CHOOSE(CONTROL!$C$22, $C$13, 100%, $E$13)</f>
        <v>5.2009999999999996</v>
      </c>
      <c r="F255" s="61">
        <f>5.201 * CHOOSE(CONTROL!$C$22, $C$13, 100%, $E$13)</f>
        <v>5.2009999999999996</v>
      </c>
      <c r="G255" s="61">
        <f>5.2012 * CHOOSE(CONTROL!$C$22, $C$13, 100%, $E$13)</f>
        <v>5.2012</v>
      </c>
      <c r="H255" s="61">
        <f>9.4047* CHOOSE(CONTROL!$C$22, $C$13, 100%, $E$13)</f>
        <v>9.4047000000000001</v>
      </c>
      <c r="I255" s="61">
        <f>9.4049 * CHOOSE(CONTROL!$C$22, $C$13, 100%, $E$13)</f>
        <v>9.4048999999999996</v>
      </c>
      <c r="J255" s="61">
        <f>5.201 * CHOOSE(CONTROL!$C$22, $C$13, 100%, $E$13)</f>
        <v>5.2009999999999996</v>
      </c>
      <c r="K255" s="61">
        <f>5.2012 * CHOOSE(CONTROL!$C$22, $C$13, 100%, $E$13)</f>
        <v>5.2012</v>
      </c>
    </row>
    <row r="256" spans="1:11" ht="15">
      <c r="A256" s="13">
        <v>49644</v>
      </c>
      <c r="B256" s="60">
        <f>4.5275 * CHOOSE(CONTROL!$C$22, $C$13, 100%, $E$13)</f>
        <v>4.5274999999999999</v>
      </c>
      <c r="C256" s="60">
        <f>4.5275 * CHOOSE(CONTROL!$C$22, $C$13, 100%, $E$13)</f>
        <v>4.5274999999999999</v>
      </c>
      <c r="D256" s="60">
        <f>4.5438 * CHOOSE(CONTROL!$C$22, $C$13, 100%, $E$13)</f>
        <v>4.5438000000000001</v>
      </c>
      <c r="E256" s="61">
        <f>5.1715 * CHOOSE(CONTROL!$C$22, $C$13, 100%, $E$13)</f>
        <v>5.1715</v>
      </c>
      <c r="F256" s="61">
        <f>5.1715 * CHOOSE(CONTROL!$C$22, $C$13, 100%, $E$13)</f>
        <v>5.1715</v>
      </c>
      <c r="G256" s="61">
        <f>5.1716 * CHOOSE(CONTROL!$C$22, $C$13, 100%, $E$13)</f>
        <v>5.1715999999999998</v>
      </c>
      <c r="H256" s="61">
        <f>9.4243* CHOOSE(CONTROL!$C$22, $C$13, 100%, $E$13)</f>
        <v>9.4243000000000006</v>
      </c>
      <c r="I256" s="61">
        <f>9.4245 * CHOOSE(CONTROL!$C$22, $C$13, 100%, $E$13)</f>
        <v>9.4245000000000001</v>
      </c>
      <c r="J256" s="61">
        <f>5.1715 * CHOOSE(CONTROL!$C$22, $C$13, 100%, $E$13)</f>
        <v>5.1715</v>
      </c>
      <c r="K256" s="61">
        <f>5.1716 * CHOOSE(CONTROL!$C$22, $C$13, 100%, $E$13)</f>
        <v>5.1715999999999998</v>
      </c>
    </row>
    <row r="257" spans="1:11" ht="15">
      <c r="A257" s="13">
        <v>49675</v>
      </c>
      <c r="B257" s="60">
        <f>4.5704 * CHOOSE(CONTROL!$C$22, $C$13, 100%, $E$13)</f>
        <v>4.5704000000000002</v>
      </c>
      <c r="C257" s="60">
        <f>4.5704 * CHOOSE(CONTROL!$C$22, $C$13, 100%, $E$13)</f>
        <v>4.5704000000000002</v>
      </c>
      <c r="D257" s="60">
        <f>4.5867 * CHOOSE(CONTROL!$C$22, $C$13, 100%, $E$13)</f>
        <v>4.5867000000000004</v>
      </c>
      <c r="E257" s="61">
        <f>5.2414 * CHOOSE(CONTROL!$C$22, $C$13, 100%, $E$13)</f>
        <v>5.2413999999999996</v>
      </c>
      <c r="F257" s="61">
        <f>5.2414 * CHOOSE(CONTROL!$C$22, $C$13, 100%, $E$13)</f>
        <v>5.2413999999999996</v>
      </c>
      <c r="G257" s="61">
        <f>5.2415 * CHOOSE(CONTROL!$C$22, $C$13, 100%, $E$13)</f>
        <v>5.2415000000000003</v>
      </c>
      <c r="H257" s="61">
        <f>9.444* CHOOSE(CONTROL!$C$22, $C$13, 100%, $E$13)</f>
        <v>9.4440000000000008</v>
      </c>
      <c r="I257" s="61">
        <f>9.4442 * CHOOSE(CONTROL!$C$22, $C$13, 100%, $E$13)</f>
        <v>9.4442000000000004</v>
      </c>
      <c r="J257" s="61">
        <f>5.2414 * CHOOSE(CONTROL!$C$22, $C$13, 100%, $E$13)</f>
        <v>5.2413999999999996</v>
      </c>
      <c r="K257" s="61">
        <f>5.2415 * CHOOSE(CONTROL!$C$22, $C$13, 100%, $E$13)</f>
        <v>5.2415000000000003</v>
      </c>
    </row>
    <row r="258" spans="1:11" ht="15">
      <c r="A258" s="13">
        <v>49706</v>
      </c>
      <c r="B258" s="60">
        <f>4.5673 * CHOOSE(CONTROL!$C$22, $C$13, 100%, $E$13)</f>
        <v>4.5673000000000004</v>
      </c>
      <c r="C258" s="60">
        <f>4.5673 * CHOOSE(CONTROL!$C$22, $C$13, 100%, $E$13)</f>
        <v>4.5673000000000004</v>
      </c>
      <c r="D258" s="60">
        <f>4.5837 * CHOOSE(CONTROL!$C$22, $C$13, 100%, $E$13)</f>
        <v>4.5837000000000003</v>
      </c>
      <c r="E258" s="61">
        <f>5.1819 * CHOOSE(CONTROL!$C$22, $C$13, 100%, $E$13)</f>
        <v>5.1818999999999997</v>
      </c>
      <c r="F258" s="61">
        <f>5.1819 * CHOOSE(CONTROL!$C$22, $C$13, 100%, $E$13)</f>
        <v>5.1818999999999997</v>
      </c>
      <c r="G258" s="61">
        <f>5.182 * CHOOSE(CONTROL!$C$22, $C$13, 100%, $E$13)</f>
        <v>5.1820000000000004</v>
      </c>
      <c r="H258" s="61">
        <f>9.4636* CHOOSE(CONTROL!$C$22, $C$13, 100%, $E$13)</f>
        <v>9.4635999999999996</v>
      </c>
      <c r="I258" s="61">
        <f>9.4638 * CHOOSE(CONTROL!$C$22, $C$13, 100%, $E$13)</f>
        <v>9.4638000000000009</v>
      </c>
      <c r="J258" s="61">
        <f>5.1819 * CHOOSE(CONTROL!$C$22, $C$13, 100%, $E$13)</f>
        <v>5.1818999999999997</v>
      </c>
      <c r="K258" s="61">
        <f>5.182 * CHOOSE(CONTROL!$C$22, $C$13, 100%, $E$13)</f>
        <v>5.1820000000000004</v>
      </c>
    </row>
    <row r="259" spans="1:11" ht="15">
      <c r="A259" s="13">
        <v>49735</v>
      </c>
      <c r="B259" s="60">
        <f>4.5643 * CHOOSE(CONTROL!$C$22, $C$13, 100%, $E$13)</f>
        <v>4.5643000000000002</v>
      </c>
      <c r="C259" s="60">
        <f>4.5643 * CHOOSE(CONTROL!$C$22, $C$13, 100%, $E$13)</f>
        <v>4.5643000000000002</v>
      </c>
      <c r="D259" s="60">
        <f>4.5806 * CHOOSE(CONTROL!$C$22, $C$13, 100%, $E$13)</f>
        <v>4.5805999999999996</v>
      </c>
      <c r="E259" s="61">
        <f>5.225 * CHOOSE(CONTROL!$C$22, $C$13, 100%, $E$13)</f>
        <v>5.2249999999999996</v>
      </c>
      <c r="F259" s="61">
        <f>5.225 * CHOOSE(CONTROL!$C$22, $C$13, 100%, $E$13)</f>
        <v>5.2249999999999996</v>
      </c>
      <c r="G259" s="61">
        <f>5.2251 * CHOOSE(CONTROL!$C$22, $C$13, 100%, $E$13)</f>
        <v>5.2251000000000003</v>
      </c>
      <c r="H259" s="61">
        <f>9.4834* CHOOSE(CONTROL!$C$22, $C$13, 100%, $E$13)</f>
        <v>9.4833999999999996</v>
      </c>
      <c r="I259" s="61">
        <f>9.4835 * CHOOSE(CONTROL!$C$22, $C$13, 100%, $E$13)</f>
        <v>9.4834999999999994</v>
      </c>
      <c r="J259" s="61">
        <f>5.225 * CHOOSE(CONTROL!$C$22, $C$13, 100%, $E$13)</f>
        <v>5.2249999999999996</v>
      </c>
      <c r="K259" s="61">
        <f>5.2251 * CHOOSE(CONTROL!$C$22, $C$13, 100%, $E$13)</f>
        <v>5.2251000000000003</v>
      </c>
    </row>
    <row r="260" spans="1:11" ht="15">
      <c r="A260" s="13">
        <v>49766</v>
      </c>
      <c r="B260" s="60">
        <f>4.5625 * CHOOSE(CONTROL!$C$22, $C$13, 100%, $E$13)</f>
        <v>4.5625</v>
      </c>
      <c r="C260" s="60">
        <f>4.5625 * CHOOSE(CONTROL!$C$22, $C$13, 100%, $E$13)</f>
        <v>4.5625</v>
      </c>
      <c r="D260" s="60">
        <f>4.5788 * CHOOSE(CONTROL!$C$22, $C$13, 100%, $E$13)</f>
        <v>4.5788000000000002</v>
      </c>
      <c r="E260" s="61">
        <f>5.2693 * CHOOSE(CONTROL!$C$22, $C$13, 100%, $E$13)</f>
        <v>5.2693000000000003</v>
      </c>
      <c r="F260" s="61">
        <f>5.2693 * CHOOSE(CONTROL!$C$22, $C$13, 100%, $E$13)</f>
        <v>5.2693000000000003</v>
      </c>
      <c r="G260" s="61">
        <f>5.2695 * CHOOSE(CONTROL!$C$22, $C$13, 100%, $E$13)</f>
        <v>5.2694999999999999</v>
      </c>
      <c r="H260" s="61">
        <f>9.5031* CHOOSE(CONTROL!$C$22, $C$13, 100%, $E$13)</f>
        <v>9.5030999999999999</v>
      </c>
      <c r="I260" s="61">
        <f>9.5033 * CHOOSE(CONTROL!$C$22, $C$13, 100%, $E$13)</f>
        <v>9.5032999999999994</v>
      </c>
      <c r="J260" s="61">
        <f>5.2693 * CHOOSE(CONTROL!$C$22, $C$13, 100%, $E$13)</f>
        <v>5.2693000000000003</v>
      </c>
      <c r="K260" s="61">
        <f>5.2695 * CHOOSE(CONTROL!$C$22, $C$13, 100%, $E$13)</f>
        <v>5.2694999999999999</v>
      </c>
    </row>
    <row r="261" spans="1:11" ht="15">
      <c r="A261" s="13">
        <v>49796</v>
      </c>
      <c r="B261" s="60">
        <f>4.5625 * CHOOSE(CONTROL!$C$22, $C$13, 100%, $E$13)</f>
        <v>4.5625</v>
      </c>
      <c r="C261" s="60">
        <f>4.5625 * CHOOSE(CONTROL!$C$22, $C$13, 100%, $E$13)</f>
        <v>4.5625</v>
      </c>
      <c r="D261" s="60">
        <f>4.5952 * CHOOSE(CONTROL!$C$22, $C$13, 100%, $E$13)</f>
        <v>4.5952000000000002</v>
      </c>
      <c r="E261" s="61">
        <f>5.2875 * CHOOSE(CONTROL!$C$22, $C$13, 100%, $E$13)</f>
        <v>5.2874999999999996</v>
      </c>
      <c r="F261" s="61">
        <f>5.2875 * CHOOSE(CONTROL!$C$22, $C$13, 100%, $E$13)</f>
        <v>5.2874999999999996</v>
      </c>
      <c r="G261" s="61">
        <f>5.2896 * CHOOSE(CONTROL!$C$22, $C$13, 100%, $E$13)</f>
        <v>5.2896000000000001</v>
      </c>
      <c r="H261" s="61">
        <f>9.5229* CHOOSE(CONTROL!$C$22, $C$13, 100%, $E$13)</f>
        <v>9.5228999999999999</v>
      </c>
      <c r="I261" s="61">
        <f>9.525 * CHOOSE(CONTROL!$C$22, $C$13, 100%, $E$13)</f>
        <v>9.5250000000000004</v>
      </c>
      <c r="J261" s="61">
        <f>5.2875 * CHOOSE(CONTROL!$C$22, $C$13, 100%, $E$13)</f>
        <v>5.2874999999999996</v>
      </c>
      <c r="K261" s="61">
        <f>5.2896 * CHOOSE(CONTROL!$C$22, $C$13, 100%, $E$13)</f>
        <v>5.2896000000000001</v>
      </c>
    </row>
    <row r="262" spans="1:11" ht="15">
      <c r="A262" s="13">
        <v>49827</v>
      </c>
      <c r="B262" s="60">
        <f>4.5686 * CHOOSE(CONTROL!$C$22, $C$13, 100%, $E$13)</f>
        <v>4.5686</v>
      </c>
      <c r="C262" s="60">
        <f>4.5686 * CHOOSE(CONTROL!$C$22, $C$13, 100%, $E$13)</f>
        <v>4.5686</v>
      </c>
      <c r="D262" s="60">
        <f>4.6012 * CHOOSE(CONTROL!$C$22, $C$13, 100%, $E$13)</f>
        <v>4.6012000000000004</v>
      </c>
      <c r="E262" s="61">
        <f>5.2735 * CHOOSE(CONTROL!$C$22, $C$13, 100%, $E$13)</f>
        <v>5.2735000000000003</v>
      </c>
      <c r="F262" s="61">
        <f>5.2735 * CHOOSE(CONTROL!$C$22, $C$13, 100%, $E$13)</f>
        <v>5.2735000000000003</v>
      </c>
      <c r="G262" s="61">
        <f>5.2756 * CHOOSE(CONTROL!$C$22, $C$13, 100%, $E$13)</f>
        <v>5.2755999999999998</v>
      </c>
      <c r="H262" s="61">
        <f>9.5428* CHOOSE(CONTROL!$C$22, $C$13, 100%, $E$13)</f>
        <v>9.5427999999999997</v>
      </c>
      <c r="I262" s="61">
        <f>9.5448 * CHOOSE(CONTROL!$C$22, $C$13, 100%, $E$13)</f>
        <v>9.5448000000000004</v>
      </c>
      <c r="J262" s="61">
        <f>5.2735 * CHOOSE(CONTROL!$C$22, $C$13, 100%, $E$13)</f>
        <v>5.2735000000000003</v>
      </c>
      <c r="K262" s="61">
        <f>5.2756 * CHOOSE(CONTROL!$C$22, $C$13, 100%, $E$13)</f>
        <v>5.2755999999999998</v>
      </c>
    </row>
    <row r="263" spans="1:11" ht="15">
      <c r="A263" s="13">
        <v>49857</v>
      </c>
      <c r="B263" s="60">
        <f>4.6492 * CHOOSE(CONTROL!$C$22, $C$13, 100%, $E$13)</f>
        <v>4.6492000000000004</v>
      </c>
      <c r="C263" s="60">
        <f>4.6492 * CHOOSE(CONTROL!$C$22, $C$13, 100%, $E$13)</f>
        <v>4.6492000000000004</v>
      </c>
      <c r="D263" s="60">
        <f>4.6819 * CHOOSE(CONTROL!$C$22, $C$13, 100%, $E$13)</f>
        <v>4.6818999999999997</v>
      </c>
      <c r="E263" s="61">
        <f>5.3842 * CHOOSE(CONTROL!$C$22, $C$13, 100%, $E$13)</f>
        <v>5.3841999999999999</v>
      </c>
      <c r="F263" s="61">
        <f>5.3842 * CHOOSE(CONTROL!$C$22, $C$13, 100%, $E$13)</f>
        <v>5.3841999999999999</v>
      </c>
      <c r="G263" s="61">
        <f>5.3862 * CHOOSE(CONTROL!$C$22, $C$13, 100%, $E$13)</f>
        <v>5.3861999999999997</v>
      </c>
      <c r="H263" s="61">
        <f>9.5626* CHOOSE(CONTROL!$C$22, $C$13, 100%, $E$13)</f>
        <v>9.5625999999999998</v>
      </c>
      <c r="I263" s="61">
        <f>9.5647 * CHOOSE(CONTROL!$C$22, $C$13, 100%, $E$13)</f>
        <v>9.5647000000000002</v>
      </c>
      <c r="J263" s="61">
        <f>5.3842 * CHOOSE(CONTROL!$C$22, $C$13, 100%, $E$13)</f>
        <v>5.3841999999999999</v>
      </c>
      <c r="K263" s="61">
        <f>5.3862 * CHOOSE(CONTROL!$C$22, $C$13, 100%, $E$13)</f>
        <v>5.3861999999999997</v>
      </c>
    </row>
    <row r="264" spans="1:11" ht="15">
      <c r="A264" s="13">
        <v>49888</v>
      </c>
      <c r="B264" s="60">
        <f>4.6559 * CHOOSE(CONTROL!$C$22, $C$13, 100%, $E$13)</f>
        <v>4.6558999999999999</v>
      </c>
      <c r="C264" s="60">
        <f>4.6559 * CHOOSE(CONTROL!$C$22, $C$13, 100%, $E$13)</f>
        <v>4.6558999999999999</v>
      </c>
      <c r="D264" s="60">
        <f>4.6885 * CHOOSE(CONTROL!$C$22, $C$13, 100%, $E$13)</f>
        <v>4.6885000000000003</v>
      </c>
      <c r="E264" s="61">
        <f>5.3342 * CHOOSE(CONTROL!$C$22, $C$13, 100%, $E$13)</f>
        <v>5.3342000000000001</v>
      </c>
      <c r="F264" s="61">
        <f>5.3342 * CHOOSE(CONTROL!$C$22, $C$13, 100%, $E$13)</f>
        <v>5.3342000000000001</v>
      </c>
      <c r="G264" s="61">
        <f>5.3363 * CHOOSE(CONTROL!$C$22, $C$13, 100%, $E$13)</f>
        <v>5.3362999999999996</v>
      </c>
      <c r="H264" s="61">
        <f>9.5826* CHOOSE(CONTROL!$C$22, $C$13, 100%, $E$13)</f>
        <v>9.5825999999999993</v>
      </c>
      <c r="I264" s="61">
        <f>9.5846 * CHOOSE(CONTROL!$C$22, $C$13, 100%, $E$13)</f>
        <v>9.5846</v>
      </c>
      <c r="J264" s="61">
        <f>5.3342 * CHOOSE(CONTROL!$C$22, $C$13, 100%, $E$13)</f>
        <v>5.3342000000000001</v>
      </c>
      <c r="K264" s="61">
        <f>5.3363 * CHOOSE(CONTROL!$C$22, $C$13, 100%, $E$13)</f>
        <v>5.3362999999999996</v>
      </c>
    </row>
    <row r="265" spans="1:11" ht="15">
      <c r="A265" s="13">
        <v>49919</v>
      </c>
      <c r="B265" s="60">
        <f>4.6528 * CHOOSE(CONTROL!$C$22, $C$13, 100%, $E$13)</f>
        <v>4.6528</v>
      </c>
      <c r="C265" s="60">
        <f>4.6528 * CHOOSE(CONTROL!$C$22, $C$13, 100%, $E$13)</f>
        <v>4.6528</v>
      </c>
      <c r="D265" s="60">
        <f>4.6855 * CHOOSE(CONTROL!$C$22, $C$13, 100%, $E$13)</f>
        <v>4.6855000000000002</v>
      </c>
      <c r="E265" s="61">
        <f>5.326 * CHOOSE(CONTROL!$C$22, $C$13, 100%, $E$13)</f>
        <v>5.3259999999999996</v>
      </c>
      <c r="F265" s="61">
        <f>5.326 * CHOOSE(CONTROL!$C$22, $C$13, 100%, $E$13)</f>
        <v>5.3259999999999996</v>
      </c>
      <c r="G265" s="61">
        <f>5.3281 * CHOOSE(CONTROL!$C$22, $C$13, 100%, $E$13)</f>
        <v>5.3281000000000001</v>
      </c>
      <c r="H265" s="61">
        <f>9.6025* CHOOSE(CONTROL!$C$22, $C$13, 100%, $E$13)</f>
        <v>9.6024999999999991</v>
      </c>
      <c r="I265" s="61">
        <f>9.6046 * CHOOSE(CONTROL!$C$22, $C$13, 100%, $E$13)</f>
        <v>9.6045999999999996</v>
      </c>
      <c r="J265" s="61">
        <f>5.326 * CHOOSE(CONTROL!$C$22, $C$13, 100%, $E$13)</f>
        <v>5.3259999999999996</v>
      </c>
      <c r="K265" s="61">
        <f>5.3281 * CHOOSE(CONTROL!$C$22, $C$13, 100%, $E$13)</f>
        <v>5.3281000000000001</v>
      </c>
    </row>
    <row r="266" spans="1:11" ht="15">
      <c r="A266" s="13">
        <v>49949</v>
      </c>
      <c r="B266" s="60">
        <f>4.6503 * CHOOSE(CONTROL!$C$22, $C$13, 100%, $E$13)</f>
        <v>4.6502999999999997</v>
      </c>
      <c r="C266" s="60">
        <f>4.6503 * CHOOSE(CONTROL!$C$22, $C$13, 100%, $E$13)</f>
        <v>4.6502999999999997</v>
      </c>
      <c r="D266" s="60">
        <f>4.6666 * CHOOSE(CONTROL!$C$22, $C$13, 100%, $E$13)</f>
        <v>4.6665999999999999</v>
      </c>
      <c r="E266" s="61">
        <f>5.3369 * CHOOSE(CONTROL!$C$22, $C$13, 100%, $E$13)</f>
        <v>5.3369</v>
      </c>
      <c r="F266" s="61">
        <f>5.3369 * CHOOSE(CONTROL!$C$22, $C$13, 100%, $E$13)</f>
        <v>5.3369</v>
      </c>
      <c r="G266" s="61">
        <f>5.3371 * CHOOSE(CONTROL!$C$22, $C$13, 100%, $E$13)</f>
        <v>5.3371000000000004</v>
      </c>
      <c r="H266" s="61">
        <f>9.6225* CHOOSE(CONTROL!$C$22, $C$13, 100%, $E$13)</f>
        <v>9.6225000000000005</v>
      </c>
      <c r="I266" s="61">
        <f>9.6227 * CHOOSE(CONTROL!$C$22, $C$13, 100%, $E$13)</f>
        <v>9.6227</v>
      </c>
      <c r="J266" s="61">
        <f>5.3369 * CHOOSE(CONTROL!$C$22, $C$13, 100%, $E$13)</f>
        <v>5.3369</v>
      </c>
      <c r="K266" s="61">
        <f>5.3371 * CHOOSE(CONTROL!$C$22, $C$13, 100%, $E$13)</f>
        <v>5.3371000000000004</v>
      </c>
    </row>
    <row r="267" spans="1:11" ht="15">
      <c r="A267" s="13">
        <v>49980</v>
      </c>
      <c r="B267" s="60">
        <f>4.6533 * CHOOSE(CONTROL!$C$22, $C$13, 100%, $E$13)</f>
        <v>4.6532999999999998</v>
      </c>
      <c r="C267" s="60">
        <f>4.6533 * CHOOSE(CONTROL!$C$22, $C$13, 100%, $E$13)</f>
        <v>4.6532999999999998</v>
      </c>
      <c r="D267" s="60">
        <f>4.6697 * CHOOSE(CONTROL!$C$22, $C$13, 100%, $E$13)</f>
        <v>4.6696999999999997</v>
      </c>
      <c r="E267" s="61">
        <f>5.3512 * CHOOSE(CONTROL!$C$22, $C$13, 100%, $E$13)</f>
        <v>5.3512000000000004</v>
      </c>
      <c r="F267" s="61">
        <f>5.3512 * CHOOSE(CONTROL!$C$22, $C$13, 100%, $E$13)</f>
        <v>5.3512000000000004</v>
      </c>
      <c r="G267" s="61">
        <f>5.3513 * CHOOSE(CONTROL!$C$22, $C$13, 100%, $E$13)</f>
        <v>5.3513000000000002</v>
      </c>
      <c r="H267" s="61">
        <f>9.6426* CHOOSE(CONTROL!$C$22, $C$13, 100%, $E$13)</f>
        <v>9.6425999999999998</v>
      </c>
      <c r="I267" s="61">
        <f>9.6428 * CHOOSE(CONTROL!$C$22, $C$13, 100%, $E$13)</f>
        <v>9.6427999999999994</v>
      </c>
      <c r="J267" s="61">
        <f>5.3512 * CHOOSE(CONTROL!$C$22, $C$13, 100%, $E$13)</f>
        <v>5.3512000000000004</v>
      </c>
      <c r="K267" s="61">
        <f>5.3513 * CHOOSE(CONTROL!$C$22, $C$13, 100%, $E$13)</f>
        <v>5.3513000000000002</v>
      </c>
    </row>
    <row r="268" spans="1:11" ht="15">
      <c r="A268" s="13">
        <v>50010</v>
      </c>
      <c r="B268" s="60">
        <f>4.6533 * CHOOSE(CONTROL!$C$22, $C$13, 100%, $E$13)</f>
        <v>4.6532999999999998</v>
      </c>
      <c r="C268" s="60">
        <f>4.6533 * CHOOSE(CONTROL!$C$22, $C$13, 100%, $E$13)</f>
        <v>4.6532999999999998</v>
      </c>
      <c r="D268" s="60">
        <f>4.6697 * CHOOSE(CONTROL!$C$22, $C$13, 100%, $E$13)</f>
        <v>4.6696999999999997</v>
      </c>
      <c r="E268" s="61">
        <f>5.3208 * CHOOSE(CONTROL!$C$22, $C$13, 100%, $E$13)</f>
        <v>5.3208000000000002</v>
      </c>
      <c r="F268" s="61">
        <f>5.3208 * CHOOSE(CONTROL!$C$22, $C$13, 100%, $E$13)</f>
        <v>5.3208000000000002</v>
      </c>
      <c r="G268" s="61">
        <f>5.321 * CHOOSE(CONTROL!$C$22, $C$13, 100%, $E$13)</f>
        <v>5.3209999999999997</v>
      </c>
      <c r="H268" s="61">
        <f>9.6627* CHOOSE(CONTROL!$C$22, $C$13, 100%, $E$13)</f>
        <v>9.6626999999999992</v>
      </c>
      <c r="I268" s="61">
        <f>9.6628 * CHOOSE(CONTROL!$C$22, $C$13, 100%, $E$13)</f>
        <v>9.6628000000000007</v>
      </c>
      <c r="J268" s="61">
        <f>5.3208 * CHOOSE(CONTROL!$C$22, $C$13, 100%, $E$13)</f>
        <v>5.3208000000000002</v>
      </c>
      <c r="K268" s="61">
        <f>5.321 * CHOOSE(CONTROL!$C$22, $C$13, 100%, $E$13)</f>
        <v>5.3209999999999997</v>
      </c>
    </row>
    <row r="269" spans="1:11" ht="15">
      <c r="A269" s="13">
        <v>50041</v>
      </c>
      <c r="B269" s="60">
        <f>4.6966 * CHOOSE(CONTROL!$C$22, $C$13, 100%, $E$13)</f>
        <v>4.6966000000000001</v>
      </c>
      <c r="C269" s="60">
        <f>4.6966 * CHOOSE(CONTROL!$C$22, $C$13, 100%, $E$13)</f>
        <v>4.6966000000000001</v>
      </c>
      <c r="D269" s="60">
        <f>4.7129 * CHOOSE(CONTROL!$C$22, $C$13, 100%, $E$13)</f>
        <v>4.7129000000000003</v>
      </c>
      <c r="E269" s="61">
        <f>5.3901 * CHOOSE(CONTROL!$C$22, $C$13, 100%, $E$13)</f>
        <v>5.3901000000000003</v>
      </c>
      <c r="F269" s="61">
        <f>5.3901 * CHOOSE(CONTROL!$C$22, $C$13, 100%, $E$13)</f>
        <v>5.3901000000000003</v>
      </c>
      <c r="G269" s="61">
        <f>5.3903 * CHOOSE(CONTROL!$C$22, $C$13, 100%, $E$13)</f>
        <v>5.3902999999999999</v>
      </c>
      <c r="H269" s="61">
        <f>9.6828* CHOOSE(CONTROL!$C$22, $C$13, 100%, $E$13)</f>
        <v>9.6828000000000003</v>
      </c>
      <c r="I269" s="61">
        <f>9.683 * CHOOSE(CONTROL!$C$22, $C$13, 100%, $E$13)</f>
        <v>9.6829999999999998</v>
      </c>
      <c r="J269" s="61">
        <f>5.3901 * CHOOSE(CONTROL!$C$22, $C$13, 100%, $E$13)</f>
        <v>5.3901000000000003</v>
      </c>
      <c r="K269" s="61">
        <f>5.3903 * CHOOSE(CONTROL!$C$22, $C$13, 100%, $E$13)</f>
        <v>5.3902999999999999</v>
      </c>
    </row>
    <row r="270" spans="1:11" ht="15">
      <c r="A270" s="13">
        <v>50072</v>
      </c>
      <c r="B270" s="60">
        <f>4.6936 * CHOOSE(CONTROL!$C$22, $C$13, 100%, $E$13)</f>
        <v>4.6936</v>
      </c>
      <c r="C270" s="60">
        <f>4.6936 * CHOOSE(CONTROL!$C$22, $C$13, 100%, $E$13)</f>
        <v>4.6936</v>
      </c>
      <c r="D270" s="60">
        <f>4.7099 * CHOOSE(CONTROL!$C$22, $C$13, 100%, $E$13)</f>
        <v>4.7099000000000002</v>
      </c>
      <c r="E270" s="61">
        <f>5.3291 * CHOOSE(CONTROL!$C$22, $C$13, 100%, $E$13)</f>
        <v>5.3291000000000004</v>
      </c>
      <c r="F270" s="61">
        <f>5.3291 * CHOOSE(CONTROL!$C$22, $C$13, 100%, $E$13)</f>
        <v>5.3291000000000004</v>
      </c>
      <c r="G270" s="61">
        <f>5.3293 * CHOOSE(CONTROL!$C$22, $C$13, 100%, $E$13)</f>
        <v>5.3292999999999999</v>
      </c>
      <c r="H270" s="61">
        <f>9.703* CHOOSE(CONTROL!$C$22, $C$13, 100%, $E$13)</f>
        <v>9.7029999999999994</v>
      </c>
      <c r="I270" s="61">
        <f>9.7031 * CHOOSE(CONTROL!$C$22, $C$13, 100%, $E$13)</f>
        <v>9.7030999999999992</v>
      </c>
      <c r="J270" s="61">
        <f>5.3291 * CHOOSE(CONTROL!$C$22, $C$13, 100%, $E$13)</f>
        <v>5.3291000000000004</v>
      </c>
      <c r="K270" s="61">
        <f>5.3293 * CHOOSE(CONTROL!$C$22, $C$13, 100%, $E$13)</f>
        <v>5.3292999999999999</v>
      </c>
    </row>
    <row r="271" spans="1:11" ht="15">
      <c r="A271" s="13">
        <v>50100</v>
      </c>
      <c r="B271" s="60">
        <f>4.6905 * CHOOSE(CONTROL!$C$22, $C$13, 100%, $E$13)</f>
        <v>4.6905000000000001</v>
      </c>
      <c r="C271" s="60">
        <f>4.6905 * CHOOSE(CONTROL!$C$22, $C$13, 100%, $E$13)</f>
        <v>4.6905000000000001</v>
      </c>
      <c r="D271" s="60">
        <f>4.7069 * CHOOSE(CONTROL!$C$22, $C$13, 100%, $E$13)</f>
        <v>4.7069000000000001</v>
      </c>
      <c r="E271" s="61">
        <f>5.3734 * CHOOSE(CONTROL!$C$22, $C$13, 100%, $E$13)</f>
        <v>5.3734000000000002</v>
      </c>
      <c r="F271" s="61">
        <f>5.3734 * CHOOSE(CONTROL!$C$22, $C$13, 100%, $E$13)</f>
        <v>5.3734000000000002</v>
      </c>
      <c r="G271" s="61">
        <f>5.3736 * CHOOSE(CONTROL!$C$22, $C$13, 100%, $E$13)</f>
        <v>5.3735999999999997</v>
      </c>
      <c r="H271" s="61">
        <f>9.7232* CHOOSE(CONTROL!$C$22, $C$13, 100%, $E$13)</f>
        <v>9.7232000000000003</v>
      </c>
      <c r="I271" s="61">
        <f>9.7234 * CHOOSE(CONTROL!$C$22, $C$13, 100%, $E$13)</f>
        <v>9.7233999999999998</v>
      </c>
      <c r="J271" s="61">
        <f>5.3734 * CHOOSE(CONTROL!$C$22, $C$13, 100%, $E$13)</f>
        <v>5.3734000000000002</v>
      </c>
      <c r="K271" s="61">
        <f>5.3736 * CHOOSE(CONTROL!$C$22, $C$13, 100%, $E$13)</f>
        <v>5.3735999999999997</v>
      </c>
    </row>
    <row r="272" spans="1:11" ht="15">
      <c r="A272" s="13">
        <v>50131</v>
      </c>
      <c r="B272" s="60">
        <f>4.6888 * CHOOSE(CONTROL!$C$22, $C$13, 100%, $E$13)</f>
        <v>4.6887999999999996</v>
      </c>
      <c r="C272" s="60">
        <f>4.6888 * CHOOSE(CONTROL!$C$22, $C$13, 100%, $E$13)</f>
        <v>4.6887999999999996</v>
      </c>
      <c r="D272" s="60">
        <f>4.7052 * CHOOSE(CONTROL!$C$22, $C$13, 100%, $E$13)</f>
        <v>4.7051999999999996</v>
      </c>
      <c r="E272" s="61">
        <f>5.4191 * CHOOSE(CONTROL!$C$22, $C$13, 100%, $E$13)</f>
        <v>5.4191000000000003</v>
      </c>
      <c r="F272" s="61">
        <f>5.4191 * CHOOSE(CONTROL!$C$22, $C$13, 100%, $E$13)</f>
        <v>5.4191000000000003</v>
      </c>
      <c r="G272" s="61">
        <f>5.4192 * CHOOSE(CONTROL!$C$22, $C$13, 100%, $E$13)</f>
        <v>5.4192</v>
      </c>
      <c r="H272" s="61">
        <f>9.7434* CHOOSE(CONTROL!$C$22, $C$13, 100%, $E$13)</f>
        <v>9.7433999999999994</v>
      </c>
      <c r="I272" s="61">
        <f>9.7436 * CHOOSE(CONTROL!$C$22, $C$13, 100%, $E$13)</f>
        <v>9.7436000000000007</v>
      </c>
      <c r="J272" s="61">
        <f>5.4191 * CHOOSE(CONTROL!$C$22, $C$13, 100%, $E$13)</f>
        <v>5.4191000000000003</v>
      </c>
      <c r="K272" s="61">
        <f>5.4192 * CHOOSE(CONTROL!$C$22, $C$13, 100%, $E$13)</f>
        <v>5.4192</v>
      </c>
    </row>
    <row r="273" spans="1:11" ht="15">
      <c r="A273" s="13">
        <v>50161</v>
      </c>
      <c r="B273" s="60">
        <f>4.6888 * CHOOSE(CONTROL!$C$22, $C$13, 100%, $E$13)</f>
        <v>4.6887999999999996</v>
      </c>
      <c r="C273" s="60">
        <f>4.6888 * CHOOSE(CONTROL!$C$22, $C$13, 100%, $E$13)</f>
        <v>4.6887999999999996</v>
      </c>
      <c r="D273" s="60">
        <f>4.7215 * CHOOSE(CONTROL!$C$22, $C$13, 100%, $E$13)</f>
        <v>4.7214999999999998</v>
      </c>
      <c r="E273" s="61">
        <f>5.4378 * CHOOSE(CONTROL!$C$22, $C$13, 100%, $E$13)</f>
        <v>5.4378000000000002</v>
      </c>
      <c r="F273" s="61">
        <f>5.4378 * CHOOSE(CONTROL!$C$22, $C$13, 100%, $E$13)</f>
        <v>5.4378000000000002</v>
      </c>
      <c r="G273" s="61">
        <f>5.4398 * CHOOSE(CONTROL!$C$22, $C$13, 100%, $E$13)</f>
        <v>5.4398</v>
      </c>
      <c r="H273" s="61">
        <f>9.7637* CHOOSE(CONTROL!$C$22, $C$13, 100%, $E$13)</f>
        <v>9.7637</v>
      </c>
      <c r="I273" s="61">
        <f>9.7658 * CHOOSE(CONTROL!$C$22, $C$13, 100%, $E$13)</f>
        <v>9.7658000000000005</v>
      </c>
      <c r="J273" s="61">
        <f>5.4378 * CHOOSE(CONTROL!$C$22, $C$13, 100%, $E$13)</f>
        <v>5.4378000000000002</v>
      </c>
      <c r="K273" s="61">
        <f>5.4398 * CHOOSE(CONTROL!$C$22, $C$13, 100%, $E$13)</f>
        <v>5.4398</v>
      </c>
    </row>
    <row r="274" spans="1:11" ht="15">
      <c r="A274" s="13">
        <v>50192</v>
      </c>
      <c r="B274" s="60">
        <f>4.6949 * CHOOSE(CONTROL!$C$22, $C$13, 100%, $E$13)</f>
        <v>4.6948999999999996</v>
      </c>
      <c r="C274" s="60">
        <f>4.6949 * CHOOSE(CONTROL!$C$22, $C$13, 100%, $E$13)</f>
        <v>4.6948999999999996</v>
      </c>
      <c r="D274" s="60">
        <f>4.7276 * CHOOSE(CONTROL!$C$22, $C$13, 100%, $E$13)</f>
        <v>4.7275999999999998</v>
      </c>
      <c r="E274" s="61">
        <f>5.4233 * CHOOSE(CONTROL!$C$22, $C$13, 100%, $E$13)</f>
        <v>5.4233000000000002</v>
      </c>
      <c r="F274" s="61">
        <f>5.4233 * CHOOSE(CONTROL!$C$22, $C$13, 100%, $E$13)</f>
        <v>5.4233000000000002</v>
      </c>
      <c r="G274" s="61">
        <f>5.4253 * CHOOSE(CONTROL!$C$22, $C$13, 100%, $E$13)</f>
        <v>5.4253</v>
      </c>
      <c r="H274" s="61">
        <f>9.7841* CHOOSE(CONTROL!$C$22, $C$13, 100%, $E$13)</f>
        <v>9.7841000000000005</v>
      </c>
      <c r="I274" s="61">
        <f>9.7861 * CHOOSE(CONTROL!$C$22, $C$13, 100%, $E$13)</f>
        <v>9.7860999999999994</v>
      </c>
      <c r="J274" s="61">
        <f>5.4233 * CHOOSE(CONTROL!$C$22, $C$13, 100%, $E$13)</f>
        <v>5.4233000000000002</v>
      </c>
      <c r="K274" s="61">
        <f>5.4253 * CHOOSE(CONTROL!$C$22, $C$13, 100%, $E$13)</f>
        <v>5.4253</v>
      </c>
    </row>
    <row r="275" spans="1:11" ht="15">
      <c r="A275" s="13">
        <v>50222</v>
      </c>
      <c r="B275" s="60">
        <f>4.7758 * CHOOSE(CONTROL!$C$22, $C$13, 100%, $E$13)</f>
        <v>4.7758000000000003</v>
      </c>
      <c r="C275" s="60">
        <f>4.7758 * CHOOSE(CONTROL!$C$22, $C$13, 100%, $E$13)</f>
        <v>4.7758000000000003</v>
      </c>
      <c r="D275" s="60">
        <f>4.8085 * CHOOSE(CONTROL!$C$22, $C$13, 100%, $E$13)</f>
        <v>4.8085000000000004</v>
      </c>
      <c r="E275" s="61">
        <f>5.5312 * CHOOSE(CONTROL!$C$22, $C$13, 100%, $E$13)</f>
        <v>5.5312000000000001</v>
      </c>
      <c r="F275" s="61">
        <f>5.5312 * CHOOSE(CONTROL!$C$22, $C$13, 100%, $E$13)</f>
        <v>5.5312000000000001</v>
      </c>
      <c r="G275" s="61">
        <f>5.5332 * CHOOSE(CONTROL!$C$22, $C$13, 100%, $E$13)</f>
        <v>5.5331999999999999</v>
      </c>
      <c r="H275" s="61">
        <f>9.8045* CHOOSE(CONTROL!$C$22, $C$13, 100%, $E$13)</f>
        <v>9.8045000000000009</v>
      </c>
      <c r="I275" s="61">
        <f>9.8065 * CHOOSE(CONTROL!$C$22, $C$13, 100%, $E$13)</f>
        <v>9.8064999999999998</v>
      </c>
      <c r="J275" s="61">
        <f>5.5312 * CHOOSE(CONTROL!$C$22, $C$13, 100%, $E$13)</f>
        <v>5.5312000000000001</v>
      </c>
      <c r="K275" s="61">
        <f>5.5332 * CHOOSE(CONTROL!$C$22, $C$13, 100%, $E$13)</f>
        <v>5.5331999999999999</v>
      </c>
    </row>
    <row r="276" spans="1:11" ht="15">
      <c r="A276" s="13">
        <v>50253</v>
      </c>
      <c r="B276" s="60">
        <f>4.7825 * CHOOSE(CONTROL!$C$22, $C$13, 100%, $E$13)</f>
        <v>4.7824999999999998</v>
      </c>
      <c r="C276" s="60">
        <f>4.7825 * CHOOSE(CONTROL!$C$22, $C$13, 100%, $E$13)</f>
        <v>4.7824999999999998</v>
      </c>
      <c r="D276" s="60">
        <f>4.8151 * CHOOSE(CONTROL!$C$22, $C$13, 100%, $E$13)</f>
        <v>4.8151000000000002</v>
      </c>
      <c r="E276" s="61">
        <f>5.4797 * CHOOSE(CONTROL!$C$22, $C$13, 100%, $E$13)</f>
        <v>5.4797000000000002</v>
      </c>
      <c r="F276" s="61">
        <f>5.4797 * CHOOSE(CONTROL!$C$22, $C$13, 100%, $E$13)</f>
        <v>5.4797000000000002</v>
      </c>
      <c r="G276" s="61">
        <f>5.4818 * CHOOSE(CONTROL!$C$22, $C$13, 100%, $E$13)</f>
        <v>5.4817999999999998</v>
      </c>
      <c r="H276" s="61">
        <f>9.8249* CHOOSE(CONTROL!$C$22, $C$13, 100%, $E$13)</f>
        <v>9.8248999999999995</v>
      </c>
      <c r="I276" s="61">
        <f>9.8269 * CHOOSE(CONTROL!$C$22, $C$13, 100%, $E$13)</f>
        <v>9.8269000000000002</v>
      </c>
      <c r="J276" s="61">
        <f>5.4797 * CHOOSE(CONTROL!$C$22, $C$13, 100%, $E$13)</f>
        <v>5.4797000000000002</v>
      </c>
      <c r="K276" s="61">
        <f>5.4818 * CHOOSE(CONTROL!$C$22, $C$13, 100%, $E$13)</f>
        <v>5.4817999999999998</v>
      </c>
    </row>
    <row r="277" spans="1:11" ht="15">
      <c r="A277" s="13">
        <v>50284</v>
      </c>
      <c r="B277" s="60">
        <f>4.7794 * CHOOSE(CONTROL!$C$22, $C$13, 100%, $E$13)</f>
        <v>4.7793999999999999</v>
      </c>
      <c r="C277" s="60">
        <f>4.7794 * CHOOSE(CONTROL!$C$22, $C$13, 100%, $E$13)</f>
        <v>4.7793999999999999</v>
      </c>
      <c r="D277" s="60">
        <f>4.8121 * CHOOSE(CONTROL!$C$22, $C$13, 100%, $E$13)</f>
        <v>4.8121</v>
      </c>
      <c r="E277" s="61">
        <f>5.4714 * CHOOSE(CONTROL!$C$22, $C$13, 100%, $E$13)</f>
        <v>5.4714</v>
      </c>
      <c r="F277" s="61">
        <f>5.4714 * CHOOSE(CONTROL!$C$22, $C$13, 100%, $E$13)</f>
        <v>5.4714</v>
      </c>
      <c r="G277" s="61">
        <f>5.4734 * CHOOSE(CONTROL!$C$22, $C$13, 100%, $E$13)</f>
        <v>5.4733999999999998</v>
      </c>
      <c r="H277" s="61">
        <f>9.8454* CHOOSE(CONTROL!$C$22, $C$13, 100%, $E$13)</f>
        <v>9.8453999999999997</v>
      </c>
      <c r="I277" s="61">
        <f>9.8474 * CHOOSE(CONTROL!$C$22, $C$13, 100%, $E$13)</f>
        <v>9.8474000000000004</v>
      </c>
      <c r="J277" s="61">
        <f>5.4714 * CHOOSE(CONTROL!$C$22, $C$13, 100%, $E$13)</f>
        <v>5.4714</v>
      </c>
      <c r="K277" s="61">
        <f>5.4734 * CHOOSE(CONTROL!$C$22, $C$13, 100%, $E$13)</f>
        <v>5.4733999999999998</v>
      </c>
    </row>
    <row r="278" spans="1:11" ht="15">
      <c r="A278" s="13">
        <v>50314</v>
      </c>
      <c r="B278" s="60">
        <f>4.7773 * CHOOSE(CONTROL!$C$22, $C$13, 100%, $E$13)</f>
        <v>4.7773000000000003</v>
      </c>
      <c r="C278" s="60">
        <f>4.7773 * CHOOSE(CONTROL!$C$22, $C$13, 100%, $E$13)</f>
        <v>4.7773000000000003</v>
      </c>
      <c r="D278" s="60">
        <f>4.7937 * CHOOSE(CONTROL!$C$22, $C$13, 100%, $E$13)</f>
        <v>4.7937000000000003</v>
      </c>
      <c r="E278" s="61">
        <f>5.4829 * CHOOSE(CONTROL!$C$22, $C$13, 100%, $E$13)</f>
        <v>5.4828999999999999</v>
      </c>
      <c r="F278" s="61">
        <f>5.4829 * CHOOSE(CONTROL!$C$22, $C$13, 100%, $E$13)</f>
        <v>5.4828999999999999</v>
      </c>
      <c r="G278" s="61">
        <f>5.4831 * CHOOSE(CONTROL!$C$22, $C$13, 100%, $E$13)</f>
        <v>5.4831000000000003</v>
      </c>
      <c r="H278" s="61">
        <f>9.8659* CHOOSE(CONTROL!$C$22, $C$13, 100%, $E$13)</f>
        <v>9.8658999999999999</v>
      </c>
      <c r="I278" s="61">
        <f>9.866 * CHOOSE(CONTROL!$C$22, $C$13, 100%, $E$13)</f>
        <v>9.8659999999999997</v>
      </c>
      <c r="J278" s="61">
        <f>5.4829 * CHOOSE(CONTROL!$C$22, $C$13, 100%, $E$13)</f>
        <v>5.4828999999999999</v>
      </c>
      <c r="K278" s="61">
        <f>5.4831 * CHOOSE(CONTROL!$C$22, $C$13, 100%, $E$13)</f>
        <v>5.4831000000000003</v>
      </c>
    </row>
    <row r="279" spans="1:11" ht="15">
      <c r="A279" s="13">
        <v>50345</v>
      </c>
      <c r="B279" s="60">
        <f>4.7804 * CHOOSE(CONTROL!$C$22, $C$13, 100%, $E$13)</f>
        <v>4.7804000000000002</v>
      </c>
      <c r="C279" s="60">
        <f>4.7804 * CHOOSE(CONTROL!$C$22, $C$13, 100%, $E$13)</f>
        <v>4.7804000000000002</v>
      </c>
      <c r="D279" s="60">
        <f>4.7967 * CHOOSE(CONTROL!$C$22, $C$13, 100%, $E$13)</f>
        <v>4.7967000000000004</v>
      </c>
      <c r="E279" s="61">
        <f>5.4975 * CHOOSE(CONTROL!$C$22, $C$13, 100%, $E$13)</f>
        <v>5.4974999999999996</v>
      </c>
      <c r="F279" s="61">
        <f>5.4975 * CHOOSE(CONTROL!$C$22, $C$13, 100%, $E$13)</f>
        <v>5.4974999999999996</v>
      </c>
      <c r="G279" s="61">
        <f>5.4977 * CHOOSE(CONTROL!$C$22, $C$13, 100%, $E$13)</f>
        <v>5.4977</v>
      </c>
      <c r="H279" s="61">
        <f>9.8864* CHOOSE(CONTROL!$C$22, $C$13, 100%, $E$13)</f>
        <v>9.8864000000000001</v>
      </c>
      <c r="I279" s="61">
        <f>9.8866 * CHOOSE(CONTROL!$C$22, $C$13, 100%, $E$13)</f>
        <v>9.8865999999999996</v>
      </c>
      <c r="J279" s="61">
        <f>5.4975 * CHOOSE(CONTROL!$C$22, $C$13, 100%, $E$13)</f>
        <v>5.4974999999999996</v>
      </c>
      <c r="K279" s="61">
        <f>5.4977 * CHOOSE(CONTROL!$C$22, $C$13, 100%, $E$13)</f>
        <v>5.4977</v>
      </c>
    </row>
    <row r="280" spans="1:11" ht="15">
      <c r="A280" s="13">
        <v>50375</v>
      </c>
      <c r="B280" s="60">
        <f>4.7804 * CHOOSE(CONTROL!$C$22, $C$13, 100%, $E$13)</f>
        <v>4.7804000000000002</v>
      </c>
      <c r="C280" s="60">
        <f>4.7804 * CHOOSE(CONTROL!$C$22, $C$13, 100%, $E$13)</f>
        <v>4.7804000000000002</v>
      </c>
      <c r="D280" s="60">
        <f>4.7967 * CHOOSE(CONTROL!$C$22, $C$13, 100%, $E$13)</f>
        <v>4.7967000000000004</v>
      </c>
      <c r="E280" s="61">
        <f>5.4663 * CHOOSE(CONTROL!$C$22, $C$13, 100%, $E$13)</f>
        <v>5.4663000000000004</v>
      </c>
      <c r="F280" s="61">
        <f>5.4663 * CHOOSE(CONTROL!$C$22, $C$13, 100%, $E$13)</f>
        <v>5.4663000000000004</v>
      </c>
      <c r="G280" s="61">
        <f>5.4665 * CHOOSE(CONTROL!$C$22, $C$13, 100%, $E$13)</f>
        <v>5.4664999999999999</v>
      </c>
      <c r="H280" s="61">
        <f>9.907* CHOOSE(CONTROL!$C$22, $C$13, 100%, $E$13)</f>
        <v>9.907</v>
      </c>
      <c r="I280" s="61">
        <f>9.9072 * CHOOSE(CONTROL!$C$22, $C$13, 100%, $E$13)</f>
        <v>9.9071999999999996</v>
      </c>
      <c r="J280" s="61">
        <f>5.4663 * CHOOSE(CONTROL!$C$22, $C$13, 100%, $E$13)</f>
        <v>5.4663000000000004</v>
      </c>
      <c r="K280" s="61">
        <f>5.4665 * CHOOSE(CONTROL!$C$22, $C$13, 100%, $E$13)</f>
        <v>5.4664999999999999</v>
      </c>
    </row>
    <row r="281" spans="1:11" ht="15">
      <c r="A281" s="13">
        <v>50406</v>
      </c>
      <c r="B281" s="60">
        <f>4.8249 * CHOOSE(CONTROL!$C$22, $C$13, 100%, $E$13)</f>
        <v>4.8249000000000004</v>
      </c>
      <c r="C281" s="60">
        <f>4.8249 * CHOOSE(CONTROL!$C$22, $C$13, 100%, $E$13)</f>
        <v>4.8249000000000004</v>
      </c>
      <c r="D281" s="60">
        <f>4.8412 * CHOOSE(CONTROL!$C$22, $C$13, 100%, $E$13)</f>
        <v>4.8411999999999997</v>
      </c>
      <c r="E281" s="61">
        <f>5.5383 * CHOOSE(CONTROL!$C$22, $C$13, 100%, $E$13)</f>
        <v>5.5382999999999996</v>
      </c>
      <c r="F281" s="61">
        <f>5.5383 * CHOOSE(CONTROL!$C$22, $C$13, 100%, $E$13)</f>
        <v>5.5382999999999996</v>
      </c>
      <c r="G281" s="61">
        <f>5.5385 * CHOOSE(CONTROL!$C$22, $C$13, 100%, $E$13)</f>
        <v>5.5385</v>
      </c>
      <c r="H281" s="61">
        <f>9.9277* CHOOSE(CONTROL!$C$22, $C$13, 100%, $E$13)</f>
        <v>9.9276999999999997</v>
      </c>
      <c r="I281" s="61">
        <f>9.9278 * CHOOSE(CONTROL!$C$22, $C$13, 100%, $E$13)</f>
        <v>9.9277999999999995</v>
      </c>
      <c r="J281" s="61">
        <f>5.5383 * CHOOSE(CONTROL!$C$22, $C$13, 100%, $E$13)</f>
        <v>5.5382999999999996</v>
      </c>
      <c r="K281" s="61">
        <f>5.5385 * CHOOSE(CONTROL!$C$22, $C$13, 100%, $E$13)</f>
        <v>5.5385</v>
      </c>
    </row>
    <row r="282" spans="1:11" ht="15">
      <c r="A282" s="13">
        <v>50437</v>
      </c>
      <c r="B282" s="60">
        <f>4.8219 * CHOOSE(CONTROL!$C$22, $C$13, 100%, $E$13)</f>
        <v>4.8219000000000003</v>
      </c>
      <c r="C282" s="60">
        <f>4.8219 * CHOOSE(CONTROL!$C$22, $C$13, 100%, $E$13)</f>
        <v>4.8219000000000003</v>
      </c>
      <c r="D282" s="60">
        <f>4.8382 * CHOOSE(CONTROL!$C$22, $C$13, 100%, $E$13)</f>
        <v>4.8381999999999996</v>
      </c>
      <c r="E282" s="61">
        <f>5.4757 * CHOOSE(CONTROL!$C$22, $C$13, 100%, $E$13)</f>
        <v>5.4756999999999998</v>
      </c>
      <c r="F282" s="61">
        <f>5.4757 * CHOOSE(CONTROL!$C$22, $C$13, 100%, $E$13)</f>
        <v>5.4756999999999998</v>
      </c>
      <c r="G282" s="61">
        <f>5.4759 * CHOOSE(CONTROL!$C$22, $C$13, 100%, $E$13)</f>
        <v>5.4759000000000002</v>
      </c>
      <c r="H282" s="61">
        <f>9.9483* CHOOSE(CONTROL!$C$22, $C$13, 100%, $E$13)</f>
        <v>9.9482999999999997</v>
      </c>
      <c r="I282" s="61">
        <f>9.9485 * CHOOSE(CONTROL!$C$22, $C$13, 100%, $E$13)</f>
        <v>9.9484999999999992</v>
      </c>
      <c r="J282" s="61">
        <f>5.4757 * CHOOSE(CONTROL!$C$22, $C$13, 100%, $E$13)</f>
        <v>5.4756999999999998</v>
      </c>
      <c r="K282" s="61">
        <f>5.4759 * CHOOSE(CONTROL!$C$22, $C$13, 100%, $E$13)</f>
        <v>5.4759000000000002</v>
      </c>
    </row>
    <row r="283" spans="1:11" ht="15">
      <c r="A283" s="13">
        <v>50465</v>
      </c>
      <c r="B283" s="60">
        <f>4.8188 * CHOOSE(CONTROL!$C$22, $C$13, 100%, $E$13)</f>
        <v>4.8188000000000004</v>
      </c>
      <c r="C283" s="60">
        <f>4.8188 * CHOOSE(CONTROL!$C$22, $C$13, 100%, $E$13)</f>
        <v>4.8188000000000004</v>
      </c>
      <c r="D283" s="60">
        <f>4.8352 * CHOOSE(CONTROL!$C$22, $C$13, 100%, $E$13)</f>
        <v>4.8352000000000004</v>
      </c>
      <c r="E283" s="61">
        <f>5.5212 * CHOOSE(CONTROL!$C$22, $C$13, 100%, $E$13)</f>
        <v>5.5212000000000003</v>
      </c>
      <c r="F283" s="61">
        <f>5.5212 * CHOOSE(CONTROL!$C$22, $C$13, 100%, $E$13)</f>
        <v>5.5212000000000003</v>
      </c>
      <c r="G283" s="61">
        <f>5.5214 * CHOOSE(CONTROL!$C$22, $C$13, 100%, $E$13)</f>
        <v>5.5213999999999999</v>
      </c>
      <c r="H283" s="61">
        <f>9.9691* CHOOSE(CONTROL!$C$22, $C$13, 100%, $E$13)</f>
        <v>9.9690999999999992</v>
      </c>
      <c r="I283" s="61">
        <f>9.9692 * CHOOSE(CONTROL!$C$22, $C$13, 100%, $E$13)</f>
        <v>9.9692000000000007</v>
      </c>
      <c r="J283" s="61">
        <f>5.5212 * CHOOSE(CONTROL!$C$22, $C$13, 100%, $E$13)</f>
        <v>5.5212000000000003</v>
      </c>
      <c r="K283" s="61">
        <f>5.5214 * CHOOSE(CONTROL!$C$22, $C$13, 100%, $E$13)</f>
        <v>5.5213999999999999</v>
      </c>
    </row>
    <row r="284" spans="1:11" ht="15">
      <c r="A284" s="13">
        <v>50496</v>
      </c>
      <c r="B284" s="60">
        <f>4.8172 * CHOOSE(CONTROL!$C$22, $C$13, 100%, $E$13)</f>
        <v>4.8171999999999997</v>
      </c>
      <c r="C284" s="60">
        <f>4.8172 * CHOOSE(CONTROL!$C$22, $C$13, 100%, $E$13)</f>
        <v>4.8171999999999997</v>
      </c>
      <c r="D284" s="60">
        <f>4.8336 * CHOOSE(CONTROL!$C$22, $C$13, 100%, $E$13)</f>
        <v>4.8335999999999997</v>
      </c>
      <c r="E284" s="61">
        <f>5.5682 * CHOOSE(CONTROL!$C$22, $C$13, 100%, $E$13)</f>
        <v>5.5682</v>
      </c>
      <c r="F284" s="61">
        <f>5.5682 * CHOOSE(CONTROL!$C$22, $C$13, 100%, $E$13)</f>
        <v>5.5682</v>
      </c>
      <c r="G284" s="61">
        <f>5.5684 * CHOOSE(CONTROL!$C$22, $C$13, 100%, $E$13)</f>
        <v>5.5683999999999996</v>
      </c>
      <c r="H284" s="61">
        <f>9.9898* CHOOSE(CONTROL!$C$22, $C$13, 100%, $E$13)</f>
        <v>9.9898000000000007</v>
      </c>
      <c r="I284" s="61">
        <f>9.99 * CHOOSE(CONTROL!$C$22, $C$13, 100%, $E$13)</f>
        <v>9.99</v>
      </c>
      <c r="J284" s="61">
        <f>5.5682 * CHOOSE(CONTROL!$C$22, $C$13, 100%, $E$13)</f>
        <v>5.5682</v>
      </c>
      <c r="K284" s="61">
        <f>5.5684 * CHOOSE(CONTROL!$C$22, $C$13, 100%, $E$13)</f>
        <v>5.5683999999999996</v>
      </c>
    </row>
    <row r="285" spans="1:11" ht="15">
      <c r="A285" s="13">
        <v>50526</v>
      </c>
      <c r="B285" s="60">
        <f>4.8172 * CHOOSE(CONTROL!$C$22, $C$13, 100%, $E$13)</f>
        <v>4.8171999999999997</v>
      </c>
      <c r="C285" s="60">
        <f>4.8172 * CHOOSE(CONTROL!$C$22, $C$13, 100%, $E$13)</f>
        <v>4.8171999999999997</v>
      </c>
      <c r="D285" s="60">
        <f>4.8499 * CHOOSE(CONTROL!$C$22, $C$13, 100%, $E$13)</f>
        <v>4.8498999999999999</v>
      </c>
      <c r="E285" s="61">
        <f>5.5874 * CHOOSE(CONTROL!$C$22, $C$13, 100%, $E$13)</f>
        <v>5.5873999999999997</v>
      </c>
      <c r="F285" s="61">
        <f>5.5874 * CHOOSE(CONTROL!$C$22, $C$13, 100%, $E$13)</f>
        <v>5.5873999999999997</v>
      </c>
      <c r="G285" s="61">
        <f>5.5894 * CHOOSE(CONTROL!$C$22, $C$13, 100%, $E$13)</f>
        <v>5.5894000000000004</v>
      </c>
      <c r="H285" s="61">
        <f>10.0107* CHOOSE(CONTROL!$C$22, $C$13, 100%, $E$13)</f>
        <v>10.0107</v>
      </c>
      <c r="I285" s="61">
        <f>10.0127 * CHOOSE(CONTROL!$C$22, $C$13, 100%, $E$13)</f>
        <v>10.012700000000001</v>
      </c>
      <c r="J285" s="61">
        <f>5.5874 * CHOOSE(CONTROL!$C$22, $C$13, 100%, $E$13)</f>
        <v>5.5873999999999997</v>
      </c>
      <c r="K285" s="61">
        <f>5.5894 * CHOOSE(CONTROL!$C$22, $C$13, 100%, $E$13)</f>
        <v>5.5894000000000004</v>
      </c>
    </row>
    <row r="286" spans="1:11" ht="15">
      <c r="A286" s="13">
        <v>50557</v>
      </c>
      <c r="B286" s="60">
        <f>4.8233 * CHOOSE(CONTROL!$C$22, $C$13, 100%, $E$13)</f>
        <v>4.8232999999999997</v>
      </c>
      <c r="C286" s="60">
        <f>4.8233 * CHOOSE(CONTROL!$C$22, $C$13, 100%, $E$13)</f>
        <v>4.8232999999999997</v>
      </c>
      <c r="D286" s="60">
        <f>4.856 * CHOOSE(CONTROL!$C$22, $C$13, 100%, $E$13)</f>
        <v>4.8559999999999999</v>
      </c>
      <c r="E286" s="61">
        <f>5.5724 * CHOOSE(CONTROL!$C$22, $C$13, 100%, $E$13)</f>
        <v>5.5724</v>
      </c>
      <c r="F286" s="61">
        <f>5.5724 * CHOOSE(CONTROL!$C$22, $C$13, 100%, $E$13)</f>
        <v>5.5724</v>
      </c>
      <c r="G286" s="61">
        <f>5.5745 * CHOOSE(CONTROL!$C$22, $C$13, 100%, $E$13)</f>
        <v>5.5744999999999996</v>
      </c>
      <c r="H286" s="61">
        <f>10.0315* CHOOSE(CONTROL!$C$22, $C$13, 100%, $E$13)</f>
        <v>10.031499999999999</v>
      </c>
      <c r="I286" s="61">
        <f>10.0335 * CHOOSE(CONTROL!$C$22, $C$13, 100%, $E$13)</f>
        <v>10.0335</v>
      </c>
      <c r="J286" s="61">
        <f>5.5724 * CHOOSE(CONTROL!$C$22, $C$13, 100%, $E$13)</f>
        <v>5.5724</v>
      </c>
      <c r="K286" s="61">
        <f>5.5745 * CHOOSE(CONTROL!$C$22, $C$13, 100%, $E$13)</f>
        <v>5.5744999999999996</v>
      </c>
    </row>
    <row r="287" spans="1:11" ht="15">
      <c r="A287" s="13">
        <v>50587</v>
      </c>
      <c r="B287" s="60">
        <f>4.9066 * CHOOSE(CONTROL!$C$22, $C$13, 100%, $E$13)</f>
        <v>4.9066000000000001</v>
      </c>
      <c r="C287" s="60">
        <f>4.9066 * CHOOSE(CONTROL!$C$22, $C$13, 100%, $E$13)</f>
        <v>4.9066000000000001</v>
      </c>
      <c r="D287" s="60">
        <f>4.9393 * CHOOSE(CONTROL!$C$22, $C$13, 100%, $E$13)</f>
        <v>4.9393000000000002</v>
      </c>
      <c r="E287" s="61">
        <f>5.6862 * CHOOSE(CONTROL!$C$22, $C$13, 100%, $E$13)</f>
        <v>5.6862000000000004</v>
      </c>
      <c r="F287" s="61">
        <f>5.6862 * CHOOSE(CONTROL!$C$22, $C$13, 100%, $E$13)</f>
        <v>5.6862000000000004</v>
      </c>
      <c r="G287" s="61">
        <f>5.6882 * CHOOSE(CONTROL!$C$22, $C$13, 100%, $E$13)</f>
        <v>5.6882000000000001</v>
      </c>
      <c r="H287" s="61">
        <f>10.0524* CHOOSE(CONTROL!$C$22, $C$13, 100%, $E$13)</f>
        <v>10.0524</v>
      </c>
      <c r="I287" s="61">
        <f>10.0544 * CHOOSE(CONTROL!$C$22, $C$13, 100%, $E$13)</f>
        <v>10.054399999999999</v>
      </c>
      <c r="J287" s="61">
        <f>5.6862 * CHOOSE(CONTROL!$C$22, $C$13, 100%, $E$13)</f>
        <v>5.6862000000000004</v>
      </c>
      <c r="K287" s="61">
        <f>5.6882 * CHOOSE(CONTROL!$C$22, $C$13, 100%, $E$13)</f>
        <v>5.6882000000000001</v>
      </c>
    </row>
    <row r="288" spans="1:11" ht="15">
      <c r="A288" s="13">
        <v>50618</v>
      </c>
      <c r="B288" s="60">
        <f>4.9133 * CHOOSE(CONTROL!$C$22, $C$13, 100%, $E$13)</f>
        <v>4.9132999999999996</v>
      </c>
      <c r="C288" s="60">
        <f>4.9133 * CHOOSE(CONTROL!$C$22, $C$13, 100%, $E$13)</f>
        <v>4.9132999999999996</v>
      </c>
      <c r="D288" s="60">
        <f>4.946 * CHOOSE(CONTROL!$C$22, $C$13, 100%, $E$13)</f>
        <v>4.9459999999999997</v>
      </c>
      <c r="E288" s="61">
        <f>5.6332 * CHOOSE(CONTROL!$C$22, $C$13, 100%, $E$13)</f>
        <v>5.6332000000000004</v>
      </c>
      <c r="F288" s="61">
        <f>5.6332 * CHOOSE(CONTROL!$C$22, $C$13, 100%, $E$13)</f>
        <v>5.6332000000000004</v>
      </c>
      <c r="G288" s="61">
        <f>5.6353 * CHOOSE(CONTROL!$C$22, $C$13, 100%, $E$13)</f>
        <v>5.6353</v>
      </c>
      <c r="H288" s="61">
        <f>10.0733* CHOOSE(CONTROL!$C$22, $C$13, 100%, $E$13)</f>
        <v>10.0733</v>
      </c>
      <c r="I288" s="61">
        <f>10.0754 * CHOOSE(CONTROL!$C$22, $C$13, 100%, $E$13)</f>
        <v>10.0754</v>
      </c>
      <c r="J288" s="61">
        <f>5.6332 * CHOOSE(CONTROL!$C$22, $C$13, 100%, $E$13)</f>
        <v>5.6332000000000004</v>
      </c>
      <c r="K288" s="61">
        <f>5.6353 * CHOOSE(CONTROL!$C$22, $C$13, 100%, $E$13)</f>
        <v>5.6353</v>
      </c>
    </row>
    <row r="289" spans="1:11" ht="15">
      <c r="A289" s="13">
        <v>50649</v>
      </c>
      <c r="B289" s="60">
        <f>4.9102 * CHOOSE(CONTROL!$C$22, $C$13, 100%, $E$13)</f>
        <v>4.9101999999999997</v>
      </c>
      <c r="C289" s="60">
        <f>4.9102 * CHOOSE(CONTROL!$C$22, $C$13, 100%, $E$13)</f>
        <v>4.9101999999999997</v>
      </c>
      <c r="D289" s="60">
        <f>4.9429 * CHOOSE(CONTROL!$C$22, $C$13, 100%, $E$13)</f>
        <v>4.9428999999999998</v>
      </c>
      <c r="E289" s="61">
        <f>5.6247 * CHOOSE(CONTROL!$C$22, $C$13, 100%, $E$13)</f>
        <v>5.6246999999999998</v>
      </c>
      <c r="F289" s="61">
        <f>5.6247 * CHOOSE(CONTROL!$C$22, $C$13, 100%, $E$13)</f>
        <v>5.6246999999999998</v>
      </c>
      <c r="G289" s="61">
        <f>5.6267 * CHOOSE(CONTROL!$C$22, $C$13, 100%, $E$13)</f>
        <v>5.6266999999999996</v>
      </c>
      <c r="H289" s="61">
        <f>10.0943* CHOOSE(CONTROL!$C$22, $C$13, 100%, $E$13)</f>
        <v>10.0943</v>
      </c>
      <c r="I289" s="61">
        <f>10.0964 * CHOOSE(CONTROL!$C$22, $C$13, 100%, $E$13)</f>
        <v>10.096399999999999</v>
      </c>
      <c r="J289" s="61">
        <f>5.6247 * CHOOSE(CONTROL!$C$22, $C$13, 100%, $E$13)</f>
        <v>5.6246999999999998</v>
      </c>
      <c r="K289" s="61">
        <f>5.6267 * CHOOSE(CONTROL!$C$22, $C$13, 100%, $E$13)</f>
        <v>5.6266999999999996</v>
      </c>
    </row>
    <row r="290" spans="1:11" ht="15">
      <c r="A290" s="13">
        <v>50679</v>
      </c>
      <c r="B290" s="60">
        <f>4.9086 * CHOOSE(CONTROL!$C$22, $C$13, 100%, $E$13)</f>
        <v>4.9085999999999999</v>
      </c>
      <c r="C290" s="60">
        <f>4.9086 * CHOOSE(CONTROL!$C$22, $C$13, 100%, $E$13)</f>
        <v>4.9085999999999999</v>
      </c>
      <c r="D290" s="60">
        <f>4.9249 * CHOOSE(CONTROL!$C$22, $C$13, 100%, $E$13)</f>
        <v>4.9249000000000001</v>
      </c>
      <c r="E290" s="61">
        <f>5.6369 * CHOOSE(CONTROL!$C$22, $C$13, 100%, $E$13)</f>
        <v>5.6368999999999998</v>
      </c>
      <c r="F290" s="61">
        <f>5.6369 * CHOOSE(CONTROL!$C$22, $C$13, 100%, $E$13)</f>
        <v>5.6368999999999998</v>
      </c>
      <c r="G290" s="61">
        <f>5.6371 * CHOOSE(CONTROL!$C$22, $C$13, 100%, $E$13)</f>
        <v>5.6371000000000002</v>
      </c>
      <c r="H290" s="61">
        <f>10.1154* CHOOSE(CONTROL!$C$22, $C$13, 100%, $E$13)</f>
        <v>10.115399999999999</v>
      </c>
      <c r="I290" s="61">
        <f>10.1155 * CHOOSE(CONTROL!$C$22, $C$13, 100%, $E$13)</f>
        <v>10.115500000000001</v>
      </c>
      <c r="J290" s="61">
        <f>5.6369 * CHOOSE(CONTROL!$C$22, $C$13, 100%, $E$13)</f>
        <v>5.6368999999999998</v>
      </c>
      <c r="K290" s="61">
        <f>5.6371 * CHOOSE(CONTROL!$C$22, $C$13, 100%, $E$13)</f>
        <v>5.6371000000000002</v>
      </c>
    </row>
    <row r="291" spans="1:11" ht="15">
      <c r="A291" s="13">
        <v>50710</v>
      </c>
      <c r="B291" s="60">
        <f>4.9116 * CHOOSE(CONTROL!$C$22, $C$13, 100%, $E$13)</f>
        <v>4.9116</v>
      </c>
      <c r="C291" s="60">
        <f>4.9116 * CHOOSE(CONTROL!$C$22, $C$13, 100%, $E$13)</f>
        <v>4.9116</v>
      </c>
      <c r="D291" s="60">
        <f>4.9279 * CHOOSE(CONTROL!$C$22, $C$13, 100%, $E$13)</f>
        <v>4.9279000000000002</v>
      </c>
      <c r="E291" s="61">
        <f>5.6518 * CHOOSE(CONTROL!$C$22, $C$13, 100%, $E$13)</f>
        <v>5.6517999999999997</v>
      </c>
      <c r="F291" s="61">
        <f>5.6518 * CHOOSE(CONTROL!$C$22, $C$13, 100%, $E$13)</f>
        <v>5.6517999999999997</v>
      </c>
      <c r="G291" s="61">
        <f>5.652 * CHOOSE(CONTROL!$C$22, $C$13, 100%, $E$13)</f>
        <v>5.6520000000000001</v>
      </c>
      <c r="H291" s="61">
        <f>10.1364* CHOOSE(CONTROL!$C$22, $C$13, 100%, $E$13)</f>
        <v>10.1364</v>
      </c>
      <c r="I291" s="61">
        <f>10.1366 * CHOOSE(CONTROL!$C$22, $C$13, 100%, $E$13)</f>
        <v>10.1366</v>
      </c>
      <c r="J291" s="61">
        <f>5.6518 * CHOOSE(CONTROL!$C$22, $C$13, 100%, $E$13)</f>
        <v>5.6517999999999997</v>
      </c>
      <c r="K291" s="61">
        <f>5.652 * CHOOSE(CONTROL!$C$22, $C$13, 100%, $E$13)</f>
        <v>5.6520000000000001</v>
      </c>
    </row>
    <row r="292" spans="1:11" ht="15">
      <c r="A292" s="13">
        <v>50740</v>
      </c>
      <c r="B292" s="60">
        <f>4.9116 * CHOOSE(CONTROL!$C$22, $C$13, 100%, $E$13)</f>
        <v>4.9116</v>
      </c>
      <c r="C292" s="60">
        <f>4.9116 * CHOOSE(CONTROL!$C$22, $C$13, 100%, $E$13)</f>
        <v>4.9116</v>
      </c>
      <c r="D292" s="60">
        <f>4.9279 * CHOOSE(CONTROL!$C$22, $C$13, 100%, $E$13)</f>
        <v>4.9279000000000002</v>
      </c>
      <c r="E292" s="61">
        <f>5.6369 * CHOOSE(CONTROL!$C$22, $C$13, 100%, $E$13)</f>
        <v>5.6368999999999998</v>
      </c>
      <c r="F292" s="61">
        <f>5.6369 * CHOOSE(CONTROL!$C$22, $C$13, 100%, $E$13)</f>
        <v>5.6368999999999998</v>
      </c>
      <c r="G292" s="61">
        <f>5.6371 * CHOOSE(CONTROL!$C$22, $C$13, 100%, $E$13)</f>
        <v>5.6371000000000002</v>
      </c>
      <c r="H292" s="61">
        <f>10.1576* CHOOSE(CONTROL!$C$22, $C$13, 100%, $E$13)</f>
        <v>10.1576</v>
      </c>
      <c r="I292" s="61">
        <f>10.1577 * CHOOSE(CONTROL!$C$22, $C$13, 100%, $E$13)</f>
        <v>10.1577</v>
      </c>
      <c r="J292" s="61">
        <f>5.6369 * CHOOSE(CONTROL!$C$22, $C$13, 100%, $E$13)</f>
        <v>5.6368999999999998</v>
      </c>
      <c r="K292" s="61">
        <f>5.6371 * CHOOSE(CONTROL!$C$22, $C$13, 100%, $E$13)</f>
        <v>5.6371000000000002</v>
      </c>
    </row>
    <row r="293" spans="1:11" ht="15">
      <c r="A293" s="13">
        <v>50771</v>
      </c>
      <c r="B293" s="60">
        <f>4.9579 * CHOOSE(CONTROL!$C$22, $C$13, 100%, $E$13)</f>
        <v>4.9579000000000004</v>
      </c>
      <c r="C293" s="60">
        <f>4.9579 * CHOOSE(CONTROL!$C$22, $C$13, 100%, $E$13)</f>
        <v>4.9579000000000004</v>
      </c>
      <c r="D293" s="60">
        <f>4.9743 * CHOOSE(CONTROL!$C$22, $C$13, 100%, $E$13)</f>
        <v>4.9743000000000004</v>
      </c>
      <c r="E293" s="61">
        <f>5.6938 * CHOOSE(CONTROL!$C$22, $C$13, 100%, $E$13)</f>
        <v>5.6938000000000004</v>
      </c>
      <c r="F293" s="61">
        <f>5.6938 * CHOOSE(CONTROL!$C$22, $C$13, 100%, $E$13)</f>
        <v>5.6938000000000004</v>
      </c>
      <c r="G293" s="61">
        <f>5.6939 * CHOOSE(CONTROL!$C$22, $C$13, 100%, $E$13)</f>
        <v>5.6939000000000002</v>
      </c>
      <c r="H293" s="61">
        <f>10.1787* CHOOSE(CONTROL!$C$22, $C$13, 100%, $E$13)</f>
        <v>10.178699999999999</v>
      </c>
      <c r="I293" s="61">
        <f>10.1789 * CHOOSE(CONTROL!$C$22, $C$13, 100%, $E$13)</f>
        <v>10.178900000000001</v>
      </c>
      <c r="J293" s="61">
        <f>5.6938 * CHOOSE(CONTROL!$C$22, $C$13, 100%, $E$13)</f>
        <v>5.6938000000000004</v>
      </c>
      <c r="K293" s="61">
        <f>5.6939 * CHOOSE(CONTROL!$C$22, $C$13, 100%, $E$13)</f>
        <v>5.6939000000000002</v>
      </c>
    </row>
    <row r="294" spans="1:11" ht="15">
      <c r="A294" s="13">
        <v>50802</v>
      </c>
      <c r="B294" s="60">
        <f>4.9549 * CHOOSE(CONTROL!$C$22, $C$13, 100%, $E$13)</f>
        <v>4.9549000000000003</v>
      </c>
      <c r="C294" s="60">
        <f>4.9549 * CHOOSE(CONTROL!$C$22, $C$13, 100%, $E$13)</f>
        <v>4.9549000000000003</v>
      </c>
      <c r="D294" s="60">
        <f>4.9712 * CHOOSE(CONTROL!$C$22, $C$13, 100%, $E$13)</f>
        <v>4.9711999999999996</v>
      </c>
      <c r="E294" s="61">
        <f>5.6295 * CHOOSE(CONTROL!$C$22, $C$13, 100%, $E$13)</f>
        <v>5.6295000000000002</v>
      </c>
      <c r="F294" s="61">
        <f>5.6295 * CHOOSE(CONTROL!$C$22, $C$13, 100%, $E$13)</f>
        <v>5.6295000000000002</v>
      </c>
      <c r="G294" s="61">
        <f>5.6297 * CHOOSE(CONTROL!$C$22, $C$13, 100%, $E$13)</f>
        <v>5.6296999999999997</v>
      </c>
      <c r="H294" s="61">
        <f>10.1999* CHOOSE(CONTROL!$C$22, $C$13, 100%, $E$13)</f>
        <v>10.1999</v>
      </c>
      <c r="I294" s="61">
        <f>10.2001 * CHOOSE(CONTROL!$C$22, $C$13, 100%, $E$13)</f>
        <v>10.200100000000001</v>
      </c>
      <c r="J294" s="61">
        <f>5.6295 * CHOOSE(CONTROL!$C$22, $C$13, 100%, $E$13)</f>
        <v>5.6295000000000002</v>
      </c>
      <c r="K294" s="61">
        <f>5.6297 * CHOOSE(CONTROL!$C$22, $C$13, 100%, $E$13)</f>
        <v>5.6296999999999997</v>
      </c>
    </row>
    <row r="295" spans="1:11" ht="15">
      <c r="A295" s="13">
        <v>50830</v>
      </c>
      <c r="B295" s="60">
        <f>4.9518 * CHOOSE(CONTROL!$C$22, $C$13, 100%, $E$13)</f>
        <v>4.9518000000000004</v>
      </c>
      <c r="C295" s="60">
        <f>4.9518 * CHOOSE(CONTROL!$C$22, $C$13, 100%, $E$13)</f>
        <v>4.9518000000000004</v>
      </c>
      <c r="D295" s="60">
        <f>4.9682 * CHOOSE(CONTROL!$C$22, $C$13, 100%, $E$13)</f>
        <v>4.9682000000000004</v>
      </c>
      <c r="E295" s="61">
        <f>5.6764 * CHOOSE(CONTROL!$C$22, $C$13, 100%, $E$13)</f>
        <v>5.6764000000000001</v>
      </c>
      <c r="F295" s="61">
        <f>5.6764 * CHOOSE(CONTROL!$C$22, $C$13, 100%, $E$13)</f>
        <v>5.6764000000000001</v>
      </c>
      <c r="G295" s="61">
        <f>5.6766 * CHOOSE(CONTROL!$C$22, $C$13, 100%, $E$13)</f>
        <v>5.6765999999999996</v>
      </c>
      <c r="H295" s="61">
        <f>10.2212* CHOOSE(CONTROL!$C$22, $C$13, 100%, $E$13)</f>
        <v>10.2212</v>
      </c>
      <c r="I295" s="61">
        <f>10.2213 * CHOOSE(CONTROL!$C$22, $C$13, 100%, $E$13)</f>
        <v>10.221299999999999</v>
      </c>
      <c r="J295" s="61">
        <f>5.6764 * CHOOSE(CONTROL!$C$22, $C$13, 100%, $E$13)</f>
        <v>5.6764000000000001</v>
      </c>
      <c r="K295" s="61">
        <f>5.6766 * CHOOSE(CONTROL!$C$22, $C$13, 100%, $E$13)</f>
        <v>5.6765999999999996</v>
      </c>
    </row>
    <row r="296" spans="1:11" ht="15">
      <c r="A296" s="13">
        <v>50861</v>
      </c>
      <c r="B296" s="60">
        <f>4.9504 * CHOOSE(CONTROL!$C$22, $C$13, 100%, $E$13)</f>
        <v>4.9504000000000001</v>
      </c>
      <c r="C296" s="60">
        <f>4.9504 * CHOOSE(CONTROL!$C$22, $C$13, 100%, $E$13)</f>
        <v>4.9504000000000001</v>
      </c>
      <c r="D296" s="60">
        <f>4.9667 * CHOOSE(CONTROL!$C$22, $C$13, 100%, $E$13)</f>
        <v>4.9667000000000003</v>
      </c>
      <c r="E296" s="61">
        <f>5.7247 * CHOOSE(CONTROL!$C$22, $C$13, 100%, $E$13)</f>
        <v>5.7247000000000003</v>
      </c>
      <c r="F296" s="61">
        <f>5.7247 * CHOOSE(CONTROL!$C$22, $C$13, 100%, $E$13)</f>
        <v>5.7247000000000003</v>
      </c>
      <c r="G296" s="61">
        <f>5.7249 * CHOOSE(CONTROL!$C$22, $C$13, 100%, $E$13)</f>
        <v>5.7248999999999999</v>
      </c>
      <c r="H296" s="61">
        <f>10.2425* CHOOSE(CONTROL!$C$22, $C$13, 100%, $E$13)</f>
        <v>10.2425</v>
      </c>
      <c r="I296" s="61">
        <f>10.2426 * CHOOSE(CONTROL!$C$22, $C$13, 100%, $E$13)</f>
        <v>10.242599999999999</v>
      </c>
      <c r="J296" s="61">
        <f>5.7247 * CHOOSE(CONTROL!$C$22, $C$13, 100%, $E$13)</f>
        <v>5.7247000000000003</v>
      </c>
      <c r="K296" s="61">
        <f>5.7249 * CHOOSE(CONTROL!$C$22, $C$13, 100%, $E$13)</f>
        <v>5.7248999999999999</v>
      </c>
    </row>
    <row r="297" spans="1:11" ht="15">
      <c r="A297" s="13">
        <v>50891</v>
      </c>
      <c r="B297" s="60">
        <f>4.9504 * CHOOSE(CONTROL!$C$22, $C$13, 100%, $E$13)</f>
        <v>4.9504000000000001</v>
      </c>
      <c r="C297" s="60">
        <f>4.9504 * CHOOSE(CONTROL!$C$22, $C$13, 100%, $E$13)</f>
        <v>4.9504000000000001</v>
      </c>
      <c r="D297" s="60">
        <f>4.9831 * CHOOSE(CONTROL!$C$22, $C$13, 100%, $E$13)</f>
        <v>4.9831000000000003</v>
      </c>
      <c r="E297" s="61">
        <f>5.7445 * CHOOSE(CONTROL!$C$22, $C$13, 100%, $E$13)</f>
        <v>5.7445000000000004</v>
      </c>
      <c r="F297" s="61">
        <f>5.7445 * CHOOSE(CONTROL!$C$22, $C$13, 100%, $E$13)</f>
        <v>5.7445000000000004</v>
      </c>
      <c r="G297" s="61">
        <f>5.7465 * CHOOSE(CONTROL!$C$22, $C$13, 100%, $E$13)</f>
        <v>5.7465000000000002</v>
      </c>
      <c r="H297" s="61">
        <f>10.2638* CHOOSE(CONTROL!$C$22, $C$13, 100%, $E$13)</f>
        <v>10.2638</v>
      </c>
      <c r="I297" s="61">
        <f>10.2658 * CHOOSE(CONTROL!$C$22, $C$13, 100%, $E$13)</f>
        <v>10.2658</v>
      </c>
      <c r="J297" s="61">
        <f>5.7445 * CHOOSE(CONTROL!$C$22, $C$13, 100%, $E$13)</f>
        <v>5.7445000000000004</v>
      </c>
      <c r="K297" s="61">
        <f>5.7465 * CHOOSE(CONTROL!$C$22, $C$13, 100%, $E$13)</f>
        <v>5.7465000000000002</v>
      </c>
    </row>
    <row r="298" spans="1:11" ht="15">
      <c r="A298" s="13">
        <v>50922</v>
      </c>
      <c r="B298" s="60">
        <f>4.9565 * CHOOSE(CONTROL!$C$22, $C$13, 100%, $E$13)</f>
        <v>4.9565000000000001</v>
      </c>
      <c r="C298" s="60">
        <f>4.9565 * CHOOSE(CONTROL!$C$22, $C$13, 100%, $E$13)</f>
        <v>4.9565000000000001</v>
      </c>
      <c r="D298" s="60">
        <f>4.9891 * CHOOSE(CONTROL!$C$22, $C$13, 100%, $E$13)</f>
        <v>4.9890999999999996</v>
      </c>
      <c r="E298" s="61">
        <f>5.729 * CHOOSE(CONTROL!$C$22, $C$13, 100%, $E$13)</f>
        <v>5.7290000000000001</v>
      </c>
      <c r="F298" s="61">
        <f>5.729 * CHOOSE(CONTROL!$C$22, $C$13, 100%, $E$13)</f>
        <v>5.7290000000000001</v>
      </c>
      <c r="G298" s="61">
        <f>5.731 * CHOOSE(CONTROL!$C$22, $C$13, 100%, $E$13)</f>
        <v>5.7309999999999999</v>
      </c>
      <c r="H298" s="61">
        <f>10.2852* CHOOSE(CONTROL!$C$22, $C$13, 100%, $E$13)</f>
        <v>10.2852</v>
      </c>
      <c r="I298" s="61">
        <f>10.2872 * CHOOSE(CONTROL!$C$22, $C$13, 100%, $E$13)</f>
        <v>10.2872</v>
      </c>
      <c r="J298" s="61">
        <f>5.729 * CHOOSE(CONTROL!$C$22, $C$13, 100%, $E$13)</f>
        <v>5.7290000000000001</v>
      </c>
      <c r="K298" s="61">
        <f>5.731 * CHOOSE(CONTROL!$C$22, $C$13, 100%, $E$13)</f>
        <v>5.7309999999999999</v>
      </c>
    </row>
    <row r="299" spans="1:11" ht="15">
      <c r="A299" s="13">
        <v>50952</v>
      </c>
      <c r="B299" s="60">
        <f>5.043 * CHOOSE(CONTROL!$C$22, $C$13, 100%, $E$13)</f>
        <v>5.0430000000000001</v>
      </c>
      <c r="C299" s="60">
        <f>5.043 * CHOOSE(CONTROL!$C$22, $C$13, 100%, $E$13)</f>
        <v>5.0430000000000001</v>
      </c>
      <c r="D299" s="60">
        <f>5.0757 * CHOOSE(CONTROL!$C$22, $C$13, 100%, $E$13)</f>
        <v>5.0757000000000003</v>
      </c>
      <c r="E299" s="61">
        <f>5.8439 * CHOOSE(CONTROL!$C$22, $C$13, 100%, $E$13)</f>
        <v>5.8438999999999997</v>
      </c>
      <c r="F299" s="61">
        <f>5.8439 * CHOOSE(CONTROL!$C$22, $C$13, 100%, $E$13)</f>
        <v>5.8438999999999997</v>
      </c>
      <c r="G299" s="61">
        <f>5.846 * CHOOSE(CONTROL!$C$22, $C$13, 100%, $E$13)</f>
        <v>5.8460000000000001</v>
      </c>
      <c r="H299" s="61">
        <f>10.3066* CHOOSE(CONTROL!$C$22, $C$13, 100%, $E$13)</f>
        <v>10.3066</v>
      </c>
      <c r="I299" s="61">
        <f>10.3086 * CHOOSE(CONTROL!$C$22, $C$13, 100%, $E$13)</f>
        <v>10.3086</v>
      </c>
      <c r="J299" s="61">
        <f>5.8439 * CHOOSE(CONTROL!$C$22, $C$13, 100%, $E$13)</f>
        <v>5.8438999999999997</v>
      </c>
      <c r="K299" s="61">
        <f>5.846 * CHOOSE(CONTROL!$C$22, $C$13, 100%, $E$13)</f>
        <v>5.8460000000000001</v>
      </c>
    </row>
    <row r="300" spans="1:11" ht="15">
      <c r="A300" s="13">
        <v>50983</v>
      </c>
      <c r="B300" s="60">
        <f>5.0497 * CHOOSE(CONTROL!$C$22, $C$13, 100%, $E$13)</f>
        <v>5.0496999999999996</v>
      </c>
      <c r="C300" s="60">
        <f>5.0497 * CHOOSE(CONTROL!$C$22, $C$13, 100%, $E$13)</f>
        <v>5.0496999999999996</v>
      </c>
      <c r="D300" s="60">
        <f>5.0824 * CHOOSE(CONTROL!$C$22, $C$13, 100%, $E$13)</f>
        <v>5.0823999999999998</v>
      </c>
      <c r="E300" s="61">
        <f>5.7894 * CHOOSE(CONTROL!$C$22, $C$13, 100%, $E$13)</f>
        <v>5.7893999999999997</v>
      </c>
      <c r="F300" s="61">
        <f>5.7894 * CHOOSE(CONTROL!$C$22, $C$13, 100%, $E$13)</f>
        <v>5.7893999999999997</v>
      </c>
      <c r="G300" s="61">
        <f>5.7914 * CHOOSE(CONTROL!$C$22, $C$13, 100%, $E$13)</f>
        <v>5.7914000000000003</v>
      </c>
      <c r="H300" s="61">
        <f>10.3281* CHOOSE(CONTROL!$C$22, $C$13, 100%, $E$13)</f>
        <v>10.328099999999999</v>
      </c>
      <c r="I300" s="61">
        <f>10.3301 * CHOOSE(CONTROL!$C$22, $C$13, 100%, $E$13)</f>
        <v>10.3301</v>
      </c>
      <c r="J300" s="61">
        <f>5.7894 * CHOOSE(CONTROL!$C$22, $C$13, 100%, $E$13)</f>
        <v>5.7893999999999997</v>
      </c>
      <c r="K300" s="61">
        <f>5.7914 * CHOOSE(CONTROL!$C$22, $C$13, 100%, $E$13)</f>
        <v>5.7914000000000003</v>
      </c>
    </row>
    <row r="301" spans="1:11" ht="15">
      <c r="A301" s="13">
        <v>51014</v>
      </c>
      <c r="B301" s="60">
        <f>5.0467 * CHOOSE(CONTROL!$C$22, $C$13, 100%, $E$13)</f>
        <v>5.0467000000000004</v>
      </c>
      <c r="C301" s="60">
        <f>5.0467 * CHOOSE(CONTROL!$C$22, $C$13, 100%, $E$13)</f>
        <v>5.0467000000000004</v>
      </c>
      <c r="D301" s="60">
        <f>5.0794 * CHOOSE(CONTROL!$C$22, $C$13, 100%, $E$13)</f>
        <v>5.0793999999999997</v>
      </c>
      <c r="E301" s="61">
        <f>5.7807 * CHOOSE(CONTROL!$C$22, $C$13, 100%, $E$13)</f>
        <v>5.7807000000000004</v>
      </c>
      <c r="F301" s="61">
        <f>5.7807 * CHOOSE(CONTROL!$C$22, $C$13, 100%, $E$13)</f>
        <v>5.7807000000000004</v>
      </c>
      <c r="G301" s="61">
        <f>5.7827 * CHOOSE(CONTROL!$C$22, $C$13, 100%, $E$13)</f>
        <v>5.7827000000000002</v>
      </c>
      <c r="H301" s="61">
        <f>10.3496* CHOOSE(CONTROL!$C$22, $C$13, 100%, $E$13)</f>
        <v>10.349600000000001</v>
      </c>
      <c r="I301" s="61">
        <f>10.3516 * CHOOSE(CONTROL!$C$22, $C$13, 100%, $E$13)</f>
        <v>10.351599999999999</v>
      </c>
      <c r="J301" s="61">
        <f>5.7807 * CHOOSE(CONTROL!$C$22, $C$13, 100%, $E$13)</f>
        <v>5.7807000000000004</v>
      </c>
      <c r="K301" s="61">
        <f>5.7827 * CHOOSE(CONTROL!$C$22, $C$13, 100%, $E$13)</f>
        <v>5.7827000000000002</v>
      </c>
    </row>
    <row r="302" spans="1:11" ht="15">
      <c r="A302" s="13">
        <v>51044</v>
      </c>
      <c r="B302" s="60">
        <f>5.0455 * CHOOSE(CONTROL!$C$22, $C$13, 100%, $E$13)</f>
        <v>5.0454999999999997</v>
      </c>
      <c r="C302" s="60">
        <f>5.0455 * CHOOSE(CONTROL!$C$22, $C$13, 100%, $E$13)</f>
        <v>5.0454999999999997</v>
      </c>
      <c r="D302" s="60">
        <f>5.0618 * CHOOSE(CONTROL!$C$22, $C$13, 100%, $E$13)</f>
        <v>5.0617999999999999</v>
      </c>
      <c r="E302" s="61">
        <f>5.7936 * CHOOSE(CONTROL!$C$22, $C$13, 100%, $E$13)</f>
        <v>5.7935999999999996</v>
      </c>
      <c r="F302" s="61">
        <f>5.7936 * CHOOSE(CONTROL!$C$22, $C$13, 100%, $E$13)</f>
        <v>5.7935999999999996</v>
      </c>
      <c r="G302" s="61">
        <f>5.7938 * CHOOSE(CONTROL!$C$22, $C$13, 100%, $E$13)</f>
        <v>5.7938000000000001</v>
      </c>
      <c r="H302" s="61">
        <f>10.3712* CHOOSE(CONTROL!$C$22, $C$13, 100%, $E$13)</f>
        <v>10.3712</v>
      </c>
      <c r="I302" s="61">
        <f>10.3713 * CHOOSE(CONTROL!$C$22, $C$13, 100%, $E$13)</f>
        <v>10.3713</v>
      </c>
      <c r="J302" s="61">
        <f>5.7936 * CHOOSE(CONTROL!$C$22, $C$13, 100%, $E$13)</f>
        <v>5.7935999999999996</v>
      </c>
      <c r="K302" s="61">
        <f>5.7938 * CHOOSE(CONTROL!$C$22, $C$13, 100%, $E$13)</f>
        <v>5.7938000000000001</v>
      </c>
    </row>
    <row r="303" spans="1:11" ht="15">
      <c r="A303" s="13">
        <v>51075</v>
      </c>
      <c r="B303" s="60">
        <f>5.0485 * CHOOSE(CONTROL!$C$22, $C$13, 100%, $E$13)</f>
        <v>5.0484999999999998</v>
      </c>
      <c r="C303" s="60">
        <f>5.0485 * CHOOSE(CONTROL!$C$22, $C$13, 100%, $E$13)</f>
        <v>5.0484999999999998</v>
      </c>
      <c r="D303" s="60">
        <f>5.0649 * CHOOSE(CONTROL!$C$22, $C$13, 100%, $E$13)</f>
        <v>5.0648999999999997</v>
      </c>
      <c r="E303" s="61">
        <f>5.8089 * CHOOSE(CONTROL!$C$22, $C$13, 100%, $E$13)</f>
        <v>5.8089000000000004</v>
      </c>
      <c r="F303" s="61">
        <f>5.8089 * CHOOSE(CONTROL!$C$22, $C$13, 100%, $E$13)</f>
        <v>5.8089000000000004</v>
      </c>
      <c r="G303" s="61">
        <f>5.809 * CHOOSE(CONTROL!$C$22, $C$13, 100%, $E$13)</f>
        <v>5.8090000000000002</v>
      </c>
      <c r="H303" s="61">
        <f>10.3928* CHOOSE(CONTROL!$C$22, $C$13, 100%, $E$13)</f>
        <v>10.392799999999999</v>
      </c>
      <c r="I303" s="61">
        <f>10.3929 * CHOOSE(CONTROL!$C$22, $C$13, 100%, $E$13)</f>
        <v>10.392899999999999</v>
      </c>
      <c r="J303" s="61">
        <f>5.8089 * CHOOSE(CONTROL!$C$22, $C$13, 100%, $E$13)</f>
        <v>5.8089000000000004</v>
      </c>
      <c r="K303" s="61">
        <f>5.809 * CHOOSE(CONTROL!$C$22, $C$13, 100%, $E$13)</f>
        <v>5.8090000000000002</v>
      </c>
    </row>
    <row r="304" spans="1:11" ht="15">
      <c r="A304" s="13">
        <v>51105</v>
      </c>
      <c r="B304" s="60">
        <f>5.0485 * CHOOSE(CONTROL!$C$22, $C$13, 100%, $E$13)</f>
        <v>5.0484999999999998</v>
      </c>
      <c r="C304" s="60">
        <f>5.0485 * CHOOSE(CONTROL!$C$22, $C$13, 100%, $E$13)</f>
        <v>5.0484999999999998</v>
      </c>
      <c r="D304" s="60">
        <f>5.0649 * CHOOSE(CONTROL!$C$22, $C$13, 100%, $E$13)</f>
        <v>5.0648999999999997</v>
      </c>
      <c r="E304" s="61">
        <f>5.776 * CHOOSE(CONTROL!$C$22, $C$13, 100%, $E$13)</f>
        <v>5.7759999999999998</v>
      </c>
      <c r="F304" s="61">
        <f>5.776 * CHOOSE(CONTROL!$C$22, $C$13, 100%, $E$13)</f>
        <v>5.7759999999999998</v>
      </c>
      <c r="G304" s="61">
        <f>5.7762 * CHOOSE(CONTROL!$C$22, $C$13, 100%, $E$13)</f>
        <v>5.7762000000000002</v>
      </c>
      <c r="H304" s="61">
        <f>10.4144* CHOOSE(CONTROL!$C$22, $C$13, 100%, $E$13)</f>
        <v>10.414400000000001</v>
      </c>
      <c r="I304" s="61">
        <f>10.4146 * CHOOSE(CONTROL!$C$22, $C$13, 100%, $E$13)</f>
        <v>10.4146</v>
      </c>
      <c r="J304" s="61">
        <f>5.776 * CHOOSE(CONTROL!$C$22, $C$13, 100%, $E$13)</f>
        <v>5.7759999999999998</v>
      </c>
      <c r="K304" s="61">
        <f>5.7762 * CHOOSE(CONTROL!$C$22, $C$13, 100%, $E$13)</f>
        <v>5.7762000000000002</v>
      </c>
    </row>
    <row r="305" spans="1:11" ht="15">
      <c r="A305" s="13">
        <v>51136</v>
      </c>
      <c r="B305" s="60">
        <f>5.0944 * CHOOSE(CONTROL!$C$22, $C$13, 100%, $E$13)</f>
        <v>5.0944000000000003</v>
      </c>
      <c r="C305" s="60">
        <f>5.0944 * CHOOSE(CONTROL!$C$22, $C$13, 100%, $E$13)</f>
        <v>5.0944000000000003</v>
      </c>
      <c r="D305" s="60">
        <f>5.1107 * CHOOSE(CONTROL!$C$22, $C$13, 100%, $E$13)</f>
        <v>5.1106999999999996</v>
      </c>
      <c r="E305" s="61">
        <f>5.8526 * CHOOSE(CONTROL!$C$22, $C$13, 100%, $E$13)</f>
        <v>5.8525999999999998</v>
      </c>
      <c r="F305" s="61">
        <f>5.8526 * CHOOSE(CONTROL!$C$22, $C$13, 100%, $E$13)</f>
        <v>5.8525999999999998</v>
      </c>
      <c r="G305" s="61">
        <f>5.8528 * CHOOSE(CONTROL!$C$22, $C$13, 100%, $E$13)</f>
        <v>5.8528000000000002</v>
      </c>
      <c r="H305" s="61">
        <f>10.4361* CHOOSE(CONTROL!$C$22, $C$13, 100%, $E$13)</f>
        <v>10.4361</v>
      </c>
      <c r="I305" s="61">
        <f>10.4363 * CHOOSE(CONTROL!$C$22, $C$13, 100%, $E$13)</f>
        <v>10.436299999999999</v>
      </c>
      <c r="J305" s="61">
        <f>5.8526 * CHOOSE(CONTROL!$C$22, $C$13, 100%, $E$13)</f>
        <v>5.8525999999999998</v>
      </c>
      <c r="K305" s="61">
        <f>5.8528 * CHOOSE(CONTROL!$C$22, $C$13, 100%, $E$13)</f>
        <v>5.8528000000000002</v>
      </c>
    </row>
    <row r="306" spans="1:11" ht="15">
      <c r="A306" s="13">
        <v>51167</v>
      </c>
      <c r="B306" s="60">
        <f>5.0913 * CHOOSE(CONTROL!$C$22, $C$13, 100%, $E$13)</f>
        <v>5.0913000000000004</v>
      </c>
      <c r="C306" s="60">
        <f>5.0913 * CHOOSE(CONTROL!$C$22, $C$13, 100%, $E$13)</f>
        <v>5.0913000000000004</v>
      </c>
      <c r="D306" s="60">
        <f>5.1077 * CHOOSE(CONTROL!$C$22, $C$13, 100%, $E$13)</f>
        <v>5.1077000000000004</v>
      </c>
      <c r="E306" s="61">
        <f>5.7866 * CHOOSE(CONTROL!$C$22, $C$13, 100%, $E$13)</f>
        <v>5.7866</v>
      </c>
      <c r="F306" s="61">
        <f>5.7866 * CHOOSE(CONTROL!$C$22, $C$13, 100%, $E$13)</f>
        <v>5.7866</v>
      </c>
      <c r="G306" s="61">
        <f>5.7868 * CHOOSE(CONTROL!$C$22, $C$13, 100%, $E$13)</f>
        <v>5.7868000000000004</v>
      </c>
      <c r="H306" s="61">
        <f>10.4579* CHOOSE(CONTROL!$C$22, $C$13, 100%, $E$13)</f>
        <v>10.4579</v>
      </c>
      <c r="I306" s="61">
        <f>10.458 * CHOOSE(CONTROL!$C$22, $C$13, 100%, $E$13)</f>
        <v>10.458</v>
      </c>
      <c r="J306" s="61">
        <f>5.7866 * CHOOSE(CONTROL!$C$22, $C$13, 100%, $E$13)</f>
        <v>5.7866</v>
      </c>
      <c r="K306" s="61">
        <f>5.7868 * CHOOSE(CONTROL!$C$22, $C$13, 100%, $E$13)</f>
        <v>5.7868000000000004</v>
      </c>
    </row>
    <row r="307" spans="1:11" ht="15">
      <c r="A307" s="13">
        <v>51196</v>
      </c>
      <c r="B307" s="60">
        <f>5.0883 * CHOOSE(CONTROL!$C$22, $C$13, 100%, $E$13)</f>
        <v>5.0883000000000003</v>
      </c>
      <c r="C307" s="60">
        <f>5.0883 * CHOOSE(CONTROL!$C$22, $C$13, 100%, $E$13)</f>
        <v>5.0883000000000003</v>
      </c>
      <c r="D307" s="60">
        <f>5.1046 * CHOOSE(CONTROL!$C$22, $C$13, 100%, $E$13)</f>
        <v>5.1045999999999996</v>
      </c>
      <c r="E307" s="61">
        <f>5.8349 * CHOOSE(CONTROL!$C$22, $C$13, 100%, $E$13)</f>
        <v>5.8349000000000002</v>
      </c>
      <c r="F307" s="61">
        <f>5.8349 * CHOOSE(CONTROL!$C$22, $C$13, 100%, $E$13)</f>
        <v>5.8349000000000002</v>
      </c>
      <c r="G307" s="61">
        <f>5.835 * CHOOSE(CONTROL!$C$22, $C$13, 100%, $E$13)</f>
        <v>5.835</v>
      </c>
      <c r="H307" s="61">
        <f>10.4796* CHOOSE(CONTROL!$C$22, $C$13, 100%, $E$13)</f>
        <v>10.4796</v>
      </c>
      <c r="I307" s="61">
        <f>10.4798 * CHOOSE(CONTROL!$C$22, $C$13, 100%, $E$13)</f>
        <v>10.479799999999999</v>
      </c>
      <c r="J307" s="61">
        <f>5.8349 * CHOOSE(CONTROL!$C$22, $C$13, 100%, $E$13)</f>
        <v>5.8349000000000002</v>
      </c>
      <c r="K307" s="61">
        <f>5.835 * CHOOSE(CONTROL!$C$22, $C$13, 100%, $E$13)</f>
        <v>5.835</v>
      </c>
    </row>
    <row r="308" spans="1:11" ht="15">
      <c r="A308" s="13">
        <v>51227</v>
      </c>
      <c r="B308" s="60">
        <f>5.0869 * CHOOSE(CONTROL!$C$22, $C$13, 100%, $E$13)</f>
        <v>5.0869</v>
      </c>
      <c r="C308" s="60">
        <f>5.0869 * CHOOSE(CONTROL!$C$22, $C$13, 100%, $E$13)</f>
        <v>5.0869</v>
      </c>
      <c r="D308" s="60">
        <f>5.1033 * CHOOSE(CONTROL!$C$22, $C$13, 100%, $E$13)</f>
        <v>5.1032999999999999</v>
      </c>
      <c r="E308" s="61">
        <f>5.8847 * CHOOSE(CONTROL!$C$22, $C$13, 100%, $E$13)</f>
        <v>5.8846999999999996</v>
      </c>
      <c r="F308" s="61">
        <f>5.8847 * CHOOSE(CONTROL!$C$22, $C$13, 100%, $E$13)</f>
        <v>5.8846999999999996</v>
      </c>
      <c r="G308" s="61">
        <f>5.8849 * CHOOSE(CONTROL!$C$22, $C$13, 100%, $E$13)</f>
        <v>5.8849</v>
      </c>
      <c r="H308" s="61">
        <f>10.5015* CHOOSE(CONTROL!$C$22, $C$13, 100%, $E$13)</f>
        <v>10.5015</v>
      </c>
      <c r="I308" s="61">
        <f>10.5017 * CHOOSE(CONTROL!$C$22, $C$13, 100%, $E$13)</f>
        <v>10.5017</v>
      </c>
      <c r="J308" s="61">
        <f>5.8847 * CHOOSE(CONTROL!$C$22, $C$13, 100%, $E$13)</f>
        <v>5.8846999999999996</v>
      </c>
      <c r="K308" s="61">
        <f>5.8849 * CHOOSE(CONTROL!$C$22, $C$13, 100%, $E$13)</f>
        <v>5.8849</v>
      </c>
    </row>
    <row r="309" spans="1:11" ht="15">
      <c r="A309" s="13">
        <v>51257</v>
      </c>
      <c r="B309" s="60">
        <f>5.0869 * CHOOSE(CONTROL!$C$22, $C$13, 100%, $E$13)</f>
        <v>5.0869</v>
      </c>
      <c r="C309" s="60">
        <f>5.0869 * CHOOSE(CONTROL!$C$22, $C$13, 100%, $E$13)</f>
        <v>5.0869</v>
      </c>
      <c r="D309" s="60">
        <f>5.1196 * CHOOSE(CONTROL!$C$22, $C$13, 100%, $E$13)</f>
        <v>5.1196000000000002</v>
      </c>
      <c r="E309" s="61">
        <f>5.905 * CHOOSE(CONTROL!$C$22, $C$13, 100%, $E$13)</f>
        <v>5.9050000000000002</v>
      </c>
      <c r="F309" s="61">
        <f>5.905 * CHOOSE(CONTROL!$C$22, $C$13, 100%, $E$13)</f>
        <v>5.9050000000000002</v>
      </c>
      <c r="G309" s="61">
        <f>5.907 * CHOOSE(CONTROL!$C$22, $C$13, 100%, $E$13)</f>
        <v>5.907</v>
      </c>
      <c r="H309" s="61">
        <f>10.5234* CHOOSE(CONTROL!$C$22, $C$13, 100%, $E$13)</f>
        <v>10.523400000000001</v>
      </c>
      <c r="I309" s="61">
        <f>10.5254 * CHOOSE(CONTROL!$C$22, $C$13, 100%, $E$13)</f>
        <v>10.525399999999999</v>
      </c>
      <c r="J309" s="61">
        <f>5.905 * CHOOSE(CONTROL!$C$22, $C$13, 100%, $E$13)</f>
        <v>5.9050000000000002</v>
      </c>
      <c r="K309" s="61">
        <f>5.907 * CHOOSE(CONTROL!$C$22, $C$13, 100%, $E$13)</f>
        <v>5.907</v>
      </c>
    </row>
    <row r="310" spans="1:11" ht="15">
      <c r="A310" s="13">
        <v>51288</v>
      </c>
      <c r="B310" s="60">
        <f>5.093 * CHOOSE(CONTROL!$C$22, $C$13, 100%, $E$13)</f>
        <v>5.093</v>
      </c>
      <c r="C310" s="60">
        <f>5.093 * CHOOSE(CONTROL!$C$22, $C$13, 100%, $E$13)</f>
        <v>5.093</v>
      </c>
      <c r="D310" s="60">
        <f>5.1257 * CHOOSE(CONTROL!$C$22, $C$13, 100%, $E$13)</f>
        <v>5.1257000000000001</v>
      </c>
      <c r="E310" s="61">
        <f>5.889 * CHOOSE(CONTROL!$C$22, $C$13, 100%, $E$13)</f>
        <v>5.8890000000000002</v>
      </c>
      <c r="F310" s="61">
        <f>5.889 * CHOOSE(CONTROL!$C$22, $C$13, 100%, $E$13)</f>
        <v>5.8890000000000002</v>
      </c>
      <c r="G310" s="61">
        <f>5.891 * CHOOSE(CONTROL!$C$22, $C$13, 100%, $E$13)</f>
        <v>5.891</v>
      </c>
      <c r="H310" s="61">
        <f>10.5453* CHOOSE(CONTROL!$C$22, $C$13, 100%, $E$13)</f>
        <v>10.545299999999999</v>
      </c>
      <c r="I310" s="61">
        <f>10.5473 * CHOOSE(CONTROL!$C$22, $C$13, 100%, $E$13)</f>
        <v>10.5473</v>
      </c>
      <c r="J310" s="61">
        <f>5.889 * CHOOSE(CONTROL!$C$22, $C$13, 100%, $E$13)</f>
        <v>5.8890000000000002</v>
      </c>
      <c r="K310" s="61">
        <f>5.891 * CHOOSE(CONTROL!$C$22, $C$13, 100%, $E$13)</f>
        <v>5.891</v>
      </c>
    </row>
    <row r="311" spans="1:11" ht="15">
      <c r="A311" s="13">
        <v>51318</v>
      </c>
      <c r="B311" s="60">
        <f>5.1785 * CHOOSE(CONTROL!$C$22, $C$13, 100%, $E$13)</f>
        <v>5.1784999999999997</v>
      </c>
      <c r="C311" s="60">
        <f>5.1785 * CHOOSE(CONTROL!$C$22, $C$13, 100%, $E$13)</f>
        <v>5.1784999999999997</v>
      </c>
      <c r="D311" s="60">
        <f>5.2112 * CHOOSE(CONTROL!$C$22, $C$13, 100%, $E$13)</f>
        <v>5.2111999999999998</v>
      </c>
      <c r="E311" s="61">
        <f>6.0078 * CHOOSE(CONTROL!$C$22, $C$13, 100%, $E$13)</f>
        <v>6.0077999999999996</v>
      </c>
      <c r="F311" s="61">
        <f>6.0078 * CHOOSE(CONTROL!$C$22, $C$13, 100%, $E$13)</f>
        <v>6.0077999999999996</v>
      </c>
      <c r="G311" s="61">
        <f>6.0098 * CHOOSE(CONTROL!$C$22, $C$13, 100%, $E$13)</f>
        <v>6.0098000000000003</v>
      </c>
      <c r="H311" s="61">
        <f>10.5673* CHOOSE(CONTROL!$C$22, $C$13, 100%, $E$13)</f>
        <v>10.567299999999999</v>
      </c>
      <c r="I311" s="61">
        <f>10.5693 * CHOOSE(CONTROL!$C$22, $C$13, 100%, $E$13)</f>
        <v>10.5693</v>
      </c>
      <c r="J311" s="61">
        <f>6.0078 * CHOOSE(CONTROL!$C$22, $C$13, 100%, $E$13)</f>
        <v>6.0077999999999996</v>
      </c>
      <c r="K311" s="61">
        <f>6.0098 * CHOOSE(CONTROL!$C$22, $C$13, 100%, $E$13)</f>
        <v>6.0098000000000003</v>
      </c>
    </row>
    <row r="312" spans="1:11" ht="15">
      <c r="A312" s="13">
        <v>51349</v>
      </c>
      <c r="B312" s="60">
        <f>5.1852 * CHOOSE(CONTROL!$C$22, $C$13, 100%, $E$13)</f>
        <v>5.1852</v>
      </c>
      <c r="C312" s="60">
        <f>5.1852 * CHOOSE(CONTROL!$C$22, $C$13, 100%, $E$13)</f>
        <v>5.1852</v>
      </c>
      <c r="D312" s="60">
        <f>5.2179 * CHOOSE(CONTROL!$C$22, $C$13, 100%, $E$13)</f>
        <v>5.2179000000000002</v>
      </c>
      <c r="E312" s="61">
        <f>5.9516 * CHOOSE(CONTROL!$C$22, $C$13, 100%, $E$13)</f>
        <v>5.9516</v>
      </c>
      <c r="F312" s="61">
        <f>5.9516 * CHOOSE(CONTROL!$C$22, $C$13, 100%, $E$13)</f>
        <v>5.9516</v>
      </c>
      <c r="G312" s="61">
        <f>5.9536 * CHOOSE(CONTROL!$C$22, $C$13, 100%, $E$13)</f>
        <v>5.9535999999999998</v>
      </c>
      <c r="H312" s="61">
        <f>10.5893* CHOOSE(CONTROL!$C$22, $C$13, 100%, $E$13)</f>
        <v>10.5893</v>
      </c>
      <c r="I312" s="61">
        <f>10.5913 * CHOOSE(CONTROL!$C$22, $C$13, 100%, $E$13)</f>
        <v>10.5913</v>
      </c>
      <c r="J312" s="61">
        <f>5.9516 * CHOOSE(CONTROL!$C$22, $C$13, 100%, $E$13)</f>
        <v>5.9516</v>
      </c>
      <c r="K312" s="61">
        <f>5.9536 * CHOOSE(CONTROL!$C$22, $C$13, 100%, $E$13)</f>
        <v>5.9535999999999998</v>
      </c>
    </row>
    <row r="313" spans="1:11" ht="15">
      <c r="A313" s="13">
        <v>51380</v>
      </c>
      <c r="B313" s="60">
        <f>5.1822 * CHOOSE(CONTROL!$C$22, $C$13, 100%, $E$13)</f>
        <v>5.1821999999999999</v>
      </c>
      <c r="C313" s="60">
        <f>5.1822 * CHOOSE(CONTROL!$C$22, $C$13, 100%, $E$13)</f>
        <v>5.1821999999999999</v>
      </c>
      <c r="D313" s="60">
        <f>5.2149 * CHOOSE(CONTROL!$C$22, $C$13, 100%, $E$13)</f>
        <v>5.2149000000000001</v>
      </c>
      <c r="E313" s="61">
        <f>5.9427 * CHOOSE(CONTROL!$C$22, $C$13, 100%, $E$13)</f>
        <v>5.9427000000000003</v>
      </c>
      <c r="F313" s="61">
        <f>5.9427 * CHOOSE(CONTROL!$C$22, $C$13, 100%, $E$13)</f>
        <v>5.9427000000000003</v>
      </c>
      <c r="G313" s="61">
        <f>5.9448 * CHOOSE(CONTROL!$C$22, $C$13, 100%, $E$13)</f>
        <v>5.9447999999999999</v>
      </c>
      <c r="H313" s="61">
        <f>10.6113* CHOOSE(CONTROL!$C$22, $C$13, 100%, $E$13)</f>
        <v>10.6113</v>
      </c>
      <c r="I313" s="61">
        <f>10.6134 * CHOOSE(CONTROL!$C$22, $C$13, 100%, $E$13)</f>
        <v>10.6134</v>
      </c>
      <c r="J313" s="61">
        <f>5.9427 * CHOOSE(CONTROL!$C$22, $C$13, 100%, $E$13)</f>
        <v>5.9427000000000003</v>
      </c>
      <c r="K313" s="61">
        <f>5.9448 * CHOOSE(CONTROL!$C$22, $C$13, 100%, $E$13)</f>
        <v>5.9447999999999999</v>
      </c>
    </row>
    <row r="314" spans="1:11" ht="15">
      <c r="A314" s="13">
        <v>51410</v>
      </c>
      <c r="B314" s="60">
        <f>5.1814 * CHOOSE(CONTROL!$C$22, $C$13, 100%, $E$13)</f>
        <v>5.1814</v>
      </c>
      <c r="C314" s="60">
        <f>5.1814 * CHOOSE(CONTROL!$C$22, $C$13, 100%, $E$13)</f>
        <v>5.1814</v>
      </c>
      <c r="D314" s="60">
        <f>5.1978 * CHOOSE(CONTROL!$C$22, $C$13, 100%, $E$13)</f>
        <v>5.1978</v>
      </c>
      <c r="E314" s="61">
        <f>5.9563 * CHOOSE(CONTROL!$C$22, $C$13, 100%, $E$13)</f>
        <v>5.9562999999999997</v>
      </c>
      <c r="F314" s="61">
        <f>5.9563 * CHOOSE(CONTROL!$C$22, $C$13, 100%, $E$13)</f>
        <v>5.9562999999999997</v>
      </c>
      <c r="G314" s="61">
        <f>5.9565 * CHOOSE(CONTROL!$C$22, $C$13, 100%, $E$13)</f>
        <v>5.9565000000000001</v>
      </c>
      <c r="H314" s="61">
        <f>10.6334* CHOOSE(CONTROL!$C$22, $C$13, 100%, $E$13)</f>
        <v>10.6334</v>
      </c>
      <c r="I314" s="61">
        <f>10.6336 * CHOOSE(CONTROL!$C$22, $C$13, 100%, $E$13)</f>
        <v>10.633599999999999</v>
      </c>
      <c r="J314" s="61">
        <f>5.9563 * CHOOSE(CONTROL!$C$22, $C$13, 100%, $E$13)</f>
        <v>5.9562999999999997</v>
      </c>
      <c r="K314" s="61">
        <f>5.9565 * CHOOSE(CONTROL!$C$22, $C$13, 100%, $E$13)</f>
        <v>5.9565000000000001</v>
      </c>
    </row>
    <row r="315" spans="1:11" ht="15">
      <c r="A315" s="13">
        <v>51441</v>
      </c>
      <c r="B315" s="60">
        <f>5.1845 * CHOOSE(CONTROL!$C$22, $C$13, 100%, $E$13)</f>
        <v>5.1844999999999999</v>
      </c>
      <c r="C315" s="60">
        <f>5.1845 * CHOOSE(CONTROL!$C$22, $C$13, 100%, $E$13)</f>
        <v>5.1844999999999999</v>
      </c>
      <c r="D315" s="60">
        <f>5.2008 * CHOOSE(CONTROL!$C$22, $C$13, 100%, $E$13)</f>
        <v>5.2008000000000001</v>
      </c>
      <c r="E315" s="61">
        <f>5.972 * CHOOSE(CONTROL!$C$22, $C$13, 100%, $E$13)</f>
        <v>5.9720000000000004</v>
      </c>
      <c r="F315" s="61">
        <f>5.972 * CHOOSE(CONTROL!$C$22, $C$13, 100%, $E$13)</f>
        <v>5.9720000000000004</v>
      </c>
      <c r="G315" s="61">
        <f>5.9722 * CHOOSE(CONTROL!$C$22, $C$13, 100%, $E$13)</f>
        <v>5.9722</v>
      </c>
      <c r="H315" s="61">
        <f>10.6556* CHOOSE(CONTROL!$C$22, $C$13, 100%, $E$13)</f>
        <v>10.6556</v>
      </c>
      <c r="I315" s="61">
        <f>10.6558 * CHOOSE(CONTROL!$C$22, $C$13, 100%, $E$13)</f>
        <v>10.655799999999999</v>
      </c>
      <c r="J315" s="61">
        <f>5.972 * CHOOSE(CONTROL!$C$22, $C$13, 100%, $E$13)</f>
        <v>5.9720000000000004</v>
      </c>
      <c r="K315" s="61">
        <f>5.9722 * CHOOSE(CONTROL!$C$22, $C$13, 100%, $E$13)</f>
        <v>5.9722</v>
      </c>
    </row>
    <row r="316" spans="1:11" ht="15">
      <c r="A316" s="13">
        <v>51471</v>
      </c>
      <c r="B316" s="60">
        <f>5.1845 * CHOOSE(CONTROL!$C$22, $C$13, 100%, $E$13)</f>
        <v>5.1844999999999999</v>
      </c>
      <c r="C316" s="60">
        <f>5.1845 * CHOOSE(CONTROL!$C$22, $C$13, 100%, $E$13)</f>
        <v>5.1844999999999999</v>
      </c>
      <c r="D316" s="60">
        <f>5.2008 * CHOOSE(CONTROL!$C$22, $C$13, 100%, $E$13)</f>
        <v>5.2008000000000001</v>
      </c>
      <c r="E316" s="61">
        <f>5.9382 * CHOOSE(CONTROL!$C$22, $C$13, 100%, $E$13)</f>
        <v>5.9382000000000001</v>
      </c>
      <c r="F316" s="61">
        <f>5.9382 * CHOOSE(CONTROL!$C$22, $C$13, 100%, $E$13)</f>
        <v>5.9382000000000001</v>
      </c>
      <c r="G316" s="61">
        <f>5.9384 * CHOOSE(CONTROL!$C$22, $C$13, 100%, $E$13)</f>
        <v>5.9383999999999997</v>
      </c>
      <c r="H316" s="61">
        <f>10.6778* CHOOSE(CONTROL!$C$22, $C$13, 100%, $E$13)</f>
        <v>10.6778</v>
      </c>
      <c r="I316" s="61">
        <f>10.678 * CHOOSE(CONTROL!$C$22, $C$13, 100%, $E$13)</f>
        <v>10.678000000000001</v>
      </c>
      <c r="J316" s="61">
        <f>5.9382 * CHOOSE(CONTROL!$C$22, $C$13, 100%, $E$13)</f>
        <v>5.9382000000000001</v>
      </c>
      <c r="K316" s="61">
        <f>5.9384 * CHOOSE(CONTROL!$C$22, $C$13, 100%, $E$13)</f>
        <v>5.9383999999999997</v>
      </c>
    </row>
    <row r="317" spans="1:11" ht="15">
      <c r="A317" s="13">
        <v>51502</v>
      </c>
      <c r="B317" s="60">
        <f>5.2322 * CHOOSE(CONTROL!$C$22, $C$13, 100%, $E$13)</f>
        <v>5.2321999999999997</v>
      </c>
      <c r="C317" s="60">
        <f>5.2322 * CHOOSE(CONTROL!$C$22, $C$13, 100%, $E$13)</f>
        <v>5.2321999999999997</v>
      </c>
      <c r="D317" s="60">
        <f>5.2486 * CHOOSE(CONTROL!$C$22, $C$13, 100%, $E$13)</f>
        <v>5.2485999999999997</v>
      </c>
      <c r="E317" s="61">
        <f>6.0167 * CHOOSE(CONTROL!$C$22, $C$13, 100%, $E$13)</f>
        <v>6.0167000000000002</v>
      </c>
      <c r="F317" s="61">
        <f>6.0167 * CHOOSE(CONTROL!$C$22, $C$13, 100%, $E$13)</f>
        <v>6.0167000000000002</v>
      </c>
      <c r="G317" s="61">
        <f>6.0168 * CHOOSE(CONTROL!$C$22, $C$13, 100%, $E$13)</f>
        <v>6.0167999999999999</v>
      </c>
      <c r="H317" s="61">
        <f>10.7* CHOOSE(CONTROL!$C$22, $C$13, 100%, $E$13)</f>
        <v>10.7</v>
      </c>
      <c r="I317" s="61">
        <f>10.7002 * CHOOSE(CONTROL!$C$22, $C$13, 100%, $E$13)</f>
        <v>10.700200000000001</v>
      </c>
      <c r="J317" s="61">
        <f>6.0167 * CHOOSE(CONTROL!$C$22, $C$13, 100%, $E$13)</f>
        <v>6.0167000000000002</v>
      </c>
      <c r="K317" s="61">
        <f>6.0168 * CHOOSE(CONTROL!$C$22, $C$13, 100%, $E$13)</f>
        <v>6.0167999999999999</v>
      </c>
    </row>
    <row r="318" spans="1:11" ht="15">
      <c r="A318" s="13">
        <v>51533</v>
      </c>
      <c r="B318" s="60">
        <f>5.2292 * CHOOSE(CONTROL!$C$22, $C$13, 100%, $E$13)</f>
        <v>5.2291999999999996</v>
      </c>
      <c r="C318" s="60">
        <f>5.2292 * CHOOSE(CONTROL!$C$22, $C$13, 100%, $E$13)</f>
        <v>5.2291999999999996</v>
      </c>
      <c r="D318" s="60">
        <f>5.2455 * CHOOSE(CONTROL!$C$22, $C$13, 100%, $E$13)</f>
        <v>5.2454999999999998</v>
      </c>
      <c r="E318" s="61">
        <f>5.9489 * CHOOSE(CONTROL!$C$22, $C$13, 100%, $E$13)</f>
        <v>5.9489000000000001</v>
      </c>
      <c r="F318" s="61">
        <f>5.9489 * CHOOSE(CONTROL!$C$22, $C$13, 100%, $E$13)</f>
        <v>5.9489000000000001</v>
      </c>
      <c r="G318" s="61">
        <f>5.949 * CHOOSE(CONTROL!$C$22, $C$13, 100%, $E$13)</f>
        <v>5.9489999999999998</v>
      </c>
      <c r="H318" s="61">
        <f>10.7223* CHOOSE(CONTROL!$C$22, $C$13, 100%, $E$13)</f>
        <v>10.722300000000001</v>
      </c>
      <c r="I318" s="61">
        <f>10.7225 * CHOOSE(CONTROL!$C$22, $C$13, 100%, $E$13)</f>
        <v>10.7225</v>
      </c>
      <c r="J318" s="61">
        <f>5.9489 * CHOOSE(CONTROL!$C$22, $C$13, 100%, $E$13)</f>
        <v>5.9489000000000001</v>
      </c>
      <c r="K318" s="61">
        <f>5.949 * CHOOSE(CONTROL!$C$22, $C$13, 100%, $E$13)</f>
        <v>5.9489999999999998</v>
      </c>
    </row>
    <row r="319" spans="1:11" ht="15">
      <c r="A319" s="13">
        <v>51561</v>
      </c>
      <c r="B319" s="60">
        <f>5.2262 * CHOOSE(CONTROL!$C$22, $C$13, 100%, $E$13)</f>
        <v>5.2262000000000004</v>
      </c>
      <c r="C319" s="60">
        <f>5.2262 * CHOOSE(CONTROL!$C$22, $C$13, 100%, $E$13)</f>
        <v>5.2262000000000004</v>
      </c>
      <c r="D319" s="60">
        <f>5.2425 * CHOOSE(CONTROL!$C$22, $C$13, 100%, $E$13)</f>
        <v>5.2424999999999997</v>
      </c>
      <c r="E319" s="61">
        <f>5.9985 * CHOOSE(CONTROL!$C$22, $C$13, 100%, $E$13)</f>
        <v>5.9984999999999999</v>
      </c>
      <c r="F319" s="61">
        <f>5.9985 * CHOOSE(CONTROL!$C$22, $C$13, 100%, $E$13)</f>
        <v>5.9984999999999999</v>
      </c>
      <c r="G319" s="61">
        <f>5.9987 * CHOOSE(CONTROL!$C$22, $C$13, 100%, $E$13)</f>
        <v>5.9987000000000004</v>
      </c>
      <c r="H319" s="61">
        <f>10.7447* CHOOSE(CONTROL!$C$22, $C$13, 100%, $E$13)</f>
        <v>10.7447</v>
      </c>
      <c r="I319" s="61">
        <f>10.7448 * CHOOSE(CONTROL!$C$22, $C$13, 100%, $E$13)</f>
        <v>10.7448</v>
      </c>
      <c r="J319" s="61">
        <f>5.9985 * CHOOSE(CONTROL!$C$22, $C$13, 100%, $E$13)</f>
        <v>5.9984999999999999</v>
      </c>
      <c r="K319" s="61">
        <f>5.9987 * CHOOSE(CONTROL!$C$22, $C$13, 100%, $E$13)</f>
        <v>5.9987000000000004</v>
      </c>
    </row>
    <row r="320" spans="1:11" ht="15">
      <c r="A320" s="13">
        <v>51592</v>
      </c>
      <c r="B320" s="60">
        <f>5.2249 * CHOOSE(CONTROL!$C$22, $C$13, 100%, $E$13)</f>
        <v>5.2248999999999999</v>
      </c>
      <c r="C320" s="60">
        <f>5.2249 * CHOOSE(CONTROL!$C$22, $C$13, 100%, $E$13)</f>
        <v>5.2248999999999999</v>
      </c>
      <c r="D320" s="60">
        <f>5.2413 * CHOOSE(CONTROL!$C$22, $C$13, 100%, $E$13)</f>
        <v>5.2412999999999998</v>
      </c>
      <c r="E320" s="61">
        <f>6.0499 * CHOOSE(CONTROL!$C$22, $C$13, 100%, $E$13)</f>
        <v>6.0499000000000001</v>
      </c>
      <c r="F320" s="61">
        <f>6.0499 * CHOOSE(CONTROL!$C$22, $C$13, 100%, $E$13)</f>
        <v>6.0499000000000001</v>
      </c>
      <c r="G320" s="61">
        <f>6.0501 * CHOOSE(CONTROL!$C$22, $C$13, 100%, $E$13)</f>
        <v>6.0500999999999996</v>
      </c>
      <c r="H320" s="61">
        <f>10.767* CHOOSE(CONTROL!$C$22, $C$13, 100%, $E$13)</f>
        <v>10.766999999999999</v>
      </c>
      <c r="I320" s="61">
        <f>10.7672 * CHOOSE(CONTROL!$C$22, $C$13, 100%, $E$13)</f>
        <v>10.767200000000001</v>
      </c>
      <c r="J320" s="61">
        <f>6.0499 * CHOOSE(CONTROL!$C$22, $C$13, 100%, $E$13)</f>
        <v>6.0499000000000001</v>
      </c>
      <c r="K320" s="61">
        <f>6.0501 * CHOOSE(CONTROL!$C$22, $C$13, 100%, $E$13)</f>
        <v>6.0500999999999996</v>
      </c>
    </row>
    <row r="321" spans="1:11" ht="15">
      <c r="A321" s="13">
        <v>51622</v>
      </c>
      <c r="B321" s="60">
        <f>5.2249 * CHOOSE(CONTROL!$C$22, $C$13, 100%, $E$13)</f>
        <v>5.2248999999999999</v>
      </c>
      <c r="C321" s="60">
        <f>5.2249 * CHOOSE(CONTROL!$C$22, $C$13, 100%, $E$13)</f>
        <v>5.2248999999999999</v>
      </c>
      <c r="D321" s="60">
        <f>5.2576 * CHOOSE(CONTROL!$C$22, $C$13, 100%, $E$13)</f>
        <v>5.2576000000000001</v>
      </c>
      <c r="E321" s="61">
        <f>6.0707 * CHOOSE(CONTROL!$C$22, $C$13, 100%, $E$13)</f>
        <v>6.0707000000000004</v>
      </c>
      <c r="F321" s="61">
        <f>6.0707 * CHOOSE(CONTROL!$C$22, $C$13, 100%, $E$13)</f>
        <v>6.0707000000000004</v>
      </c>
      <c r="G321" s="61">
        <f>6.0728 * CHOOSE(CONTROL!$C$22, $C$13, 100%, $E$13)</f>
        <v>6.0728</v>
      </c>
      <c r="H321" s="61">
        <f>10.7895* CHOOSE(CONTROL!$C$22, $C$13, 100%, $E$13)</f>
        <v>10.7895</v>
      </c>
      <c r="I321" s="61">
        <f>10.7915 * CHOOSE(CONTROL!$C$22, $C$13, 100%, $E$13)</f>
        <v>10.791499999999999</v>
      </c>
      <c r="J321" s="61">
        <f>6.0707 * CHOOSE(CONTROL!$C$22, $C$13, 100%, $E$13)</f>
        <v>6.0707000000000004</v>
      </c>
      <c r="K321" s="61">
        <f>6.0728 * CHOOSE(CONTROL!$C$22, $C$13, 100%, $E$13)</f>
        <v>6.0728</v>
      </c>
    </row>
    <row r="322" spans="1:11" ht="15">
      <c r="A322" s="13">
        <v>51653</v>
      </c>
      <c r="B322" s="60">
        <f>5.231 * CHOOSE(CONTROL!$C$22, $C$13, 100%, $E$13)</f>
        <v>5.2309999999999999</v>
      </c>
      <c r="C322" s="60">
        <f>5.231 * CHOOSE(CONTROL!$C$22, $C$13, 100%, $E$13)</f>
        <v>5.2309999999999999</v>
      </c>
      <c r="D322" s="60">
        <f>5.2637 * CHOOSE(CONTROL!$C$22, $C$13, 100%, $E$13)</f>
        <v>5.2637</v>
      </c>
      <c r="E322" s="61">
        <f>6.0541 * CHOOSE(CONTROL!$C$22, $C$13, 100%, $E$13)</f>
        <v>6.0541</v>
      </c>
      <c r="F322" s="61">
        <f>6.0541 * CHOOSE(CONTROL!$C$22, $C$13, 100%, $E$13)</f>
        <v>6.0541</v>
      </c>
      <c r="G322" s="61">
        <f>6.0562 * CHOOSE(CONTROL!$C$22, $C$13, 100%, $E$13)</f>
        <v>6.0561999999999996</v>
      </c>
      <c r="H322" s="61">
        <f>10.812* CHOOSE(CONTROL!$C$22, $C$13, 100%, $E$13)</f>
        <v>10.811999999999999</v>
      </c>
      <c r="I322" s="61">
        <f>10.814 * CHOOSE(CONTROL!$C$22, $C$13, 100%, $E$13)</f>
        <v>10.814</v>
      </c>
      <c r="J322" s="61">
        <f>6.0541 * CHOOSE(CONTROL!$C$22, $C$13, 100%, $E$13)</f>
        <v>6.0541</v>
      </c>
      <c r="K322" s="61">
        <f>6.0562 * CHOOSE(CONTROL!$C$22, $C$13, 100%, $E$13)</f>
        <v>6.0561999999999996</v>
      </c>
    </row>
    <row r="323" spans="1:11" ht="15">
      <c r="A323" s="13">
        <v>51683</v>
      </c>
      <c r="B323" s="60">
        <f>5.3201 * CHOOSE(CONTROL!$C$22, $C$13, 100%, $E$13)</f>
        <v>5.3201000000000001</v>
      </c>
      <c r="C323" s="60">
        <f>5.3201 * CHOOSE(CONTROL!$C$22, $C$13, 100%, $E$13)</f>
        <v>5.3201000000000001</v>
      </c>
      <c r="D323" s="60">
        <f>5.3527 * CHOOSE(CONTROL!$C$22, $C$13, 100%, $E$13)</f>
        <v>5.3526999999999996</v>
      </c>
      <c r="E323" s="61">
        <f>6.1755 * CHOOSE(CONTROL!$C$22, $C$13, 100%, $E$13)</f>
        <v>6.1755000000000004</v>
      </c>
      <c r="F323" s="61">
        <f>6.1755 * CHOOSE(CONTROL!$C$22, $C$13, 100%, $E$13)</f>
        <v>6.1755000000000004</v>
      </c>
      <c r="G323" s="61">
        <f>6.1775 * CHOOSE(CONTROL!$C$22, $C$13, 100%, $E$13)</f>
        <v>6.1775000000000002</v>
      </c>
      <c r="H323" s="61">
        <f>10.8345* CHOOSE(CONTROL!$C$22, $C$13, 100%, $E$13)</f>
        <v>10.8345</v>
      </c>
      <c r="I323" s="61">
        <f>10.8365 * CHOOSE(CONTROL!$C$22, $C$13, 100%, $E$13)</f>
        <v>10.836499999999999</v>
      </c>
      <c r="J323" s="61">
        <f>6.1755 * CHOOSE(CONTROL!$C$22, $C$13, 100%, $E$13)</f>
        <v>6.1755000000000004</v>
      </c>
      <c r="K323" s="61">
        <f>6.1775 * CHOOSE(CONTROL!$C$22, $C$13, 100%, $E$13)</f>
        <v>6.1775000000000002</v>
      </c>
    </row>
    <row r="324" spans="1:11" ht="15">
      <c r="A324" s="13">
        <v>51714</v>
      </c>
      <c r="B324" s="60">
        <f>5.3268 * CHOOSE(CONTROL!$C$22, $C$13, 100%, $E$13)</f>
        <v>5.3268000000000004</v>
      </c>
      <c r="C324" s="60">
        <f>5.3268 * CHOOSE(CONTROL!$C$22, $C$13, 100%, $E$13)</f>
        <v>5.3268000000000004</v>
      </c>
      <c r="D324" s="60">
        <f>5.3594 * CHOOSE(CONTROL!$C$22, $C$13, 100%, $E$13)</f>
        <v>5.3593999999999999</v>
      </c>
      <c r="E324" s="61">
        <f>6.1176 * CHOOSE(CONTROL!$C$22, $C$13, 100%, $E$13)</f>
        <v>6.1176000000000004</v>
      </c>
      <c r="F324" s="61">
        <f>6.1176 * CHOOSE(CONTROL!$C$22, $C$13, 100%, $E$13)</f>
        <v>6.1176000000000004</v>
      </c>
      <c r="G324" s="61">
        <f>6.1196 * CHOOSE(CONTROL!$C$22, $C$13, 100%, $E$13)</f>
        <v>6.1196000000000002</v>
      </c>
      <c r="H324" s="61">
        <f>10.8571* CHOOSE(CONTROL!$C$22, $C$13, 100%, $E$13)</f>
        <v>10.857100000000001</v>
      </c>
      <c r="I324" s="61">
        <f>10.8591 * CHOOSE(CONTROL!$C$22, $C$13, 100%, $E$13)</f>
        <v>10.8591</v>
      </c>
      <c r="J324" s="61">
        <f>6.1176 * CHOOSE(CONTROL!$C$22, $C$13, 100%, $E$13)</f>
        <v>6.1176000000000004</v>
      </c>
      <c r="K324" s="61">
        <f>6.1196 * CHOOSE(CONTROL!$C$22, $C$13, 100%, $E$13)</f>
        <v>6.1196000000000002</v>
      </c>
    </row>
    <row r="325" spans="1:11" ht="15">
      <c r="A325" s="13">
        <v>51745</v>
      </c>
      <c r="B325" s="60">
        <f>5.3237 * CHOOSE(CONTROL!$C$22, $C$13, 100%, $E$13)</f>
        <v>5.3236999999999997</v>
      </c>
      <c r="C325" s="60">
        <f>5.3237 * CHOOSE(CONTROL!$C$22, $C$13, 100%, $E$13)</f>
        <v>5.3236999999999997</v>
      </c>
      <c r="D325" s="60">
        <f>5.3564 * CHOOSE(CONTROL!$C$22, $C$13, 100%, $E$13)</f>
        <v>5.3563999999999998</v>
      </c>
      <c r="E325" s="61">
        <f>6.1085 * CHOOSE(CONTROL!$C$22, $C$13, 100%, $E$13)</f>
        <v>6.1085000000000003</v>
      </c>
      <c r="F325" s="61">
        <f>6.1085 * CHOOSE(CONTROL!$C$22, $C$13, 100%, $E$13)</f>
        <v>6.1085000000000003</v>
      </c>
      <c r="G325" s="61">
        <f>6.1106 * CHOOSE(CONTROL!$C$22, $C$13, 100%, $E$13)</f>
        <v>6.1105999999999998</v>
      </c>
      <c r="H325" s="61">
        <f>10.8797* CHOOSE(CONTROL!$C$22, $C$13, 100%, $E$13)</f>
        <v>10.8797</v>
      </c>
      <c r="I325" s="61">
        <f>10.8817 * CHOOSE(CONTROL!$C$22, $C$13, 100%, $E$13)</f>
        <v>10.8817</v>
      </c>
      <c r="J325" s="61">
        <f>6.1085 * CHOOSE(CONTROL!$C$22, $C$13, 100%, $E$13)</f>
        <v>6.1085000000000003</v>
      </c>
      <c r="K325" s="61">
        <f>6.1106 * CHOOSE(CONTROL!$C$22, $C$13, 100%, $E$13)</f>
        <v>6.1105999999999998</v>
      </c>
    </row>
    <row r="326" spans="1:11" ht="15">
      <c r="A326" s="13">
        <v>51775</v>
      </c>
      <c r="B326" s="60">
        <f>5.3234 * CHOOSE(CONTROL!$C$22, $C$13, 100%, $E$13)</f>
        <v>5.3234000000000004</v>
      </c>
      <c r="C326" s="60">
        <f>5.3234 * CHOOSE(CONTROL!$C$22, $C$13, 100%, $E$13)</f>
        <v>5.3234000000000004</v>
      </c>
      <c r="D326" s="60">
        <f>5.3398 * CHOOSE(CONTROL!$C$22, $C$13, 100%, $E$13)</f>
        <v>5.3398000000000003</v>
      </c>
      <c r="E326" s="61">
        <f>6.1229 * CHOOSE(CONTROL!$C$22, $C$13, 100%, $E$13)</f>
        <v>6.1228999999999996</v>
      </c>
      <c r="F326" s="61">
        <f>6.1229 * CHOOSE(CONTROL!$C$22, $C$13, 100%, $E$13)</f>
        <v>6.1228999999999996</v>
      </c>
      <c r="G326" s="61">
        <f>6.1231 * CHOOSE(CONTROL!$C$22, $C$13, 100%, $E$13)</f>
        <v>6.1231</v>
      </c>
      <c r="H326" s="61">
        <f>10.9023* CHOOSE(CONTROL!$C$22, $C$13, 100%, $E$13)</f>
        <v>10.9023</v>
      </c>
      <c r="I326" s="61">
        <f>10.9025 * CHOOSE(CONTROL!$C$22, $C$13, 100%, $E$13)</f>
        <v>10.9025</v>
      </c>
      <c r="J326" s="61">
        <f>6.1229 * CHOOSE(CONTROL!$C$22, $C$13, 100%, $E$13)</f>
        <v>6.1228999999999996</v>
      </c>
      <c r="K326" s="61">
        <f>6.1231 * CHOOSE(CONTROL!$C$22, $C$13, 100%, $E$13)</f>
        <v>6.1231</v>
      </c>
    </row>
    <row r="327" spans="1:11" ht="15">
      <c r="A327" s="13">
        <v>51806</v>
      </c>
      <c r="B327" s="60">
        <f>5.3265 * CHOOSE(CONTROL!$C$22, $C$13, 100%, $E$13)</f>
        <v>5.3265000000000002</v>
      </c>
      <c r="C327" s="60">
        <f>5.3265 * CHOOSE(CONTROL!$C$22, $C$13, 100%, $E$13)</f>
        <v>5.3265000000000002</v>
      </c>
      <c r="D327" s="60">
        <f>5.3428 * CHOOSE(CONTROL!$C$22, $C$13, 100%, $E$13)</f>
        <v>5.3428000000000004</v>
      </c>
      <c r="E327" s="61">
        <f>6.1389 * CHOOSE(CONTROL!$C$22, $C$13, 100%, $E$13)</f>
        <v>6.1388999999999996</v>
      </c>
      <c r="F327" s="61">
        <f>6.1389 * CHOOSE(CONTROL!$C$22, $C$13, 100%, $E$13)</f>
        <v>6.1388999999999996</v>
      </c>
      <c r="G327" s="61">
        <f>6.1391 * CHOOSE(CONTROL!$C$22, $C$13, 100%, $E$13)</f>
        <v>6.1391</v>
      </c>
      <c r="H327" s="61">
        <f>10.9251* CHOOSE(CONTROL!$C$22, $C$13, 100%, $E$13)</f>
        <v>10.9251</v>
      </c>
      <c r="I327" s="61">
        <f>10.9252 * CHOOSE(CONTROL!$C$22, $C$13, 100%, $E$13)</f>
        <v>10.9252</v>
      </c>
      <c r="J327" s="61">
        <f>6.1389 * CHOOSE(CONTROL!$C$22, $C$13, 100%, $E$13)</f>
        <v>6.1388999999999996</v>
      </c>
      <c r="K327" s="61">
        <f>6.1391 * CHOOSE(CONTROL!$C$22, $C$13, 100%, $E$13)</f>
        <v>6.1391</v>
      </c>
    </row>
    <row r="328" spans="1:11" ht="15">
      <c r="A328" s="13">
        <v>51836</v>
      </c>
      <c r="B328" s="60">
        <f>5.3265 * CHOOSE(CONTROL!$C$22, $C$13, 100%, $E$13)</f>
        <v>5.3265000000000002</v>
      </c>
      <c r="C328" s="60">
        <f>5.3265 * CHOOSE(CONTROL!$C$22, $C$13, 100%, $E$13)</f>
        <v>5.3265000000000002</v>
      </c>
      <c r="D328" s="60">
        <f>5.3428 * CHOOSE(CONTROL!$C$22, $C$13, 100%, $E$13)</f>
        <v>5.3428000000000004</v>
      </c>
      <c r="E328" s="61">
        <f>6.1042 * CHOOSE(CONTROL!$C$22, $C$13, 100%, $E$13)</f>
        <v>6.1041999999999996</v>
      </c>
      <c r="F328" s="61">
        <f>6.1042 * CHOOSE(CONTROL!$C$22, $C$13, 100%, $E$13)</f>
        <v>6.1041999999999996</v>
      </c>
      <c r="G328" s="61">
        <f>6.1044 * CHOOSE(CONTROL!$C$22, $C$13, 100%, $E$13)</f>
        <v>6.1044</v>
      </c>
      <c r="H328" s="61">
        <f>10.9478* CHOOSE(CONTROL!$C$22, $C$13, 100%, $E$13)</f>
        <v>10.947800000000001</v>
      </c>
      <c r="I328" s="61">
        <f>10.948 * CHOOSE(CONTROL!$C$22, $C$13, 100%, $E$13)</f>
        <v>10.948</v>
      </c>
      <c r="J328" s="61">
        <f>6.1042 * CHOOSE(CONTROL!$C$22, $C$13, 100%, $E$13)</f>
        <v>6.1041999999999996</v>
      </c>
      <c r="K328" s="61">
        <f>6.1044 * CHOOSE(CONTROL!$C$22, $C$13, 100%, $E$13)</f>
        <v>6.1044</v>
      </c>
    </row>
    <row r="329" spans="1:11" ht="15">
      <c r="A329" s="13">
        <v>51867</v>
      </c>
      <c r="B329" s="60">
        <f>5.375 * CHOOSE(CONTROL!$C$22, $C$13, 100%, $E$13)</f>
        <v>5.375</v>
      </c>
      <c r="C329" s="60">
        <f>5.375 * CHOOSE(CONTROL!$C$22, $C$13, 100%, $E$13)</f>
        <v>5.375</v>
      </c>
      <c r="D329" s="60">
        <f>5.3914 * CHOOSE(CONTROL!$C$22, $C$13, 100%, $E$13)</f>
        <v>5.3914</v>
      </c>
      <c r="E329" s="61">
        <f>6.1849 * CHOOSE(CONTROL!$C$22, $C$13, 100%, $E$13)</f>
        <v>6.1848999999999998</v>
      </c>
      <c r="F329" s="61">
        <f>6.1849 * CHOOSE(CONTROL!$C$22, $C$13, 100%, $E$13)</f>
        <v>6.1848999999999998</v>
      </c>
      <c r="G329" s="61">
        <f>6.1851 * CHOOSE(CONTROL!$C$22, $C$13, 100%, $E$13)</f>
        <v>6.1851000000000003</v>
      </c>
      <c r="H329" s="61">
        <f>10.9706* CHOOSE(CONTROL!$C$22, $C$13, 100%, $E$13)</f>
        <v>10.970599999999999</v>
      </c>
      <c r="I329" s="61">
        <f>10.9708 * CHOOSE(CONTROL!$C$22, $C$13, 100%, $E$13)</f>
        <v>10.970800000000001</v>
      </c>
      <c r="J329" s="61">
        <f>6.1849 * CHOOSE(CONTROL!$C$22, $C$13, 100%, $E$13)</f>
        <v>6.1848999999999998</v>
      </c>
      <c r="K329" s="61">
        <f>6.1851 * CHOOSE(CONTROL!$C$22, $C$13, 100%, $E$13)</f>
        <v>6.1851000000000003</v>
      </c>
    </row>
    <row r="330" spans="1:11" ht="15">
      <c r="A330" s="13">
        <v>51898</v>
      </c>
      <c r="B330" s="60">
        <f>5.372 * CHOOSE(CONTROL!$C$22, $C$13, 100%, $E$13)</f>
        <v>5.3719999999999999</v>
      </c>
      <c r="C330" s="60">
        <f>5.372 * CHOOSE(CONTROL!$C$22, $C$13, 100%, $E$13)</f>
        <v>5.3719999999999999</v>
      </c>
      <c r="D330" s="60">
        <f>5.3883 * CHOOSE(CONTROL!$C$22, $C$13, 100%, $E$13)</f>
        <v>5.3883000000000001</v>
      </c>
      <c r="E330" s="61">
        <f>6.1153 * CHOOSE(CONTROL!$C$22, $C$13, 100%, $E$13)</f>
        <v>6.1153000000000004</v>
      </c>
      <c r="F330" s="61">
        <f>6.1153 * CHOOSE(CONTROL!$C$22, $C$13, 100%, $E$13)</f>
        <v>6.1153000000000004</v>
      </c>
      <c r="G330" s="61">
        <f>6.1154 * CHOOSE(CONTROL!$C$22, $C$13, 100%, $E$13)</f>
        <v>6.1154000000000002</v>
      </c>
      <c r="H330" s="61">
        <f>10.9935* CHOOSE(CONTROL!$C$22, $C$13, 100%, $E$13)</f>
        <v>10.993499999999999</v>
      </c>
      <c r="I330" s="61">
        <f>10.9937 * CHOOSE(CONTROL!$C$22, $C$13, 100%, $E$13)</f>
        <v>10.9937</v>
      </c>
      <c r="J330" s="61">
        <f>6.1153 * CHOOSE(CONTROL!$C$22, $C$13, 100%, $E$13)</f>
        <v>6.1153000000000004</v>
      </c>
      <c r="K330" s="61">
        <f>6.1154 * CHOOSE(CONTROL!$C$22, $C$13, 100%, $E$13)</f>
        <v>6.1154000000000002</v>
      </c>
    </row>
    <row r="331" spans="1:11" ht="15">
      <c r="A331" s="13">
        <v>51926</v>
      </c>
      <c r="B331" s="60">
        <f>5.369 * CHOOSE(CONTROL!$C$22, $C$13, 100%, $E$13)</f>
        <v>5.3689999999999998</v>
      </c>
      <c r="C331" s="60">
        <f>5.369 * CHOOSE(CONTROL!$C$22, $C$13, 100%, $E$13)</f>
        <v>5.3689999999999998</v>
      </c>
      <c r="D331" s="60">
        <f>5.3853 * CHOOSE(CONTROL!$C$22, $C$13, 100%, $E$13)</f>
        <v>5.3853</v>
      </c>
      <c r="E331" s="61">
        <f>6.1664 * CHOOSE(CONTROL!$C$22, $C$13, 100%, $E$13)</f>
        <v>6.1664000000000003</v>
      </c>
      <c r="F331" s="61">
        <f>6.1664 * CHOOSE(CONTROL!$C$22, $C$13, 100%, $E$13)</f>
        <v>6.1664000000000003</v>
      </c>
      <c r="G331" s="61">
        <f>6.1665 * CHOOSE(CONTROL!$C$22, $C$13, 100%, $E$13)</f>
        <v>6.1665000000000001</v>
      </c>
      <c r="H331" s="61">
        <f>11.0164* CHOOSE(CONTROL!$C$22, $C$13, 100%, $E$13)</f>
        <v>11.016400000000001</v>
      </c>
      <c r="I331" s="61">
        <f>11.0166 * CHOOSE(CONTROL!$C$22, $C$13, 100%, $E$13)</f>
        <v>11.0166</v>
      </c>
      <c r="J331" s="61">
        <f>6.1664 * CHOOSE(CONTROL!$C$22, $C$13, 100%, $E$13)</f>
        <v>6.1664000000000003</v>
      </c>
      <c r="K331" s="61">
        <f>6.1665 * CHOOSE(CONTROL!$C$22, $C$13, 100%, $E$13)</f>
        <v>6.1665000000000001</v>
      </c>
    </row>
    <row r="332" spans="1:11" ht="15">
      <c r="A332" s="13">
        <v>51957</v>
      </c>
      <c r="B332" s="60">
        <f>5.3679 * CHOOSE(CONTROL!$C$22, $C$13, 100%, $E$13)</f>
        <v>5.3678999999999997</v>
      </c>
      <c r="C332" s="60">
        <f>5.3679 * CHOOSE(CONTROL!$C$22, $C$13, 100%, $E$13)</f>
        <v>5.3678999999999997</v>
      </c>
      <c r="D332" s="60">
        <f>5.3842 * CHOOSE(CONTROL!$C$22, $C$13, 100%, $E$13)</f>
        <v>5.3841999999999999</v>
      </c>
      <c r="E332" s="61">
        <f>6.2193 * CHOOSE(CONTROL!$C$22, $C$13, 100%, $E$13)</f>
        <v>6.2192999999999996</v>
      </c>
      <c r="F332" s="61">
        <f>6.2193 * CHOOSE(CONTROL!$C$22, $C$13, 100%, $E$13)</f>
        <v>6.2192999999999996</v>
      </c>
      <c r="G332" s="61">
        <f>6.2195 * CHOOSE(CONTROL!$C$22, $C$13, 100%, $E$13)</f>
        <v>6.2195</v>
      </c>
      <c r="H332" s="61">
        <f>11.0393* CHOOSE(CONTROL!$C$22, $C$13, 100%, $E$13)</f>
        <v>11.039300000000001</v>
      </c>
      <c r="I332" s="61">
        <f>11.0395 * CHOOSE(CONTROL!$C$22, $C$13, 100%, $E$13)</f>
        <v>11.0395</v>
      </c>
      <c r="J332" s="61">
        <f>6.2193 * CHOOSE(CONTROL!$C$22, $C$13, 100%, $E$13)</f>
        <v>6.2192999999999996</v>
      </c>
      <c r="K332" s="61">
        <f>6.2195 * CHOOSE(CONTROL!$C$22, $C$13, 100%, $E$13)</f>
        <v>6.2195</v>
      </c>
    </row>
    <row r="333" spans="1:11" ht="15">
      <c r="A333" s="13">
        <v>51987</v>
      </c>
      <c r="B333" s="60">
        <f>5.3679 * CHOOSE(CONTROL!$C$22, $C$13, 100%, $E$13)</f>
        <v>5.3678999999999997</v>
      </c>
      <c r="C333" s="60">
        <f>5.3679 * CHOOSE(CONTROL!$C$22, $C$13, 100%, $E$13)</f>
        <v>5.3678999999999997</v>
      </c>
      <c r="D333" s="60">
        <f>5.4005 * CHOOSE(CONTROL!$C$22, $C$13, 100%, $E$13)</f>
        <v>5.4005000000000001</v>
      </c>
      <c r="E333" s="61">
        <f>6.2407 * CHOOSE(CONTROL!$C$22, $C$13, 100%, $E$13)</f>
        <v>6.2407000000000004</v>
      </c>
      <c r="F333" s="61">
        <f>6.2407 * CHOOSE(CONTROL!$C$22, $C$13, 100%, $E$13)</f>
        <v>6.2407000000000004</v>
      </c>
      <c r="G333" s="61">
        <f>6.2427 * CHOOSE(CONTROL!$C$22, $C$13, 100%, $E$13)</f>
        <v>6.2427000000000001</v>
      </c>
      <c r="H333" s="61">
        <f>11.0623* CHOOSE(CONTROL!$C$22, $C$13, 100%, $E$13)</f>
        <v>11.0623</v>
      </c>
      <c r="I333" s="61">
        <f>11.0644 * CHOOSE(CONTROL!$C$22, $C$13, 100%, $E$13)</f>
        <v>11.064399999999999</v>
      </c>
      <c r="J333" s="61">
        <f>6.2407 * CHOOSE(CONTROL!$C$22, $C$13, 100%, $E$13)</f>
        <v>6.2407000000000004</v>
      </c>
      <c r="K333" s="61">
        <f>6.2427 * CHOOSE(CONTROL!$C$22, $C$13, 100%, $E$13)</f>
        <v>6.2427000000000001</v>
      </c>
    </row>
    <row r="334" spans="1:11" ht="15">
      <c r="A334" s="13">
        <v>52018</v>
      </c>
      <c r="B334" s="60">
        <f>5.3739 * CHOOSE(CONTROL!$C$22, $C$13, 100%, $E$13)</f>
        <v>5.3738999999999999</v>
      </c>
      <c r="C334" s="60">
        <f>5.3739 * CHOOSE(CONTROL!$C$22, $C$13, 100%, $E$13)</f>
        <v>5.3738999999999999</v>
      </c>
      <c r="D334" s="60">
        <f>5.4066 * CHOOSE(CONTROL!$C$22, $C$13, 100%, $E$13)</f>
        <v>5.4066000000000001</v>
      </c>
      <c r="E334" s="61">
        <f>6.2235 * CHOOSE(CONTROL!$C$22, $C$13, 100%, $E$13)</f>
        <v>6.2234999999999996</v>
      </c>
      <c r="F334" s="61">
        <f>6.2235 * CHOOSE(CONTROL!$C$22, $C$13, 100%, $E$13)</f>
        <v>6.2234999999999996</v>
      </c>
      <c r="G334" s="61">
        <f>6.2256 * CHOOSE(CONTROL!$C$22, $C$13, 100%, $E$13)</f>
        <v>6.2256</v>
      </c>
      <c r="H334" s="61">
        <f>11.0854* CHOOSE(CONTROL!$C$22, $C$13, 100%, $E$13)</f>
        <v>11.0854</v>
      </c>
      <c r="I334" s="61">
        <f>11.0874 * CHOOSE(CONTROL!$C$22, $C$13, 100%, $E$13)</f>
        <v>11.087400000000001</v>
      </c>
      <c r="J334" s="61">
        <f>6.2235 * CHOOSE(CONTROL!$C$22, $C$13, 100%, $E$13)</f>
        <v>6.2234999999999996</v>
      </c>
      <c r="K334" s="61">
        <f>6.2256 * CHOOSE(CONTROL!$C$22, $C$13, 100%, $E$13)</f>
        <v>6.2256</v>
      </c>
    </row>
    <row r="335" spans="1:11" ht="15">
      <c r="A335" s="13">
        <v>52048</v>
      </c>
      <c r="B335" s="60">
        <f>5.4644 * CHOOSE(CONTROL!$C$22, $C$13, 100%, $E$13)</f>
        <v>5.4644000000000004</v>
      </c>
      <c r="C335" s="60">
        <f>5.4644 * CHOOSE(CONTROL!$C$22, $C$13, 100%, $E$13)</f>
        <v>5.4644000000000004</v>
      </c>
      <c r="D335" s="60">
        <f>5.497 * CHOOSE(CONTROL!$C$22, $C$13, 100%, $E$13)</f>
        <v>5.4969999999999999</v>
      </c>
      <c r="E335" s="61">
        <f>6.3483 * CHOOSE(CONTROL!$C$22, $C$13, 100%, $E$13)</f>
        <v>6.3483000000000001</v>
      </c>
      <c r="F335" s="61">
        <f>6.3483 * CHOOSE(CONTROL!$C$22, $C$13, 100%, $E$13)</f>
        <v>6.3483000000000001</v>
      </c>
      <c r="G335" s="61">
        <f>6.3503 * CHOOSE(CONTROL!$C$22, $C$13, 100%, $E$13)</f>
        <v>6.3502999999999998</v>
      </c>
      <c r="H335" s="61">
        <f>11.1085* CHOOSE(CONTROL!$C$22, $C$13, 100%, $E$13)</f>
        <v>11.108499999999999</v>
      </c>
      <c r="I335" s="61">
        <f>11.1105 * CHOOSE(CONTROL!$C$22, $C$13, 100%, $E$13)</f>
        <v>11.1105</v>
      </c>
      <c r="J335" s="61">
        <f>6.3483 * CHOOSE(CONTROL!$C$22, $C$13, 100%, $E$13)</f>
        <v>6.3483000000000001</v>
      </c>
      <c r="K335" s="61">
        <f>6.3503 * CHOOSE(CONTROL!$C$22, $C$13, 100%, $E$13)</f>
        <v>6.3502999999999998</v>
      </c>
    </row>
    <row r="336" spans="1:11" ht="15">
      <c r="A336" s="13">
        <v>52079</v>
      </c>
      <c r="B336" s="60">
        <f>5.4711 * CHOOSE(CONTROL!$C$22, $C$13, 100%, $E$13)</f>
        <v>5.4710999999999999</v>
      </c>
      <c r="C336" s="60">
        <f>5.4711 * CHOOSE(CONTROL!$C$22, $C$13, 100%, $E$13)</f>
        <v>5.4710999999999999</v>
      </c>
      <c r="D336" s="60">
        <f>5.5037 * CHOOSE(CONTROL!$C$22, $C$13, 100%, $E$13)</f>
        <v>5.5037000000000003</v>
      </c>
      <c r="E336" s="61">
        <f>6.2886 * CHOOSE(CONTROL!$C$22, $C$13, 100%, $E$13)</f>
        <v>6.2885999999999997</v>
      </c>
      <c r="F336" s="61">
        <f>6.2886 * CHOOSE(CONTROL!$C$22, $C$13, 100%, $E$13)</f>
        <v>6.2885999999999997</v>
      </c>
      <c r="G336" s="61">
        <f>6.2907 * CHOOSE(CONTROL!$C$22, $C$13, 100%, $E$13)</f>
        <v>6.2907000000000002</v>
      </c>
      <c r="H336" s="61">
        <f>11.1316* CHOOSE(CONTROL!$C$22, $C$13, 100%, $E$13)</f>
        <v>11.131600000000001</v>
      </c>
      <c r="I336" s="61">
        <f>11.1336 * CHOOSE(CONTROL!$C$22, $C$13, 100%, $E$13)</f>
        <v>11.133599999999999</v>
      </c>
      <c r="J336" s="61">
        <f>6.2886 * CHOOSE(CONTROL!$C$22, $C$13, 100%, $E$13)</f>
        <v>6.2885999999999997</v>
      </c>
      <c r="K336" s="61">
        <f>6.2907 * CHOOSE(CONTROL!$C$22, $C$13, 100%, $E$13)</f>
        <v>6.2907000000000002</v>
      </c>
    </row>
    <row r="337" spans="1:11" ht="15">
      <c r="A337" s="13">
        <v>52110</v>
      </c>
      <c r="B337" s="60">
        <f>5.468 * CHOOSE(CONTROL!$C$22, $C$13, 100%, $E$13)</f>
        <v>5.468</v>
      </c>
      <c r="C337" s="60">
        <f>5.468 * CHOOSE(CONTROL!$C$22, $C$13, 100%, $E$13)</f>
        <v>5.468</v>
      </c>
      <c r="D337" s="60">
        <f>5.5007 * CHOOSE(CONTROL!$C$22, $C$13, 100%, $E$13)</f>
        <v>5.5007000000000001</v>
      </c>
      <c r="E337" s="61">
        <f>6.2794 * CHOOSE(CONTROL!$C$22, $C$13, 100%, $E$13)</f>
        <v>6.2793999999999999</v>
      </c>
      <c r="F337" s="61">
        <f>6.2794 * CHOOSE(CONTROL!$C$22, $C$13, 100%, $E$13)</f>
        <v>6.2793999999999999</v>
      </c>
      <c r="G337" s="61">
        <f>6.2814 * CHOOSE(CONTROL!$C$22, $C$13, 100%, $E$13)</f>
        <v>6.2813999999999997</v>
      </c>
      <c r="H337" s="61">
        <f>11.1548* CHOOSE(CONTROL!$C$22, $C$13, 100%, $E$13)</f>
        <v>11.1548</v>
      </c>
      <c r="I337" s="61">
        <f>11.1568 * CHOOSE(CONTROL!$C$22, $C$13, 100%, $E$13)</f>
        <v>11.1568</v>
      </c>
      <c r="J337" s="61">
        <f>6.2794 * CHOOSE(CONTROL!$C$22, $C$13, 100%, $E$13)</f>
        <v>6.2793999999999999</v>
      </c>
      <c r="K337" s="61">
        <f>6.2814 * CHOOSE(CONTROL!$C$22, $C$13, 100%, $E$13)</f>
        <v>6.2813999999999997</v>
      </c>
    </row>
    <row r="338" spans="1:11" ht="15">
      <c r="A338" s="13">
        <v>52140</v>
      </c>
      <c r="B338" s="60">
        <f>5.4682 * CHOOSE(CONTROL!$C$22, $C$13, 100%, $E$13)</f>
        <v>5.4682000000000004</v>
      </c>
      <c r="C338" s="60">
        <f>5.4682 * CHOOSE(CONTROL!$C$22, $C$13, 100%, $E$13)</f>
        <v>5.4682000000000004</v>
      </c>
      <c r="D338" s="60">
        <f>5.4846 * CHOOSE(CONTROL!$C$22, $C$13, 100%, $E$13)</f>
        <v>5.4846000000000004</v>
      </c>
      <c r="E338" s="61">
        <f>6.2945 * CHOOSE(CONTROL!$C$22, $C$13, 100%, $E$13)</f>
        <v>6.2945000000000002</v>
      </c>
      <c r="F338" s="61">
        <f>6.2945 * CHOOSE(CONTROL!$C$22, $C$13, 100%, $E$13)</f>
        <v>6.2945000000000002</v>
      </c>
      <c r="G338" s="61">
        <f>6.2947 * CHOOSE(CONTROL!$C$22, $C$13, 100%, $E$13)</f>
        <v>6.2946999999999997</v>
      </c>
      <c r="H338" s="61">
        <f>11.178* CHOOSE(CONTROL!$C$22, $C$13, 100%, $E$13)</f>
        <v>11.178000000000001</v>
      </c>
      <c r="I338" s="61">
        <f>11.1782 * CHOOSE(CONTROL!$C$22, $C$13, 100%, $E$13)</f>
        <v>11.1782</v>
      </c>
      <c r="J338" s="61">
        <f>6.2945 * CHOOSE(CONTROL!$C$22, $C$13, 100%, $E$13)</f>
        <v>6.2945000000000002</v>
      </c>
      <c r="K338" s="61">
        <f>6.2947 * CHOOSE(CONTROL!$C$22, $C$13, 100%, $E$13)</f>
        <v>6.2946999999999997</v>
      </c>
    </row>
    <row r="339" spans="1:11" ht="15">
      <c r="A339" s="13">
        <v>52171</v>
      </c>
      <c r="B339" s="60">
        <f>5.4713 * CHOOSE(CONTROL!$C$22, $C$13, 100%, $E$13)</f>
        <v>5.4713000000000003</v>
      </c>
      <c r="C339" s="60">
        <f>5.4713 * CHOOSE(CONTROL!$C$22, $C$13, 100%, $E$13)</f>
        <v>5.4713000000000003</v>
      </c>
      <c r="D339" s="60">
        <f>5.4876 * CHOOSE(CONTROL!$C$22, $C$13, 100%, $E$13)</f>
        <v>5.4875999999999996</v>
      </c>
      <c r="E339" s="61">
        <f>6.311 * CHOOSE(CONTROL!$C$22, $C$13, 100%, $E$13)</f>
        <v>6.3109999999999999</v>
      </c>
      <c r="F339" s="61">
        <f>6.311 * CHOOSE(CONTROL!$C$22, $C$13, 100%, $E$13)</f>
        <v>6.3109999999999999</v>
      </c>
      <c r="G339" s="61">
        <f>6.3111 * CHOOSE(CONTROL!$C$22, $C$13, 100%, $E$13)</f>
        <v>6.3110999999999997</v>
      </c>
      <c r="H339" s="61">
        <f>11.2013* CHOOSE(CONTROL!$C$22, $C$13, 100%, $E$13)</f>
        <v>11.2013</v>
      </c>
      <c r="I339" s="61">
        <f>11.2015 * CHOOSE(CONTROL!$C$22, $C$13, 100%, $E$13)</f>
        <v>11.201499999999999</v>
      </c>
      <c r="J339" s="61">
        <f>6.311 * CHOOSE(CONTROL!$C$22, $C$13, 100%, $E$13)</f>
        <v>6.3109999999999999</v>
      </c>
      <c r="K339" s="61">
        <f>6.3111 * CHOOSE(CONTROL!$C$22, $C$13, 100%, $E$13)</f>
        <v>6.3110999999999997</v>
      </c>
    </row>
    <row r="340" spans="1:11" ht="15">
      <c r="A340" s="13">
        <v>52201</v>
      </c>
      <c r="B340" s="60">
        <f>5.4713 * CHOOSE(CONTROL!$C$22, $C$13, 100%, $E$13)</f>
        <v>5.4713000000000003</v>
      </c>
      <c r="C340" s="60">
        <f>5.4713 * CHOOSE(CONTROL!$C$22, $C$13, 100%, $E$13)</f>
        <v>5.4713000000000003</v>
      </c>
      <c r="D340" s="60">
        <f>5.4876 * CHOOSE(CONTROL!$C$22, $C$13, 100%, $E$13)</f>
        <v>5.4875999999999996</v>
      </c>
      <c r="E340" s="61">
        <f>6.2752 * CHOOSE(CONTROL!$C$22, $C$13, 100%, $E$13)</f>
        <v>6.2751999999999999</v>
      </c>
      <c r="F340" s="61">
        <f>6.2752 * CHOOSE(CONTROL!$C$22, $C$13, 100%, $E$13)</f>
        <v>6.2751999999999999</v>
      </c>
      <c r="G340" s="61">
        <f>6.2754 * CHOOSE(CONTROL!$C$22, $C$13, 100%, $E$13)</f>
        <v>6.2754000000000003</v>
      </c>
      <c r="H340" s="61">
        <f>11.2247* CHOOSE(CONTROL!$C$22, $C$13, 100%, $E$13)</f>
        <v>11.2247</v>
      </c>
      <c r="I340" s="61">
        <f>11.2248 * CHOOSE(CONTROL!$C$22, $C$13, 100%, $E$13)</f>
        <v>11.2248</v>
      </c>
      <c r="J340" s="61">
        <f>6.2752 * CHOOSE(CONTROL!$C$22, $C$13, 100%, $E$13)</f>
        <v>6.2751999999999999</v>
      </c>
      <c r="K340" s="61">
        <f>6.2754 * CHOOSE(CONTROL!$C$22, $C$13, 100%, $E$13)</f>
        <v>6.2754000000000003</v>
      </c>
    </row>
    <row r="341" spans="1:11" ht="15">
      <c r="A341" s="13">
        <v>52232</v>
      </c>
      <c r="B341" s="60">
        <f>5.5212 * CHOOSE(CONTROL!$C$22, $C$13, 100%, $E$13)</f>
        <v>5.5212000000000003</v>
      </c>
      <c r="C341" s="60">
        <f>5.5212 * CHOOSE(CONTROL!$C$22, $C$13, 100%, $E$13)</f>
        <v>5.5212000000000003</v>
      </c>
      <c r="D341" s="60">
        <f>5.5375 * CHOOSE(CONTROL!$C$22, $C$13, 100%, $E$13)</f>
        <v>5.5374999999999996</v>
      </c>
      <c r="E341" s="61">
        <f>6.358 * CHOOSE(CONTROL!$C$22, $C$13, 100%, $E$13)</f>
        <v>6.3579999999999997</v>
      </c>
      <c r="F341" s="61">
        <f>6.358 * CHOOSE(CONTROL!$C$22, $C$13, 100%, $E$13)</f>
        <v>6.3579999999999997</v>
      </c>
      <c r="G341" s="61">
        <f>6.3582 * CHOOSE(CONTROL!$C$22, $C$13, 100%, $E$13)</f>
        <v>6.3582000000000001</v>
      </c>
      <c r="H341" s="61">
        <f>11.2481* CHOOSE(CONTROL!$C$22, $C$13, 100%, $E$13)</f>
        <v>11.248100000000001</v>
      </c>
      <c r="I341" s="61">
        <f>11.2482 * CHOOSE(CONTROL!$C$22, $C$13, 100%, $E$13)</f>
        <v>11.248200000000001</v>
      </c>
      <c r="J341" s="61">
        <f>6.358 * CHOOSE(CONTROL!$C$22, $C$13, 100%, $E$13)</f>
        <v>6.3579999999999997</v>
      </c>
      <c r="K341" s="61">
        <f>6.3582 * CHOOSE(CONTROL!$C$22, $C$13, 100%, $E$13)</f>
        <v>6.3582000000000001</v>
      </c>
    </row>
    <row r="342" spans="1:11" ht="15">
      <c r="A342" s="13">
        <v>52263</v>
      </c>
      <c r="B342" s="60">
        <f>5.5182 * CHOOSE(CONTROL!$C$22, $C$13, 100%, $E$13)</f>
        <v>5.5182000000000002</v>
      </c>
      <c r="C342" s="60">
        <f>5.5182 * CHOOSE(CONTROL!$C$22, $C$13, 100%, $E$13)</f>
        <v>5.5182000000000002</v>
      </c>
      <c r="D342" s="60">
        <f>5.5345 * CHOOSE(CONTROL!$C$22, $C$13, 100%, $E$13)</f>
        <v>5.5345000000000004</v>
      </c>
      <c r="E342" s="61">
        <f>6.2865 * CHOOSE(CONTROL!$C$22, $C$13, 100%, $E$13)</f>
        <v>6.2865000000000002</v>
      </c>
      <c r="F342" s="61">
        <f>6.2865 * CHOOSE(CONTROL!$C$22, $C$13, 100%, $E$13)</f>
        <v>6.2865000000000002</v>
      </c>
      <c r="G342" s="61">
        <f>6.2867 * CHOOSE(CONTROL!$C$22, $C$13, 100%, $E$13)</f>
        <v>6.2866999999999997</v>
      </c>
      <c r="H342" s="61">
        <f>11.2715* CHOOSE(CONTROL!$C$22, $C$13, 100%, $E$13)</f>
        <v>11.2715</v>
      </c>
      <c r="I342" s="61">
        <f>11.2717 * CHOOSE(CONTROL!$C$22, $C$13, 100%, $E$13)</f>
        <v>11.271699999999999</v>
      </c>
      <c r="J342" s="61">
        <f>6.2865 * CHOOSE(CONTROL!$C$22, $C$13, 100%, $E$13)</f>
        <v>6.2865000000000002</v>
      </c>
      <c r="K342" s="61">
        <f>6.2867 * CHOOSE(CONTROL!$C$22, $C$13, 100%, $E$13)</f>
        <v>6.2866999999999997</v>
      </c>
    </row>
    <row r="343" spans="1:11" ht="15">
      <c r="A343" s="13">
        <v>52291</v>
      </c>
      <c r="B343" s="60">
        <f>5.5151 * CHOOSE(CONTROL!$C$22, $C$13, 100%, $E$13)</f>
        <v>5.5151000000000003</v>
      </c>
      <c r="C343" s="60">
        <f>5.5151 * CHOOSE(CONTROL!$C$22, $C$13, 100%, $E$13)</f>
        <v>5.5151000000000003</v>
      </c>
      <c r="D343" s="60">
        <f>5.5315 * CHOOSE(CONTROL!$C$22, $C$13, 100%, $E$13)</f>
        <v>5.5315000000000003</v>
      </c>
      <c r="E343" s="61">
        <f>6.3391 * CHOOSE(CONTROL!$C$22, $C$13, 100%, $E$13)</f>
        <v>6.3391000000000002</v>
      </c>
      <c r="F343" s="61">
        <f>6.3391 * CHOOSE(CONTROL!$C$22, $C$13, 100%, $E$13)</f>
        <v>6.3391000000000002</v>
      </c>
      <c r="G343" s="61">
        <f>6.3393 * CHOOSE(CONTROL!$C$22, $C$13, 100%, $E$13)</f>
        <v>6.3392999999999997</v>
      </c>
      <c r="H343" s="61">
        <f>11.295* CHOOSE(CONTROL!$C$22, $C$13, 100%, $E$13)</f>
        <v>11.295</v>
      </c>
      <c r="I343" s="61">
        <f>11.2951 * CHOOSE(CONTROL!$C$22, $C$13, 100%, $E$13)</f>
        <v>11.2951</v>
      </c>
      <c r="J343" s="61">
        <f>6.3391 * CHOOSE(CONTROL!$C$22, $C$13, 100%, $E$13)</f>
        <v>6.3391000000000002</v>
      </c>
      <c r="K343" s="61">
        <f>6.3393 * CHOOSE(CONTROL!$C$22, $C$13, 100%, $E$13)</f>
        <v>6.3392999999999997</v>
      </c>
    </row>
    <row r="344" spans="1:11" ht="15">
      <c r="A344" s="13">
        <v>52322</v>
      </c>
      <c r="B344" s="60">
        <f>5.5142 * CHOOSE(CONTROL!$C$22, $C$13, 100%, $E$13)</f>
        <v>5.5141999999999998</v>
      </c>
      <c r="C344" s="60">
        <f>5.5142 * CHOOSE(CONTROL!$C$22, $C$13, 100%, $E$13)</f>
        <v>5.5141999999999998</v>
      </c>
      <c r="D344" s="60">
        <f>5.5305 * CHOOSE(CONTROL!$C$22, $C$13, 100%, $E$13)</f>
        <v>5.5305</v>
      </c>
      <c r="E344" s="61">
        <f>6.3936 * CHOOSE(CONTROL!$C$22, $C$13, 100%, $E$13)</f>
        <v>6.3936000000000002</v>
      </c>
      <c r="F344" s="61">
        <f>6.3936 * CHOOSE(CONTROL!$C$22, $C$13, 100%, $E$13)</f>
        <v>6.3936000000000002</v>
      </c>
      <c r="G344" s="61">
        <f>6.3938 * CHOOSE(CONTROL!$C$22, $C$13, 100%, $E$13)</f>
        <v>6.3937999999999997</v>
      </c>
      <c r="H344" s="61">
        <f>11.3185* CHOOSE(CONTROL!$C$22, $C$13, 100%, $E$13)</f>
        <v>11.3185</v>
      </c>
      <c r="I344" s="61">
        <f>11.3187 * CHOOSE(CONTROL!$C$22, $C$13, 100%, $E$13)</f>
        <v>11.3187</v>
      </c>
      <c r="J344" s="61">
        <f>6.3936 * CHOOSE(CONTROL!$C$22, $C$13, 100%, $E$13)</f>
        <v>6.3936000000000002</v>
      </c>
      <c r="K344" s="61">
        <f>6.3938 * CHOOSE(CONTROL!$C$22, $C$13, 100%, $E$13)</f>
        <v>6.3937999999999997</v>
      </c>
    </row>
    <row r="345" spans="1:11" ht="15">
      <c r="A345" s="13">
        <v>52352</v>
      </c>
      <c r="B345" s="60">
        <f>5.5142 * CHOOSE(CONTROL!$C$22, $C$13, 100%, $E$13)</f>
        <v>5.5141999999999998</v>
      </c>
      <c r="C345" s="60">
        <f>5.5142 * CHOOSE(CONTROL!$C$22, $C$13, 100%, $E$13)</f>
        <v>5.5141999999999998</v>
      </c>
      <c r="D345" s="60">
        <f>5.5468 * CHOOSE(CONTROL!$C$22, $C$13, 100%, $E$13)</f>
        <v>5.5468000000000002</v>
      </c>
      <c r="E345" s="61">
        <f>6.4157 * CHOOSE(CONTROL!$C$22, $C$13, 100%, $E$13)</f>
        <v>6.4157000000000002</v>
      </c>
      <c r="F345" s="61">
        <f>6.4157 * CHOOSE(CONTROL!$C$22, $C$13, 100%, $E$13)</f>
        <v>6.4157000000000002</v>
      </c>
      <c r="G345" s="61">
        <f>6.4177 * CHOOSE(CONTROL!$C$22, $C$13, 100%, $E$13)</f>
        <v>6.4177</v>
      </c>
      <c r="H345" s="61">
        <f>11.3421* CHOOSE(CONTROL!$C$22, $C$13, 100%, $E$13)</f>
        <v>11.3421</v>
      </c>
      <c r="I345" s="61">
        <f>11.3441 * CHOOSE(CONTROL!$C$22, $C$13, 100%, $E$13)</f>
        <v>11.344099999999999</v>
      </c>
      <c r="J345" s="61">
        <f>6.4157 * CHOOSE(CONTROL!$C$22, $C$13, 100%, $E$13)</f>
        <v>6.4157000000000002</v>
      </c>
      <c r="K345" s="61">
        <f>6.4177 * CHOOSE(CONTROL!$C$22, $C$13, 100%, $E$13)</f>
        <v>6.4177</v>
      </c>
    </row>
    <row r="346" spans="1:11" ht="15">
      <c r="A346" s="13">
        <v>52383</v>
      </c>
      <c r="B346" s="60">
        <f>5.5202 * CHOOSE(CONTROL!$C$22, $C$13, 100%, $E$13)</f>
        <v>5.5202</v>
      </c>
      <c r="C346" s="60">
        <f>5.5202 * CHOOSE(CONTROL!$C$22, $C$13, 100%, $E$13)</f>
        <v>5.5202</v>
      </c>
      <c r="D346" s="60">
        <f>5.5529 * CHOOSE(CONTROL!$C$22, $C$13, 100%, $E$13)</f>
        <v>5.5529000000000002</v>
      </c>
      <c r="E346" s="61">
        <f>6.3979 * CHOOSE(CONTROL!$C$22, $C$13, 100%, $E$13)</f>
        <v>6.3978999999999999</v>
      </c>
      <c r="F346" s="61">
        <f>6.3979 * CHOOSE(CONTROL!$C$22, $C$13, 100%, $E$13)</f>
        <v>6.3978999999999999</v>
      </c>
      <c r="G346" s="61">
        <f>6.3999 * CHOOSE(CONTROL!$C$22, $C$13, 100%, $E$13)</f>
        <v>6.3998999999999997</v>
      </c>
      <c r="H346" s="61">
        <f>11.3657* CHOOSE(CONTROL!$C$22, $C$13, 100%, $E$13)</f>
        <v>11.3657</v>
      </c>
      <c r="I346" s="61">
        <f>11.3677 * CHOOSE(CONTROL!$C$22, $C$13, 100%, $E$13)</f>
        <v>11.367699999999999</v>
      </c>
      <c r="J346" s="61">
        <f>6.3979 * CHOOSE(CONTROL!$C$22, $C$13, 100%, $E$13)</f>
        <v>6.3978999999999999</v>
      </c>
      <c r="K346" s="61">
        <f>6.3999 * CHOOSE(CONTROL!$C$22, $C$13, 100%, $E$13)</f>
        <v>6.3998999999999997</v>
      </c>
    </row>
    <row r="347" spans="1:11" ht="15">
      <c r="A347" s="13">
        <v>52413</v>
      </c>
      <c r="B347" s="60">
        <f>5.6132 * CHOOSE(CONTROL!$C$22, $C$13, 100%, $E$13)</f>
        <v>5.6132</v>
      </c>
      <c r="C347" s="60">
        <f>5.6132 * CHOOSE(CONTROL!$C$22, $C$13, 100%, $E$13)</f>
        <v>5.6132</v>
      </c>
      <c r="D347" s="60">
        <f>5.6459 * CHOOSE(CONTROL!$C$22, $C$13, 100%, $E$13)</f>
        <v>5.6459000000000001</v>
      </c>
      <c r="E347" s="61">
        <f>6.5257 * CHOOSE(CONTROL!$C$22, $C$13, 100%, $E$13)</f>
        <v>6.5256999999999996</v>
      </c>
      <c r="F347" s="61">
        <f>6.5257 * CHOOSE(CONTROL!$C$22, $C$13, 100%, $E$13)</f>
        <v>6.5256999999999996</v>
      </c>
      <c r="G347" s="61">
        <f>6.5277 * CHOOSE(CONTROL!$C$22, $C$13, 100%, $E$13)</f>
        <v>6.5277000000000003</v>
      </c>
      <c r="H347" s="61">
        <f>11.3894* CHOOSE(CONTROL!$C$22, $C$13, 100%, $E$13)</f>
        <v>11.3894</v>
      </c>
      <c r="I347" s="61">
        <f>11.3914 * CHOOSE(CONTROL!$C$22, $C$13, 100%, $E$13)</f>
        <v>11.391400000000001</v>
      </c>
      <c r="J347" s="61">
        <f>6.5257 * CHOOSE(CONTROL!$C$22, $C$13, 100%, $E$13)</f>
        <v>6.5256999999999996</v>
      </c>
      <c r="K347" s="61">
        <f>6.5277 * CHOOSE(CONTROL!$C$22, $C$13, 100%, $E$13)</f>
        <v>6.5277000000000003</v>
      </c>
    </row>
    <row r="348" spans="1:11" ht="15">
      <c r="A348" s="13">
        <v>52444</v>
      </c>
      <c r="B348" s="60">
        <f>5.6199 * CHOOSE(CONTROL!$C$22, $C$13, 100%, $E$13)</f>
        <v>5.6199000000000003</v>
      </c>
      <c r="C348" s="60">
        <f>5.6199 * CHOOSE(CONTROL!$C$22, $C$13, 100%, $E$13)</f>
        <v>5.6199000000000003</v>
      </c>
      <c r="D348" s="60">
        <f>5.6525 * CHOOSE(CONTROL!$C$22, $C$13, 100%, $E$13)</f>
        <v>5.6524999999999999</v>
      </c>
      <c r="E348" s="61">
        <f>6.4643 * CHOOSE(CONTROL!$C$22, $C$13, 100%, $E$13)</f>
        <v>6.4642999999999997</v>
      </c>
      <c r="F348" s="61">
        <f>6.4643 * CHOOSE(CONTROL!$C$22, $C$13, 100%, $E$13)</f>
        <v>6.4642999999999997</v>
      </c>
      <c r="G348" s="61">
        <f>6.4663 * CHOOSE(CONTROL!$C$22, $C$13, 100%, $E$13)</f>
        <v>6.4663000000000004</v>
      </c>
      <c r="H348" s="61">
        <f>11.4131* CHOOSE(CONTROL!$C$22, $C$13, 100%, $E$13)</f>
        <v>11.4131</v>
      </c>
      <c r="I348" s="61">
        <f>11.4151 * CHOOSE(CONTROL!$C$22, $C$13, 100%, $E$13)</f>
        <v>11.415100000000001</v>
      </c>
      <c r="J348" s="61">
        <f>6.4643 * CHOOSE(CONTROL!$C$22, $C$13, 100%, $E$13)</f>
        <v>6.4642999999999997</v>
      </c>
      <c r="K348" s="61">
        <f>6.4663 * CHOOSE(CONTROL!$C$22, $C$13, 100%, $E$13)</f>
        <v>6.4663000000000004</v>
      </c>
    </row>
    <row r="349" spans="1:11" ht="15">
      <c r="A349" s="13">
        <v>52475</v>
      </c>
      <c r="B349" s="60">
        <f>5.6168 * CHOOSE(CONTROL!$C$22, $C$13, 100%, $E$13)</f>
        <v>5.6167999999999996</v>
      </c>
      <c r="C349" s="60">
        <f>5.6168 * CHOOSE(CONTROL!$C$22, $C$13, 100%, $E$13)</f>
        <v>5.6167999999999996</v>
      </c>
      <c r="D349" s="60">
        <f>5.6495 * CHOOSE(CONTROL!$C$22, $C$13, 100%, $E$13)</f>
        <v>5.6494999999999997</v>
      </c>
      <c r="E349" s="61">
        <f>6.4548 * CHOOSE(CONTROL!$C$22, $C$13, 100%, $E$13)</f>
        <v>6.4547999999999996</v>
      </c>
      <c r="F349" s="61">
        <f>6.4548 * CHOOSE(CONTROL!$C$22, $C$13, 100%, $E$13)</f>
        <v>6.4547999999999996</v>
      </c>
      <c r="G349" s="61">
        <f>6.4568 * CHOOSE(CONTROL!$C$22, $C$13, 100%, $E$13)</f>
        <v>6.4568000000000003</v>
      </c>
      <c r="H349" s="61">
        <f>11.4369* CHOOSE(CONTROL!$C$22, $C$13, 100%, $E$13)</f>
        <v>11.4369</v>
      </c>
      <c r="I349" s="61">
        <f>11.4389 * CHOOSE(CONTROL!$C$22, $C$13, 100%, $E$13)</f>
        <v>11.4389</v>
      </c>
      <c r="J349" s="61">
        <f>6.4548 * CHOOSE(CONTROL!$C$22, $C$13, 100%, $E$13)</f>
        <v>6.4547999999999996</v>
      </c>
      <c r="K349" s="61">
        <f>6.4568 * CHOOSE(CONTROL!$C$22, $C$13, 100%, $E$13)</f>
        <v>6.4568000000000003</v>
      </c>
    </row>
    <row r="350" spans="1:11" ht="15">
      <c r="A350" s="13">
        <v>52505</v>
      </c>
      <c r="B350" s="60">
        <f>5.6175 * CHOOSE(CONTROL!$C$22, $C$13, 100%, $E$13)</f>
        <v>5.6174999999999997</v>
      </c>
      <c r="C350" s="60">
        <f>5.6175 * CHOOSE(CONTROL!$C$22, $C$13, 100%, $E$13)</f>
        <v>5.6174999999999997</v>
      </c>
      <c r="D350" s="60">
        <f>5.6339 * CHOOSE(CONTROL!$C$22, $C$13, 100%, $E$13)</f>
        <v>5.6338999999999997</v>
      </c>
      <c r="E350" s="61">
        <f>6.4708 * CHOOSE(CONTROL!$C$22, $C$13, 100%, $E$13)</f>
        <v>6.4707999999999997</v>
      </c>
      <c r="F350" s="61">
        <f>6.4708 * CHOOSE(CONTROL!$C$22, $C$13, 100%, $E$13)</f>
        <v>6.4707999999999997</v>
      </c>
      <c r="G350" s="61">
        <f>6.4709 * CHOOSE(CONTROL!$C$22, $C$13, 100%, $E$13)</f>
        <v>6.4709000000000003</v>
      </c>
      <c r="H350" s="61">
        <f>11.4607* CHOOSE(CONTROL!$C$22, $C$13, 100%, $E$13)</f>
        <v>11.460699999999999</v>
      </c>
      <c r="I350" s="61">
        <f>11.4609 * CHOOSE(CONTROL!$C$22, $C$13, 100%, $E$13)</f>
        <v>11.460900000000001</v>
      </c>
      <c r="J350" s="61">
        <f>6.4708 * CHOOSE(CONTROL!$C$22, $C$13, 100%, $E$13)</f>
        <v>6.4707999999999997</v>
      </c>
      <c r="K350" s="61">
        <f>6.4709 * CHOOSE(CONTROL!$C$22, $C$13, 100%, $E$13)</f>
        <v>6.4709000000000003</v>
      </c>
    </row>
    <row r="351" spans="1:11" ht="15">
      <c r="A351" s="13">
        <v>52536</v>
      </c>
      <c r="B351" s="60">
        <f>5.6206 * CHOOSE(CONTROL!$C$22, $C$13, 100%, $E$13)</f>
        <v>5.6205999999999996</v>
      </c>
      <c r="C351" s="60">
        <f>5.6206 * CHOOSE(CONTROL!$C$22, $C$13, 100%, $E$13)</f>
        <v>5.6205999999999996</v>
      </c>
      <c r="D351" s="60">
        <f>5.6369 * CHOOSE(CONTROL!$C$22, $C$13, 100%, $E$13)</f>
        <v>5.6368999999999998</v>
      </c>
      <c r="E351" s="61">
        <f>6.4876 * CHOOSE(CONTROL!$C$22, $C$13, 100%, $E$13)</f>
        <v>6.4875999999999996</v>
      </c>
      <c r="F351" s="61">
        <f>6.4876 * CHOOSE(CONTROL!$C$22, $C$13, 100%, $E$13)</f>
        <v>6.4875999999999996</v>
      </c>
      <c r="G351" s="61">
        <f>6.4877 * CHOOSE(CONTROL!$C$22, $C$13, 100%, $E$13)</f>
        <v>6.4877000000000002</v>
      </c>
      <c r="H351" s="61">
        <f>11.4846* CHOOSE(CONTROL!$C$22, $C$13, 100%, $E$13)</f>
        <v>11.4846</v>
      </c>
      <c r="I351" s="61">
        <f>11.4848 * CHOOSE(CONTROL!$C$22, $C$13, 100%, $E$13)</f>
        <v>11.4848</v>
      </c>
      <c r="J351" s="61">
        <f>6.4876 * CHOOSE(CONTROL!$C$22, $C$13, 100%, $E$13)</f>
        <v>6.4875999999999996</v>
      </c>
      <c r="K351" s="61">
        <f>6.4877 * CHOOSE(CONTROL!$C$22, $C$13, 100%, $E$13)</f>
        <v>6.4877000000000002</v>
      </c>
    </row>
    <row r="352" spans="1:11" ht="15">
      <c r="A352" s="13">
        <v>52566</v>
      </c>
      <c r="B352" s="60">
        <f>5.6206 * CHOOSE(CONTROL!$C$22, $C$13, 100%, $E$13)</f>
        <v>5.6205999999999996</v>
      </c>
      <c r="C352" s="60">
        <f>5.6206 * CHOOSE(CONTROL!$C$22, $C$13, 100%, $E$13)</f>
        <v>5.6205999999999996</v>
      </c>
      <c r="D352" s="60">
        <f>5.6369 * CHOOSE(CONTROL!$C$22, $C$13, 100%, $E$13)</f>
        <v>5.6368999999999998</v>
      </c>
      <c r="E352" s="61">
        <f>6.4508 * CHOOSE(CONTROL!$C$22, $C$13, 100%, $E$13)</f>
        <v>6.4508000000000001</v>
      </c>
      <c r="F352" s="61">
        <f>6.4508 * CHOOSE(CONTROL!$C$22, $C$13, 100%, $E$13)</f>
        <v>6.4508000000000001</v>
      </c>
      <c r="G352" s="61">
        <f>6.451 * CHOOSE(CONTROL!$C$22, $C$13, 100%, $E$13)</f>
        <v>6.4509999999999996</v>
      </c>
      <c r="H352" s="61">
        <f>11.5085* CHOOSE(CONTROL!$C$22, $C$13, 100%, $E$13)</f>
        <v>11.5085</v>
      </c>
      <c r="I352" s="61">
        <f>11.5087 * CHOOSE(CONTROL!$C$22, $C$13, 100%, $E$13)</f>
        <v>11.508699999999999</v>
      </c>
      <c r="J352" s="61">
        <f>6.4508 * CHOOSE(CONTROL!$C$22, $C$13, 100%, $E$13)</f>
        <v>6.4508000000000001</v>
      </c>
      <c r="K352" s="61">
        <f>6.451 * CHOOSE(CONTROL!$C$22, $C$13, 100%, $E$13)</f>
        <v>6.4509999999999996</v>
      </c>
    </row>
    <row r="353" spans="1:11" ht="15">
      <c r="A353" s="13">
        <v>52597</v>
      </c>
      <c r="B353" s="60">
        <f>5.6717 * CHOOSE(CONTROL!$C$22, $C$13, 100%, $E$13)</f>
        <v>5.6717000000000004</v>
      </c>
      <c r="C353" s="60">
        <f>5.6717 * CHOOSE(CONTROL!$C$22, $C$13, 100%, $E$13)</f>
        <v>5.6717000000000004</v>
      </c>
      <c r="D353" s="60">
        <f>5.688 * CHOOSE(CONTROL!$C$22, $C$13, 100%, $E$13)</f>
        <v>5.6879999999999997</v>
      </c>
      <c r="E353" s="61">
        <f>6.5359 * CHOOSE(CONTROL!$C$22, $C$13, 100%, $E$13)</f>
        <v>6.5358999999999998</v>
      </c>
      <c r="F353" s="61">
        <f>6.5359 * CHOOSE(CONTROL!$C$22, $C$13, 100%, $E$13)</f>
        <v>6.5358999999999998</v>
      </c>
      <c r="G353" s="61">
        <f>6.5361 * CHOOSE(CONTROL!$C$22, $C$13, 100%, $E$13)</f>
        <v>6.5361000000000002</v>
      </c>
      <c r="H353" s="61">
        <f>11.5325* CHOOSE(CONTROL!$C$22, $C$13, 100%, $E$13)</f>
        <v>11.532500000000001</v>
      </c>
      <c r="I353" s="61">
        <f>11.5327 * CHOOSE(CONTROL!$C$22, $C$13, 100%, $E$13)</f>
        <v>11.5327</v>
      </c>
      <c r="J353" s="61">
        <f>6.5359 * CHOOSE(CONTROL!$C$22, $C$13, 100%, $E$13)</f>
        <v>6.5358999999999998</v>
      </c>
      <c r="K353" s="61">
        <f>6.5361 * CHOOSE(CONTROL!$C$22, $C$13, 100%, $E$13)</f>
        <v>6.5361000000000002</v>
      </c>
    </row>
    <row r="354" spans="1:11" ht="15">
      <c r="A354" s="13">
        <v>52628</v>
      </c>
      <c r="B354" s="60">
        <f>5.6686 * CHOOSE(CONTROL!$C$22, $C$13, 100%, $E$13)</f>
        <v>5.6685999999999996</v>
      </c>
      <c r="C354" s="60">
        <f>5.6686 * CHOOSE(CONTROL!$C$22, $C$13, 100%, $E$13)</f>
        <v>5.6685999999999996</v>
      </c>
      <c r="D354" s="60">
        <f>5.685 * CHOOSE(CONTROL!$C$22, $C$13, 100%, $E$13)</f>
        <v>5.6849999999999996</v>
      </c>
      <c r="E354" s="61">
        <f>6.4624 * CHOOSE(CONTROL!$C$22, $C$13, 100%, $E$13)</f>
        <v>6.4623999999999997</v>
      </c>
      <c r="F354" s="61">
        <f>6.4624 * CHOOSE(CONTROL!$C$22, $C$13, 100%, $E$13)</f>
        <v>6.4623999999999997</v>
      </c>
      <c r="G354" s="61">
        <f>6.4626 * CHOOSE(CONTROL!$C$22, $C$13, 100%, $E$13)</f>
        <v>6.4626000000000001</v>
      </c>
      <c r="H354" s="61">
        <f>11.5565* CHOOSE(CONTROL!$C$22, $C$13, 100%, $E$13)</f>
        <v>11.5565</v>
      </c>
      <c r="I354" s="61">
        <f>11.5567 * CHOOSE(CONTROL!$C$22, $C$13, 100%, $E$13)</f>
        <v>11.556699999999999</v>
      </c>
      <c r="J354" s="61">
        <f>6.4624 * CHOOSE(CONTROL!$C$22, $C$13, 100%, $E$13)</f>
        <v>6.4623999999999997</v>
      </c>
      <c r="K354" s="61">
        <f>6.4626 * CHOOSE(CONTROL!$C$22, $C$13, 100%, $E$13)</f>
        <v>6.4626000000000001</v>
      </c>
    </row>
    <row r="355" spans="1:11" ht="15">
      <c r="A355" s="13">
        <v>52657</v>
      </c>
      <c r="B355" s="60">
        <f>5.6656 * CHOOSE(CONTROL!$C$22, $C$13, 100%, $E$13)</f>
        <v>5.6656000000000004</v>
      </c>
      <c r="C355" s="60">
        <f>5.6656 * CHOOSE(CONTROL!$C$22, $C$13, 100%, $E$13)</f>
        <v>5.6656000000000004</v>
      </c>
      <c r="D355" s="60">
        <f>5.6819 * CHOOSE(CONTROL!$C$22, $C$13, 100%, $E$13)</f>
        <v>5.6818999999999997</v>
      </c>
      <c r="E355" s="61">
        <f>6.5166 * CHOOSE(CONTROL!$C$22, $C$13, 100%, $E$13)</f>
        <v>6.5166000000000004</v>
      </c>
      <c r="F355" s="61">
        <f>6.5166 * CHOOSE(CONTROL!$C$22, $C$13, 100%, $E$13)</f>
        <v>6.5166000000000004</v>
      </c>
      <c r="G355" s="61">
        <f>6.5167 * CHOOSE(CONTROL!$C$22, $C$13, 100%, $E$13)</f>
        <v>6.5167000000000002</v>
      </c>
      <c r="H355" s="61">
        <f>11.5806* CHOOSE(CONTROL!$C$22, $C$13, 100%, $E$13)</f>
        <v>11.5806</v>
      </c>
      <c r="I355" s="61">
        <f>11.5808 * CHOOSE(CONTROL!$C$22, $C$13, 100%, $E$13)</f>
        <v>11.5808</v>
      </c>
      <c r="J355" s="61">
        <f>6.5166 * CHOOSE(CONTROL!$C$22, $C$13, 100%, $E$13)</f>
        <v>6.5166000000000004</v>
      </c>
      <c r="K355" s="61">
        <f>6.5167 * CHOOSE(CONTROL!$C$22, $C$13, 100%, $E$13)</f>
        <v>6.5167000000000002</v>
      </c>
    </row>
    <row r="356" spans="1:11" ht="15">
      <c r="A356" s="13">
        <v>52688</v>
      </c>
      <c r="B356" s="60">
        <f>5.6648 * CHOOSE(CONTROL!$C$22, $C$13, 100%, $E$13)</f>
        <v>5.6647999999999996</v>
      </c>
      <c r="C356" s="60">
        <f>5.6648 * CHOOSE(CONTROL!$C$22, $C$13, 100%, $E$13)</f>
        <v>5.6647999999999996</v>
      </c>
      <c r="D356" s="60">
        <f>5.6811 * CHOOSE(CONTROL!$C$22, $C$13, 100%, $E$13)</f>
        <v>5.6810999999999998</v>
      </c>
      <c r="E356" s="61">
        <f>6.5727 * CHOOSE(CONTROL!$C$22, $C$13, 100%, $E$13)</f>
        <v>6.5727000000000002</v>
      </c>
      <c r="F356" s="61">
        <f>6.5727 * CHOOSE(CONTROL!$C$22, $C$13, 100%, $E$13)</f>
        <v>6.5727000000000002</v>
      </c>
      <c r="G356" s="61">
        <f>6.5729 * CHOOSE(CONTROL!$C$22, $C$13, 100%, $E$13)</f>
        <v>6.5728999999999997</v>
      </c>
      <c r="H356" s="61">
        <f>11.6047* CHOOSE(CONTROL!$C$22, $C$13, 100%, $E$13)</f>
        <v>11.604699999999999</v>
      </c>
      <c r="I356" s="61">
        <f>11.6049 * CHOOSE(CONTROL!$C$22, $C$13, 100%, $E$13)</f>
        <v>11.604900000000001</v>
      </c>
      <c r="J356" s="61">
        <f>6.5727 * CHOOSE(CONTROL!$C$22, $C$13, 100%, $E$13)</f>
        <v>6.5727000000000002</v>
      </c>
      <c r="K356" s="61">
        <f>6.5729 * CHOOSE(CONTROL!$C$22, $C$13, 100%, $E$13)</f>
        <v>6.5728999999999997</v>
      </c>
    </row>
    <row r="357" spans="1:11" ht="15">
      <c r="A357" s="13">
        <v>52718</v>
      </c>
      <c r="B357" s="60">
        <f>5.6648 * CHOOSE(CONTROL!$C$22, $C$13, 100%, $E$13)</f>
        <v>5.6647999999999996</v>
      </c>
      <c r="C357" s="60">
        <f>5.6648 * CHOOSE(CONTROL!$C$22, $C$13, 100%, $E$13)</f>
        <v>5.6647999999999996</v>
      </c>
      <c r="D357" s="60">
        <f>5.6974 * CHOOSE(CONTROL!$C$22, $C$13, 100%, $E$13)</f>
        <v>5.6974</v>
      </c>
      <c r="E357" s="61">
        <f>6.5954 * CHOOSE(CONTROL!$C$22, $C$13, 100%, $E$13)</f>
        <v>6.5953999999999997</v>
      </c>
      <c r="F357" s="61">
        <f>6.5954 * CHOOSE(CONTROL!$C$22, $C$13, 100%, $E$13)</f>
        <v>6.5953999999999997</v>
      </c>
      <c r="G357" s="61">
        <f>6.5974 * CHOOSE(CONTROL!$C$22, $C$13, 100%, $E$13)</f>
        <v>6.5974000000000004</v>
      </c>
      <c r="H357" s="61">
        <f>11.6289* CHOOSE(CONTROL!$C$22, $C$13, 100%, $E$13)</f>
        <v>11.6289</v>
      </c>
      <c r="I357" s="61">
        <f>11.6309 * CHOOSE(CONTROL!$C$22, $C$13, 100%, $E$13)</f>
        <v>11.6309</v>
      </c>
      <c r="J357" s="61">
        <f>6.5954 * CHOOSE(CONTROL!$C$22, $C$13, 100%, $E$13)</f>
        <v>6.5953999999999997</v>
      </c>
      <c r="K357" s="61">
        <f>6.5974 * CHOOSE(CONTROL!$C$22, $C$13, 100%, $E$13)</f>
        <v>6.5974000000000004</v>
      </c>
    </row>
    <row r="358" spans="1:11" ht="15">
      <c r="A358" s="13">
        <v>52749</v>
      </c>
      <c r="B358" s="60">
        <f>5.6708 * CHOOSE(CONTROL!$C$22, $C$13, 100%, $E$13)</f>
        <v>5.6707999999999998</v>
      </c>
      <c r="C358" s="60">
        <f>5.6708 * CHOOSE(CONTROL!$C$22, $C$13, 100%, $E$13)</f>
        <v>5.6707999999999998</v>
      </c>
      <c r="D358" s="60">
        <f>5.7035 * CHOOSE(CONTROL!$C$22, $C$13, 100%, $E$13)</f>
        <v>5.7035</v>
      </c>
      <c r="E358" s="61">
        <f>6.577 * CHOOSE(CONTROL!$C$22, $C$13, 100%, $E$13)</f>
        <v>6.577</v>
      </c>
      <c r="F358" s="61">
        <f>6.577 * CHOOSE(CONTROL!$C$22, $C$13, 100%, $E$13)</f>
        <v>6.577</v>
      </c>
      <c r="G358" s="61">
        <f>6.579 * CHOOSE(CONTROL!$C$22, $C$13, 100%, $E$13)</f>
        <v>6.5789999999999997</v>
      </c>
      <c r="H358" s="61">
        <f>11.6531* CHOOSE(CONTROL!$C$22, $C$13, 100%, $E$13)</f>
        <v>11.6531</v>
      </c>
      <c r="I358" s="61">
        <f>11.6552 * CHOOSE(CONTROL!$C$22, $C$13, 100%, $E$13)</f>
        <v>11.655200000000001</v>
      </c>
      <c r="J358" s="61">
        <f>6.577 * CHOOSE(CONTROL!$C$22, $C$13, 100%, $E$13)</f>
        <v>6.577</v>
      </c>
      <c r="K358" s="61">
        <f>6.579 * CHOOSE(CONTROL!$C$22, $C$13, 100%, $E$13)</f>
        <v>6.5789999999999997</v>
      </c>
    </row>
    <row r="359" spans="1:11" ht="15">
      <c r="A359" s="13">
        <v>52779</v>
      </c>
      <c r="B359" s="60">
        <f>5.7658 * CHOOSE(CONTROL!$C$22, $C$13, 100%, $E$13)</f>
        <v>5.7657999999999996</v>
      </c>
      <c r="C359" s="60">
        <f>5.7658 * CHOOSE(CONTROL!$C$22, $C$13, 100%, $E$13)</f>
        <v>5.7657999999999996</v>
      </c>
      <c r="D359" s="60">
        <f>5.7985 * CHOOSE(CONTROL!$C$22, $C$13, 100%, $E$13)</f>
        <v>5.7984999999999998</v>
      </c>
      <c r="E359" s="61">
        <f>6.7082 * CHOOSE(CONTROL!$C$22, $C$13, 100%, $E$13)</f>
        <v>6.7081999999999997</v>
      </c>
      <c r="F359" s="61">
        <f>6.7082 * CHOOSE(CONTROL!$C$22, $C$13, 100%, $E$13)</f>
        <v>6.7081999999999997</v>
      </c>
      <c r="G359" s="61">
        <f>6.7103 * CHOOSE(CONTROL!$C$22, $C$13, 100%, $E$13)</f>
        <v>6.7103000000000002</v>
      </c>
      <c r="H359" s="61">
        <f>11.6774* CHOOSE(CONTROL!$C$22, $C$13, 100%, $E$13)</f>
        <v>11.6774</v>
      </c>
      <c r="I359" s="61">
        <f>11.6794 * CHOOSE(CONTROL!$C$22, $C$13, 100%, $E$13)</f>
        <v>11.679399999999999</v>
      </c>
      <c r="J359" s="61">
        <f>6.7082 * CHOOSE(CONTROL!$C$22, $C$13, 100%, $E$13)</f>
        <v>6.7081999999999997</v>
      </c>
      <c r="K359" s="61">
        <f>6.7103 * CHOOSE(CONTROL!$C$22, $C$13, 100%, $E$13)</f>
        <v>6.7103000000000002</v>
      </c>
    </row>
    <row r="360" spans="1:11" ht="15">
      <c r="A360" s="13">
        <v>52810</v>
      </c>
      <c r="B360" s="60">
        <f>5.7725 * CHOOSE(CONTROL!$C$22, $C$13, 100%, $E$13)</f>
        <v>5.7725</v>
      </c>
      <c r="C360" s="60">
        <f>5.7725 * CHOOSE(CONTROL!$C$22, $C$13, 100%, $E$13)</f>
        <v>5.7725</v>
      </c>
      <c r="D360" s="60">
        <f>5.8052 * CHOOSE(CONTROL!$C$22, $C$13, 100%, $E$13)</f>
        <v>5.8052000000000001</v>
      </c>
      <c r="E360" s="61">
        <f>6.6449 * CHOOSE(CONTROL!$C$22, $C$13, 100%, $E$13)</f>
        <v>6.6448999999999998</v>
      </c>
      <c r="F360" s="61">
        <f>6.6449 * CHOOSE(CONTROL!$C$22, $C$13, 100%, $E$13)</f>
        <v>6.6448999999999998</v>
      </c>
      <c r="G360" s="61">
        <f>6.6469 * CHOOSE(CONTROL!$C$22, $C$13, 100%, $E$13)</f>
        <v>6.6468999999999996</v>
      </c>
      <c r="H360" s="61">
        <f>11.7017* CHOOSE(CONTROL!$C$22, $C$13, 100%, $E$13)</f>
        <v>11.701700000000001</v>
      </c>
      <c r="I360" s="61">
        <f>11.7038 * CHOOSE(CONTROL!$C$22, $C$13, 100%, $E$13)</f>
        <v>11.703799999999999</v>
      </c>
      <c r="J360" s="61">
        <f>6.6449 * CHOOSE(CONTROL!$C$22, $C$13, 100%, $E$13)</f>
        <v>6.6448999999999998</v>
      </c>
      <c r="K360" s="61">
        <f>6.6469 * CHOOSE(CONTROL!$C$22, $C$13, 100%, $E$13)</f>
        <v>6.6468999999999996</v>
      </c>
    </row>
    <row r="361" spans="1:11" ht="15">
      <c r="A361" s="13">
        <v>52841</v>
      </c>
      <c r="B361" s="60">
        <f>5.7695 * CHOOSE(CONTROL!$C$22, $C$13, 100%, $E$13)</f>
        <v>5.7694999999999999</v>
      </c>
      <c r="C361" s="60">
        <f>5.7695 * CHOOSE(CONTROL!$C$22, $C$13, 100%, $E$13)</f>
        <v>5.7694999999999999</v>
      </c>
      <c r="D361" s="60">
        <f>5.8021 * CHOOSE(CONTROL!$C$22, $C$13, 100%, $E$13)</f>
        <v>5.8021000000000003</v>
      </c>
      <c r="E361" s="61">
        <f>6.6352 * CHOOSE(CONTROL!$C$22, $C$13, 100%, $E$13)</f>
        <v>6.6352000000000002</v>
      </c>
      <c r="F361" s="61">
        <f>6.6352 * CHOOSE(CONTROL!$C$22, $C$13, 100%, $E$13)</f>
        <v>6.6352000000000002</v>
      </c>
      <c r="G361" s="61">
        <f>6.6373 * CHOOSE(CONTROL!$C$22, $C$13, 100%, $E$13)</f>
        <v>6.6372999999999998</v>
      </c>
      <c r="H361" s="61">
        <f>11.7261* CHOOSE(CONTROL!$C$22, $C$13, 100%, $E$13)</f>
        <v>11.726100000000001</v>
      </c>
      <c r="I361" s="61">
        <f>11.7281 * CHOOSE(CONTROL!$C$22, $C$13, 100%, $E$13)</f>
        <v>11.7281</v>
      </c>
      <c r="J361" s="61">
        <f>6.6352 * CHOOSE(CONTROL!$C$22, $C$13, 100%, $E$13)</f>
        <v>6.6352000000000002</v>
      </c>
      <c r="K361" s="61">
        <f>6.6373 * CHOOSE(CONTROL!$C$22, $C$13, 100%, $E$13)</f>
        <v>6.6372999999999998</v>
      </c>
    </row>
    <row r="362" spans="1:11" ht="15">
      <c r="A362" s="13">
        <v>52871</v>
      </c>
      <c r="B362" s="60">
        <f>5.7707 * CHOOSE(CONTROL!$C$22, $C$13, 100%, $E$13)</f>
        <v>5.7706999999999997</v>
      </c>
      <c r="C362" s="60">
        <f>5.7707 * CHOOSE(CONTROL!$C$22, $C$13, 100%, $E$13)</f>
        <v>5.7706999999999997</v>
      </c>
      <c r="D362" s="60">
        <f>5.787 * CHOOSE(CONTROL!$C$22, $C$13, 100%, $E$13)</f>
        <v>5.7869999999999999</v>
      </c>
      <c r="E362" s="61">
        <f>6.652 * CHOOSE(CONTROL!$C$22, $C$13, 100%, $E$13)</f>
        <v>6.6520000000000001</v>
      </c>
      <c r="F362" s="61">
        <f>6.652 * CHOOSE(CONTROL!$C$22, $C$13, 100%, $E$13)</f>
        <v>6.6520000000000001</v>
      </c>
      <c r="G362" s="61">
        <f>6.6522 * CHOOSE(CONTROL!$C$22, $C$13, 100%, $E$13)</f>
        <v>6.6521999999999997</v>
      </c>
      <c r="H362" s="61">
        <f>11.7505* CHOOSE(CONTROL!$C$22, $C$13, 100%, $E$13)</f>
        <v>11.750500000000001</v>
      </c>
      <c r="I362" s="61">
        <f>11.7507 * CHOOSE(CONTROL!$C$22, $C$13, 100%, $E$13)</f>
        <v>11.7507</v>
      </c>
      <c r="J362" s="61">
        <f>6.652 * CHOOSE(CONTROL!$C$22, $C$13, 100%, $E$13)</f>
        <v>6.6520000000000001</v>
      </c>
      <c r="K362" s="61">
        <f>6.6522 * CHOOSE(CONTROL!$C$22, $C$13, 100%, $E$13)</f>
        <v>6.6521999999999997</v>
      </c>
    </row>
    <row r="363" spans="1:11" ht="15">
      <c r="A363" s="13">
        <v>52902</v>
      </c>
      <c r="B363" s="60">
        <f>5.7737 * CHOOSE(CONTROL!$C$22, $C$13, 100%, $E$13)</f>
        <v>5.7736999999999998</v>
      </c>
      <c r="C363" s="60">
        <f>5.7737 * CHOOSE(CONTROL!$C$22, $C$13, 100%, $E$13)</f>
        <v>5.7736999999999998</v>
      </c>
      <c r="D363" s="60">
        <f>5.7901 * CHOOSE(CONTROL!$C$22, $C$13, 100%, $E$13)</f>
        <v>5.7900999999999998</v>
      </c>
      <c r="E363" s="61">
        <f>6.6693 * CHOOSE(CONTROL!$C$22, $C$13, 100%, $E$13)</f>
        <v>6.6692999999999998</v>
      </c>
      <c r="F363" s="61">
        <f>6.6693 * CHOOSE(CONTROL!$C$22, $C$13, 100%, $E$13)</f>
        <v>6.6692999999999998</v>
      </c>
      <c r="G363" s="61">
        <f>6.6694 * CHOOSE(CONTROL!$C$22, $C$13, 100%, $E$13)</f>
        <v>6.6694000000000004</v>
      </c>
      <c r="H363" s="61">
        <f>11.775* CHOOSE(CONTROL!$C$22, $C$13, 100%, $E$13)</f>
        <v>11.775</v>
      </c>
      <c r="I363" s="61">
        <f>11.7752 * CHOOSE(CONTROL!$C$22, $C$13, 100%, $E$13)</f>
        <v>11.7752</v>
      </c>
      <c r="J363" s="61">
        <f>6.6693 * CHOOSE(CONTROL!$C$22, $C$13, 100%, $E$13)</f>
        <v>6.6692999999999998</v>
      </c>
      <c r="K363" s="61">
        <f>6.6694 * CHOOSE(CONTROL!$C$22, $C$13, 100%, $E$13)</f>
        <v>6.6694000000000004</v>
      </c>
    </row>
    <row r="364" spans="1:11" ht="15">
      <c r="A364" s="13">
        <v>52932</v>
      </c>
      <c r="B364" s="60">
        <f>5.7737 * CHOOSE(CONTROL!$C$22, $C$13, 100%, $E$13)</f>
        <v>5.7736999999999998</v>
      </c>
      <c r="C364" s="60">
        <f>5.7737 * CHOOSE(CONTROL!$C$22, $C$13, 100%, $E$13)</f>
        <v>5.7736999999999998</v>
      </c>
      <c r="D364" s="60">
        <f>5.7901 * CHOOSE(CONTROL!$C$22, $C$13, 100%, $E$13)</f>
        <v>5.7900999999999998</v>
      </c>
      <c r="E364" s="61">
        <f>6.6315 * CHOOSE(CONTROL!$C$22, $C$13, 100%, $E$13)</f>
        <v>6.6315</v>
      </c>
      <c r="F364" s="61">
        <f>6.6315 * CHOOSE(CONTROL!$C$22, $C$13, 100%, $E$13)</f>
        <v>6.6315</v>
      </c>
      <c r="G364" s="61">
        <f>6.6317 * CHOOSE(CONTROL!$C$22, $C$13, 100%, $E$13)</f>
        <v>6.6317000000000004</v>
      </c>
      <c r="H364" s="61">
        <f>11.7996* CHOOSE(CONTROL!$C$22, $C$13, 100%, $E$13)</f>
        <v>11.7996</v>
      </c>
      <c r="I364" s="61">
        <f>11.7997 * CHOOSE(CONTROL!$C$22, $C$13, 100%, $E$13)</f>
        <v>11.7997</v>
      </c>
      <c r="J364" s="61">
        <f>6.6315 * CHOOSE(CONTROL!$C$22, $C$13, 100%, $E$13)</f>
        <v>6.6315</v>
      </c>
      <c r="K364" s="61">
        <f>6.6317 * CHOOSE(CONTROL!$C$22, $C$13, 100%, $E$13)</f>
        <v>6.6317000000000004</v>
      </c>
    </row>
    <row r="365" spans="1:11" ht="15">
      <c r="A365" s="13">
        <v>52963</v>
      </c>
      <c r="B365" s="60">
        <f>5.8261 * CHOOSE(CONTROL!$C$22, $C$13, 100%, $E$13)</f>
        <v>5.8261000000000003</v>
      </c>
      <c r="C365" s="60">
        <f>5.8261 * CHOOSE(CONTROL!$C$22, $C$13, 100%, $E$13)</f>
        <v>5.8261000000000003</v>
      </c>
      <c r="D365" s="60">
        <f>5.8425 * CHOOSE(CONTROL!$C$22, $C$13, 100%, $E$13)</f>
        <v>5.8425000000000002</v>
      </c>
      <c r="E365" s="61">
        <f>6.7188 * CHOOSE(CONTROL!$C$22, $C$13, 100%, $E$13)</f>
        <v>6.7187999999999999</v>
      </c>
      <c r="F365" s="61">
        <f>6.7188 * CHOOSE(CONTROL!$C$22, $C$13, 100%, $E$13)</f>
        <v>6.7187999999999999</v>
      </c>
      <c r="G365" s="61">
        <f>6.719 * CHOOSE(CONTROL!$C$22, $C$13, 100%, $E$13)</f>
        <v>6.7190000000000003</v>
      </c>
      <c r="H365" s="61">
        <f>11.8241* CHOOSE(CONTROL!$C$22, $C$13, 100%, $E$13)</f>
        <v>11.8241</v>
      </c>
      <c r="I365" s="61">
        <f>11.8243 * CHOOSE(CONTROL!$C$22, $C$13, 100%, $E$13)</f>
        <v>11.824299999999999</v>
      </c>
      <c r="J365" s="61">
        <f>6.7188 * CHOOSE(CONTROL!$C$22, $C$13, 100%, $E$13)</f>
        <v>6.7187999999999999</v>
      </c>
      <c r="K365" s="61">
        <f>6.719 * CHOOSE(CONTROL!$C$22, $C$13, 100%, $E$13)</f>
        <v>6.7190000000000003</v>
      </c>
    </row>
    <row r="366" spans="1:11" ht="15">
      <c r="A366" s="13">
        <v>52994</v>
      </c>
      <c r="B366" s="60">
        <f>5.8231 * CHOOSE(CONTROL!$C$22, $C$13, 100%, $E$13)</f>
        <v>5.8231000000000002</v>
      </c>
      <c r="C366" s="60">
        <f>5.8231 * CHOOSE(CONTROL!$C$22, $C$13, 100%, $E$13)</f>
        <v>5.8231000000000002</v>
      </c>
      <c r="D366" s="60">
        <f>5.8394 * CHOOSE(CONTROL!$C$22, $C$13, 100%, $E$13)</f>
        <v>5.8394000000000004</v>
      </c>
      <c r="E366" s="61">
        <f>6.6434 * CHOOSE(CONTROL!$C$22, $C$13, 100%, $E$13)</f>
        <v>6.6433999999999997</v>
      </c>
      <c r="F366" s="61">
        <f>6.6434 * CHOOSE(CONTROL!$C$22, $C$13, 100%, $E$13)</f>
        <v>6.6433999999999997</v>
      </c>
      <c r="G366" s="61">
        <f>6.6435 * CHOOSE(CONTROL!$C$22, $C$13, 100%, $E$13)</f>
        <v>6.6435000000000004</v>
      </c>
      <c r="H366" s="61">
        <f>11.8488* CHOOSE(CONTROL!$C$22, $C$13, 100%, $E$13)</f>
        <v>11.848800000000001</v>
      </c>
      <c r="I366" s="61">
        <f>11.8489 * CHOOSE(CONTROL!$C$22, $C$13, 100%, $E$13)</f>
        <v>11.8489</v>
      </c>
      <c r="J366" s="61">
        <f>6.6434 * CHOOSE(CONTROL!$C$22, $C$13, 100%, $E$13)</f>
        <v>6.6433999999999997</v>
      </c>
      <c r="K366" s="61">
        <f>6.6435 * CHOOSE(CONTROL!$C$22, $C$13, 100%, $E$13)</f>
        <v>6.6435000000000004</v>
      </c>
    </row>
    <row r="367" spans="1:11" ht="15">
      <c r="A367" s="13">
        <v>53022</v>
      </c>
      <c r="B367" s="60">
        <f>5.8201 * CHOOSE(CONTROL!$C$22, $C$13, 100%, $E$13)</f>
        <v>5.8201000000000001</v>
      </c>
      <c r="C367" s="60">
        <f>5.8201 * CHOOSE(CONTROL!$C$22, $C$13, 100%, $E$13)</f>
        <v>5.8201000000000001</v>
      </c>
      <c r="D367" s="60">
        <f>5.8364 * CHOOSE(CONTROL!$C$22, $C$13, 100%, $E$13)</f>
        <v>5.8364000000000003</v>
      </c>
      <c r="E367" s="61">
        <f>6.6991 * CHOOSE(CONTROL!$C$22, $C$13, 100%, $E$13)</f>
        <v>6.6990999999999996</v>
      </c>
      <c r="F367" s="61">
        <f>6.6991 * CHOOSE(CONTROL!$C$22, $C$13, 100%, $E$13)</f>
        <v>6.6990999999999996</v>
      </c>
      <c r="G367" s="61">
        <f>6.6992 * CHOOSE(CONTROL!$C$22, $C$13, 100%, $E$13)</f>
        <v>6.6992000000000003</v>
      </c>
      <c r="H367" s="61">
        <f>11.8735* CHOOSE(CONTROL!$C$22, $C$13, 100%, $E$13)</f>
        <v>11.8735</v>
      </c>
      <c r="I367" s="61">
        <f>11.8736 * CHOOSE(CONTROL!$C$22, $C$13, 100%, $E$13)</f>
        <v>11.8736</v>
      </c>
      <c r="J367" s="61">
        <f>6.6991 * CHOOSE(CONTROL!$C$22, $C$13, 100%, $E$13)</f>
        <v>6.6990999999999996</v>
      </c>
      <c r="K367" s="61">
        <f>6.6992 * CHOOSE(CONTROL!$C$22, $C$13, 100%, $E$13)</f>
        <v>6.6992000000000003</v>
      </c>
    </row>
    <row r="368" spans="1:11" ht="15">
      <c r="A368" s="13">
        <v>53053</v>
      </c>
      <c r="B368" s="60">
        <f>5.8194 * CHOOSE(CONTROL!$C$22, $C$13, 100%, $E$13)</f>
        <v>5.8193999999999999</v>
      </c>
      <c r="C368" s="60">
        <f>5.8194 * CHOOSE(CONTROL!$C$22, $C$13, 100%, $E$13)</f>
        <v>5.8193999999999999</v>
      </c>
      <c r="D368" s="60">
        <f>5.8357 * CHOOSE(CONTROL!$C$22, $C$13, 100%, $E$13)</f>
        <v>5.8357000000000001</v>
      </c>
      <c r="E368" s="61">
        <f>6.7569 * CHOOSE(CONTROL!$C$22, $C$13, 100%, $E$13)</f>
        <v>6.7568999999999999</v>
      </c>
      <c r="F368" s="61">
        <f>6.7569 * CHOOSE(CONTROL!$C$22, $C$13, 100%, $E$13)</f>
        <v>6.7568999999999999</v>
      </c>
      <c r="G368" s="61">
        <f>6.7571 * CHOOSE(CONTROL!$C$22, $C$13, 100%, $E$13)</f>
        <v>6.7571000000000003</v>
      </c>
      <c r="H368" s="61">
        <f>11.8982* CHOOSE(CONTROL!$C$22, $C$13, 100%, $E$13)</f>
        <v>11.898199999999999</v>
      </c>
      <c r="I368" s="61">
        <f>11.8984 * CHOOSE(CONTROL!$C$22, $C$13, 100%, $E$13)</f>
        <v>11.898400000000001</v>
      </c>
      <c r="J368" s="61">
        <f>6.7569 * CHOOSE(CONTROL!$C$22, $C$13, 100%, $E$13)</f>
        <v>6.7568999999999999</v>
      </c>
      <c r="K368" s="61">
        <f>6.7571 * CHOOSE(CONTROL!$C$22, $C$13, 100%, $E$13)</f>
        <v>6.7571000000000003</v>
      </c>
    </row>
    <row r="369" spans="1:11" ht="15">
      <c r="A369" s="13">
        <v>53083</v>
      </c>
      <c r="B369" s="60">
        <f>5.8194 * CHOOSE(CONTROL!$C$22, $C$13, 100%, $E$13)</f>
        <v>5.8193999999999999</v>
      </c>
      <c r="C369" s="60">
        <f>5.8194 * CHOOSE(CONTROL!$C$22, $C$13, 100%, $E$13)</f>
        <v>5.8193999999999999</v>
      </c>
      <c r="D369" s="60">
        <f>5.852 * CHOOSE(CONTROL!$C$22, $C$13, 100%, $E$13)</f>
        <v>5.8520000000000003</v>
      </c>
      <c r="E369" s="61">
        <f>6.7802 * CHOOSE(CONTROL!$C$22, $C$13, 100%, $E$13)</f>
        <v>6.7801999999999998</v>
      </c>
      <c r="F369" s="61">
        <f>6.7802 * CHOOSE(CONTROL!$C$22, $C$13, 100%, $E$13)</f>
        <v>6.7801999999999998</v>
      </c>
      <c r="G369" s="61">
        <f>6.7823 * CHOOSE(CONTROL!$C$22, $C$13, 100%, $E$13)</f>
        <v>6.7823000000000002</v>
      </c>
      <c r="H369" s="61">
        <f>11.923* CHOOSE(CONTROL!$C$22, $C$13, 100%, $E$13)</f>
        <v>11.923</v>
      </c>
      <c r="I369" s="61">
        <f>11.925 * CHOOSE(CONTROL!$C$22, $C$13, 100%, $E$13)</f>
        <v>11.925000000000001</v>
      </c>
      <c r="J369" s="61">
        <f>6.7802 * CHOOSE(CONTROL!$C$22, $C$13, 100%, $E$13)</f>
        <v>6.7801999999999998</v>
      </c>
      <c r="K369" s="61">
        <f>6.7823 * CHOOSE(CONTROL!$C$22, $C$13, 100%, $E$13)</f>
        <v>6.7823000000000002</v>
      </c>
    </row>
    <row r="370" spans="1:11" ht="15">
      <c r="A370" s="13">
        <v>53114</v>
      </c>
      <c r="B370" s="60">
        <f>5.8254 * CHOOSE(CONTROL!$C$22, $C$13, 100%, $E$13)</f>
        <v>5.8254000000000001</v>
      </c>
      <c r="C370" s="60">
        <f>5.8254 * CHOOSE(CONTROL!$C$22, $C$13, 100%, $E$13)</f>
        <v>5.8254000000000001</v>
      </c>
      <c r="D370" s="60">
        <f>5.8581 * CHOOSE(CONTROL!$C$22, $C$13, 100%, $E$13)</f>
        <v>5.8581000000000003</v>
      </c>
      <c r="E370" s="61">
        <f>6.7612 * CHOOSE(CONTROL!$C$22, $C$13, 100%, $E$13)</f>
        <v>6.7611999999999997</v>
      </c>
      <c r="F370" s="61">
        <f>6.7612 * CHOOSE(CONTROL!$C$22, $C$13, 100%, $E$13)</f>
        <v>6.7611999999999997</v>
      </c>
      <c r="G370" s="61">
        <f>6.7632 * CHOOSE(CONTROL!$C$22, $C$13, 100%, $E$13)</f>
        <v>6.7632000000000003</v>
      </c>
      <c r="H370" s="61">
        <f>11.9478* CHOOSE(CONTROL!$C$22, $C$13, 100%, $E$13)</f>
        <v>11.947800000000001</v>
      </c>
      <c r="I370" s="61">
        <f>11.9499 * CHOOSE(CONTROL!$C$22, $C$13, 100%, $E$13)</f>
        <v>11.9499</v>
      </c>
      <c r="J370" s="61">
        <f>6.7612 * CHOOSE(CONTROL!$C$22, $C$13, 100%, $E$13)</f>
        <v>6.7611999999999997</v>
      </c>
      <c r="K370" s="61">
        <f>6.7632 * CHOOSE(CONTROL!$C$22, $C$13, 100%, $E$13)</f>
        <v>6.7632000000000003</v>
      </c>
    </row>
    <row r="371" spans="1:11" ht="15">
      <c r="A371" s="13">
        <v>53144</v>
      </c>
      <c r="B371" s="60">
        <f>5.9228 * CHOOSE(CONTROL!$C$22, $C$13, 100%, $E$13)</f>
        <v>5.9227999999999996</v>
      </c>
      <c r="C371" s="60">
        <f>5.9228 * CHOOSE(CONTROL!$C$22, $C$13, 100%, $E$13)</f>
        <v>5.9227999999999996</v>
      </c>
      <c r="D371" s="60">
        <f>5.9555 * CHOOSE(CONTROL!$C$22, $C$13, 100%, $E$13)</f>
        <v>5.9554999999999998</v>
      </c>
      <c r="E371" s="61">
        <f>6.8958 * CHOOSE(CONTROL!$C$22, $C$13, 100%, $E$13)</f>
        <v>6.8958000000000004</v>
      </c>
      <c r="F371" s="61">
        <f>6.8958 * CHOOSE(CONTROL!$C$22, $C$13, 100%, $E$13)</f>
        <v>6.8958000000000004</v>
      </c>
      <c r="G371" s="61">
        <f>6.8978 * CHOOSE(CONTROL!$C$22, $C$13, 100%, $E$13)</f>
        <v>6.8978000000000002</v>
      </c>
      <c r="H371" s="61">
        <f>11.9727* CHOOSE(CONTROL!$C$22, $C$13, 100%, $E$13)</f>
        <v>11.9727</v>
      </c>
      <c r="I371" s="61">
        <f>11.9747 * CHOOSE(CONTROL!$C$22, $C$13, 100%, $E$13)</f>
        <v>11.9747</v>
      </c>
      <c r="J371" s="61">
        <f>6.8958 * CHOOSE(CONTROL!$C$22, $C$13, 100%, $E$13)</f>
        <v>6.8958000000000004</v>
      </c>
      <c r="K371" s="61">
        <f>6.8978 * CHOOSE(CONTROL!$C$22, $C$13, 100%, $E$13)</f>
        <v>6.8978000000000002</v>
      </c>
    </row>
    <row r="372" spans="1:11" ht="15">
      <c r="A372" s="13">
        <v>53175</v>
      </c>
      <c r="B372" s="60">
        <f>5.9295 * CHOOSE(CONTROL!$C$22, $C$13, 100%, $E$13)</f>
        <v>5.9295</v>
      </c>
      <c r="C372" s="60">
        <f>5.9295 * CHOOSE(CONTROL!$C$22, $C$13, 100%, $E$13)</f>
        <v>5.9295</v>
      </c>
      <c r="D372" s="60">
        <f>5.9622 * CHOOSE(CONTROL!$C$22, $C$13, 100%, $E$13)</f>
        <v>5.9622000000000002</v>
      </c>
      <c r="E372" s="61">
        <f>6.8306 * CHOOSE(CONTROL!$C$22, $C$13, 100%, $E$13)</f>
        <v>6.8305999999999996</v>
      </c>
      <c r="F372" s="61">
        <f>6.8306 * CHOOSE(CONTROL!$C$22, $C$13, 100%, $E$13)</f>
        <v>6.8305999999999996</v>
      </c>
      <c r="G372" s="61">
        <f>6.8326 * CHOOSE(CONTROL!$C$22, $C$13, 100%, $E$13)</f>
        <v>6.8326000000000002</v>
      </c>
      <c r="H372" s="61">
        <f>11.9977* CHOOSE(CONTROL!$C$22, $C$13, 100%, $E$13)</f>
        <v>11.9977</v>
      </c>
      <c r="I372" s="61">
        <f>11.9997 * CHOOSE(CONTROL!$C$22, $C$13, 100%, $E$13)</f>
        <v>11.999700000000001</v>
      </c>
      <c r="J372" s="61">
        <f>6.8306 * CHOOSE(CONTROL!$C$22, $C$13, 100%, $E$13)</f>
        <v>6.8305999999999996</v>
      </c>
      <c r="K372" s="61">
        <f>6.8326 * CHOOSE(CONTROL!$C$22, $C$13, 100%, $E$13)</f>
        <v>6.8326000000000002</v>
      </c>
    </row>
    <row r="373" spans="1:11" ht="15">
      <c r="A373" s="13">
        <v>53206</v>
      </c>
      <c r="B373" s="60">
        <f>5.9264 * CHOOSE(CONTROL!$C$22, $C$13, 100%, $E$13)</f>
        <v>5.9264000000000001</v>
      </c>
      <c r="C373" s="60">
        <f>5.9264 * CHOOSE(CONTROL!$C$22, $C$13, 100%, $E$13)</f>
        <v>5.9264000000000001</v>
      </c>
      <c r="D373" s="60">
        <f>5.9591 * CHOOSE(CONTROL!$C$22, $C$13, 100%, $E$13)</f>
        <v>5.9591000000000003</v>
      </c>
      <c r="E373" s="61">
        <f>6.8207 * CHOOSE(CONTROL!$C$22, $C$13, 100%, $E$13)</f>
        <v>6.8207000000000004</v>
      </c>
      <c r="F373" s="61">
        <f>6.8207 * CHOOSE(CONTROL!$C$22, $C$13, 100%, $E$13)</f>
        <v>6.8207000000000004</v>
      </c>
      <c r="G373" s="61">
        <f>6.8227 * CHOOSE(CONTROL!$C$22, $C$13, 100%, $E$13)</f>
        <v>6.8227000000000002</v>
      </c>
      <c r="H373" s="61">
        <f>12.0226* CHOOSE(CONTROL!$C$22, $C$13, 100%, $E$13)</f>
        <v>12.022600000000001</v>
      </c>
      <c r="I373" s="61">
        <f>12.0247 * CHOOSE(CONTROL!$C$22, $C$13, 100%, $E$13)</f>
        <v>12.024699999999999</v>
      </c>
      <c r="J373" s="61">
        <f>6.8207 * CHOOSE(CONTROL!$C$22, $C$13, 100%, $E$13)</f>
        <v>6.8207000000000004</v>
      </c>
      <c r="K373" s="61">
        <f>6.8227 * CHOOSE(CONTROL!$C$22, $C$13, 100%, $E$13)</f>
        <v>6.8227000000000002</v>
      </c>
    </row>
    <row r="374" spans="1:11" ht="15">
      <c r="A374" s="13">
        <v>53236</v>
      </c>
      <c r="B374" s="60">
        <f>5.9282 * CHOOSE(CONTROL!$C$22, $C$13, 100%, $E$13)</f>
        <v>5.9282000000000004</v>
      </c>
      <c r="C374" s="60">
        <f>5.9282 * CHOOSE(CONTROL!$C$22, $C$13, 100%, $E$13)</f>
        <v>5.9282000000000004</v>
      </c>
      <c r="D374" s="60">
        <f>5.9445 * CHOOSE(CONTROL!$C$22, $C$13, 100%, $E$13)</f>
        <v>5.9444999999999997</v>
      </c>
      <c r="E374" s="61">
        <f>6.8383 * CHOOSE(CONTROL!$C$22, $C$13, 100%, $E$13)</f>
        <v>6.8383000000000003</v>
      </c>
      <c r="F374" s="61">
        <f>6.8383 * CHOOSE(CONTROL!$C$22, $C$13, 100%, $E$13)</f>
        <v>6.8383000000000003</v>
      </c>
      <c r="G374" s="61">
        <f>6.8385 * CHOOSE(CONTROL!$C$22, $C$13, 100%, $E$13)</f>
        <v>6.8384999999999998</v>
      </c>
      <c r="H374" s="61">
        <f>12.0477* CHOOSE(CONTROL!$C$22, $C$13, 100%, $E$13)</f>
        <v>12.047700000000001</v>
      </c>
      <c r="I374" s="61">
        <f>12.0479 * CHOOSE(CONTROL!$C$22, $C$13, 100%, $E$13)</f>
        <v>12.0479</v>
      </c>
      <c r="J374" s="61">
        <f>6.8383 * CHOOSE(CONTROL!$C$22, $C$13, 100%, $E$13)</f>
        <v>6.8383000000000003</v>
      </c>
      <c r="K374" s="61">
        <f>6.8385 * CHOOSE(CONTROL!$C$22, $C$13, 100%, $E$13)</f>
        <v>6.8384999999999998</v>
      </c>
    </row>
    <row r="375" spans="1:11" ht="15">
      <c r="A375" s="13">
        <v>53267</v>
      </c>
      <c r="B375" s="60">
        <f>5.9312 * CHOOSE(CONTROL!$C$22, $C$13, 100%, $E$13)</f>
        <v>5.9311999999999996</v>
      </c>
      <c r="C375" s="60">
        <f>5.9312 * CHOOSE(CONTROL!$C$22, $C$13, 100%, $E$13)</f>
        <v>5.9311999999999996</v>
      </c>
      <c r="D375" s="60">
        <f>5.9476 * CHOOSE(CONTROL!$C$22, $C$13, 100%, $E$13)</f>
        <v>5.9476000000000004</v>
      </c>
      <c r="E375" s="61">
        <f>6.856 * CHOOSE(CONTROL!$C$22, $C$13, 100%, $E$13)</f>
        <v>6.8559999999999999</v>
      </c>
      <c r="F375" s="61">
        <f>6.856 * CHOOSE(CONTROL!$C$22, $C$13, 100%, $E$13)</f>
        <v>6.8559999999999999</v>
      </c>
      <c r="G375" s="61">
        <f>6.8561 * CHOOSE(CONTROL!$C$22, $C$13, 100%, $E$13)</f>
        <v>6.8560999999999996</v>
      </c>
      <c r="H375" s="61">
        <f>12.0728* CHOOSE(CONTROL!$C$22, $C$13, 100%, $E$13)</f>
        <v>12.072800000000001</v>
      </c>
      <c r="I375" s="61">
        <f>12.073 * CHOOSE(CONTROL!$C$22, $C$13, 100%, $E$13)</f>
        <v>12.073</v>
      </c>
      <c r="J375" s="61">
        <f>6.856 * CHOOSE(CONTROL!$C$22, $C$13, 100%, $E$13)</f>
        <v>6.8559999999999999</v>
      </c>
      <c r="K375" s="61">
        <f>6.8561 * CHOOSE(CONTROL!$C$22, $C$13, 100%, $E$13)</f>
        <v>6.8560999999999996</v>
      </c>
    </row>
    <row r="376" spans="1:11" ht="15">
      <c r="A376" s="13">
        <v>53297</v>
      </c>
      <c r="B376" s="60">
        <f>5.9312 * CHOOSE(CONTROL!$C$22, $C$13, 100%, $E$13)</f>
        <v>5.9311999999999996</v>
      </c>
      <c r="C376" s="60">
        <f>5.9312 * CHOOSE(CONTROL!$C$22, $C$13, 100%, $E$13)</f>
        <v>5.9311999999999996</v>
      </c>
      <c r="D376" s="60">
        <f>5.9476 * CHOOSE(CONTROL!$C$22, $C$13, 100%, $E$13)</f>
        <v>5.9476000000000004</v>
      </c>
      <c r="E376" s="61">
        <f>6.8171 * CHOOSE(CONTROL!$C$22, $C$13, 100%, $E$13)</f>
        <v>6.8170999999999999</v>
      </c>
      <c r="F376" s="61">
        <f>6.8171 * CHOOSE(CONTROL!$C$22, $C$13, 100%, $E$13)</f>
        <v>6.8170999999999999</v>
      </c>
      <c r="G376" s="61">
        <f>6.8173 * CHOOSE(CONTROL!$C$22, $C$13, 100%, $E$13)</f>
        <v>6.8173000000000004</v>
      </c>
      <c r="H376" s="61">
        <f>12.0979* CHOOSE(CONTROL!$C$22, $C$13, 100%, $E$13)</f>
        <v>12.097899999999999</v>
      </c>
      <c r="I376" s="61">
        <f>12.0981 * CHOOSE(CONTROL!$C$22, $C$13, 100%, $E$13)</f>
        <v>12.098100000000001</v>
      </c>
      <c r="J376" s="61">
        <f>6.8171 * CHOOSE(CONTROL!$C$22, $C$13, 100%, $E$13)</f>
        <v>6.8170999999999999</v>
      </c>
      <c r="K376" s="61">
        <f>6.8173 * CHOOSE(CONTROL!$C$22, $C$13, 100%, $E$13)</f>
        <v>6.8173000000000004</v>
      </c>
    </row>
    <row r="377" spans="1:11" ht="15">
      <c r="A377" s="13">
        <v>53328</v>
      </c>
      <c r="B377" s="60">
        <f>5.9849 * CHOOSE(CONTROL!$C$22, $C$13, 100%, $E$13)</f>
        <v>5.9848999999999997</v>
      </c>
      <c r="C377" s="60">
        <f>5.9849 * CHOOSE(CONTROL!$C$22, $C$13, 100%, $E$13)</f>
        <v>5.9848999999999997</v>
      </c>
      <c r="D377" s="60">
        <f>6.0013 * CHOOSE(CONTROL!$C$22, $C$13, 100%, $E$13)</f>
        <v>6.0012999999999996</v>
      </c>
      <c r="E377" s="61">
        <f>6.9068 * CHOOSE(CONTROL!$C$22, $C$13, 100%, $E$13)</f>
        <v>6.9067999999999996</v>
      </c>
      <c r="F377" s="61">
        <f>6.9068 * CHOOSE(CONTROL!$C$22, $C$13, 100%, $E$13)</f>
        <v>6.9067999999999996</v>
      </c>
      <c r="G377" s="61">
        <f>6.907 * CHOOSE(CONTROL!$C$22, $C$13, 100%, $E$13)</f>
        <v>6.907</v>
      </c>
      <c r="H377" s="61">
        <f>12.1231* CHOOSE(CONTROL!$C$22, $C$13, 100%, $E$13)</f>
        <v>12.123100000000001</v>
      </c>
      <c r="I377" s="61">
        <f>12.1233 * CHOOSE(CONTROL!$C$22, $C$13, 100%, $E$13)</f>
        <v>12.1233</v>
      </c>
      <c r="J377" s="61">
        <f>6.9068 * CHOOSE(CONTROL!$C$22, $C$13, 100%, $E$13)</f>
        <v>6.9067999999999996</v>
      </c>
      <c r="K377" s="61">
        <f>6.907 * CHOOSE(CONTROL!$C$22, $C$13, 100%, $E$13)</f>
        <v>6.907</v>
      </c>
    </row>
    <row r="378" spans="1:11" ht="15">
      <c r="A378" s="13">
        <v>53359</v>
      </c>
      <c r="B378" s="60">
        <f>5.9819 * CHOOSE(CONTROL!$C$22, $C$13, 100%, $E$13)</f>
        <v>5.9819000000000004</v>
      </c>
      <c r="C378" s="60">
        <f>5.9819 * CHOOSE(CONTROL!$C$22, $C$13, 100%, $E$13)</f>
        <v>5.9819000000000004</v>
      </c>
      <c r="D378" s="60">
        <f>5.9982 * CHOOSE(CONTROL!$C$22, $C$13, 100%, $E$13)</f>
        <v>5.9981999999999998</v>
      </c>
      <c r="E378" s="61">
        <f>6.8293 * CHOOSE(CONTROL!$C$22, $C$13, 100%, $E$13)</f>
        <v>6.8292999999999999</v>
      </c>
      <c r="F378" s="61">
        <f>6.8293 * CHOOSE(CONTROL!$C$22, $C$13, 100%, $E$13)</f>
        <v>6.8292999999999999</v>
      </c>
      <c r="G378" s="61">
        <f>6.8295 * CHOOSE(CONTROL!$C$22, $C$13, 100%, $E$13)</f>
        <v>6.8295000000000003</v>
      </c>
      <c r="H378" s="61">
        <f>12.1484* CHOOSE(CONTROL!$C$22, $C$13, 100%, $E$13)</f>
        <v>12.148400000000001</v>
      </c>
      <c r="I378" s="61">
        <f>12.1486 * CHOOSE(CONTROL!$C$22, $C$13, 100%, $E$13)</f>
        <v>12.1486</v>
      </c>
      <c r="J378" s="61">
        <f>6.8293 * CHOOSE(CONTROL!$C$22, $C$13, 100%, $E$13)</f>
        <v>6.8292999999999999</v>
      </c>
      <c r="K378" s="61">
        <f>6.8295 * CHOOSE(CONTROL!$C$22, $C$13, 100%, $E$13)</f>
        <v>6.8295000000000003</v>
      </c>
    </row>
    <row r="379" spans="1:11" ht="15">
      <c r="A379" s="13">
        <v>53387</v>
      </c>
      <c r="B379" s="60">
        <f>5.9788 * CHOOSE(CONTROL!$C$22, $C$13, 100%, $E$13)</f>
        <v>5.9787999999999997</v>
      </c>
      <c r="C379" s="60">
        <f>5.9788 * CHOOSE(CONTROL!$C$22, $C$13, 100%, $E$13)</f>
        <v>5.9787999999999997</v>
      </c>
      <c r="D379" s="60">
        <f>5.9952 * CHOOSE(CONTROL!$C$22, $C$13, 100%, $E$13)</f>
        <v>5.9951999999999996</v>
      </c>
      <c r="E379" s="61">
        <f>6.8866 * CHOOSE(CONTROL!$C$22, $C$13, 100%, $E$13)</f>
        <v>6.8865999999999996</v>
      </c>
      <c r="F379" s="61">
        <f>6.8866 * CHOOSE(CONTROL!$C$22, $C$13, 100%, $E$13)</f>
        <v>6.8865999999999996</v>
      </c>
      <c r="G379" s="61">
        <f>6.8868 * CHOOSE(CONTROL!$C$22, $C$13, 100%, $E$13)</f>
        <v>6.8868</v>
      </c>
      <c r="H379" s="61">
        <f>12.1737* CHOOSE(CONTROL!$C$22, $C$13, 100%, $E$13)</f>
        <v>12.1737</v>
      </c>
      <c r="I379" s="61">
        <f>12.1739 * CHOOSE(CONTROL!$C$22, $C$13, 100%, $E$13)</f>
        <v>12.1739</v>
      </c>
      <c r="J379" s="61">
        <f>6.8866 * CHOOSE(CONTROL!$C$22, $C$13, 100%, $E$13)</f>
        <v>6.8865999999999996</v>
      </c>
      <c r="K379" s="61">
        <f>6.8868 * CHOOSE(CONTROL!$C$22, $C$13, 100%, $E$13)</f>
        <v>6.8868</v>
      </c>
    </row>
    <row r="380" spans="1:11" ht="15">
      <c r="A380" s="13">
        <v>53418</v>
      </c>
      <c r="B380" s="60">
        <f>5.9783 * CHOOSE(CONTROL!$C$22, $C$13, 100%, $E$13)</f>
        <v>5.9782999999999999</v>
      </c>
      <c r="C380" s="60">
        <f>5.9783 * CHOOSE(CONTROL!$C$22, $C$13, 100%, $E$13)</f>
        <v>5.9782999999999999</v>
      </c>
      <c r="D380" s="60">
        <f>5.9946 * CHOOSE(CONTROL!$C$22, $C$13, 100%, $E$13)</f>
        <v>5.9946000000000002</v>
      </c>
      <c r="E380" s="61">
        <f>6.9463 * CHOOSE(CONTROL!$C$22, $C$13, 100%, $E$13)</f>
        <v>6.9462999999999999</v>
      </c>
      <c r="F380" s="61">
        <f>6.9463 * CHOOSE(CONTROL!$C$22, $C$13, 100%, $E$13)</f>
        <v>6.9462999999999999</v>
      </c>
      <c r="G380" s="61">
        <f>6.9464 * CHOOSE(CONTROL!$C$22, $C$13, 100%, $E$13)</f>
        <v>6.9463999999999997</v>
      </c>
      <c r="H380" s="61">
        <f>12.1991* CHOOSE(CONTROL!$C$22, $C$13, 100%, $E$13)</f>
        <v>12.1991</v>
      </c>
      <c r="I380" s="61">
        <f>12.1993 * CHOOSE(CONTROL!$C$22, $C$13, 100%, $E$13)</f>
        <v>12.199299999999999</v>
      </c>
      <c r="J380" s="61">
        <f>6.9463 * CHOOSE(CONTROL!$C$22, $C$13, 100%, $E$13)</f>
        <v>6.9462999999999999</v>
      </c>
      <c r="K380" s="61">
        <f>6.9464 * CHOOSE(CONTROL!$C$22, $C$13, 100%, $E$13)</f>
        <v>6.9463999999999997</v>
      </c>
    </row>
    <row r="381" spans="1:11" ht="15">
      <c r="A381" s="13">
        <v>53448</v>
      </c>
      <c r="B381" s="60">
        <f>5.9783 * CHOOSE(CONTROL!$C$22, $C$13, 100%, $E$13)</f>
        <v>5.9782999999999999</v>
      </c>
      <c r="C381" s="60">
        <f>5.9783 * CHOOSE(CONTROL!$C$22, $C$13, 100%, $E$13)</f>
        <v>5.9782999999999999</v>
      </c>
      <c r="D381" s="60">
        <f>6.0109 * CHOOSE(CONTROL!$C$22, $C$13, 100%, $E$13)</f>
        <v>6.0109000000000004</v>
      </c>
      <c r="E381" s="61">
        <f>6.9702 * CHOOSE(CONTROL!$C$22, $C$13, 100%, $E$13)</f>
        <v>6.9702000000000002</v>
      </c>
      <c r="F381" s="61">
        <f>6.9702 * CHOOSE(CONTROL!$C$22, $C$13, 100%, $E$13)</f>
        <v>6.9702000000000002</v>
      </c>
      <c r="G381" s="61">
        <f>6.9722 * CHOOSE(CONTROL!$C$22, $C$13, 100%, $E$13)</f>
        <v>6.9722</v>
      </c>
      <c r="H381" s="61">
        <f>12.2245* CHOOSE(CONTROL!$C$22, $C$13, 100%, $E$13)</f>
        <v>12.224500000000001</v>
      </c>
      <c r="I381" s="61">
        <f>12.2265 * CHOOSE(CONTROL!$C$22, $C$13, 100%, $E$13)</f>
        <v>12.2265</v>
      </c>
      <c r="J381" s="61">
        <f>6.9702 * CHOOSE(CONTROL!$C$22, $C$13, 100%, $E$13)</f>
        <v>6.9702000000000002</v>
      </c>
      <c r="K381" s="61">
        <f>6.9722 * CHOOSE(CONTROL!$C$22, $C$13, 100%, $E$13)</f>
        <v>6.9722</v>
      </c>
    </row>
    <row r="382" spans="1:11" ht="15">
      <c r="A382" s="13">
        <v>53479</v>
      </c>
      <c r="B382" s="60">
        <f>5.9843 * CHOOSE(CONTROL!$C$22, $C$13, 100%, $E$13)</f>
        <v>5.9843000000000002</v>
      </c>
      <c r="C382" s="60">
        <f>5.9843 * CHOOSE(CONTROL!$C$22, $C$13, 100%, $E$13)</f>
        <v>5.9843000000000002</v>
      </c>
      <c r="D382" s="60">
        <f>6.017 * CHOOSE(CONTROL!$C$22, $C$13, 100%, $E$13)</f>
        <v>6.0170000000000003</v>
      </c>
      <c r="E382" s="61">
        <f>6.9505 * CHOOSE(CONTROL!$C$22, $C$13, 100%, $E$13)</f>
        <v>6.9504999999999999</v>
      </c>
      <c r="F382" s="61">
        <f>6.9505 * CHOOSE(CONTROL!$C$22, $C$13, 100%, $E$13)</f>
        <v>6.9504999999999999</v>
      </c>
      <c r="G382" s="61">
        <f>6.9525 * CHOOSE(CONTROL!$C$22, $C$13, 100%, $E$13)</f>
        <v>6.9524999999999997</v>
      </c>
      <c r="H382" s="61">
        <f>12.25* CHOOSE(CONTROL!$C$22, $C$13, 100%, $E$13)</f>
        <v>12.25</v>
      </c>
      <c r="I382" s="61">
        <f>12.252 * CHOOSE(CONTROL!$C$22, $C$13, 100%, $E$13)</f>
        <v>12.252000000000001</v>
      </c>
      <c r="J382" s="61">
        <f>6.9505 * CHOOSE(CONTROL!$C$22, $C$13, 100%, $E$13)</f>
        <v>6.9504999999999999</v>
      </c>
      <c r="K382" s="61">
        <f>6.9525 * CHOOSE(CONTROL!$C$22, $C$13, 100%, $E$13)</f>
        <v>6.9524999999999997</v>
      </c>
    </row>
    <row r="383" spans="1:11" ht="15">
      <c r="A383" s="13">
        <v>53509</v>
      </c>
      <c r="B383" s="60">
        <f>6.084 * CHOOSE(CONTROL!$C$22, $C$13, 100%, $E$13)</f>
        <v>6.0839999999999996</v>
      </c>
      <c r="C383" s="60">
        <f>6.084 * CHOOSE(CONTROL!$C$22, $C$13, 100%, $E$13)</f>
        <v>6.0839999999999996</v>
      </c>
      <c r="D383" s="60">
        <f>6.1167 * CHOOSE(CONTROL!$C$22, $C$13, 100%, $E$13)</f>
        <v>6.1166999999999998</v>
      </c>
      <c r="E383" s="61">
        <f>7.0886 * CHOOSE(CONTROL!$C$22, $C$13, 100%, $E$13)</f>
        <v>7.0885999999999996</v>
      </c>
      <c r="F383" s="61">
        <f>7.0886 * CHOOSE(CONTROL!$C$22, $C$13, 100%, $E$13)</f>
        <v>7.0885999999999996</v>
      </c>
      <c r="G383" s="61">
        <f>7.0906 * CHOOSE(CONTROL!$C$22, $C$13, 100%, $E$13)</f>
        <v>7.0906000000000002</v>
      </c>
      <c r="H383" s="61">
        <f>12.2755* CHOOSE(CONTROL!$C$22, $C$13, 100%, $E$13)</f>
        <v>12.275499999999999</v>
      </c>
      <c r="I383" s="61">
        <f>12.2775 * CHOOSE(CONTROL!$C$22, $C$13, 100%, $E$13)</f>
        <v>12.2775</v>
      </c>
      <c r="J383" s="61">
        <f>7.0886 * CHOOSE(CONTROL!$C$22, $C$13, 100%, $E$13)</f>
        <v>7.0885999999999996</v>
      </c>
      <c r="K383" s="61">
        <f>7.0906 * CHOOSE(CONTROL!$C$22, $C$13, 100%, $E$13)</f>
        <v>7.0906000000000002</v>
      </c>
    </row>
    <row r="384" spans="1:11" ht="15">
      <c r="A384" s="13">
        <v>53540</v>
      </c>
      <c r="B384" s="60">
        <f>6.0907 * CHOOSE(CONTROL!$C$22, $C$13, 100%, $E$13)</f>
        <v>6.0907</v>
      </c>
      <c r="C384" s="60">
        <f>6.0907 * CHOOSE(CONTROL!$C$22, $C$13, 100%, $E$13)</f>
        <v>6.0907</v>
      </c>
      <c r="D384" s="60">
        <f>6.1234 * CHOOSE(CONTROL!$C$22, $C$13, 100%, $E$13)</f>
        <v>6.1234000000000002</v>
      </c>
      <c r="E384" s="61">
        <f>7.0214 * CHOOSE(CONTROL!$C$22, $C$13, 100%, $E$13)</f>
        <v>7.0213999999999999</v>
      </c>
      <c r="F384" s="61">
        <f>7.0214 * CHOOSE(CONTROL!$C$22, $C$13, 100%, $E$13)</f>
        <v>7.0213999999999999</v>
      </c>
      <c r="G384" s="61">
        <f>7.0235 * CHOOSE(CONTROL!$C$22, $C$13, 100%, $E$13)</f>
        <v>7.0235000000000003</v>
      </c>
      <c r="H384" s="61">
        <f>12.3011* CHOOSE(CONTROL!$C$22, $C$13, 100%, $E$13)</f>
        <v>12.3011</v>
      </c>
      <c r="I384" s="61">
        <f>12.3031 * CHOOSE(CONTROL!$C$22, $C$13, 100%, $E$13)</f>
        <v>12.303100000000001</v>
      </c>
      <c r="J384" s="61">
        <f>7.0214 * CHOOSE(CONTROL!$C$22, $C$13, 100%, $E$13)</f>
        <v>7.0213999999999999</v>
      </c>
      <c r="K384" s="61">
        <f>7.0235 * CHOOSE(CONTROL!$C$22, $C$13, 100%, $E$13)</f>
        <v>7.0235000000000003</v>
      </c>
    </row>
    <row r="385" spans="1:11" ht="15">
      <c r="A385" s="13">
        <v>53571</v>
      </c>
      <c r="B385" s="60">
        <f>6.0877 * CHOOSE(CONTROL!$C$22, $C$13, 100%, $E$13)</f>
        <v>6.0876999999999999</v>
      </c>
      <c r="C385" s="60">
        <f>6.0877 * CHOOSE(CONTROL!$C$22, $C$13, 100%, $E$13)</f>
        <v>6.0876999999999999</v>
      </c>
      <c r="D385" s="60">
        <f>6.1203 * CHOOSE(CONTROL!$C$22, $C$13, 100%, $E$13)</f>
        <v>6.1203000000000003</v>
      </c>
      <c r="E385" s="61">
        <f>7.0113 * CHOOSE(CONTROL!$C$22, $C$13, 100%, $E$13)</f>
        <v>7.0113000000000003</v>
      </c>
      <c r="F385" s="61">
        <f>7.0113 * CHOOSE(CONTROL!$C$22, $C$13, 100%, $E$13)</f>
        <v>7.0113000000000003</v>
      </c>
      <c r="G385" s="61">
        <f>7.0134 * CHOOSE(CONTROL!$C$22, $C$13, 100%, $E$13)</f>
        <v>7.0133999999999999</v>
      </c>
      <c r="H385" s="61">
        <f>12.3267* CHOOSE(CONTROL!$C$22, $C$13, 100%, $E$13)</f>
        <v>12.326700000000001</v>
      </c>
      <c r="I385" s="61">
        <f>12.3287 * CHOOSE(CONTROL!$C$22, $C$13, 100%, $E$13)</f>
        <v>12.3287</v>
      </c>
      <c r="J385" s="61">
        <f>7.0113 * CHOOSE(CONTROL!$C$22, $C$13, 100%, $E$13)</f>
        <v>7.0113000000000003</v>
      </c>
      <c r="K385" s="61">
        <f>7.0134 * CHOOSE(CONTROL!$C$22, $C$13, 100%, $E$13)</f>
        <v>7.0133999999999999</v>
      </c>
    </row>
    <row r="386" spans="1:11" ht="15">
      <c r="A386" s="13">
        <v>53601</v>
      </c>
      <c r="B386" s="60">
        <f>6.0899 * CHOOSE(CONTROL!$C$22, $C$13, 100%, $E$13)</f>
        <v>6.0899000000000001</v>
      </c>
      <c r="C386" s="60">
        <f>6.0899 * CHOOSE(CONTROL!$C$22, $C$13, 100%, $E$13)</f>
        <v>6.0899000000000001</v>
      </c>
      <c r="D386" s="60">
        <f>6.1063 * CHOOSE(CONTROL!$C$22, $C$13, 100%, $E$13)</f>
        <v>6.1063000000000001</v>
      </c>
      <c r="E386" s="61">
        <f>7.0298 * CHOOSE(CONTROL!$C$22, $C$13, 100%, $E$13)</f>
        <v>7.0297999999999998</v>
      </c>
      <c r="F386" s="61">
        <f>7.0298 * CHOOSE(CONTROL!$C$22, $C$13, 100%, $E$13)</f>
        <v>7.0297999999999998</v>
      </c>
      <c r="G386" s="61">
        <f>7.03 * CHOOSE(CONTROL!$C$22, $C$13, 100%, $E$13)</f>
        <v>7.03</v>
      </c>
      <c r="H386" s="61">
        <f>12.3524* CHOOSE(CONTROL!$C$22, $C$13, 100%, $E$13)</f>
        <v>12.352399999999999</v>
      </c>
      <c r="I386" s="61">
        <f>12.3525 * CHOOSE(CONTROL!$C$22, $C$13, 100%, $E$13)</f>
        <v>12.352499999999999</v>
      </c>
      <c r="J386" s="61">
        <f>7.0298 * CHOOSE(CONTROL!$C$22, $C$13, 100%, $E$13)</f>
        <v>7.0297999999999998</v>
      </c>
      <c r="K386" s="61">
        <f>7.03 * CHOOSE(CONTROL!$C$22, $C$13, 100%, $E$13)</f>
        <v>7.03</v>
      </c>
    </row>
    <row r="387" spans="1:11" ht="15">
      <c r="A387" s="13">
        <v>53632</v>
      </c>
      <c r="B387" s="60">
        <f>6.093 * CHOOSE(CONTROL!$C$22, $C$13, 100%, $E$13)</f>
        <v>6.093</v>
      </c>
      <c r="C387" s="60">
        <f>6.093 * CHOOSE(CONTROL!$C$22, $C$13, 100%, $E$13)</f>
        <v>6.093</v>
      </c>
      <c r="D387" s="60">
        <f>6.1093 * CHOOSE(CONTROL!$C$22, $C$13, 100%, $E$13)</f>
        <v>6.1093000000000002</v>
      </c>
      <c r="E387" s="61">
        <f>7.0479 * CHOOSE(CONTROL!$C$22, $C$13, 100%, $E$13)</f>
        <v>7.0479000000000003</v>
      </c>
      <c r="F387" s="61">
        <f>7.0479 * CHOOSE(CONTROL!$C$22, $C$13, 100%, $E$13)</f>
        <v>7.0479000000000003</v>
      </c>
      <c r="G387" s="61">
        <f>7.0481 * CHOOSE(CONTROL!$C$22, $C$13, 100%, $E$13)</f>
        <v>7.0480999999999998</v>
      </c>
      <c r="H387" s="61">
        <f>12.3781* CHOOSE(CONTROL!$C$22, $C$13, 100%, $E$13)</f>
        <v>12.3781</v>
      </c>
      <c r="I387" s="61">
        <f>12.3783 * CHOOSE(CONTROL!$C$22, $C$13, 100%, $E$13)</f>
        <v>12.378299999999999</v>
      </c>
      <c r="J387" s="61">
        <f>7.0479 * CHOOSE(CONTROL!$C$22, $C$13, 100%, $E$13)</f>
        <v>7.0479000000000003</v>
      </c>
      <c r="K387" s="61">
        <f>7.0481 * CHOOSE(CONTROL!$C$22, $C$13, 100%, $E$13)</f>
        <v>7.0480999999999998</v>
      </c>
    </row>
    <row r="388" spans="1:11" ht="15">
      <c r="A388" s="13">
        <v>53662</v>
      </c>
      <c r="B388" s="60">
        <f>6.093 * CHOOSE(CONTROL!$C$22, $C$13, 100%, $E$13)</f>
        <v>6.093</v>
      </c>
      <c r="C388" s="60">
        <f>6.093 * CHOOSE(CONTROL!$C$22, $C$13, 100%, $E$13)</f>
        <v>6.093</v>
      </c>
      <c r="D388" s="60">
        <f>6.1093 * CHOOSE(CONTROL!$C$22, $C$13, 100%, $E$13)</f>
        <v>6.1093000000000002</v>
      </c>
      <c r="E388" s="61">
        <f>7.008 * CHOOSE(CONTROL!$C$22, $C$13, 100%, $E$13)</f>
        <v>7.008</v>
      </c>
      <c r="F388" s="61">
        <f>7.008 * CHOOSE(CONTROL!$C$22, $C$13, 100%, $E$13)</f>
        <v>7.008</v>
      </c>
      <c r="G388" s="61">
        <f>7.0082 * CHOOSE(CONTROL!$C$22, $C$13, 100%, $E$13)</f>
        <v>7.0082000000000004</v>
      </c>
      <c r="H388" s="61">
        <f>12.4039* CHOOSE(CONTROL!$C$22, $C$13, 100%, $E$13)</f>
        <v>12.4039</v>
      </c>
      <c r="I388" s="61">
        <f>12.4041 * CHOOSE(CONTROL!$C$22, $C$13, 100%, $E$13)</f>
        <v>12.4041</v>
      </c>
      <c r="J388" s="61">
        <f>7.008 * CHOOSE(CONTROL!$C$22, $C$13, 100%, $E$13)</f>
        <v>7.008</v>
      </c>
      <c r="K388" s="61">
        <f>7.0082 * CHOOSE(CONTROL!$C$22, $C$13, 100%, $E$13)</f>
        <v>7.0082000000000004</v>
      </c>
    </row>
    <row r="389" spans="1:11" ht="15">
      <c r="A389" s="13">
        <v>53693</v>
      </c>
      <c r="B389" s="60">
        <f>6.148 * CHOOSE(CONTROL!$C$22, $C$13, 100%, $E$13)</f>
        <v>6.1479999999999997</v>
      </c>
      <c r="C389" s="60">
        <f>6.148 * CHOOSE(CONTROL!$C$22, $C$13, 100%, $E$13)</f>
        <v>6.1479999999999997</v>
      </c>
      <c r="D389" s="60">
        <f>6.1644 * CHOOSE(CONTROL!$C$22, $C$13, 100%, $E$13)</f>
        <v>6.1643999999999997</v>
      </c>
      <c r="E389" s="61">
        <f>7.1001 * CHOOSE(CONTROL!$C$22, $C$13, 100%, $E$13)</f>
        <v>7.1001000000000003</v>
      </c>
      <c r="F389" s="61">
        <f>7.1001 * CHOOSE(CONTROL!$C$22, $C$13, 100%, $E$13)</f>
        <v>7.1001000000000003</v>
      </c>
      <c r="G389" s="61">
        <f>7.1003 * CHOOSE(CONTROL!$C$22, $C$13, 100%, $E$13)</f>
        <v>7.1002999999999998</v>
      </c>
      <c r="H389" s="61">
        <f>12.4297* CHOOSE(CONTROL!$C$22, $C$13, 100%, $E$13)</f>
        <v>12.4297</v>
      </c>
      <c r="I389" s="61">
        <f>12.4299 * CHOOSE(CONTROL!$C$22, $C$13, 100%, $E$13)</f>
        <v>12.4299</v>
      </c>
      <c r="J389" s="61">
        <f>7.1001 * CHOOSE(CONTROL!$C$22, $C$13, 100%, $E$13)</f>
        <v>7.1001000000000003</v>
      </c>
      <c r="K389" s="61">
        <f>7.1003 * CHOOSE(CONTROL!$C$22, $C$13, 100%, $E$13)</f>
        <v>7.1002999999999998</v>
      </c>
    </row>
    <row r="390" spans="1:11" ht="15">
      <c r="A390" s="13">
        <v>53724</v>
      </c>
      <c r="B390" s="60">
        <f>6.145 * CHOOSE(CONTROL!$C$22, $C$13, 100%, $E$13)</f>
        <v>6.1449999999999996</v>
      </c>
      <c r="C390" s="60">
        <f>6.145 * CHOOSE(CONTROL!$C$22, $C$13, 100%, $E$13)</f>
        <v>6.1449999999999996</v>
      </c>
      <c r="D390" s="60">
        <f>6.1613 * CHOOSE(CONTROL!$C$22, $C$13, 100%, $E$13)</f>
        <v>6.1612999999999998</v>
      </c>
      <c r="E390" s="61">
        <f>7.0205 * CHOOSE(CONTROL!$C$22, $C$13, 100%, $E$13)</f>
        <v>7.0205000000000002</v>
      </c>
      <c r="F390" s="61">
        <f>7.0205 * CHOOSE(CONTROL!$C$22, $C$13, 100%, $E$13)</f>
        <v>7.0205000000000002</v>
      </c>
      <c r="G390" s="61">
        <f>7.0206 * CHOOSE(CONTROL!$C$22, $C$13, 100%, $E$13)</f>
        <v>7.0206</v>
      </c>
      <c r="H390" s="61">
        <f>12.4556* CHOOSE(CONTROL!$C$22, $C$13, 100%, $E$13)</f>
        <v>12.4556</v>
      </c>
      <c r="I390" s="61">
        <f>12.4558 * CHOOSE(CONTROL!$C$22, $C$13, 100%, $E$13)</f>
        <v>12.4558</v>
      </c>
      <c r="J390" s="61">
        <f>7.0205 * CHOOSE(CONTROL!$C$22, $C$13, 100%, $E$13)</f>
        <v>7.0205000000000002</v>
      </c>
      <c r="K390" s="61">
        <f>7.0206 * CHOOSE(CONTROL!$C$22, $C$13, 100%, $E$13)</f>
        <v>7.0206</v>
      </c>
    </row>
    <row r="391" spans="1:11" ht="15">
      <c r="A391" s="13">
        <v>53752</v>
      </c>
      <c r="B391" s="60">
        <f>6.1419 * CHOOSE(CONTROL!$C$22, $C$13, 100%, $E$13)</f>
        <v>6.1418999999999997</v>
      </c>
      <c r="C391" s="60">
        <f>6.1419 * CHOOSE(CONTROL!$C$22, $C$13, 100%, $E$13)</f>
        <v>6.1418999999999997</v>
      </c>
      <c r="D391" s="60">
        <f>6.1583 * CHOOSE(CONTROL!$C$22, $C$13, 100%, $E$13)</f>
        <v>6.1582999999999997</v>
      </c>
      <c r="E391" s="61">
        <f>7.0795 * CHOOSE(CONTROL!$C$22, $C$13, 100%, $E$13)</f>
        <v>7.0795000000000003</v>
      </c>
      <c r="F391" s="61">
        <f>7.0795 * CHOOSE(CONTROL!$C$22, $C$13, 100%, $E$13)</f>
        <v>7.0795000000000003</v>
      </c>
      <c r="G391" s="61">
        <f>7.0797 * CHOOSE(CONTROL!$C$22, $C$13, 100%, $E$13)</f>
        <v>7.0796999999999999</v>
      </c>
      <c r="H391" s="61">
        <f>12.4816* CHOOSE(CONTROL!$C$22, $C$13, 100%, $E$13)</f>
        <v>12.4816</v>
      </c>
      <c r="I391" s="61">
        <f>12.4817 * CHOOSE(CONTROL!$C$22, $C$13, 100%, $E$13)</f>
        <v>12.4817</v>
      </c>
      <c r="J391" s="61">
        <f>7.0795 * CHOOSE(CONTROL!$C$22, $C$13, 100%, $E$13)</f>
        <v>7.0795000000000003</v>
      </c>
      <c r="K391" s="61">
        <f>7.0797 * CHOOSE(CONTROL!$C$22, $C$13, 100%, $E$13)</f>
        <v>7.0796999999999999</v>
      </c>
    </row>
    <row r="392" spans="1:11" ht="15">
      <c r="A392" s="13">
        <v>53783</v>
      </c>
      <c r="B392" s="60">
        <f>6.1415 * CHOOSE(CONTROL!$C$22, $C$13, 100%, $E$13)</f>
        <v>6.1414999999999997</v>
      </c>
      <c r="C392" s="60">
        <f>6.1415 * CHOOSE(CONTROL!$C$22, $C$13, 100%, $E$13)</f>
        <v>6.1414999999999997</v>
      </c>
      <c r="D392" s="60">
        <f>6.1579 * CHOOSE(CONTROL!$C$22, $C$13, 100%, $E$13)</f>
        <v>6.1578999999999997</v>
      </c>
      <c r="E392" s="61">
        <f>7.1409 * CHOOSE(CONTROL!$C$22, $C$13, 100%, $E$13)</f>
        <v>7.1409000000000002</v>
      </c>
      <c r="F392" s="61">
        <f>7.1409 * CHOOSE(CONTROL!$C$22, $C$13, 100%, $E$13)</f>
        <v>7.1409000000000002</v>
      </c>
      <c r="G392" s="61">
        <f>7.1411 * CHOOSE(CONTROL!$C$22, $C$13, 100%, $E$13)</f>
        <v>7.1410999999999998</v>
      </c>
      <c r="H392" s="61">
        <f>12.5076* CHOOSE(CONTROL!$C$22, $C$13, 100%, $E$13)</f>
        <v>12.5076</v>
      </c>
      <c r="I392" s="61">
        <f>12.5078 * CHOOSE(CONTROL!$C$22, $C$13, 100%, $E$13)</f>
        <v>12.5078</v>
      </c>
      <c r="J392" s="61">
        <f>7.1409 * CHOOSE(CONTROL!$C$22, $C$13, 100%, $E$13)</f>
        <v>7.1409000000000002</v>
      </c>
      <c r="K392" s="61">
        <f>7.1411 * CHOOSE(CONTROL!$C$22, $C$13, 100%, $E$13)</f>
        <v>7.1410999999999998</v>
      </c>
    </row>
    <row r="393" spans="1:11" ht="15">
      <c r="A393" s="13">
        <v>53813</v>
      </c>
      <c r="B393" s="60">
        <f>6.1415 * CHOOSE(CONTROL!$C$22, $C$13, 100%, $E$13)</f>
        <v>6.1414999999999997</v>
      </c>
      <c r="C393" s="60">
        <f>6.1415 * CHOOSE(CONTROL!$C$22, $C$13, 100%, $E$13)</f>
        <v>6.1414999999999997</v>
      </c>
      <c r="D393" s="60">
        <f>6.1742 * CHOOSE(CONTROL!$C$22, $C$13, 100%, $E$13)</f>
        <v>6.1741999999999999</v>
      </c>
      <c r="E393" s="61">
        <f>7.1655 * CHOOSE(CONTROL!$C$22, $C$13, 100%, $E$13)</f>
        <v>7.1654999999999998</v>
      </c>
      <c r="F393" s="61">
        <f>7.1655 * CHOOSE(CONTROL!$C$22, $C$13, 100%, $E$13)</f>
        <v>7.1654999999999998</v>
      </c>
      <c r="G393" s="61">
        <f>7.1675 * CHOOSE(CONTROL!$C$22, $C$13, 100%, $E$13)</f>
        <v>7.1675000000000004</v>
      </c>
      <c r="H393" s="61">
        <f>12.5336* CHOOSE(CONTROL!$C$22, $C$13, 100%, $E$13)</f>
        <v>12.5336</v>
      </c>
      <c r="I393" s="61">
        <f>12.5357 * CHOOSE(CONTROL!$C$22, $C$13, 100%, $E$13)</f>
        <v>12.5357</v>
      </c>
      <c r="J393" s="61">
        <f>7.1655 * CHOOSE(CONTROL!$C$22, $C$13, 100%, $E$13)</f>
        <v>7.1654999999999998</v>
      </c>
      <c r="K393" s="61">
        <f>7.1675 * CHOOSE(CONTROL!$C$22, $C$13, 100%, $E$13)</f>
        <v>7.1675000000000004</v>
      </c>
    </row>
    <row r="394" spans="1:11" ht="15">
      <c r="A394" s="13">
        <v>53844</v>
      </c>
      <c r="B394" s="60">
        <f>6.1476 * CHOOSE(CONTROL!$C$22, $C$13, 100%, $E$13)</f>
        <v>6.1475999999999997</v>
      </c>
      <c r="C394" s="60">
        <f>6.1476 * CHOOSE(CONTROL!$C$22, $C$13, 100%, $E$13)</f>
        <v>6.1475999999999997</v>
      </c>
      <c r="D394" s="60">
        <f>6.1803 * CHOOSE(CONTROL!$C$22, $C$13, 100%, $E$13)</f>
        <v>6.1802999999999999</v>
      </c>
      <c r="E394" s="61">
        <f>7.1451 * CHOOSE(CONTROL!$C$22, $C$13, 100%, $E$13)</f>
        <v>7.1451000000000002</v>
      </c>
      <c r="F394" s="61">
        <f>7.1451 * CHOOSE(CONTROL!$C$22, $C$13, 100%, $E$13)</f>
        <v>7.1451000000000002</v>
      </c>
      <c r="G394" s="61">
        <f>7.1472 * CHOOSE(CONTROL!$C$22, $C$13, 100%, $E$13)</f>
        <v>7.1471999999999998</v>
      </c>
      <c r="H394" s="61">
        <f>12.5597* CHOOSE(CONTROL!$C$22, $C$13, 100%, $E$13)</f>
        <v>12.559699999999999</v>
      </c>
      <c r="I394" s="61">
        <f>12.5618 * CHOOSE(CONTROL!$C$22, $C$13, 100%, $E$13)</f>
        <v>12.5618</v>
      </c>
      <c r="J394" s="61">
        <f>7.1451 * CHOOSE(CONTROL!$C$22, $C$13, 100%, $E$13)</f>
        <v>7.1451000000000002</v>
      </c>
      <c r="K394" s="61">
        <f>7.1472 * CHOOSE(CONTROL!$C$22, $C$13, 100%, $E$13)</f>
        <v>7.1471999999999998</v>
      </c>
    </row>
    <row r="395" spans="1:11" ht="15">
      <c r="A395" s="13">
        <v>53874</v>
      </c>
      <c r="B395" s="60">
        <f>6.2497 * CHOOSE(CONTROL!$C$22, $C$13, 100%, $E$13)</f>
        <v>6.2496999999999998</v>
      </c>
      <c r="C395" s="60">
        <f>6.2497 * CHOOSE(CONTROL!$C$22, $C$13, 100%, $E$13)</f>
        <v>6.2496999999999998</v>
      </c>
      <c r="D395" s="60">
        <f>6.2824 * CHOOSE(CONTROL!$C$22, $C$13, 100%, $E$13)</f>
        <v>6.2824</v>
      </c>
      <c r="E395" s="61">
        <f>7.2868 * CHOOSE(CONTROL!$C$22, $C$13, 100%, $E$13)</f>
        <v>7.2868000000000004</v>
      </c>
      <c r="F395" s="61">
        <f>7.2868 * CHOOSE(CONTROL!$C$22, $C$13, 100%, $E$13)</f>
        <v>7.2868000000000004</v>
      </c>
      <c r="G395" s="61">
        <f>7.2888 * CHOOSE(CONTROL!$C$22, $C$13, 100%, $E$13)</f>
        <v>7.2888000000000002</v>
      </c>
      <c r="H395" s="61">
        <f>12.5859* CHOOSE(CONTROL!$C$22, $C$13, 100%, $E$13)</f>
        <v>12.585900000000001</v>
      </c>
      <c r="I395" s="61">
        <f>12.5879 * CHOOSE(CONTROL!$C$22, $C$13, 100%, $E$13)</f>
        <v>12.587899999999999</v>
      </c>
      <c r="J395" s="61">
        <f>7.2868 * CHOOSE(CONTROL!$C$22, $C$13, 100%, $E$13)</f>
        <v>7.2868000000000004</v>
      </c>
      <c r="K395" s="61">
        <f>7.2888 * CHOOSE(CONTROL!$C$22, $C$13, 100%, $E$13)</f>
        <v>7.2888000000000002</v>
      </c>
    </row>
    <row r="396" spans="1:11" ht="15">
      <c r="A396" s="13">
        <v>53905</v>
      </c>
      <c r="B396" s="60">
        <f>6.2564 * CHOOSE(CONTROL!$C$22, $C$13, 100%, $E$13)</f>
        <v>6.2564000000000002</v>
      </c>
      <c r="C396" s="60">
        <f>6.2564 * CHOOSE(CONTROL!$C$22, $C$13, 100%, $E$13)</f>
        <v>6.2564000000000002</v>
      </c>
      <c r="D396" s="60">
        <f>6.2891 * CHOOSE(CONTROL!$C$22, $C$13, 100%, $E$13)</f>
        <v>6.2891000000000004</v>
      </c>
      <c r="E396" s="61">
        <f>7.2176 * CHOOSE(CONTROL!$C$22, $C$13, 100%, $E$13)</f>
        <v>7.2176</v>
      </c>
      <c r="F396" s="61">
        <f>7.2176 * CHOOSE(CONTROL!$C$22, $C$13, 100%, $E$13)</f>
        <v>7.2176</v>
      </c>
      <c r="G396" s="61">
        <f>7.2197 * CHOOSE(CONTROL!$C$22, $C$13, 100%, $E$13)</f>
        <v>7.2196999999999996</v>
      </c>
      <c r="H396" s="61">
        <f>12.6121* CHOOSE(CONTROL!$C$22, $C$13, 100%, $E$13)</f>
        <v>12.6121</v>
      </c>
      <c r="I396" s="61">
        <f>12.6142 * CHOOSE(CONTROL!$C$22, $C$13, 100%, $E$13)</f>
        <v>12.6142</v>
      </c>
      <c r="J396" s="61">
        <f>7.2176 * CHOOSE(CONTROL!$C$22, $C$13, 100%, $E$13)</f>
        <v>7.2176</v>
      </c>
      <c r="K396" s="61">
        <f>7.2197 * CHOOSE(CONTROL!$C$22, $C$13, 100%, $E$13)</f>
        <v>7.2196999999999996</v>
      </c>
    </row>
    <row r="397" spans="1:11" ht="15">
      <c r="A397" s="13">
        <v>53936</v>
      </c>
      <c r="B397" s="60">
        <f>6.2534 * CHOOSE(CONTROL!$C$22, $C$13, 100%, $E$13)</f>
        <v>6.2534000000000001</v>
      </c>
      <c r="C397" s="60">
        <f>6.2534 * CHOOSE(CONTROL!$C$22, $C$13, 100%, $E$13)</f>
        <v>6.2534000000000001</v>
      </c>
      <c r="D397" s="60">
        <f>6.286 * CHOOSE(CONTROL!$C$22, $C$13, 100%, $E$13)</f>
        <v>6.2859999999999996</v>
      </c>
      <c r="E397" s="61">
        <f>7.2073 * CHOOSE(CONTROL!$C$22, $C$13, 100%, $E$13)</f>
        <v>7.2073</v>
      </c>
      <c r="F397" s="61">
        <f>7.2073 * CHOOSE(CONTROL!$C$22, $C$13, 100%, $E$13)</f>
        <v>7.2073</v>
      </c>
      <c r="G397" s="61">
        <f>7.2093 * CHOOSE(CONTROL!$C$22, $C$13, 100%, $E$13)</f>
        <v>7.2092999999999998</v>
      </c>
      <c r="H397" s="61">
        <f>12.6384* CHOOSE(CONTROL!$C$22, $C$13, 100%, $E$13)</f>
        <v>12.638400000000001</v>
      </c>
      <c r="I397" s="61">
        <f>12.6404 * CHOOSE(CONTROL!$C$22, $C$13, 100%, $E$13)</f>
        <v>12.6404</v>
      </c>
      <c r="J397" s="61">
        <f>7.2073 * CHOOSE(CONTROL!$C$22, $C$13, 100%, $E$13)</f>
        <v>7.2073</v>
      </c>
      <c r="K397" s="61">
        <f>7.2093 * CHOOSE(CONTROL!$C$22, $C$13, 100%, $E$13)</f>
        <v>7.2092999999999998</v>
      </c>
    </row>
    <row r="398" spans="1:11" ht="15">
      <c r="A398" s="13">
        <v>53966</v>
      </c>
      <c r="B398" s="60">
        <f>6.2562 * CHOOSE(CONTROL!$C$22, $C$13, 100%, $E$13)</f>
        <v>6.2561999999999998</v>
      </c>
      <c r="C398" s="60">
        <f>6.2562 * CHOOSE(CONTROL!$C$22, $C$13, 100%, $E$13)</f>
        <v>6.2561999999999998</v>
      </c>
      <c r="D398" s="60">
        <f>6.2725 * CHOOSE(CONTROL!$C$22, $C$13, 100%, $E$13)</f>
        <v>6.2725</v>
      </c>
      <c r="E398" s="61">
        <f>7.2267 * CHOOSE(CONTROL!$C$22, $C$13, 100%, $E$13)</f>
        <v>7.2267000000000001</v>
      </c>
      <c r="F398" s="61">
        <f>7.2267 * CHOOSE(CONTROL!$C$22, $C$13, 100%, $E$13)</f>
        <v>7.2267000000000001</v>
      </c>
      <c r="G398" s="61">
        <f>7.2269 * CHOOSE(CONTROL!$C$22, $C$13, 100%, $E$13)</f>
        <v>7.2268999999999997</v>
      </c>
      <c r="H398" s="61">
        <f>12.6647* CHOOSE(CONTROL!$C$22, $C$13, 100%, $E$13)</f>
        <v>12.6647</v>
      </c>
      <c r="I398" s="61">
        <f>12.6649 * CHOOSE(CONTROL!$C$22, $C$13, 100%, $E$13)</f>
        <v>12.664899999999999</v>
      </c>
      <c r="J398" s="61">
        <f>7.2267 * CHOOSE(CONTROL!$C$22, $C$13, 100%, $E$13)</f>
        <v>7.2267000000000001</v>
      </c>
      <c r="K398" s="61">
        <f>7.2269 * CHOOSE(CONTROL!$C$22, $C$13, 100%, $E$13)</f>
        <v>7.2268999999999997</v>
      </c>
    </row>
    <row r="399" spans="1:11" ht="15">
      <c r="A399" s="13">
        <v>53997</v>
      </c>
      <c r="B399" s="60">
        <f>6.2592 * CHOOSE(CONTROL!$C$22, $C$13, 100%, $E$13)</f>
        <v>6.2591999999999999</v>
      </c>
      <c r="C399" s="60">
        <f>6.2592 * CHOOSE(CONTROL!$C$22, $C$13, 100%, $E$13)</f>
        <v>6.2591999999999999</v>
      </c>
      <c r="D399" s="60">
        <f>6.2756 * CHOOSE(CONTROL!$C$22, $C$13, 100%, $E$13)</f>
        <v>6.2755999999999998</v>
      </c>
      <c r="E399" s="61">
        <f>7.2452 * CHOOSE(CONTROL!$C$22, $C$13, 100%, $E$13)</f>
        <v>7.2451999999999996</v>
      </c>
      <c r="F399" s="61">
        <f>7.2452 * CHOOSE(CONTROL!$C$22, $C$13, 100%, $E$13)</f>
        <v>7.2451999999999996</v>
      </c>
      <c r="G399" s="61">
        <f>7.2454 * CHOOSE(CONTROL!$C$22, $C$13, 100%, $E$13)</f>
        <v>7.2454000000000001</v>
      </c>
      <c r="H399" s="61">
        <f>12.6911* CHOOSE(CONTROL!$C$22, $C$13, 100%, $E$13)</f>
        <v>12.6911</v>
      </c>
      <c r="I399" s="61">
        <f>12.6913 * CHOOSE(CONTROL!$C$22, $C$13, 100%, $E$13)</f>
        <v>12.6913</v>
      </c>
      <c r="J399" s="61">
        <f>7.2452 * CHOOSE(CONTROL!$C$22, $C$13, 100%, $E$13)</f>
        <v>7.2451999999999996</v>
      </c>
      <c r="K399" s="61">
        <f>7.2454 * CHOOSE(CONTROL!$C$22, $C$13, 100%, $E$13)</f>
        <v>7.2454000000000001</v>
      </c>
    </row>
    <row r="400" spans="1:11" ht="15">
      <c r="A400" s="13">
        <v>54027</v>
      </c>
      <c r="B400" s="60">
        <f>6.2592 * CHOOSE(CONTROL!$C$22, $C$13, 100%, $E$13)</f>
        <v>6.2591999999999999</v>
      </c>
      <c r="C400" s="60">
        <f>6.2592 * CHOOSE(CONTROL!$C$22, $C$13, 100%, $E$13)</f>
        <v>6.2591999999999999</v>
      </c>
      <c r="D400" s="60">
        <f>6.2756 * CHOOSE(CONTROL!$C$22, $C$13, 100%, $E$13)</f>
        <v>6.2755999999999998</v>
      </c>
      <c r="E400" s="61">
        <f>7.2042 * CHOOSE(CONTROL!$C$22, $C$13, 100%, $E$13)</f>
        <v>7.2042000000000002</v>
      </c>
      <c r="F400" s="61">
        <f>7.2042 * CHOOSE(CONTROL!$C$22, $C$13, 100%, $E$13)</f>
        <v>7.2042000000000002</v>
      </c>
      <c r="G400" s="61">
        <f>7.2044 * CHOOSE(CONTROL!$C$22, $C$13, 100%, $E$13)</f>
        <v>7.2043999999999997</v>
      </c>
      <c r="H400" s="61">
        <f>12.7176* CHOOSE(CONTROL!$C$22, $C$13, 100%, $E$13)</f>
        <v>12.717599999999999</v>
      </c>
      <c r="I400" s="61">
        <f>12.7177 * CHOOSE(CONTROL!$C$22, $C$13, 100%, $E$13)</f>
        <v>12.717700000000001</v>
      </c>
      <c r="J400" s="61">
        <f>7.2042 * CHOOSE(CONTROL!$C$22, $C$13, 100%, $E$13)</f>
        <v>7.2042000000000002</v>
      </c>
      <c r="K400" s="61">
        <f>7.2044 * CHOOSE(CONTROL!$C$22, $C$13, 100%, $E$13)</f>
        <v>7.2043999999999997</v>
      </c>
    </row>
    <row r="401" spans="1:11" ht="15">
      <c r="A401" s="13">
        <v>54058</v>
      </c>
      <c r="B401" s="60">
        <f>6.3156 * CHOOSE(CONTROL!$C$22, $C$13, 100%, $E$13)</f>
        <v>6.3155999999999999</v>
      </c>
      <c r="C401" s="60">
        <f>6.3156 * CHOOSE(CONTROL!$C$22, $C$13, 100%, $E$13)</f>
        <v>6.3155999999999999</v>
      </c>
      <c r="D401" s="60">
        <f>6.332 * CHOOSE(CONTROL!$C$22, $C$13, 100%, $E$13)</f>
        <v>6.3319999999999999</v>
      </c>
      <c r="E401" s="61">
        <f>7.2988 * CHOOSE(CONTROL!$C$22, $C$13, 100%, $E$13)</f>
        <v>7.2988</v>
      </c>
      <c r="F401" s="61">
        <f>7.2988 * CHOOSE(CONTROL!$C$22, $C$13, 100%, $E$13)</f>
        <v>7.2988</v>
      </c>
      <c r="G401" s="61">
        <f>7.299 * CHOOSE(CONTROL!$C$22, $C$13, 100%, $E$13)</f>
        <v>7.2990000000000004</v>
      </c>
      <c r="H401" s="61">
        <f>12.7441* CHOOSE(CONTROL!$C$22, $C$13, 100%, $E$13)</f>
        <v>12.7441</v>
      </c>
      <c r="I401" s="61">
        <f>12.7442 * CHOOSE(CONTROL!$C$22, $C$13, 100%, $E$13)</f>
        <v>12.744199999999999</v>
      </c>
      <c r="J401" s="61">
        <f>7.2988 * CHOOSE(CONTROL!$C$22, $C$13, 100%, $E$13)</f>
        <v>7.2988</v>
      </c>
      <c r="K401" s="61">
        <f>7.299 * CHOOSE(CONTROL!$C$22, $C$13, 100%, $E$13)</f>
        <v>7.2990000000000004</v>
      </c>
    </row>
    <row r="402" spans="1:11" ht="15">
      <c r="A402" s="13">
        <v>54089</v>
      </c>
      <c r="B402" s="60">
        <f>6.3126 * CHOOSE(CONTROL!$C$22, $C$13, 100%, $E$13)</f>
        <v>6.3125999999999998</v>
      </c>
      <c r="C402" s="60">
        <f>6.3126 * CHOOSE(CONTROL!$C$22, $C$13, 100%, $E$13)</f>
        <v>6.3125999999999998</v>
      </c>
      <c r="D402" s="60">
        <f>6.3289 * CHOOSE(CONTROL!$C$22, $C$13, 100%, $E$13)</f>
        <v>6.3289</v>
      </c>
      <c r="E402" s="61">
        <f>7.217 * CHOOSE(CONTROL!$C$22, $C$13, 100%, $E$13)</f>
        <v>7.2169999999999996</v>
      </c>
      <c r="F402" s="61">
        <f>7.217 * CHOOSE(CONTROL!$C$22, $C$13, 100%, $E$13)</f>
        <v>7.2169999999999996</v>
      </c>
      <c r="G402" s="61">
        <f>7.2172 * CHOOSE(CONTROL!$C$22, $C$13, 100%, $E$13)</f>
        <v>7.2172000000000001</v>
      </c>
      <c r="H402" s="61">
        <f>12.7706* CHOOSE(CONTROL!$C$22, $C$13, 100%, $E$13)</f>
        <v>12.7706</v>
      </c>
      <c r="I402" s="61">
        <f>12.7708 * CHOOSE(CONTROL!$C$22, $C$13, 100%, $E$13)</f>
        <v>12.770799999999999</v>
      </c>
      <c r="J402" s="61">
        <f>7.217 * CHOOSE(CONTROL!$C$22, $C$13, 100%, $E$13)</f>
        <v>7.2169999999999996</v>
      </c>
      <c r="K402" s="61">
        <f>7.2172 * CHOOSE(CONTROL!$C$22, $C$13, 100%, $E$13)</f>
        <v>7.2172000000000001</v>
      </c>
    </row>
    <row r="403" spans="1:11" ht="15">
      <c r="A403" s="13">
        <v>54118</v>
      </c>
      <c r="B403" s="60">
        <f>6.3096 * CHOOSE(CONTROL!$C$22, $C$13, 100%, $E$13)</f>
        <v>6.3095999999999997</v>
      </c>
      <c r="C403" s="60">
        <f>6.3096 * CHOOSE(CONTROL!$C$22, $C$13, 100%, $E$13)</f>
        <v>6.3095999999999997</v>
      </c>
      <c r="D403" s="60">
        <f>6.3259 * CHOOSE(CONTROL!$C$22, $C$13, 100%, $E$13)</f>
        <v>6.3258999999999999</v>
      </c>
      <c r="E403" s="61">
        <f>7.2777 * CHOOSE(CONTROL!$C$22, $C$13, 100%, $E$13)</f>
        <v>7.2777000000000003</v>
      </c>
      <c r="F403" s="61">
        <f>7.2777 * CHOOSE(CONTROL!$C$22, $C$13, 100%, $E$13)</f>
        <v>7.2777000000000003</v>
      </c>
      <c r="G403" s="61">
        <f>7.2779 * CHOOSE(CONTROL!$C$22, $C$13, 100%, $E$13)</f>
        <v>7.2778999999999998</v>
      </c>
      <c r="H403" s="61">
        <f>12.7972* CHOOSE(CONTROL!$C$22, $C$13, 100%, $E$13)</f>
        <v>12.7972</v>
      </c>
      <c r="I403" s="61">
        <f>12.7974 * CHOOSE(CONTROL!$C$22, $C$13, 100%, $E$13)</f>
        <v>12.7974</v>
      </c>
      <c r="J403" s="61">
        <f>7.2777 * CHOOSE(CONTROL!$C$22, $C$13, 100%, $E$13)</f>
        <v>7.2777000000000003</v>
      </c>
      <c r="K403" s="61">
        <f>7.2779 * CHOOSE(CONTROL!$C$22, $C$13, 100%, $E$13)</f>
        <v>7.2778999999999998</v>
      </c>
    </row>
    <row r="404" spans="1:11" ht="15">
      <c r="A404" s="13">
        <v>54149</v>
      </c>
      <c r="B404" s="60">
        <f>6.3093 * CHOOSE(CONTROL!$C$22, $C$13, 100%, $E$13)</f>
        <v>6.3093000000000004</v>
      </c>
      <c r="C404" s="60">
        <f>6.3093 * CHOOSE(CONTROL!$C$22, $C$13, 100%, $E$13)</f>
        <v>6.3093000000000004</v>
      </c>
      <c r="D404" s="60">
        <f>6.3256 * CHOOSE(CONTROL!$C$22, $C$13, 100%, $E$13)</f>
        <v>6.3255999999999997</v>
      </c>
      <c r="E404" s="61">
        <f>7.3409 * CHOOSE(CONTROL!$C$22, $C$13, 100%, $E$13)</f>
        <v>7.3409000000000004</v>
      </c>
      <c r="F404" s="61">
        <f>7.3409 * CHOOSE(CONTROL!$C$22, $C$13, 100%, $E$13)</f>
        <v>7.3409000000000004</v>
      </c>
      <c r="G404" s="61">
        <f>7.3411 * CHOOSE(CONTROL!$C$22, $C$13, 100%, $E$13)</f>
        <v>7.3411</v>
      </c>
      <c r="H404" s="61">
        <f>12.8239* CHOOSE(CONTROL!$C$22, $C$13, 100%, $E$13)</f>
        <v>12.8239</v>
      </c>
      <c r="I404" s="61">
        <f>12.824 * CHOOSE(CONTROL!$C$22, $C$13, 100%, $E$13)</f>
        <v>12.824</v>
      </c>
      <c r="J404" s="61">
        <f>7.3409 * CHOOSE(CONTROL!$C$22, $C$13, 100%, $E$13)</f>
        <v>7.3409000000000004</v>
      </c>
      <c r="K404" s="61">
        <f>7.3411 * CHOOSE(CONTROL!$C$22, $C$13, 100%, $E$13)</f>
        <v>7.3411</v>
      </c>
    </row>
    <row r="405" spans="1:11" ht="15">
      <c r="A405" s="13">
        <v>54179</v>
      </c>
      <c r="B405" s="60">
        <f>6.3093 * CHOOSE(CONTROL!$C$22, $C$13, 100%, $E$13)</f>
        <v>6.3093000000000004</v>
      </c>
      <c r="C405" s="60">
        <f>6.3093 * CHOOSE(CONTROL!$C$22, $C$13, 100%, $E$13)</f>
        <v>6.3093000000000004</v>
      </c>
      <c r="D405" s="60">
        <f>6.342 * CHOOSE(CONTROL!$C$22, $C$13, 100%, $E$13)</f>
        <v>6.3419999999999996</v>
      </c>
      <c r="E405" s="61">
        <f>7.3663 * CHOOSE(CONTROL!$C$22, $C$13, 100%, $E$13)</f>
        <v>7.3662999999999998</v>
      </c>
      <c r="F405" s="61">
        <f>7.3663 * CHOOSE(CONTROL!$C$22, $C$13, 100%, $E$13)</f>
        <v>7.3662999999999998</v>
      </c>
      <c r="G405" s="61">
        <f>7.3683 * CHOOSE(CONTROL!$C$22, $C$13, 100%, $E$13)</f>
        <v>7.3682999999999996</v>
      </c>
      <c r="H405" s="61">
        <f>12.8506* CHOOSE(CONTROL!$C$22, $C$13, 100%, $E$13)</f>
        <v>12.8506</v>
      </c>
      <c r="I405" s="61">
        <f>12.8526 * CHOOSE(CONTROL!$C$22, $C$13, 100%, $E$13)</f>
        <v>12.852600000000001</v>
      </c>
      <c r="J405" s="61">
        <f>7.3663 * CHOOSE(CONTROL!$C$22, $C$13, 100%, $E$13)</f>
        <v>7.3662999999999998</v>
      </c>
      <c r="K405" s="61">
        <f>7.3683 * CHOOSE(CONTROL!$C$22, $C$13, 100%, $E$13)</f>
        <v>7.3682999999999996</v>
      </c>
    </row>
    <row r="406" spans="1:11" ht="15">
      <c r="A406" s="13">
        <v>54210</v>
      </c>
      <c r="B406" s="60">
        <f>6.3154 * CHOOSE(CONTROL!$C$22, $C$13, 100%, $E$13)</f>
        <v>6.3154000000000003</v>
      </c>
      <c r="C406" s="60">
        <f>6.3154 * CHOOSE(CONTROL!$C$22, $C$13, 100%, $E$13)</f>
        <v>6.3154000000000003</v>
      </c>
      <c r="D406" s="60">
        <f>6.348 * CHOOSE(CONTROL!$C$22, $C$13, 100%, $E$13)</f>
        <v>6.3479999999999999</v>
      </c>
      <c r="E406" s="61">
        <f>7.3452 * CHOOSE(CONTROL!$C$22, $C$13, 100%, $E$13)</f>
        <v>7.3452000000000002</v>
      </c>
      <c r="F406" s="61">
        <f>7.3452 * CHOOSE(CONTROL!$C$22, $C$13, 100%, $E$13)</f>
        <v>7.3452000000000002</v>
      </c>
      <c r="G406" s="61">
        <f>7.3472 * CHOOSE(CONTROL!$C$22, $C$13, 100%, $E$13)</f>
        <v>7.3472</v>
      </c>
      <c r="H406" s="61">
        <f>12.8774* CHOOSE(CONTROL!$C$22, $C$13, 100%, $E$13)</f>
        <v>12.8774</v>
      </c>
      <c r="I406" s="61">
        <f>12.8794 * CHOOSE(CONTROL!$C$22, $C$13, 100%, $E$13)</f>
        <v>12.8794</v>
      </c>
      <c r="J406" s="61">
        <f>7.3452 * CHOOSE(CONTROL!$C$22, $C$13, 100%, $E$13)</f>
        <v>7.3452000000000002</v>
      </c>
      <c r="K406" s="61">
        <f>7.3472 * CHOOSE(CONTROL!$C$22, $C$13, 100%, $E$13)</f>
        <v>7.3472</v>
      </c>
    </row>
    <row r="407" spans="1:11" ht="15">
      <c r="A407" s="13">
        <v>54240</v>
      </c>
      <c r="B407" s="60">
        <f>6.42 * CHOOSE(CONTROL!$C$22, $C$13, 100%, $E$13)</f>
        <v>6.42</v>
      </c>
      <c r="C407" s="60">
        <f>6.42 * CHOOSE(CONTROL!$C$22, $C$13, 100%, $E$13)</f>
        <v>6.42</v>
      </c>
      <c r="D407" s="60">
        <f>6.4526 * CHOOSE(CONTROL!$C$22, $C$13, 100%, $E$13)</f>
        <v>6.4526000000000003</v>
      </c>
      <c r="E407" s="61">
        <f>7.4906 * CHOOSE(CONTROL!$C$22, $C$13, 100%, $E$13)</f>
        <v>7.4905999999999997</v>
      </c>
      <c r="F407" s="61">
        <f>7.4906 * CHOOSE(CONTROL!$C$22, $C$13, 100%, $E$13)</f>
        <v>7.4905999999999997</v>
      </c>
      <c r="G407" s="61">
        <f>7.4926 * CHOOSE(CONTROL!$C$22, $C$13, 100%, $E$13)</f>
        <v>7.4926000000000004</v>
      </c>
      <c r="H407" s="61">
        <f>12.9042* CHOOSE(CONTROL!$C$22, $C$13, 100%, $E$13)</f>
        <v>12.904199999999999</v>
      </c>
      <c r="I407" s="61">
        <f>12.9062 * CHOOSE(CONTROL!$C$22, $C$13, 100%, $E$13)</f>
        <v>12.9062</v>
      </c>
      <c r="J407" s="61">
        <f>7.4906 * CHOOSE(CONTROL!$C$22, $C$13, 100%, $E$13)</f>
        <v>7.4905999999999997</v>
      </c>
      <c r="K407" s="61">
        <f>7.4926 * CHOOSE(CONTROL!$C$22, $C$13, 100%, $E$13)</f>
        <v>7.4926000000000004</v>
      </c>
    </row>
    <row r="408" spans="1:11" ht="15">
      <c r="A408" s="13">
        <v>54271</v>
      </c>
      <c r="B408" s="60">
        <f>6.4266 * CHOOSE(CONTROL!$C$22, $C$13, 100%, $E$13)</f>
        <v>6.4265999999999996</v>
      </c>
      <c r="C408" s="60">
        <f>6.4266 * CHOOSE(CONTROL!$C$22, $C$13, 100%, $E$13)</f>
        <v>6.4265999999999996</v>
      </c>
      <c r="D408" s="60">
        <f>6.4593 * CHOOSE(CONTROL!$C$22, $C$13, 100%, $E$13)</f>
        <v>6.4592999999999998</v>
      </c>
      <c r="E408" s="61">
        <f>7.4193 * CHOOSE(CONTROL!$C$22, $C$13, 100%, $E$13)</f>
        <v>7.4192999999999998</v>
      </c>
      <c r="F408" s="61">
        <f>7.4193 * CHOOSE(CONTROL!$C$22, $C$13, 100%, $E$13)</f>
        <v>7.4192999999999998</v>
      </c>
      <c r="G408" s="61">
        <f>7.4213 * CHOOSE(CONTROL!$C$22, $C$13, 100%, $E$13)</f>
        <v>7.4212999999999996</v>
      </c>
      <c r="H408" s="61">
        <f>12.9311* CHOOSE(CONTROL!$C$22, $C$13, 100%, $E$13)</f>
        <v>12.931100000000001</v>
      </c>
      <c r="I408" s="61">
        <f>12.9331 * CHOOSE(CONTROL!$C$22, $C$13, 100%, $E$13)</f>
        <v>12.9331</v>
      </c>
      <c r="J408" s="61">
        <f>7.4193 * CHOOSE(CONTROL!$C$22, $C$13, 100%, $E$13)</f>
        <v>7.4192999999999998</v>
      </c>
      <c r="K408" s="61">
        <f>7.4213 * CHOOSE(CONTROL!$C$22, $C$13, 100%, $E$13)</f>
        <v>7.4212999999999996</v>
      </c>
    </row>
    <row r="409" spans="1:11" ht="15">
      <c r="A409" s="13">
        <v>54302</v>
      </c>
      <c r="B409" s="60">
        <f>6.4236 * CHOOSE(CONTROL!$C$22, $C$13, 100%, $E$13)</f>
        <v>6.4236000000000004</v>
      </c>
      <c r="C409" s="60">
        <f>6.4236 * CHOOSE(CONTROL!$C$22, $C$13, 100%, $E$13)</f>
        <v>6.4236000000000004</v>
      </c>
      <c r="D409" s="60">
        <f>6.4563 * CHOOSE(CONTROL!$C$22, $C$13, 100%, $E$13)</f>
        <v>6.4562999999999997</v>
      </c>
      <c r="E409" s="61">
        <f>7.4088 * CHOOSE(CONTROL!$C$22, $C$13, 100%, $E$13)</f>
        <v>7.4088000000000003</v>
      </c>
      <c r="F409" s="61">
        <f>7.4088 * CHOOSE(CONTROL!$C$22, $C$13, 100%, $E$13)</f>
        <v>7.4088000000000003</v>
      </c>
      <c r="G409" s="61">
        <f>7.4108 * CHOOSE(CONTROL!$C$22, $C$13, 100%, $E$13)</f>
        <v>7.4108000000000001</v>
      </c>
      <c r="H409" s="61">
        <f>12.958* CHOOSE(CONTROL!$C$22, $C$13, 100%, $E$13)</f>
        <v>12.958</v>
      </c>
      <c r="I409" s="61">
        <f>12.96 * CHOOSE(CONTROL!$C$22, $C$13, 100%, $E$13)</f>
        <v>12.96</v>
      </c>
      <c r="J409" s="61">
        <f>7.4088 * CHOOSE(CONTROL!$C$22, $C$13, 100%, $E$13)</f>
        <v>7.4088000000000003</v>
      </c>
      <c r="K409" s="61">
        <f>7.4108 * CHOOSE(CONTROL!$C$22, $C$13, 100%, $E$13)</f>
        <v>7.4108000000000001</v>
      </c>
    </row>
    <row r="410" spans="1:11" ht="15">
      <c r="A410" s="13">
        <v>54332</v>
      </c>
      <c r="B410" s="60">
        <f>6.427 * CHOOSE(CONTROL!$C$22, $C$13, 100%, $E$13)</f>
        <v>6.4269999999999996</v>
      </c>
      <c r="C410" s="60">
        <f>6.427 * CHOOSE(CONTROL!$C$22, $C$13, 100%, $E$13)</f>
        <v>6.4269999999999996</v>
      </c>
      <c r="D410" s="60">
        <f>6.4433 * CHOOSE(CONTROL!$C$22, $C$13, 100%, $E$13)</f>
        <v>6.4432999999999998</v>
      </c>
      <c r="E410" s="61">
        <f>7.4291 * CHOOSE(CONTROL!$C$22, $C$13, 100%, $E$13)</f>
        <v>7.4291</v>
      </c>
      <c r="F410" s="61">
        <f>7.4291 * CHOOSE(CONTROL!$C$22, $C$13, 100%, $E$13)</f>
        <v>7.4291</v>
      </c>
      <c r="G410" s="61">
        <f>7.4293 * CHOOSE(CONTROL!$C$22, $C$13, 100%, $E$13)</f>
        <v>7.4292999999999996</v>
      </c>
      <c r="H410" s="61">
        <f>12.985* CHOOSE(CONTROL!$C$22, $C$13, 100%, $E$13)</f>
        <v>12.984999999999999</v>
      </c>
      <c r="I410" s="61">
        <f>12.9852 * CHOOSE(CONTROL!$C$22, $C$13, 100%, $E$13)</f>
        <v>12.985200000000001</v>
      </c>
      <c r="J410" s="61">
        <f>7.4291 * CHOOSE(CONTROL!$C$22, $C$13, 100%, $E$13)</f>
        <v>7.4291</v>
      </c>
      <c r="K410" s="61">
        <f>7.4293 * CHOOSE(CONTROL!$C$22, $C$13, 100%, $E$13)</f>
        <v>7.4292999999999996</v>
      </c>
    </row>
    <row r="411" spans="1:11" ht="15">
      <c r="A411" s="13">
        <v>54363</v>
      </c>
      <c r="B411" s="60">
        <f>6.43 * CHOOSE(CONTROL!$C$22, $C$13, 100%, $E$13)</f>
        <v>6.43</v>
      </c>
      <c r="C411" s="60">
        <f>6.43 * CHOOSE(CONTROL!$C$22, $C$13, 100%, $E$13)</f>
        <v>6.43</v>
      </c>
      <c r="D411" s="60">
        <f>6.4464 * CHOOSE(CONTROL!$C$22, $C$13, 100%, $E$13)</f>
        <v>6.4463999999999997</v>
      </c>
      <c r="E411" s="61">
        <f>7.4481 * CHOOSE(CONTROL!$C$22, $C$13, 100%, $E$13)</f>
        <v>7.4481000000000002</v>
      </c>
      <c r="F411" s="61">
        <f>7.4481 * CHOOSE(CONTROL!$C$22, $C$13, 100%, $E$13)</f>
        <v>7.4481000000000002</v>
      </c>
      <c r="G411" s="61">
        <f>7.4483 * CHOOSE(CONTROL!$C$22, $C$13, 100%, $E$13)</f>
        <v>7.4482999999999997</v>
      </c>
      <c r="H411" s="61">
        <f>13.0121* CHOOSE(CONTROL!$C$22, $C$13, 100%, $E$13)</f>
        <v>13.0121</v>
      </c>
      <c r="I411" s="61">
        <f>13.0122 * CHOOSE(CONTROL!$C$22, $C$13, 100%, $E$13)</f>
        <v>13.0122</v>
      </c>
      <c r="J411" s="61">
        <f>7.4481 * CHOOSE(CONTROL!$C$22, $C$13, 100%, $E$13)</f>
        <v>7.4481000000000002</v>
      </c>
      <c r="K411" s="61">
        <f>7.4483 * CHOOSE(CONTROL!$C$22, $C$13, 100%, $E$13)</f>
        <v>7.4482999999999997</v>
      </c>
    </row>
    <row r="412" spans="1:11" ht="15">
      <c r="A412" s="13">
        <v>54393</v>
      </c>
      <c r="B412" s="60">
        <f>6.43 * CHOOSE(CONTROL!$C$22, $C$13, 100%, $E$13)</f>
        <v>6.43</v>
      </c>
      <c r="C412" s="60">
        <f>6.43 * CHOOSE(CONTROL!$C$22, $C$13, 100%, $E$13)</f>
        <v>6.43</v>
      </c>
      <c r="D412" s="60">
        <f>6.4464 * CHOOSE(CONTROL!$C$22, $C$13, 100%, $E$13)</f>
        <v>6.4463999999999997</v>
      </c>
      <c r="E412" s="61">
        <f>7.4059 * CHOOSE(CONTROL!$C$22, $C$13, 100%, $E$13)</f>
        <v>7.4058999999999999</v>
      </c>
      <c r="F412" s="61">
        <f>7.4059 * CHOOSE(CONTROL!$C$22, $C$13, 100%, $E$13)</f>
        <v>7.4058999999999999</v>
      </c>
      <c r="G412" s="61">
        <f>7.4061 * CHOOSE(CONTROL!$C$22, $C$13, 100%, $E$13)</f>
        <v>7.4061000000000003</v>
      </c>
      <c r="H412" s="61">
        <f>13.0392* CHOOSE(CONTROL!$C$22, $C$13, 100%, $E$13)</f>
        <v>13.039199999999999</v>
      </c>
      <c r="I412" s="61">
        <f>13.0393 * CHOOSE(CONTROL!$C$22, $C$13, 100%, $E$13)</f>
        <v>13.039300000000001</v>
      </c>
      <c r="J412" s="61">
        <f>7.4059 * CHOOSE(CONTROL!$C$22, $C$13, 100%, $E$13)</f>
        <v>7.4058999999999999</v>
      </c>
      <c r="K412" s="61">
        <f>7.4061 * CHOOSE(CONTROL!$C$22, $C$13, 100%, $E$13)</f>
        <v>7.4061000000000003</v>
      </c>
    </row>
    <row r="413" spans="1:11" ht="15">
      <c r="A413" s="13">
        <v>54424</v>
      </c>
      <c r="B413" s="60">
        <f>6.4879 * CHOOSE(CONTROL!$C$22, $C$13, 100%, $E$13)</f>
        <v>6.4878999999999998</v>
      </c>
      <c r="C413" s="60">
        <f>6.4879 * CHOOSE(CONTROL!$C$22, $C$13, 100%, $E$13)</f>
        <v>6.4878999999999998</v>
      </c>
      <c r="D413" s="60">
        <f>6.5042 * CHOOSE(CONTROL!$C$22, $C$13, 100%, $E$13)</f>
        <v>6.5042</v>
      </c>
      <c r="E413" s="61">
        <f>7.5031 * CHOOSE(CONTROL!$C$22, $C$13, 100%, $E$13)</f>
        <v>7.5030999999999999</v>
      </c>
      <c r="F413" s="61">
        <f>7.5031 * CHOOSE(CONTROL!$C$22, $C$13, 100%, $E$13)</f>
        <v>7.5030999999999999</v>
      </c>
      <c r="G413" s="61">
        <f>7.5032 * CHOOSE(CONTROL!$C$22, $C$13, 100%, $E$13)</f>
        <v>7.5031999999999996</v>
      </c>
      <c r="H413" s="61">
        <f>13.0663* CHOOSE(CONTROL!$C$22, $C$13, 100%, $E$13)</f>
        <v>13.0663</v>
      </c>
      <c r="I413" s="61">
        <f>13.0665 * CHOOSE(CONTROL!$C$22, $C$13, 100%, $E$13)</f>
        <v>13.0665</v>
      </c>
      <c r="J413" s="61">
        <f>7.5031 * CHOOSE(CONTROL!$C$22, $C$13, 100%, $E$13)</f>
        <v>7.5030999999999999</v>
      </c>
      <c r="K413" s="61">
        <f>7.5032 * CHOOSE(CONTROL!$C$22, $C$13, 100%, $E$13)</f>
        <v>7.5031999999999996</v>
      </c>
    </row>
    <row r="414" spans="1:11" ht="15">
      <c r="A414" s="13">
        <v>54455</v>
      </c>
      <c r="B414" s="60">
        <f>6.4848 * CHOOSE(CONTROL!$C$22, $C$13, 100%, $E$13)</f>
        <v>6.4847999999999999</v>
      </c>
      <c r="C414" s="60">
        <f>6.4848 * CHOOSE(CONTROL!$C$22, $C$13, 100%, $E$13)</f>
        <v>6.4847999999999999</v>
      </c>
      <c r="D414" s="60">
        <f>6.5012 * CHOOSE(CONTROL!$C$22, $C$13, 100%, $E$13)</f>
        <v>6.5011999999999999</v>
      </c>
      <c r="E414" s="61">
        <f>7.419 * CHOOSE(CONTROL!$C$22, $C$13, 100%, $E$13)</f>
        <v>7.4189999999999996</v>
      </c>
      <c r="F414" s="61">
        <f>7.419 * CHOOSE(CONTROL!$C$22, $C$13, 100%, $E$13)</f>
        <v>7.4189999999999996</v>
      </c>
      <c r="G414" s="61">
        <f>7.4192 * CHOOSE(CONTROL!$C$22, $C$13, 100%, $E$13)</f>
        <v>7.4192</v>
      </c>
      <c r="H414" s="61">
        <f>13.0936* CHOOSE(CONTROL!$C$22, $C$13, 100%, $E$13)</f>
        <v>13.0936</v>
      </c>
      <c r="I414" s="61">
        <f>13.0937 * CHOOSE(CONTROL!$C$22, $C$13, 100%, $E$13)</f>
        <v>13.0937</v>
      </c>
      <c r="J414" s="61">
        <f>7.419 * CHOOSE(CONTROL!$C$22, $C$13, 100%, $E$13)</f>
        <v>7.4189999999999996</v>
      </c>
      <c r="K414" s="61">
        <f>7.4192 * CHOOSE(CONTROL!$C$22, $C$13, 100%, $E$13)</f>
        <v>7.4192</v>
      </c>
    </row>
    <row r="415" spans="1:11" ht="15">
      <c r="A415" s="13">
        <v>54483</v>
      </c>
      <c r="B415" s="60">
        <f>6.4818 * CHOOSE(CONTROL!$C$22, $C$13, 100%, $E$13)</f>
        <v>6.4817999999999998</v>
      </c>
      <c r="C415" s="60">
        <f>6.4818 * CHOOSE(CONTROL!$C$22, $C$13, 100%, $E$13)</f>
        <v>6.4817999999999998</v>
      </c>
      <c r="D415" s="60">
        <f>6.4981 * CHOOSE(CONTROL!$C$22, $C$13, 100%, $E$13)</f>
        <v>6.4981</v>
      </c>
      <c r="E415" s="61">
        <f>7.4815 * CHOOSE(CONTROL!$C$22, $C$13, 100%, $E$13)</f>
        <v>7.4814999999999996</v>
      </c>
      <c r="F415" s="61">
        <f>7.4815 * CHOOSE(CONTROL!$C$22, $C$13, 100%, $E$13)</f>
        <v>7.4814999999999996</v>
      </c>
      <c r="G415" s="61">
        <f>7.4817 * CHOOSE(CONTROL!$C$22, $C$13, 100%, $E$13)</f>
        <v>7.4817</v>
      </c>
      <c r="H415" s="61">
        <f>13.1208* CHOOSE(CONTROL!$C$22, $C$13, 100%, $E$13)</f>
        <v>13.120799999999999</v>
      </c>
      <c r="I415" s="61">
        <f>13.121 * CHOOSE(CONTROL!$C$22, $C$13, 100%, $E$13)</f>
        <v>13.121</v>
      </c>
      <c r="J415" s="61">
        <f>7.4815 * CHOOSE(CONTROL!$C$22, $C$13, 100%, $E$13)</f>
        <v>7.4814999999999996</v>
      </c>
      <c r="K415" s="61">
        <f>7.4817 * CHOOSE(CONTROL!$C$22, $C$13, 100%, $E$13)</f>
        <v>7.4817</v>
      </c>
    </row>
    <row r="416" spans="1:11" ht="15">
      <c r="A416" s="13">
        <v>54514</v>
      </c>
      <c r="B416" s="60">
        <f>6.4817 * CHOOSE(CONTROL!$C$22, $C$13, 100%, $E$13)</f>
        <v>6.4817</v>
      </c>
      <c r="C416" s="60">
        <f>6.4817 * CHOOSE(CONTROL!$C$22, $C$13, 100%, $E$13)</f>
        <v>6.4817</v>
      </c>
      <c r="D416" s="60">
        <f>6.498 * CHOOSE(CONTROL!$C$22, $C$13, 100%, $E$13)</f>
        <v>6.4980000000000002</v>
      </c>
      <c r="E416" s="61">
        <f>7.5466 * CHOOSE(CONTROL!$C$22, $C$13, 100%, $E$13)</f>
        <v>7.5465999999999998</v>
      </c>
      <c r="F416" s="61">
        <f>7.5466 * CHOOSE(CONTROL!$C$22, $C$13, 100%, $E$13)</f>
        <v>7.5465999999999998</v>
      </c>
      <c r="G416" s="61">
        <f>7.5468 * CHOOSE(CONTROL!$C$22, $C$13, 100%, $E$13)</f>
        <v>7.5468000000000002</v>
      </c>
      <c r="H416" s="61">
        <f>13.1482* CHOOSE(CONTROL!$C$22, $C$13, 100%, $E$13)</f>
        <v>13.148199999999999</v>
      </c>
      <c r="I416" s="61">
        <f>13.1483 * CHOOSE(CONTROL!$C$22, $C$13, 100%, $E$13)</f>
        <v>13.148300000000001</v>
      </c>
      <c r="J416" s="61">
        <f>7.5466 * CHOOSE(CONTROL!$C$22, $C$13, 100%, $E$13)</f>
        <v>7.5465999999999998</v>
      </c>
      <c r="K416" s="61">
        <f>7.5468 * CHOOSE(CONTROL!$C$22, $C$13, 100%, $E$13)</f>
        <v>7.5468000000000002</v>
      </c>
    </row>
    <row r="417" spans="1:11" ht="15">
      <c r="A417" s="13">
        <v>54544</v>
      </c>
      <c r="B417" s="60">
        <f>6.4817 * CHOOSE(CONTROL!$C$22, $C$13, 100%, $E$13)</f>
        <v>6.4817</v>
      </c>
      <c r="C417" s="60">
        <f>6.4817 * CHOOSE(CONTROL!$C$22, $C$13, 100%, $E$13)</f>
        <v>6.4817</v>
      </c>
      <c r="D417" s="60">
        <f>6.5143 * CHOOSE(CONTROL!$C$22, $C$13, 100%, $E$13)</f>
        <v>6.5143000000000004</v>
      </c>
      <c r="E417" s="61">
        <f>7.5726 * CHOOSE(CONTROL!$C$22, $C$13, 100%, $E$13)</f>
        <v>7.5726000000000004</v>
      </c>
      <c r="F417" s="61">
        <f>7.5726 * CHOOSE(CONTROL!$C$22, $C$13, 100%, $E$13)</f>
        <v>7.5726000000000004</v>
      </c>
      <c r="G417" s="61">
        <f>7.5747 * CHOOSE(CONTROL!$C$22, $C$13, 100%, $E$13)</f>
        <v>7.5747</v>
      </c>
      <c r="H417" s="61">
        <f>13.1756* CHOOSE(CONTROL!$C$22, $C$13, 100%, $E$13)</f>
        <v>13.175599999999999</v>
      </c>
      <c r="I417" s="61">
        <f>13.1776 * CHOOSE(CONTROL!$C$22, $C$13, 100%, $E$13)</f>
        <v>13.1776</v>
      </c>
      <c r="J417" s="61">
        <f>7.5726 * CHOOSE(CONTROL!$C$22, $C$13, 100%, $E$13)</f>
        <v>7.5726000000000004</v>
      </c>
      <c r="K417" s="61">
        <f>7.5747 * CHOOSE(CONTROL!$C$22, $C$13, 100%, $E$13)</f>
        <v>7.5747</v>
      </c>
    </row>
    <row r="418" spans="1:11" ht="15">
      <c r="A418" s="13">
        <v>54575</v>
      </c>
      <c r="B418" s="60">
        <f>6.4877 * CHOOSE(CONTROL!$C$22, $C$13, 100%, $E$13)</f>
        <v>6.4877000000000002</v>
      </c>
      <c r="C418" s="60">
        <f>6.4877 * CHOOSE(CONTROL!$C$22, $C$13, 100%, $E$13)</f>
        <v>6.4877000000000002</v>
      </c>
      <c r="D418" s="60">
        <f>6.5204 * CHOOSE(CONTROL!$C$22, $C$13, 100%, $E$13)</f>
        <v>6.5204000000000004</v>
      </c>
      <c r="E418" s="61">
        <f>7.5509 * CHOOSE(CONTROL!$C$22, $C$13, 100%, $E$13)</f>
        <v>7.5509000000000004</v>
      </c>
      <c r="F418" s="61">
        <f>7.5509 * CHOOSE(CONTROL!$C$22, $C$13, 100%, $E$13)</f>
        <v>7.5509000000000004</v>
      </c>
      <c r="G418" s="61">
        <f>7.5529 * CHOOSE(CONTROL!$C$22, $C$13, 100%, $E$13)</f>
        <v>7.5529000000000002</v>
      </c>
      <c r="H418" s="61">
        <f>13.203* CHOOSE(CONTROL!$C$22, $C$13, 100%, $E$13)</f>
        <v>13.202999999999999</v>
      </c>
      <c r="I418" s="61">
        <f>13.205 * CHOOSE(CONTROL!$C$22, $C$13, 100%, $E$13)</f>
        <v>13.205</v>
      </c>
      <c r="J418" s="61">
        <f>7.5509 * CHOOSE(CONTROL!$C$22, $C$13, 100%, $E$13)</f>
        <v>7.5509000000000004</v>
      </c>
      <c r="K418" s="61">
        <f>7.5529 * CHOOSE(CONTROL!$C$22, $C$13, 100%, $E$13)</f>
        <v>7.5529000000000002</v>
      </c>
    </row>
    <row r="419" spans="1:11" ht="15">
      <c r="A419" s="13">
        <v>54605</v>
      </c>
      <c r="B419" s="60">
        <f>6.5949 * CHOOSE(CONTROL!$C$22, $C$13, 100%, $E$13)</f>
        <v>6.5949</v>
      </c>
      <c r="C419" s="60">
        <f>6.5949 * CHOOSE(CONTROL!$C$22, $C$13, 100%, $E$13)</f>
        <v>6.5949</v>
      </c>
      <c r="D419" s="60">
        <f>6.6276 * CHOOSE(CONTROL!$C$22, $C$13, 100%, $E$13)</f>
        <v>6.6276000000000002</v>
      </c>
      <c r="E419" s="61">
        <f>7.7 * CHOOSE(CONTROL!$C$22, $C$13, 100%, $E$13)</f>
        <v>7.7</v>
      </c>
      <c r="F419" s="61">
        <f>7.7 * CHOOSE(CONTROL!$C$22, $C$13, 100%, $E$13)</f>
        <v>7.7</v>
      </c>
      <c r="G419" s="61">
        <f>7.7021 * CHOOSE(CONTROL!$C$22, $C$13, 100%, $E$13)</f>
        <v>7.7020999999999997</v>
      </c>
      <c r="H419" s="61">
        <f>13.2305* CHOOSE(CONTROL!$C$22, $C$13, 100%, $E$13)</f>
        <v>13.230499999999999</v>
      </c>
      <c r="I419" s="61">
        <f>13.2325 * CHOOSE(CONTROL!$C$22, $C$13, 100%, $E$13)</f>
        <v>13.2325</v>
      </c>
      <c r="J419" s="61">
        <f>7.7 * CHOOSE(CONTROL!$C$22, $C$13, 100%, $E$13)</f>
        <v>7.7</v>
      </c>
      <c r="K419" s="61">
        <f>7.7021 * CHOOSE(CONTROL!$C$22, $C$13, 100%, $E$13)</f>
        <v>7.7020999999999997</v>
      </c>
    </row>
    <row r="420" spans="1:11" ht="15">
      <c r="A420" s="13">
        <v>54636</v>
      </c>
      <c r="B420" s="60">
        <f>6.6016 * CHOOSE(CONTROL!$C$22, $C$13, 100%, $E$13)</f>
        <v>6.6016000000000004</v>
      </c>
      <c r="C420" s="60">
        <f>6.6016 * CHOOSE(CONTROL!$C$22, $C$13, 100%, $E$13)</f>
        <v>6.6016000000000004</v>
      </c>
      <c r="D420" s="60">
        <f>6.6343 * CHOOSE(CONTROL!$C$22, $C$13, 100%, $E$13)</f>
        <v>6.6342999999999996</v>
      </c>
      <c r="E420" s="61">
        <f>7.6266 * CHOOSE(CONTROL!$C$22, $C$13, 100%, $E$13)</f>
        <v>7.6265999999999998</v>
      </c>
      <c r="F420" s="61">
        <f>7.6266 * CHOOSE(CONTROL!$C$22, $C$13, 100%, $E$13)</f>
        <v>7.6265999999999998</v>
      </c>
      <c r="G420" s="61">
        <f>7.6287 * CHOOSE(CONTROL!$C$22, $C$13, 100%, $E$13)</f>
        <v>7.6287000000000003</v>
      </c>
      <c r="H420" s="61">
        <f>13.2581* CHOOSE(CONTROL!$C$22, $C$13, 100%, $E$13)</f>
        <v>13.258100000000001</v>
      </c>
      <c r="I420" s="61">
        <f>13.2601 * CHOOSE(CONTROL!$C$22, $C$13, 100%, $E$13)</f>
        <v>13.2601</v>
      </c>
      <c r="J420" s="61">
        <f>7.6266 * CHOOSE(CONTROL!$C$22, $C$13, 100%, $E$13)</f>
        <v>7.6265999999999998</v>
      </c>
      <c r="K420" s="61">
        <f>7.6287 * CHOOSE(CONTROL!$C$22, $C$13, 100%, $E$13)</f>
        <v>7.6287000000000003</v>
      </c>
    </row>
    <row r="421" spans="1:11" ht="15">
      <c r="A421" s="13">
        <v>54667</v>
      </c>
      <c r="B421" s="60">
        <f>6.5985 * CHOOSE(CONTROL!$C$22, $C$13, 100%, $E$13)</f>
        <v>6.5984999999999996</v>
      </c>
      <c r="C421" s="60">
        <f>6.5985 * CHOOSE(CONTROL!$C$22, $C$13, 100%, $E$13)</f>
        <v>6.5984999999999996</v>
      </c>
      <c r="D421" s="60">
        <f>6.6312 * CHOOSE(CONTROL!$C$22, $C$13, 100%, $E$13)</f>
        <v>6.6311999999999998</v>
      </c>
      <c r="E421" s="61">
        <f>7.6159 * CHOOSE(CONTROL!$C$22, $C$13, 100%, $E$13)</f>
        <v>7.6158999999999999</v>
      </c>
      <c r="F421" s="61">
        <f>7.6159 * CHOOSE(CONTROL!$C$22, $C$13, 100%, $E$13)</f>
        <v>7.6158999999999999</v>
      </c>
      <c r="G421" s="61">
        <f>7.6179 * CHOOSE(CONTROL!$C$22, $C$13, 100%, $E$13)</f>
        <v>7.6178999999999997</v>
      </c>
      <c r="H421" s="61">
        <f>13.2857* CHOOSE(CONTROL!$C$22, $C$13, 100%, $E$13)</f>
        <v>13.2857</v>
      </c>
      <c r="I421" s="61">
        <f>13.2877 * CHOOSE(CONTROL!$C$22, $C$13, 100%, $E$13)</f>
        <v>13.287699999999999</v>
      </c>
      <c r="J421" s="61">
        <f>7.6159 * CHOOSE(CONTROL!$C$22, $C$13, 100%, $E$13)</f>
        <v>7.6158999999999999</v>
      </c>
      <c r="K421" s="61">
        <f>7.6179 * CHOOSE(CONTROL!$C$22, $C$13, 100%, $E$13)</f>
        <v>7.6178999999999997</v>
      </c>
    </row>
    <row r="422" spans="1:11" ht="15">
      <c r="A422" s="13">
        <v>54697</v>
      </c>
      <c r="B422" s="60">
        <f>6.6025 * CHOOSE(CONTROL!$C$22, $C$13, 100%, $E$13)</f>
        <v>6.6025</v>
      </c>
      <c r="C422" s="60">
        <f>6.6025 * CHOOSE(CONTROL!$C$22, $C$13, 100%, $E$13)</f>
        <v>6.6025</v>
      </c>
      <c r="D422" s="60">
        <f>6.6189 * CHOOSE(CONTROL!$C$22, $C$13, 100%, $E$13)</f>
        <v>6.6189</v>
      </c>
      <c r="E422" s="61">
        <f>7.6371 * CHOOSE(CONTROL!$C$22, $C$13, 100%, $E$13)</f>
        <v>7.6371000000000002</v>
      </c>
      <c r="F422" s="61">
        <f>7.6371 * CHOOSE(CONTROL!$C$22, $C$13, 100%, $E$13)</f>
        <v>7.6371000000000002</v>
      </c>
      <c r="G422" s="61">
        <f>7.6373 * CHOOSE(CONTROL!$C$22, $C$13, 100%, $E$13)</f>
        <v>7.6372999999999998</v>
      </c>
      <c r="H422" s="61">
        <f>13.3134* CHOOSE(CONTROL!$C$22, $C$13, 100%, $E$13)</f>
        <v>13.3134</v>
      </c>
      <c r="I422" s="61">
        <f>13.3136 * CHOOSE(CONTROL!$C$22, $C$13, 100%, $E$13)</f>
        <v>13.313599999999999</v>
      </c>
      <c r="J422" s="61">
        <f>7.6371 * CHOOSE(CONTROL!$C$22, $C$13, 100%, $E$13)</f>
        <v>7.6371000000000002</v>
      </c>
      <c r="K422" s="61">
        <f>7.6373 * CHOOSE(CONTROL!$C$22, $C$13, 100%, $E$13)</f>
        <v>7.6372999999999998</v>
      </c>
    </row>
    <row r="423" spans="1:11" ht="15">
      <c r="A423" s="13">
        <v>54728</v>
      </c>
      <c r="B423" s="60">
        <f>6.6056 * CHOOSE(CONTROL!$C$22, $C$13, 100%, $E$13)</f>
        <v>6.6055999999999999</v>
      </c>
      <c r="C423" s="60">
        <f>6.6056 * CHOOSE(CONTROL!$C$22, $C$13, 100%, $E$13)</f>
        <v>6.6055999999999999</v>
      </c>
      <c r="D423" s="60">
        <f>6.6219 * CHOOSE(CONTROL!$C$22, $C$13, 100%, $E$13)</f>
        <v>6.6219000000000001</v>
      </c>
      <c r="E423" s="61">
        <f>7.6566 * CHOOSE(CONTROL!$C$22, $C$13, 100%, $E$13)</f>
        <v>7.6566000000000001</v>
      </c>
      <c r="F423" s="61">
        <f>7.6566 * CHOOSE(CONTROL!$C$22, $C$13, 100%, $E$13)</f>
        <v>7.6566000000000001</v>
      </c>
      <c r="G423" s="61">
        <f>7.6568 * CHOOSE(CONTROL!$C$22, $C$13, 100%, $E$13)</f>
        <v>7.6567999999999996</v>
      </c>
      <c r="H423" s="61">
        <f>13.3411* CHOOSE(CONTROL!$C$22, $C$13, 100%, $E$13)</f>
        <v>13.341100000000001</v>
      </c>
      <c r="I423" s="61">
        <f>13.3413 * CHOOSE(CONTROL!$C$22, $C$13, 100%, $E$13)</f>
        <v>13.3413</v>
      </c>
      <c r="J423" s="61">
        <f>7.6566 * CHOOSE(CONTROL!$C$22, $C$13, 100%, $E$13)</f>
        <v>7.6566000000000001</v>
      </c>
      <c r="K423" s="61">
        <f>7.6568 * CHOOSE(CONTROL!$C$22, $C$13, 100%, $E$13)</f>
        <v>7.6567999999999996</v>
      </c>
    </row>
    <row r="424" spans="1:11" ht="15">
      <c r="A424" s="13">
        <v>54758</v>
      </c>
      <c r="B424" s="60">
        <f>6.6056 * CHOOSE(CONTROL!$C$22, $C$13, 100%, $E$13)</f>
        <v>6.6055999999999999</v>
      </c>
      <c r="C424" s="60">
        <f>6.6056 * CHOOSE(CONTROL!$C$22, $C$13, 100%, $E$13)</f>
        <v>6.6055999999999999</v>
      </c>
      <c r="D424" s="60">
        <f>6.6219 * CHOOSE(CONTROL!$C$22, $C$13, 100%, $E$13)</f>
        <v>6.6219000000000001</v>
      </c>
      <c r="E424" s="61">
        <f>7.6132 * CHOOSE(CONTROL!$C$22, $C$13, 100%, $E$13)</f>
        <v>7.6132</v>
      </c>
      <c r="F424" s="61">
        <f>7.6132 * CHOOSE(CONTROL!$C$22, $C$13, 100%, $E$13)</f>
        <v>7.6132</v>
      </c>
      <c r="G424" s="61">
        <f>7.6134 * CHOOSE(CONTROL!$C$22, $C$13, 100%, $E$13)</f>
        <v>7.6134000000000004</v>
      </c>
      <c r="H424" s="61">
        <f>13.3689* CHOOSE(CONTROL!$C$22, $C$13, 100%, $E$13)</f>
        <v>13.3689</v>
      </c>
      <c r="I424" s="61">
        <f>13.3691 * CHOOSE(CONTROL!$C$22, $C$13, 100%, $E$13)</f>
        <v>13.3691</v>
      </c>
      <c r="J424" s="61">
        <f>7.6132 * CHOOSE(CONTROL!$C$22, $C$13, 100%, $E$13)</f>
        <v>7.6132</v>
      </c>
      <c r="K424" s="61">
        <f>7.6134 * CHOOSE(CONTROL!$C$22, $C$13, 100%, $E$13)</f>
        <v>7.6134000000000004</v>
      </c>
    </row>
    <row r="425" spans="1:11" ht="15">
      <c r="A425" s="13">
        <v>54789</v>
      </c>
      <c r="B425" s="60">
        <f>6.6648 * CHOOSE(CONTROL!$C$22, $C$13, 100%, $E$13)</f>
        <v>6.6647999999999996</v>
      </c>
      <c r="C425" s="60">
        <f>6.6648 * CHOOSE(CONTROL!$C$22, $C$13, 100%, $E$13)</f>
        <v>6.6647999999999996</v>
      </c>
      <c r="D425" s="60">
        <f>6.6812 * CHOOSE(CONTROL!$C$22, $C$13, 100%, $E$13)</f>
        <v>6.6811999999999996</v>
      </c>
      <c r="E425" s="61">
        <f>7.713 * CHOOSE(CONTROL!$C$22, $C$13, 100%, $E$13)</f>
        <v>7.7130000000000001</v>
      </c>
      <c r="F425" s="61">
        <f>7.713 * CHOOSE(CONTROL!$C$22, $C$13, 100%, $E$13)</f>
        <v>7.7130000000000001</v>
      </c>
      <c r="G425" s="61">
        <f>7.7132 * CHOOSE(CONTROL!$C$22, $C$13, 100%, $E$13)</f>
        <v>7.7131999999999996</v>
      </c>
      <c r="H425" s="61">
        <f>13.3968* CHOOSE(CONTROL!$C$22, $C$13, 100%, $E$13)</f>
        <v>13.396800000000001</v>
      </c>
      <c r="I425" s="61">
        <f>13.3969 * CHOOSE(CONTROL!$C$22, $C$13, 100%, $E$13)</f>
        <v>13.3969</v>
      </c>
      <c r="J425" s="61">
        <f>7.713 * CHOOSE(CONTROL!$C$22, $C$13, 100%, $E$13)</f>
        <v>7.7130000000000001</v>
      </c>
      <c r="K425" s="61">
        <f>7.7132 * CHOOSE(CONTROL!$C$22, $C$13, 100%, $E$13)</f>
        <v>7.7131999999999996</v>
      </c>
    </row>
    <row r="426" spans="1:11" ht="15">
      <c r="A426" s="13">
        <v>54820</v>
      </c>
      <c r="B426" s="60">
        <f>6.6618 * CHOOSE(CONTROL!$C$22, $C$13, 100%, $E$13)</f>
        <v>6.6618000000000004</v>
      </c>
      <c r="C426" s="60">
        <f>6.6618 * CHOOSE(CONTROL!$C$22, $C$13, 100%, $E$13)</f>
        <v>6.6618000000000004</v>
      </c>
      <c r="D426" s="60">
        <f>6.6781 * CHOOSE(CONTROL!$C$22, $C$13, 100%, $E$13)</f>
        <v>6.6780999999999997</v>
      </c>
      <c r="E426" s="61">
        <f>7.6267 * CHOOSE(CONTROL!$C$22, $C$13, 100%, $E$13)</f>
        <v>7.6266999999999996</v>
      </c>
      <c r="F426" s="61">
        <f>7.6267 * CHOOSE(CONTROL!$C$22, $C$13, 100%, $E$13)</f>
        <v>7.6266999999999996</v>
      </c>
      <c r="G426" s="61">
        <f>7.6268 * CHOOSE(CONTROL!$C$22, $C$13, 100%, $E$13)</f>
        <v>7.6268000000000002</v>
      </c>
      <c r="H426" s="61">
        <f>13.4247* CHOOSE(CONTROL!$C$22, $C$13, 100%, $E$13)</f>
        <v>13.4247</v>
      </c>
      <c r="I426" s="61">
        <f>13.4248 * CHOOSE(CONTROL!$C$22, $C$13, 100%, $E$13)</f>
        <v>13.424799999999999</v>
      </c>
      <c r="J426" s="61">
        <f>7.6267 * CHOOSE(CONTROL!$C$22, $C$13, 100%, $E$13)</f>
        <v>7.6266999999999996</v>
      </c>
      <c r="K426" s="61">
        <f>7.6268 * CHOOSE(CONTROL!$C$22, $C$13, 100%, $E$13)</f>
        <v>7.6268000000000002</v>
      </c>
    </row>
    <row r="427" spans="1:11" ht="15">
      <c r="A427" s="13">
        <v>54848</v>
      </c>
      <c r="B427" s="60">
        <f>6.6588 * CHOOSE(CONTROL!$C$22, $C$13, 100%, $E$13)</f>
        <v>6.6588000000000003</v>
      </c>
      <c r="C427" s="60">
        <f>6.6588 * CHOOSE(CONTROL!$C$22, $C$13, 100%, $E$13)</f>
        <v>6.6588000000000003</v>
      </c>
      <c r="D427" s="60">
        <f>6.6751 * CHOOSE(CONTROL!$C$22, $C$13, 100%, $E$13)</f>
        <v>6.6750999999999996</v>
      </c>
      <c r="E427" s="61">
        <f>7.691 * CHOOSE(CONTROL!$C$22, $C$13, 100%, $E$13)</f>
        <v>7.6909999999999998</v>
      </c>
      <c r="F427" s="61">
        <f>7.691 * CHOOSE(CONTROL!$C$22, $C$13, 100%, $E$13)</f>
        <v>7.6909999999999998</v>
      </c>
      <c r="G427" s="61">
        <f>7.6911 * CHOOSE(CONTROL!$C$22, $C$13, 100%, $E$13)</f>
        <v>7.6910999999999996</v>
      </c>
      <c r="H427" s="61">
        <f>13.4526* CHOOSE(CONTROL!$C$22, $C$13, 100%, $E$13)</f>
        <v>13.4526</v>
      </c>
      <c r="I427" s="61">
        <f>13.4528 * CHOOSE(CONTROL!$C$22, $C$13, 100%, $E$13)</f>
        <v>13.4528</v>
      </c>
      <c r="J427" s="61">
        <f>7.691 * CHOOSE(CONTROL!$C$22, $C$13, 100%, $E$13)</f>
        <v>7.6909999999999998</v>
      </c>
      <c r="K427" s="61">
        <f>7.6911 * CHOOSE(CONTROL!$C$22, $C$13, 100%, $E$13)</f>
        <v>7.6910999999999996</v>
      </c>
    </row>
    <row r="428" spans="1:11" ht="15">
      <c r="A428" s="13">
        <v>54879</v>
      </c>
      <c r="B428" s="60">
        <f>6.6588 * CHOOSE(CONTROL!$C$22, $C$13, 100%, $E$13)</f>
        <v>6.6588000000000003</v>
      </c>
      <c r="C428" s="60">
        <f>6.6588 * CHOOSE(CONTROL!$C$22, $C$13, 100%, $E$13)</f>
        <v>6.6588000000000003</v>
      </c>
      <c r="D428" s="60">
        <f>6.6751 * CHOOSE(CONTROL!$C$22, $C$13, 100%, $E$13)</f>
        <v>6.6750999999999996</v>
      </c>
      <c r="E428" s="61">
        <f>7.758 * CHOOSE(CONTROL!$C$22, $C$13, 100%, $E$13)</f>
        <v>7.758</v>
      </c>
      <c r="F428" s="61">
        <f>7.758 * CHOOSE(CONTROL!$C$22, $C$13, 100%, $E$13)</f>
        <v>7.758</v>
      </c>
      <c r="G428" s="61">
        <f>7.7582 * CHOOSE(CONTROL!$C$22, $C$13, 100%, $E$13)</f>
        <v>7.7582000000000004</v>
      </c>
      <c r="H428" s="61">
        <f>13.4807* CHOOSE(CONTROL!$C$22, $C$13, 100%, $E$13)</f>
        <v>13.480700000000001</v>
      </c>
      <c r="I428" s="61">
        <f>13.4808 * CHOOSE(CONTROL!$C$22, $C$13, 100%, $E$13)</f>
        <v>13.4808</v>
      </c>
      <c r="J428" s="61">
        <f>7.758 * CHOOSE(CONTROL!$C$22, $C$13, 100%, $E$13)</f>
        <v>7.758</v>
      </c>
      <c r="K428" s="61">
        <f>7.7582 * CHOOSE(CONTROL!$C$22, $C$13, 100%, $E$13)</f>
        <v>7.7582000000000004</v>
      </c>
    </row>
    <row r="429" spans="1:11" ht="15">
      <c r="A429" s="13">
        <v>54909</v>
      </c>
      <c r="B429" s="60">
        <f>6.6588 * CHOOSE(CONTROL!$C$22, $C$13, 100%, $E$13)</f>
        <v>6.6588000000000003</v>
      </c>
      <c r="C429" s="60">
        <f>6.6588 * CHOOSE(CONTROL!$C$22, $C$13, 100%, $E$13)</f>
        <v>6.6588000000000003</v>
      </c>
      <c r="D429" s="60">
        <f>6.6915 * CHOOSE(CONTROL!$C$22, $C$13, 100%, $E$13)</f>
        <v>6.6914999999999996</v>
      </c>
      <c r="E429" s="61">
        <f>7.7848 * CHOOSE(CONTROL!$C$22, $C$13, 100%, $E$13)</f>
        <v>7.7847999999999997</v>
      </c>
      <c r="F429" s="61">
        <f>7.7848 * CHOOSE(CONTROL!$C$22, $C$13, 100%, $E$13)</f>
        <v>7.7847999999999997</v>
      </c>
      <c r="G429" s="61">
        <f>7.7868 * CHOOSE(CONTROL!$C$22, $C$13, 100%, $E$13)</f>
        <v>7.7868000000000004</v>
      </c>
      <c r="H429" s="61">
        <f>13.5087* CHOOSE(CONTROL!$C$22, $C$13, 100%, $E$13)</f>
        <v>13.508699999999999</v>
      </c>
      <c r="I429" s="61">
        <f>13.5108 * CHOOSE(CONTROL!$C$22, $C$13, 100%, $E$13)</f>
        <v>13.5108</v>
      </c>
      <c r="J429" s="61">
        <f>7.7848 * CHOOSE(CONTROL!$C$22, $C$13, 100%, $E$13)</f>
        <v>7.7847999999999997</v>
      </c>
      <c r="K429" s="61">
        <f>7.7868 * CHOOSE(CONTROL!$C$22, $C$13, 100%, $E$13)</f>
        <v>7.7868000000000004</v>
      </c>
    </row>
    <row r="430" spans="1:11" ht="15">
      <c r="A430" s="13">
        <v>54940</v>
      </c>
      <c r="B430" s="60">
        <f>6.6649 * CHOOSE(CONTROL!$C$22, $C$13, 100%, $E$13)</f>
        <v>6.6649000000000003</v>
      </c>
      <c r="C430" s="60">
        <f>6.6649 * CHOOSE(CONTROL!$C$22, $C$13, 100%, $E$13)</f>
        <v>6.6649000000000003</v>
      </c>
      <c r="D430" s="60">
        <f>6.6975 * CHOOSE(CONTROL!$C$22, $C$13, 100%, $E$13)</f>
        <v>6.6974999999999998</v>
      </c>
      <c r="E430" s="61">
        <f>7.7623 * CHOOSE(CONTROL!$C$22, $C$13, 100%, $E$13)</f>
        <v>7.7622999999999998</v>
      </c>
      <c r="F430" s="61">
        <f>7.7623 * CHOOSE(CONTROL!$C$22, $C$13, 100%, $E$13)</f>
        <v>7.7622999999999998</v>
      </c>
      <c r="G430" s="61">
        <f>7.7643 * CHOOSE(CONTROL!$C$22, $C$13, 100%, $E$13)</f>
        <v>7.7643000000000004</v>
      </c>
      <c r="H430" s="61">
        <f>13.5369* CHOOSE(CONTROL!$C$22, $C$13, 100%, $E$13)</f>
        <v>13.536899999999999</v>
      </c>
      <c r="I430" s="61">
        <f>13.5389 * CHOOSE(CONTROL!$C$22, $C$13, 100%, $E$13)</f>
        <v>13.5389</v>
      </c>
      <c r="J430" s="61">
        <f>7.7623 * CHOOSE(CONTROL!$C$22, $C$13, 100%, $E$13)</f>
        <v>7.7622999999999998</v>
      </c>
      <c r="K430" s="61">
        <f>7.7643 * CHOOSE(CONTROL!$C$22, $C$13, 100%, $E$13)</f>
        <v>7.7643000000000004</v>
      </c>
    </row>
    <row r="431" spans="1:11" ht="15">
      <c r="A431" s="13">
        <v>54970</v>
      </c>
      <c r="B431" s="60">
        <f>6.7747 * CHOOSE(CONTROL!$C$22, $C$13, 100%, $E$13)</f>
        <v>6.7747000000000002</v>
      </c>
      <c r="C431" s="60">
        <f>6.7747 * CHOOSE(CONTROL!$C$22, $C$13, 100%, $E$13)</f>
        <v>6.7747000000000002</v>
      </c>
      <c r="D431" s="60">
        <f>6.8073 * CHOOSE(CONTROL!$C$22, $C$13, 100%, $E$13)</f>
        <v>6.8072999999999997</v>
      </c>
      <c r="E431" s="61">
        <f>7.9154 * CHOOSE(CONTROL!$C$22, $C$13, 100%, $E$13)</f>
        <v>7.9154</v>
      </c>
      <c r="F431" s="61">
        <f>7.9154 * CHOOSE(CONTROL!$C$22, $C$13, 100%, $E$13)</f>
        <v>7.9154</v>
      </c>
      <c r="G431" s="61">
        <f>7.9174 * CHOOSE(CONTROL!$C$22, $C$13, 100%, $E$13)</f>
        <v>7.9173999999999998</v>
      </c>
      <c r="H431" s="61">
        <f>13.5651* CHOOSE(CONTROL!$C$22, $C$13, 100%, $E$13)</f>
        <v>13.565099999999999</v>
      </c>
      <c r="I431" s="61">
        <f>13.5671 * CHOOSE(CONTROL!$C$22, $C$13, 100%, $E$13)</f>
        <v>13.5671</v>
      </c>
      <c r="J431" s="61">
        <f>7.9154 * CHOOSE(CONTROL!$C$22, $C$13, 100%, $E$13)</f>
        <v>7.9154</v>
      </c>
      <c r="K431" s="61">
        <f>7.9174 * CHOOSE(CONTROL!$C$22, $C$13, 100%, $E$13)</f>
        <v>7.9173999999999998</v>
      </c>
    </row>
    <row r="432" spans="1:11" ht="15">
      <c r="A432" s="13">
        <v>55001</v>
      </c>
      <c r="B432" s="60">
        <f>6.7813 * CHOOSE(CONTROL!$C$22, $C$13, 100%, $E$13)</f>
        <v>6.7812999999999999</v>
      </c>
      <c r="C432" s="60">
        <f>6.7813 * CHOOSE(CONTROL!$C$22, $C$13, 100%, $E$13)</f>
        <v>6.7812999999999999</v>
      </c>
      <c r="D432" s="60">
        <f>6.814 * CHOOSE(CONTROL!$C$22, $C$13, 100%, $E$13)</f>
        <v>6.8140000000000001</v>
      </c>
      <c r="E432" s="61">
        <f>7.8398 * CHOOSE(CONTROL!$C$22, $C$13, 100%, $E$13)</f>
        <v>7.8398000000000003</v>
      </c>
      <c r="F432" s="61">
        <f>7.8398 * CHOOSE(CONTROL!$C$22, $C$13, 100%, $E$13)</f>
        <v>7.8398000000000003</v>
      </c>
      <c r="G432" s="61">
        <f>7.8418 * CHOOSE(CONTROL!$C$22, $C$13, 100%, $E$13)</f>
        <v>7.8418000000000001</v>
      </c>
      <c r="H432" s="61">
        <f>13.5934* CHOOSE(CONTROL!$C$22, $C$13, 100%, $E$13)</f>
        <v>13.593400000000001</v>
      </c>
      <c r="I432" s="61">
        <f>13.5954 * CHOOSE(CONTROL!$C$22, $C$13, 100%, $E$13)</f>
        <v>13.5954</v>
      </c>
      <c r="J432" s="61">
        <f>7.8398 * CHOOSE(CONTROL!$C$22, $C$13, 100%, $E$13)</f>
        <v>7.8398000000000003</v>
      </c>
      <c r="K432" s="61">
        <f>7.8418 * CHOOSE(CONTROL!$C$22, $C$13, 100%, $E$13)</f>
        <v>7.8418000000000001</v>
      </c>
    </row>
    <row r="433" spans="1:11" ht="15">
      <c r="A433" s="13">
        <v>55032</v>
      </c>
      <c r="B433" s="60">
        <f>6.7783 * CHOOSE(CONTROL!$C$22, $C$13, 100%, $E$13)</f>
        <v>6.7782999999999998</v>
      </c>
      <c r="C433" s="60">
        <f>6.7783 * CHOOSE(CONTROL!$C$22, $C$13, 100%, $E$13)</f>
        <v>6.7782999999999998</v>
      </c>
      <c r="D433" s="60">
        <f>6.811 * CHOOSE(CONTROL!$C$22, $C$13, 100%, $E$13)</f>
        <v>6.8109999999999999</v>
      </c>
      <c r="E433" s="61">
        <f>7.8288 * CHOOSE(CONTROL!$C$22, $C$13, 100%, $E$13)</f>
        <v>7.8288000000000002</v>
      </c>
      <c r="F433" s="61">
        <f>7.8288 * CHOOSE(CONTROL!$C$22, $C$13, 100%, $E$13)</f>
        <v>7.8288000000000002</v>
      </c>
      <c r="G433" s="61">
        <f>7.8308 * CHOOSE(CONTROL!$C$22, $C$13, 100%, $E$13)</f>
        <v>7.8308</v>
      </c>
      <c r="H433" s="61">
        <f>13.6217* CHOOSE(CONTROL!$C$22, $C$13, 100%, $E$13)</f>
        <v>13.621700000000001</v>
      </c>
      <c r="I433" s="61">
        <f>13.6237 * CHOOSE(CONTROL!$C$22, $C$13, 100%, $E$13)</f>
        <v>13.623699999999999</v>
      </c>
      <c r="J433" s="61">
        <f>7.8288 * CHOOSE(CONTROL!$C$22, $C$13, 100%, $E$13)</f>
        <v>7.8288000000000002</v>
      </c>
      <c r="K433" s="61">
        <f>7.8308 * CHOOSE(CONTROL!$C$22, $C$13, 100%, $E$13)</f>
        <v>7.8308</v>
      </c>
    </row>
    <row r="434" spans="1:11" ht="15">
      <c r="A434" s="13">
        <v>55062</v>
      </c>
      <c r="B434" s="60">
        <f>6.7829 * CHOOSE(CONTROL!$C$22, $C$13, 100%, $E$13)</f>
        <v>6.7828999999999997</v>
      </c>
      <c r="C434" s="60">
        <f>6.7829 * CHOOSE(CONTROL!$C$22, $C$13, 100%, $E$13)</f>
        <v>6.7828999999999997</v>
      </c>
      <c r="D434" s="60">
        <f>6.7992 * CHOOSE(CONTROL!$C$22, $C$13, 100%, $E$13)</f>
        <v>6.7991999999999999</v>
      </c>
      <c r="E434" s="61">
        <f>7.851 * CHOOSE(CONTROL!$C$22, $C$13, 100%, $E$13)</f>
        <v>7.851</v>
      </c>
      <c r="F434" s="61">
        <f>7.851 * CHOOSE(CONTROL!$C$22, $C$13, 100%, $E$13)</f>
        <v>7.851</v>
      </c>
      <c r="G434" s="61">
        <f>7.8512 * CHOOSE(CONTROL!$C$22, $C$13, 100%, $E$13)</f>
        <v>7.8512000000000004</v>
      </c>
      <c r="H434" s="61">
        <f>13.6501* CHOOSE(CONTROL!$C$22, $C$13, 100%, $E$13)</f>
        <v>13.6501</v>
      </c>
      <c r="I434" s="61">
        <f>13.6502 * CHOOSE(CONTROL!$C$22, $C$13, 100%, $E$13)</f>
        <v>13.6502</v>
      </c>
      <c r="J434" s="61">
        <f>7.851 * CHOOSE(CONTROL!$C$22, $C$13, 100%, $E$13)</f>
        <v>7.851</v>
      </c>
      <c r="K434" s="61">
        <f>7.8512 * CHOOSE(CONTROL!$C$22, $C$13, 100%, $E$13)</f>
        <v>7.8512000000000004</v>
      </c>
    </row>
    <row r="435" spans="1:11" ht="15">
      <c r="A435" s="13">
        <v>55093</v>
      </c>
      <c r="B435" s="60">
        <f>6.7859 * CHOOSE(CONTROL!$C$22, $C$13, 100%, $E$13)</f>
        <v>6.7858999999999998</v>
      </c>
      <c r="C435" s="60">
        <f>6.7859 * CHOOSE(CONTROL!$C$22, $C$13, 100%, $E$13)</f>
        <v>6.7858999999999998</v>
      </c>
      <c r="D435" s="60">
        <f>6.8022 * CHOOSE(CONTROL!$C$22, $C$13, 100%, $E$13)</f>
        <v>6.8022</v>
      </c>
      <c r="E435" s="61">
        <f>7.8709 * CHOOSE(CONTROL!$C$22, $C$13, 100%, $E$13)</f>
        <v>7.8708999999999998</v>
      </c>
      <c r="F435" s="61">
        <f>7.8709 * CHOOSE(CONTROL!$C$22, $C$13, 100%, $E$13)</f>
        <v>7.8708999999999998</v>
      </c>
      <c r="G435" s="61">
        <f>7.8711 * CHOOSE(CONTROL!$C$22, $C$13, 100%, $E$13)</f>
        <v>7.8711000000000002</v>
      </c>
      <c r="H435" s="61">
        <f>13.6785* CHOOSE(CONTROL!$C$22, $C$13, 100%, $E$13)</f>
        <v>13.6785</v>
      </c>
      <c r="I435" s="61">
        <f>13.6787 * CHOOSE(CONTROL!$C$22, $C$13, 100%, $E$13)</f>
        <v>13.678699999999999</v>
      </c>
      <c r="J435" s="61">
        <f>7.8709 * CHOOSE(CONTROL!$C$22, $C$13, 100%, $E$13)</f>
        <v>7.8708999999999998</v>
      </c>
      <c r="K435" s="61">
        <f>7.8711 * CHOOSE(CONTROL!$C$22, $C$13, 100%, $E$13)</f>
        <v>7.8711000000000002</v>
      </c>
    </row>
    <row r="436" spans="1:11" ht="15">
      <c r="A436" s="13">
        <v>55123</v>
      </c>
      <c r="B436" s="60">
        <f>6.7859 * CHOOSE(CONTROL!$C$22, $C$13, 100%, $E$13)</f>
        <v>6.7858999999999998</v>
      </c>
      <c r="C436" s="60">
        <f>6.7859 * CHOOSE(CONTROL!$C$22, $C$13, 100%, $E$13)</f>
        <v>6.7858999999999998</v>
      </c>
      <c r="D436" s="60">
        <f>6.8022 * CHOOSE(CONTROL!$C$22, $C$13, 100%, $E$13)</f>
        <v>6.8022</v>
      </c>
      <c r="E436" s="61">
        <f>7.8264 * CHOOSE(CONTROL!$C$22, $C$13, 100%, $E$13)</f>
        <v>7.8263999999999996</v>
      </c>
      <c r="F436" s="61">
        <f>7.8264 * CHOOSE(CONTROL!$C$22, $C$13, 100%, $E$13)</f>
        <v>7.8263999999999996</v>
      </c>
      <c r="G436" s="61">
        <f>7.8265 * CHOOSE(CONTROL!$C$22, $C$13, 100%, $E$13)</f>
        <v>7.8265000000000002</v>
      </c>
      <c r="H436" s="61">
        <f>13.707* CHOOSE(CONTROL!$C$22, $C$13, 100%, $E$13)</f>
        <v>13.707000000000001</v>
      </c>
      <c r="I436" s="61">
        <f>13.7072 * CHOOSE(CONTROL!$C$22, $C$13, 100%, $E$13)</f>
        <v>13.7072</v>
      </c>
      <c r="J436" s="61">
        <f>7.8264 * CHOOSE(CONTROL!$C$22, $C$13, 100%, $E$13)</f>
        <v>7.8263999999999996</v>
      </c>
      <c r="K436" s="61">
        <f>7.8265 * CHOOSE(CONTROL!$C$22, $C$13, 100%, $E$13)</f>
        <v>7.8265000000000002</v>
      </c>
    </row>
    <row r="437" spans="1:11" ht="15">
      <c r="A437" s="13">
        <v>55154</v>
      </c>
      <c r="B437" s="60">
        <f>6.8467 * CHOOSE(CONTROL!$C$22, $C$13, 100%, $E$13)</f>
        <v>6.8467000000000002</v>
      </c>
      <c r="C437" s="60">
        <f>6.8467 * CHOOSE(CONTROL!$C$22, $C$13, 100%, $E$13)</f>
        <v>6.8467000000000002</v>
      </c>
      <c r="D437" s="60">
        <f>6.863 * CHOOSE(CONTROL!$C$22, $C$13, 100%, $E$13)</f>
        <v>6.8630000000000004</v>
      </c>
      <c r="E437" s="61">
        <f>7.9289 * CHOOSE(CONTROL!$C$22, $C$13, 100%, $E$13)</f>
        <v>7.9288999999999996</v>
      </c>
      <c r="F437" s="61">
        <f>7.9289 * CHOOSE(CONTROL!$C$22, $C$13, 100%, $E$13)</f>
        <v>7.9288999999999996</v>
      </c>
      <c r="G437" s="61">
        <f>7.929 * CHOOSE(CONTROL!$C$22, $C$13, 100%, $E$13)</f>
        <v>7.9290000000000003</v>
      </c>
      <c r="H437" s="61">
        <f>13.7355* CHOOSE(CONTROL!$C$22, $C$13, 100%, $E$13)</f>
        <v>13.7355</v>
      </c>
      <c r="I437" s="61">
        <f>13.7357 * CHOOSE(CONTROL!$C$22, $C$13, 100%, $E$13)</f>
        <v>13.7357</v>
      </c>
      <c r="J437" s="61">
        <f>7.9289 * CHOOSE(CONTROL!$C$22, $C$13, 100%, $E$13)</f>
        <v>7.9288999999999996</v>
      </c>
      <c r="K437" s="61">
        <f>7.929 * CHOOSE(CONTROL!$C$22, $C$13, 100%, $E$13)</f>
        <v>7.9290000000000003</v>
      </c>
    </row>
    <row r="438" spans="1:11" ht="15">
      <c r="A438" s="13">
        <v>55185</v>
      </c>
      <c r="B438" s="60">
        <f>6.8437 * CHOOSE(CONTROL!$C$22, $C$13, 100%, $E$13)</f>
        <v>6.8437000000000001</v>
      </c>
      <c r="C438" s="60">
        <f>6.8437 * CHOOSE(CONTROL!$C$22, $C$13, 100%, $E$13)</f>
        <v>6.8437000000000001</v>
      </c>
      <c r="D438" s="60">
        <f>6.86 * CHOOSE(CONTROL!$C$22, $C$13, 100%, $E$13)</f>
        <v>6.86</v>
      </c>
      <c r="E438" s="61">
        <f>7.8401 * CHOOSE(CONTROL!$C$22, $C$13, 100%, $E$13)</f>
        <v>7.8400999999999996</v>
      </c>
      <c r="F438" s="61">
        <f>7.8401 * CHOOSE(CONTROL!$C$22, $C$13, 100%, $E$13)</f>
        <v>7.8400999999999996</v>
      </c>
      <c r="G438" s="61">
        <f>7.8403 * CHOOSE(CONTROL!$C$22, $C$13, 100%, $E$13)</f>
        <v>7.8403</v>
      </c>
      <c r="H438" s="61">
        <f>13.7642* CHOOSE(CONTROL!$C$22, $C$13, 100%, $E$13)</f>
        <v>13.764200000000001</v>
      </c>
      <c r="I438" s="61">
        <f>13.7643 * CHOOSE(CONTROL!$C$22, $C$13, 100%, $E$13)</f>
        <v>13.7643</v>
      </c>
      <c r="J438" s="61">
        <f>7.8401 * CHOOSE(CONTROL!$C$22, $C$13, 100%, $E$13)</f>
        <v>7.8400999999999996</v>
      </c>
      <c r="K438" s="61">
        <f>7.8403 * CHOOSE(CONTROL!$C$22, $C$13, 100%, $E$13)</f>
        <v>7.8403</v>
      </c>
    </row>
    <row r="439" spans="1:11" ht="15">
      <c r="A439" s="13">
        <v>55213</v>
      </c>
      <c r="B439" s="60">
        <f>6.8406 * CHOOSE(CONTROL!$C$22, $C$13, 100%, $E$13)</f>
        <v>6.8406000000000002</v>
      </c>
      <c r="C439" s="60">
        <f>6.8406 * CHOOSE(CONTROL!$C$22, $C$13, 100%, $E$13)</f>
        <v>6.8406000000000002</v>
      </c>
      <c r="D439" s="60">
        <f>6.857 * CHOOSE(CONTROL!$C$22, $C$13, 100%, $E$13)</f>
        <v>6.8570000000000002</v>
      </c>
      <c r="E439" s="61">
        <f>7.9063 * CHOOSE(CONTROL!$C$22, $C$13, 100%, $E$13)</f>
        <v>7.9062999999999999</v>
      </c>
      <c r="F439" s="61">
        <f>7.9063 * CHOOSE(CONTROL!$C$22, $C$13, 100%, $E$13)</f>
        <v>7.9062999999999999</v>
      </c>
      <c r="G439" s="61">
        <f>7.9065 * CHOOSE(CONTROL!$C$22, $C$13, 100%, $E$13)</f>
        <v>7.9065000000000003</v>
      </c>
      <c r="H439" s="61">
        <f>13.7928* CHOOSE(CONTROL!$C$22, $C$13, 100%, $E$13)</f>
        <v>13.7928</v>
      </c>
      <c r="I439" s="61">
        <f>13.793 * CHOOSE(CONTROL!$C$22, $C$13, 100%, $E$13)</f>
        <v>13.792999999999999</v>
      </c>
      <c r="J439" s="61">
        <f>7.9063 * CHOOSE(CONTROL!$C$22, $C$13, 100%, $E$13)</f>
        <v>7.9062999999999999</v>
      </c>
      <c r="K439" s="61">
        <f>7.9065 * CHOOSE(CONTROL!$C$22, $C$13, 100%, $E$13)</f>
        <v>7.9065000000000003</v>
      </c>
    </row>
    <row r="440" spans="1:11" ht="15">
      <c r="A440" s="13">
        <v>55244</v>
      </c>
      <c r="B440" s="60">
        <f>6.8408 * CHOOSE(CONTROL!$C$22, $C$13, 100%, $E$13)</f>
        <v>6.8407999999999998</v>
      </c>
      <c r="C440" s="60">
        <f>6.8408 * CHOOSE(CONTROL!$C$22, $C$13, 100%, $E$13)</f>
        <v>6.8407999999999998</v>
      </c>
      <c r="D440" s="60">
        <f>6.8571 * CHOOSE(CONTROL!$C$22, $C$13, 100%, $E$13)</f>
        <v>6.8571</v>
      </c>
      <c r="E440" s="61">
        <f>7.9754 * CHOOSE(CONTROL!$C$22, $C$13, 100%, $E$13)</f>
        <v>7.9753999999999996</v>
      </c>
      <c r="F440" s="61">
        <f>7.9754 * CHOOSE(CONTROL!$C$22, $C$13, 100%, $E$13)</f>
        <v>7.9753999999999996</v>
      </c>
      <c r="G440" s="61">
        <f>7.9756 * CHOOSE(CONTROL!$C$22, $C$13, 100%, $E$13)</f>
        <v>7.9756</v>
      </c>
      <c r="H440" s="61">
        <f>13.8216* CHOOSE(CONTROL!$C$22, $C$13, 100%, $E$13)</f>
        <v>13.8216</v>
      </c>
      <c r="I440" s="61">
        <f>13.8217 * CHOOSE(CONTROL!$C$22, $C$13, 100%, $E$13)</f>
        <v>13.8217</v>
      </c>
      <c r="J440" s="61">
        <f>7.9754 * CHOOSE(CONTROL!$C$22, $C$13, 100%, $E$13)</f>
        <v>7.9753999999999996</v>
      </c>
      <c r="K440" s="61">
        <f>7.9756 * CHOOSE(CONTROL!$C$22, $C$13, 100%, $E$13)</f>
        <v>7.9756</v>
      </c>
    </row>
    <row r="441" spans="1:11" ht="15">
      <c r="A441" s="13">
        <v>55274</v>
      </c>
      <c r="B441" s="60">
        <f>6.8408 * CHOOSE(CONTROL!$C$22, $C$13, 100%, $E$13)</f>
        <v>6.8407999999999998</v>
      </c>
      <c r="C441" s="60">
        <f>6.8408 * CHOOSE(CONTROL!$C$22, $C$13, 100%, $E$13)</f>
        <v>6.8407999999999998</v>
      </c>
      <c r="D441" s="60">
        <f>6.8735 * CHOOSE(CONTROL!$C$22, $C$13, 100%, $E$13)</f>
        <v>6.8734999999999999</v>
      </c>
      <c r="E441" s="61">
        <f>8.0029 * CHOOSE(CONTROL!$C$22, $C$13, 100%, $E$13)</f>
        <v>8.0029000000000003</v>
      </c>
      <c r="F441" s="61">
        <f>8.0029 * CHOOSE(CONTROL!$C$22, $C$13, 100%, $E$13)</f>
        <v>8.0029000000000003</v>
      </c>
      <c r="G441" s="61">
        <f>8.0049 * CHOOSE(CONTROL!$C$22, $C$13, 100%, $E$13)</f>
        <v>8.0048999999999992</v>
      </c>
      <c r="H441" s="61">
        <f>13.8504* CHOOSE(CONTROL!$C$22, $C$13, 100%, $E$13)</f>
        <v>13.8504</v>
      </c>
      <c r="I441" s="61">
        <f>13.8524 * CHOOSE(CONTROL!$C$22, $C$13, 100%, $E$13)</f>
        <v>13.852399999999999</v>
      </c>
      <c r="J441" s="61">
        <f>8.0029 * CHOOSE(CONTROL!$C$22, $C$13, 100%, $E$13)</f>
        <v>8.0029000000000003</v>
      </c>
      <c r="K441" s="61">
        <f>8.0049 * CHOOSE(CONTROL!$C$22, $C$13, 100%, $E$13)</f>
        <v>8.0048999999999992</v>
      </c>
    </row>
    <row r="442" spans="1:11" ht="15">
      <c r="A442" s="13">
        <v>55305</v>
      </c>
      <c r="B442" s="60">
        <f>6.8469 * CHOOSE(CONTROL!$C$22, $C$13, 100%, $E$13)</f>
        <v>6.8468999999999998</v>
      </c>
      <c r="C442" s="60">
        <f>6.8469 * CHOOSE(CONTROL!$C$22, $C$13, 100%, $E$13)</f>
        <v>6.8468999999999998</v>
      </c>
      <c r="D442" s="60">
        <f>6.8795 * CHOOSE(CONTROL!$C$22, $C$13, 100%, $E$13)</f>
        <v>6.8795000000000002</v>
      </c>
      <c r="E442" s="61">
        <f>7.9796 * CHOOSE(CONTROL!$C$22, $C$13, 100%, $E$13)</f>
        <v>7.9795999999999996</v>
      </c>
      <c r="F442" s="61">
        <f>7.9796 * CHOOSE(CONTROL!$C$22, $C$13, 100%, $E$13)</f>
        <v>7.9795999999999996</v>
      </c>
      <c r="G442" s="61">
        <f>7.9817 * CHOOSE(CONTROL!$C$22, $C$13, 100%, $E$13)</f>
        <v>7.9817</v>
      </c>
      <c r="H442" s="61">
        <f>13.8792* CHOOSE(CONTROL!$C$22, $C$13, 100%, $E$13)</f>
        <v>13.879200000000001</v>
      </c>
      <c r="I442" s="61">
        <f>13.8813 * CHOOSE(CONTROL!$C$22, $C$13, 100%, $E$13)</f>
        <v>13.8813</v>
      </c>
      <c r="J442" s="61">
        <f>7.9796 * CHOOSE(CONTROL!$C$22, $C$13, 100%, $E$13)</f>
        <v>7.9795999999999996</v>
      </c>
      <c r="K442" s="61">
        <f>7.9817 * CHOOSE(CONTROL!$C$22, $C$13, 100%, $E$13)</f>
        <v>7.9817</v>
      </c>
    </row>
    <row r="443" spans="1:11" ht="15">
      <c r="A443" s="13">
        <v>55335</v>
      </c>
      <c r="B443" s="60">
        <f>6.9594 * CHOOSE(CONTROL!$C$22, $C$13, 100%, $E$13)</f>
        <v>6.9593999999999996</v>
      </c>
      <c r="C443" s="60">
        <f>6.9594 * CHOOSE(CONTROL!$C$22, $C$13, 100%, $E$13)</f>
        <v>6.9593999999999996</v>
      </c>
      <c r="D443" s="60">
        <f>6.992 * CHOOSE(CONTROL!$C$22, $C$13, 100%, $E$13)</f>
        <v>6.992</v>
      </c>
      <c r="E443" s="61">
        <f>8.1367 * CHOOSE(CONTROL!$C$22, $C$13, 100%, $E$13)</f>
        <v>8.1366999999999994</v>
      </c>
      <c r="F443" s="61">
        <f>8.1367 * CHOOSE(CONTROL!$C$22, $C$13, 100%, $E$13)</f>
        <v>8.1366999999999994</v>
      </c>
      <c r="G443" s="61">
        <f>8.1388 * CHOOSE(CONTROL!$C$22, $C$13, 100%, $E$13)</f>
        <v>8.1387999999999998</v>
      </c>
      <c r="H443" s="61">
        <f>13.9081* CHOOSE(CONTROL!$C$22, $C$13, 100%, $E$13)</f>
        <v>13.908099999999999</v>
      </c>
      <c r="I443" s="61">
        <f>13.9102 * CHOOSE(CONTROL!$C$22, $C$13, 100%, $E$13)</f>
        <v>13.9102</v>
      </c>
      <c r="J443" s="61">
        <f>8.1367 * CHOOSE(CONTROL!$C$22, $C$13, 100%, $E$13)</f>
        <v>8.1366999999999994</v>
      </c>
      <c r="K443" s="61">
        <f>8.1388 * CHOOSE(CONTROL!$C$22, $C$13, 100%, $E$13)</f>
        <v>8.1387999999999998</v>
      </c>
    </row>
    <row r="444" spans="1:11" ht="15">
      <c r="A444" s="13">
        <v>55366</v>
      </c>
      <c r="B444" s="60">
        <f>6.9661 * CHOOSE(CONTROL!$C$22, $C$13, 100%, $E$13)</f>
        <v>6.9661</v>
      </c>
      <c r="C444" s="60">
        <f>6.9661 * CHOOSE(CONTROL!$C$22, $C$13, 100%, $E$13)</f>
        <v>6.9661</v>
      </c>
      <c r="D444" s="60">
        <f>6.9987 * CHOOSE(CONTROL!$C$22, $C$13, 100%, $E$13)</f>
        <v>6.9987000000000004</v>
      </c>
      <c r="E444" s="61">
        <f>8.0589 * CHOOSE(CONTROL!$C$22, $C$13, 100%, $E$13)</f>
        <v>8.0588999999999995</v>
      </c>
      <c r="F444" s="61">
        <f>8.0589 * CHOOSE(CONTROL!$C$22, $C$13, 100%, $E$13)</f>
        <v>8.0588999999999995</v>
      </c>
      <c r="G444" s="61">
        <f>8.0609 * CHOOSE(CONTROL!$C$22, $C$13, 100%, $E$13)</f>
        <v>8.0609000000000002</v>
      </c>
      <c r="H444" s="61">
        <f>13.9371* CHOOSE(CONTROL!$C$22, $C$13, 100%, $E$13)</f>
        <v>13.937099999999999</v>
      </c>
      <c r="I444" s="61">
        <f>13.9391 * CHOOSE(CONTROL!$C$22, $C$13, 100%, $E$13)</f>
        <v>13.9391</v>
      </c>
      <c r="J444" s="61">
        <f>8.0589 * CHOOSE(CONTROL!$C$22, $C$13, 100%, $E$13)</f>
        <v>8.0588999999999995</v>
      </c>
      <c r="K444" s="61">
        <f>8.0609 * CHOOSE(CONTROL!$C$22, $C$13, 100%, $E$13)</f>
        <v>8.0609000000000002</v>
      </c>
    </row>
    <row r="445" spans="1:11" ht="15">
      <c r="A445" s="13">
        <v>55397</v>
      </c>
      <c r="B445" s="60">
        <f>6.963 * CHOOSE(CONTROL!$C$22, $C$13, 100%, $E$13)</f>
        <v>6.9630000000000001</v>
      </c>
      <c r="C445" s="60">
        <f>6.963 * CHOOSE(CONTROL!$C$22, $C$13, 100%, $E$13)</f>
        <v>6.9630000000000001</v>
      </c>
      <c r="D445" s="60">
        <f>6.9957 * CHOOSE(CONTROL!$C$22, $C$13, 100%, $E$13)</f>
        <v>6.9957000000000003</v>
      </c>
      <c r="E445" s="61">
        <f>8.0476 * CHOOSE(CONTROL!$C$22, $C$13, 100%, $E$13)</f>
        <v>8.0475999999999992</v>
      </c>
      <c r="F445" s="61">
        <f>8.0476 * CHOOSE(CONTROL!$C$22, $C$13, 100%, $E$13)</f>
        <v>8.0475999999999992</v>
      </c>
      <c r="G445" s="61">
        <f>8.0496 * CHOOSE(CONTROL!$C$22, $C$13, 100%, $E$13)</f>
        <v>8.0495999999999999</v>
      </c>
      <c r="H445" s="61">
        <f>13.9661* CHOOSE(CONTROL!$C$22, $C$13, 100%, $E$13)</f>
        <v>13.966100000000001</v>
      </c>
      <c r="I445" s="61">
        <f>13.9682 * CHOOSE(CONTROL!$C$22, $C$13, 100%, $E$13)</f>
        <v>13.9682</v>
      </c>
      <c r="J445" s="61">
        <f>8.0476 * CHOOSE(CONTROL!$C$22, $C$13, 100%, $E$13)</f>
        <v>8.0475999999999992</v>
      </c>
      <c r="K445" s="61">
        <f>8.0496 * CHOOSE(CONTROL!$C$22, $C$13, 100%, $E$13)</f>
        <v>8.0495999999999999</v>
      </c>
    </row>
    <row r="446" spans="1:11" ht="15">
      <c r="A446" s="13">
        <v>55427</v>
      </c>
      <c r="B446" s="60">
        <f>6.9682 * CHOOSE(CONTROL!$C$22, $C$13, 100%, $E$13)</f>
        <v>6.9682000000000004</v>
      </c>
      <c r="C446" s="60">
        <f>6.9682 * CHOOSE(CONTROL!$C$22, $C$13, 100%, $E$13)</f>
        <v>6.9682000000000004</v>
      </c>
      <c r="D446" s="60">
        <f>6.9845 * CHOOSE(CONTROL!$C$22, $C$13, 100%, $E$13)</f>
        <v>6.9844999999999997</v>
      </c>
      <c r="E446" s="61">
        <f>8.0709 * CHOOSE(CONTROL!$C$22, $C$13, 100%, $E$13)</f>
        <v>8.0709</v>
      </c>
      <c r="F446" s="61">
        <f>8.0709 * CHOOSE(CONTROL!$C$22, $C$13, 100%, $E$13)</f>
        <v>8.0709</v>
      </c>
      <c r="G446" s="61">
        <f>8.071 * CHOOSE(CONTROL!$C$22, $C$13, 100%, $E$13)</f>
        <v>8.0709999999999997</v>
      </c>
      <c r="H446" s="61">
        <f>13.9952* CHOOSE(CONTROL!$C$22, $C$13, 100%, $E$13)</f>
        <v>13.995200000000001</v>
      </c>
      <c r="I446" s="61">
        <f>13.9954 * CHOOSE(CONTROL!$C$22, $C$13, 100%, $E$13)</f>
        <v>13.9954</v>
      </c>
      <c r="J446" s="61">
        <f>8.0709 * CHOOSE(CONTROL!$C$22, $C$13, 100%, $E$13)</f>
        <v>8.0709</v>
      </c>
      <c r="K446" s="61">
        <f>8.071 * CHOOSE(CONTROL!$C$22, $C$13, 100%, $E$13)</f>
        <v>8.0709999999999997</v>
      </c>
    </row>
    <row r="447" spans="1:11" ht="15">
      <c r="A447" s="13">
        <v>55458</v>
      </c>
      <c r="B447" s="60">
        <f>6.9712 * CHOOSE(CONTROL!$C$22, $C$13, 100%, $E$13)</f>
        <v>6.9711999999999996</v>
      </c>
      <c r="C447" s="60">
        <f>6.9712 * CHOOSE(CONTROL!$C$22, $C$13, 100%, $E$13)</f>
        <v>6.9711999999999996</v>
      </c>
      <c r="D447" s="60">
        <f>6.9876 * CHOOSE(CONTROL!$C$22, $C$13, 100%, $E$13)</f>
        <v>6.9875999999999996</v>
      </c>
      <c r="E447" s="61">
        <f>8.0913 * CHOOSE(CONTROL!$C$22, $C$13, 100%, $E$13)</f>
        <v>8.0913000000000004</v>
      </c>
      <c r="F447" s="61">
        <f>8.0913 * CHOOSE(CONTROL!$C$22, $C$13, 100%, $E$13)</f>
        <v>8.0913000000000004</v>
      </c>
      <c r="G447" s="61">
        <f>8.0915 * CHOOSE(CONTROL!$C$22, $C$13, 100%, $E$13)</f>
        <v>8.0914999999999999</v>
      </c>
      <c r="H447" s="61">
        <f>14.0244* CHOOSE(CONTROL!$C$22, $C$13, 100%, $E$13)</f>
        <v>14.0244</v>
      </c>
      <c r="I447" s="61">
        <f>14.0246 * CHOOSE(CONTROL!$C$22, $C$13, 100%, $E$13)</f>
        <v>14.0246</v>
      </c>
      <c r="J447" s="61">
        <f>8.0913 * CHOOSE(CONTROL!$C$22, $C$13, 100%, $E$13)</f>
        <v>8.0913000000000004</v>
      </c>
      <c r="K447" s="61">
        <f>8.0915 * CHOOSE(CONTROL!$C$22, $C$13, 100%, $E$13)</f>
        <v>8.0914999999999999</v>
      </c>
    </row>
    <row r="448" spans="1:11" ht="15">
      <c r="A448" s="13">
        <v>55488</v>
      </c>
      <c r="B448" s="60">
        <f>6.9712 * CHOOSE(CONTROL!$C$22, $C$13, 100%, $E$13)</f>
        <v>6.9711999999999996</v>
      </c>
      <c r="C448" s="60">
        <f>6.9712 * CHOOSE(CONTROL!$C$22, $C$13, 100%, $E$13)</f>
        <v>6.9711999999999996</v>
      </c>
      <c r="D448" s="60">
        <f>6.9876 * CHOOSE(CONTROL!$C$22, $C$13, 100%, $E$13)</f>
        <v>6.9875999999999996</v>
      </c>
      <c r="E448" s="61">
        <f>8.0455 * CHOOSE(CONTROL!$C$22, $C$13, 100%, $E$13)</f>
        <v>8.0455000000000005</v>
      </c>
      <c r="F448" s="61">
        <f>8.0455 * CHOOSE(CONTROL!$C$22, $C$13, 100%, $E$13)</f>
        <v>8.0455000000000005</v>
      </c>
      <c r="G448" s="61">
        <f>8.0456 * CHOOSE(CONTROL!$C$22, $C$13, 100%, $E$13)</f>
        <v>8.0456000000000003</v>
      </c>
      <c r="H448" s="61">
        <f>14.0536* CHOOSE(CONTROL!$C$22, $C$13, 100%, $E$13)</f>
        <v>14.053599999999999</v>
      </c>
      <c r="I448" s="61">
        <f>14.0538 * CHOOSE(CONTROL!$C$22, $C$13, 100%, $E$13)</f>
        <v>14.053800000000001</v>
      </c>
      <c r="J448" s="61">
        <f>8.0455 * CHOOSE(CONTROL!$C$22, $C$13, 100%, $E$13)</f>
        <v>8.0455000000000005</v>
      </c>
      <c r="K448" s="61">
        <f>8.0456 * CHOOSE(CONTROL!$C$22, $C$13, 100%, $E$13)</f>
        <v>8.0456000000000003</v>
      </c>
    </row>
    <row r="449" spans="1:11" ht="15">
      <c r="A449" s="13">
        <v>55519</v>
      </c>
      <c r="B449" s="60">
        <f>7.0336 * CHOOSE(CONTROL!$C$22, $C$13, 100%, $E$13)</f>
        <v>7.0335999999999999</v>
      </c>
      <c r="C449" s="60">
        <f>7.0336 * CHOOSE(CONTROL!$C$22, $C$13, 100%, $E$13)</f>
        <v>7.0335999999999999</v>
      </c>
      <c r="D449" s="60">
        <f>7.0499 * CHOOSE(CONTROL!$C$22, $C$13, 100%, $E$13)</f>
        <v>7.0499000000000001</v>
      </c>
      <c r="E449" s="61">
        <f>8.1507 * CHOOSE(CONTROL!$C$22, $C$13, 100%, $E$13)</f>
        <v>8.1507000000000005</v>
      </c>
      <c r="F449" s="61">
        <f>8.1507 * CHOOSE(CONTROL!$C$22, $C$13, 100%, $E$13)</f>
        <v>8.1507000000000005</v>
      </c>
      <c r="G449" s="61">
        <f>8.1509 * CHOOSE(CONTROL!$C$22, $C$13, 100%, $E$13)</f>
        <v>8.1509</v>
      </c>
      <c r="H449" s="61">
        <f>14.0829* CHOOSE(CONTROL!$C$22, $C$13, 100%, $E$13)</f>
        <v>14.0829</v>
      </c>
      <c r="I449" s="61">
        <f>14.0831 * CHOOSE(CONTROL!$C$22, $C$13, 100%, $E$13)</f>
        <v>14.0831</v>
      </c>
      <c r="J449" s="61">
        <f>8.1507 * CHOOSE(CONTROL!$C$22, $C$13, 100%, $E$13)</f>
        <v>8.1507000000000005</v>
      </c>
      <c r="K449" s="61">
        <f>8.1509 * CHOOSE(CONTROL!$C$22, $C$13, 100%, $E$13)</f>
        <v>8.1509</v>
      </c>
    </row>
    <row r="450" spans="1:11" ht="15">
      <c r="A450" s="13">
        <v>55550</v>
      </c>
      <c r="B450" s="60">
        <f>7.0305 * CHOOSE(CONTROL!$C$22, $C$13, 100%, $E$13)</f>
        <v>7.0305</v>
      </c>
      <c r="C450" s="60">
        <f>7.0305 * CHOOSE(CONTROL!$C$22, $C$13, 100%, $E$13)</f>
        <v>7.0305</v>
      </c>
      <c r="D450" s="60">
        <f>7.0469 * CHOOSE(CONTROL!$C$22, $C$13, 100%, $E$13)</f>
        <v>7.0468999999999999</v>
      </c>
      <c r="E450" s="61">
        <f>8.0596 * CHOOSE(CONTROL!$C$22, $C$13, 100%, $E$13)</f>
        <v>8.0595999999999997</v>
      </c>
      <c r="F450" s="61">
        <f>8.0596 * CHOOSE(CONTROL!$C$22, $C$13, 100%, $E$13)</f>
        <v>8.0595999999999997</v>
      </c>
      <c r="G450" s="61">
        <f>8.0598 * CHOOSE(CONTROL!$C$22, $C$13, 100%, $E$13)</f>
        <v>8.0597999999999992</v>
      </c>
      <c r="H450" s="61">
        <f>14.1122* CHOOSE(CONTROL!$C$22, $C$13, 100%, $E$13)</f>
        <v>14.1122</v>
      </c>
      <c r="I450" s="61">
        <f>14.1124 * CHOOSE(CONTROL!$C$22, $C$13, 100%, $E$13)</f>
        <v>14.112399999999999</v>
      </c>
      <c r="J450" s="61">
        <f>8.0596 * CHOOSE(CONTROL!$C$22, $C$13, 100%, $E$13)</f>
        <v>8.0595999999999997</v>
      </c>
      <c r="K450" s="61">
        <f>8.0598 * CHOOSE(CONTROL!$C$22, $C$13, 100%, $E$13)</f>
        <v>8.0597999999999992</v>
      </c>
    </row>
    <row r="451" spans="1:11" ht="15">
      <c r="A451" s="13">
        <v>55579</v>
      </c>
      <c r="B451" s="60">
        <f>7.0275 * CHOOSE(CONTROL!$C$22, $C$13, 100%, $E$13)</f>
        <v>7.0274999999999999</v>
      </c>
      <c r="C451" s="60">
        <f>7.0275 * CHOOSE(CONTROL!$C$22, $C$13, 100%, $E$13)</f>
        <v>7.0274999999999999</v>
      </c>
      <c r="D451" s="60">
        <f>7.0438 * CHOOSE(CONTROL!$C$22, $C$13, 100%, $E$13)</f>
        <v>7.0438000000000001</v>
      </c>
      <c r="E451" s="61">
        <f>8.1277 * CHOOSE(CONTROL!$C$22, $C$13, 100%, $E$13)</f>
        <v>8.1277000000000008</v>
      </c>
      <c r="F451" s="61">
        <f>8.1277 * CHOOSE(CONTROL!$C$22, $C$13, 100%, $E$13)</f>
        <v>8.1277000000000008</v>
      </c>
      <c r="G451" s="61">
        <f>8.1278 * CHOOSE(CONTROL!$C$22, $C$13, 100%, $E$13)</f>
        <v>8.1278000000000006</v>
      </c>
      <c r="H451" s="61">
        <f>14.1416* CHOOSE(CONTROL!$C$22, $C$13, 100%, $E$13)</f>
        <v>14.1416</v>
      </c>
      <c r="I451" s="61">
        <f>14.1418 * CHOOSE(CONTROL!$C$22, $C$13, 100%, $E$13)</f>
        <v>14.1418</v>
      </c>
      <c r="J451" s="61">
        <f>8.1277 * CHOOSE(CONTROL!$C$22, $C$13, 100%, $E$13)</f>
        <v>8.1277000000000008</v>
      </c>
      <c r="K451" s="61">
        <f>8.1278 * CHOOSE(CONTROL!$C$22, $C$13, 100%, $E$13)</f>
        <v>8.1278000000000006</v>
      </c>
    </row>
    <row r="452" spans="1:11" ht="15">
      <c r="A452" s="13">
        <v>55610</v>
      </c>
      <c r="B452" s="60">
        <f>7.0278 * CHOOSE(CONTROL!$C$22, $C$13, 100%, $E$13)</f>
        <v>7.0278</v>
      </c>
      <c r="C452" s="60">
        <f>7.0278 * CHOOSE(CONTROL!$C$22, $C$13, 100%, $E$13)</f>
        <v>7.0278</v>
      </c>
      <c r="D452" s="60">
        <f>7.0441 * CHOOSE(CONTROL!$C$22, $C$13, 100%, $E$13)</f>
        <v>7.0441000000000003</v>
      </c>
      <c r="E452" s="61">
        <f>8.1988 * CHOOSE(CONTROL!$C$22, $C$13, 100%, $E$13)</f>
        <v>8.1988000000000003</v>
      </c>
      <c r="F452" s="61">
        <f>8.1988 * CHOOSE(CONTROL!$C$22, $C$13, 100%, $E$13)</f>
        <v>8.1988000000000003</v>
      </c>
      <c r="G452" s="61">
        <f>8.199 * CHOOSE(CONTROL!$C$22, $C$13, 100%, $E$13)</f>
        <v>8.1989999999999998</v>
      </c>
      <c r="H452" s="61">
        <f>14.1711* CHOOSE(CONTROL!$C$22, $C$13, 100%, $E$13)</f>
        <v>14.171099999999999</v>
      </c>
      <c r="I452" s="61">
        <f>14.1713 * CHOOSE(CONTROL!$C$22, $C$13, 100%, $E$13)</f>
        <v>14.1713</v>
      </c>
      <c r="J452" s="61">
        <f>8.1988 * CHOOSE(CONTROL!$C$22, $C$13, 100%, $E$13)</f>
        <v>8.1988000000000003</v>
      </c>
      <c r="K452" s="61">
        <f>8.199 * CHOOSE(CONTROL!$C$22, $C$13, 100%, $E$13)</f>
        <v>8.1989999999999998</v>
      </c>
    </row>
    <row r="453" spans="1:11" ht="15">
      <c r="A453" s="13">
        <v>55640</v>
      </c>
      <c r="B453" s="60">
        <f>7.0278 * CHOOSE(CONTROL!$C$22, $C$13, 100%, $E$13)</f>
        <v>7.0278</v>
      </c>
      <c r="C453" s="60">
        <f>7.0278 * CHOOSE(CONTROL!$C$22, $C$13, 100%, $E$13)</f>
        <v>7.0278</v>
      </c>
      <c r="D453" s="60">
        <f>7.0605 * CHOOSE(CONTROL!$C$22, $C$13, 100%, $E$13)</f>
        <v>7.0605000000000002</v>
      </c>
      <c r="E453" s="61">
        <f>8.2271 * CHOOSE(CONTROL!$C$22, $C$13, 100%, $E$13)</f>
        <v>8.2271000000000001</v>
      </c>
      <c r="F453" s="61">
        <f>8.2271 * CHOOSE(CONTROL!$C$22, $C$13, 100%, $E$13)</f>
        <v>8.2271000000000001</v>
      </c>
      <c r="G453" s="61">
        <f>8.2291 * CHOOSE(CONTROL!$C$22, $C$13, 100%, $E$13)</f>
        <v>8.2291000000000007</v>
      </c>
      <c r="H453" s="61">
        <f>14.2006* CHOOSE(CONTROL!$C$22, $C$13, 100%, $E$13)</f>
        <v>14.2006</v>
      </c>
      <c r="I453" s="61">
        <f>14.2027 * CHOOSE(CONTROL!$C$22, $C$13, 100%, $E$13)</f>
        <v>14.2027</v>
      </c>
      <c r="J453" s="61">
        <f>8.2271 * CHOOSE(CONTROL!$C$22, $C$13, 100%, $E$13)</f>
        <v>8.2271000000000001</v>
      </c>
      <c r="K453" s="61">
        <f>8.2291 * CHOOSE(CONTROL!$C$22, $C$13, 100%, $E$13)</f>
        <v>8.2291000000000007</v>
      </c>
    </row>
    <row r="454" spans="1:11" ht="15">
      <c r="A454" s="13">
        <v>55671</v>
      </c>
      <c r="B454" s="60">
        <f>7.0339 * CHOOSE(CONTROL!$C$22, $C$13, 100%, $E$13)</f>
        <v>7.0339</v>
      </c>
      <c r="C454" s="60">
        <f>7.0339 * CHOOSE(CONTROL!$C$22, $C$13, 100%, $E$13)</f>
        <v>7.0339</v>
      </c>
      <c r="D454" s="60">
        <f>7.0666 * CHOOSE(CONTROL!$C$22, $C$13, 100%, $E$13)</f>
        <v>7.0666000000000002</v>
      </c>
      <c r="E454" s="61">
        <f>8.203 * CHOOSE(CONTROL!$C$22, $C$13, 100%, $E$13)</f>
        <v>8.2029999999999994</v>
      </c>
      <c r="F454" s="61">
        <f>8.203 * CHOOSE(CONTROL!$C$22, $C$13, 100%, $E$13)</f>
        <v>8.2029999999999994</v>
      </c>
      <c r="G454" s="61">
        <f>8.2051 * CHOOSE(CONTROL!$C$22, $C$13, 100%, $E$13)</f>
        <v>8.2050999999999998</v>
      </c>
      <c r="H454" s="61">
        <f>14.2302* CHOOSE(CONTROL!$C$22, $C$13, 100%, $E$13)</f>
        <v>14.2302</v>
      </c>
      <c r="I454" s="61">
        <f>14.2322 * CHOOSE(CONTROL!$C$22, $C$13, 100%, $E$13)</f>
        <v>14.232200000000001</v>
      </c>
      <c r="J454" s="61">
        <f>8.203 * CHOOSE(CONTROL!$C$22, $C$13, 100%, $E$13)</f>
        <v>8.2029999999999994</v>
      </c>
      <c r="K454" s="61">
        <f>8.2051 * CHOOSE(CONTROL!$C$22, $C$13, 100%, $E$13)</f>
        <v>8.2050999999999998</v>
      </c>
    </row>
    <row r="455" spans="1:11" ht="15">
      <c r="A455" s="13">
        <v>55701</v>
      </c>
      <c r="B455" s="60">
        <f>7.1492 * CHOOSE(CONTROL!$C$22, $C$13, 100%, $E$13)</f>
        <v>7.1492000000000004</v>
      </c>
      <c r="C455" s="60">
        <f>7.1492 * CHOOSE(CONTROL!$C$22, $C$13, 100%, $E$13)</f>
        <v>7.1492000000000004</v>
      </c>
      <c r="D455" s="60">
        <f>7.1818 * CHOOSE(CONTROL!$C$22, $C$13, 100%, $E$13)</f>
        <v>7.1818</v>
      </c>
      <c r="E455" s="61">
        <f>8.3643 * CHOOSE(CONTROL!$C$22, $C$13, 100%, $E$13)</f>
        <v>8.3643000000000001</v>
      </c>
      <c r="F455" s="61">
        <f>8.3643 * CHOOSE(CONTROL!$C$22, $C$13, 100%, $E$13)</f>
        <v>8.3643000000000001</v>
      </c>
      <c r="G455" s="61">
        <f>8.3663 * CHOOSE(CONTROL!$C$22, $C$13, 100%, $E$13)</f>
        <v>8.3663000000000007</v>
      </c>
      <c r="H455" s="61">
        <f>14.2598* CHOOSE(CONTROL!$C$22, $C$13, 100%, $E$13)</f>
        <v>14.2598</v>
      </c>
      <c r="I455" s="61">
        <f>14.2619 * CHOOSE(CONTROL!$C$22, $C$13, 100%, $E$13)</f>
        <v>14.261900000000001</v>
      </c>
      <c r="J455" s="61">
        <f>8.3643 * CHOOSE(CONTROL!$C$22, $C$13, 100%, $E$13)</f>
        <v>8.3643000000000001</v>
      </c>
      <c r="K455" s="61">
        <f>8.3663 * CHOOSE(CONTROL!$C$22, $C$13, 100%, $E$13)</f>
        <v>8.3663000000000007</v>
      </c>
    </row>
    <row r="456" spans="1:11" ht="15">
      <c r="A456" s="13">
        <v>55732</v>
      </c>
      <c r="B456" s="60">
        <f>7.1559 * CHOOSE(CONTROL!$C$22, $C$13, 100%, $E$13)</f>
        <v>7.1558999999999999</v>
      </c>
      <c r="C456" s="60">
        <f>7.1559 * CHOOSE(CONTROL!$C$22, $C$13, 100%, $E$13)</f>
        <v>7.1558999999999999</v>
      </c>
      <c r="D456" s="60">
        <f>7.1885 * CHOOSE(CONTROL!$C$22, $C$13, 100%, $E$13)</f>
        <v>7.1885000000000003</v>
      </c>
      <c r="E456" s="61">
        <f>8.2841 * CHOOSE(CONTROL!$C$22, $C$13, 100%, $E$13)</f>
        <v>8.2841000000000005</v>
      </c>
      <c r="F456" s="61">
        <f>8.2841 * CHOOSE(CONTROL!$C$22, $C$13, 100%, $E$13)</f>
        <v>8.2841000000000005</v>
      </c>
      <c r="G456" s="61">
        <f>8.2862 * CHOOSE(CONTROL!$C$22, $C$13, 100%, $E$13)</f>
        <v>8.2861999999999991</v>
      </c>
      <c r="H456" s="61">
        <f>14.2896* CHOOSE(CONTROL!$C$22, $C$13, 100%, $E$13)</f>
        <v>14.2896</v>
      </c>
      <c r="I456" s="61">
        <f>14.2916 * CHOOSE(CONTROL!$C$22, $C$13, 100%, $E$13)</f>
        <v>14.291600000000001</v>
      </c>
      <c r="J456" s="61">
        <f>8.2841 * CHOOSE(CONTROL!$C$22, $C$13, 100%, $E$13)</f>
        <v>8.2841000000000005</v>
      </c>
      <c r="K456" s="61">
        <f>8.2862 * CHOOSE(CONTROL!$C$22, $C$13, 100%, $E$13)</f>
        <v>8.2861999999999991</v>
      </c>
    </row>
    <row r="457" spans="1:11" ht="15">
      <c r="A457" s="13">
        <v>55763</v>
      </c>
      <c r="B457" s="60">
        <f>7.1528 * CHOOSE(CONTROL!$C$22, $C$13, 100%, $E$13)</f>
        <v>7.1528</v>
      </c>
      <c r="C457" s="60">
        <f>7.1528 * CHOOSE(CONTROL!$C$22, $C$13, 100%, $E$13)</f>
        <v>7.1528</v>
      </c>
      <c r="D457" s="60">
        <f>7.1855 * CHOOSE(CONTROL!$C$22, $C$13, 100%, $E$13)</f>
        <v>7.1855000000000002</v>
      </c>
      <c r="E457" s="61">
        <f>8.2726 * CHOOSE(CONTROL!$C$22, $C$13, 100%, $E$13)</f>
        <v>8.2726000000000006</v>
      </c>
      <c r="F457" s="61">
        <f>8.2726 * CHOOSE(CONTROL!$C$22, $C$13, 100%, $E$13)</f>
        <v>8.2726000000000006</v>
      </c>
      <c r="G457" s="61">
        <f>8.2746 * CHOOSE(CONTROL!$C$22, $C$13, 100%, $E$13)</f>
        <v>8.2745999999999995</v>
      </c>
      <c r="H457" s="61">
        <f>14.3193* CHOOSE(CONTROL!$C$22, $C$13, 100%, $E$13)</f>
        <v>14.3193</v>
      </c>
      <c r="I457" s="61">
        <f>14.3214 * CHOOSE(CONTROL!$C$22, $C$13, 100%, $E$13)</f>
        <v>14.321400000000001</v>
      </c>
      <c r="J457" s="61">
        <f>8.2726 * CHOOSE(CONTROL!$C$22, $C$13, 100%, $E$13)</f>
        <v>8.2726000000000006</v>
      </c>
      <c r="K457" s="61">
        <f>8.2746 * CHOOSE(CONTROL!$C$22, $C$13, 100%, $E$13)</f>
        <v>8.2745999999999995</v>
      </c>
    </row>
    <row r="458" spans="1:11" ht="15">
      <c r="A458" s="13">
        <v>55793</v>
      </c>
      <c r="B458" s="60">
        <f>7.1586 * CHOOSE(CONTROL!$C$22, $C$13, 100%, $E$13)</f>
        <v>7.1585999999999999</v>
      </c>
      <c r="C458" s="60">
        <f>7.1586 * CHOOSE(CONTROL!$C$22, $C$13, 100%, $E$13)</f>
        <v>7.1585999999999999</v>
      </c>
      <c r="D458" s="60">
        <f>7.1749 * CHOOSE(CONTROL!$C$22, $C$13, 100%, $E$13)</f>
        <v>7.1749000000000001</v>
      </c>
      <c r="E458" s="61">
        <f>8.2969 * CHOOSE(CONTROL!$C$22, $C$13, 100%, $E$13)</f>
        <v>8.2969000000000008</v>
      </c>
      <c r="F458" s="61">
        <f>8.2969 * CHOOSE(CONTROL!$C$22, $C$13, 100%, $E$13)</f>
        <v>8.2969000000000008</v>
      </c>
      <c r="G458" s="61">
        <f>8.297 * CHOOSE(CONTROL!$C$22, $C$13, 100%, $E$13)</f>
        <v>8.2970000000000006</v>
      </c>
      <c r="H458" s="61">
        <f>14.3492* CHOOSE(CONTROL!$C$22, $C$13, 100%, $E$13)</f>
        <v>14.3492</v>
      </c>
      <c r="I458" s="61">
        <f>14.3493 * CHOOSE(CONTROL!$C$22, $C$13, 100%, $E$13)</f>
        <v>14.349299999999999</v>
      </c>
      <c r="J458" s="61">
        <f>8.2969 * CHOOSE(CONTROL!$C$22, $C$13, 100%, $E$13)</f>
        <v>8.2969000000000008</v>
      </c>
      <c r="K458" s="61">
        <f>8.297 * CHOOSE(CONTROL!$C$22, $C$13, 100%, $E$13)</f>
        <v>8.2970000000000006</v>
      </c>
    </row>
    <row r="459" spans="1:11" ht="15">
      <c r="A459" s="13">
        <v>55824</v>
      </c>
      <c r="B459" s="60">
        <f>7.1616 * CHOOSE(CONTROL!$C$22, $C$13, 100%, $E$13)</f>
        <v>7.1616</v>
      </c>
      <c r="C459" s="60">
        <f>7.1616 * CHOOSE(CONTROL!$C$22, $C$13, 100%, $E$13)</f>
        <v>7.1616</v>
      </c>
      <c r="D459" s="60">
        <f>7.178 * CHOOSE(CONTROL!$C$22, $C$13, 100%, $E$13)</f>
        <v>7.1779999999999999</v>
      </c>
      <c r="E459" s="61">
        <f>8.3178 * CHOOSE(CONTROL!$C$22, $C$13, 100%, $E$13)</f>
        <v>8.3178000000000001</v>
      </c>
      <c r="F459" s="61">
        <f>8.3178 * CHOOSE(CONTROL!$C$22, $C$13, 100%, $E$13)</f>
        <v>8.3178000000000001</v>
      </c>
      <c r="G459" s="61">
        <f>8.318 * CHOOSE(CONTROL!$C$22, $C$13, 100%, $E$13)</f>
        <v>8.3179999999999996</v>
      </c>
      <c r="H459" s="61">
        <f>14.3791* CHOOSE(CONTROL!$C$22, $C$13, 100%, $E$13)</f>
        <v>14.379099999999999</v>
      </c>
      <c r="I459" s="61">
        <f>14.3792 * CHOOSE(CONTROL!$C$22, $C$13, 100%, $E$13)</f>
        <v>14.379200000000001</v>
      </c>
      <c r="J459" s="61">
        <f>8.3178 * CHOOSE(CONTROL!$C$22, $C$13, 100%, $E$13)</f>
        <v>8.3178000000000001</v>
      </c>
      <c r="K459" s="61">
        <f>8.318 * CHOOSE(CONTROL!$C$22, $C$13, 100%, $E$13)</f>
        <v>8.3179999999999996</v>
      </c>
    </row>
    <row r="460" spans="1:11" ht="15">
      <c r="A460" s="13">
        <v>55854</v>
      </c>
      <c r="B460" s="60">
        <f>7.1616 * CHOOSE(CONTROL!$C$22, $C$13, 100%, $E$13)</f>
        <v>7.1616</v>
      </c>
      <c r="C460" s="60">
        <f>7.1616 * CHOOSE(CONTROL!$C$22, $C$13, 100%, $E$13)</f>
        <v>7.1616</v>
      </c>
      <c r="D460" s="60">
        <f>7.178 * CHOOSE(CONTROL!$C$22, $C$13, 100%, $E$13)</f>
        <v>7.1779999999999999</v>
      </c>
      <c r="E460" s="61">
        <f>8.2707 * CHOOSE(CONTROL!$C$22, $C$13, 100%, $E$13)</f>
        <v>8.2706999999999997</v>
      </c>
      <c r="F460" s="61">
        <f>8.2707 * CHOOSE(CONTROL!$C$22, $C$13, 100%, $E$13)</f>
        <v>8.2706999999999997</v>
      </c>
      <c r="G460" s="61">
        <f>8.2709 * CHOOSE(CONTROL!$C$22, $C$13, 100%, $E$13)</f>
        <v>8.2708999999999993</v>
      </c>
      <c r="H460" s="61">
        <f>14.409* CHOOSE(CONTROL!$C$22, $C$13, 100%, $E$13)</f>
        <v>14.409000000000001</v>
      </c>
      <c r="I460" s="61">
        <f>14.4092 * CHOOSE(CONTROL!$C$22, $C$13, 100%, $E$13)</f>
        <v>14.4092</v>
      </c>
      <c r="J460" s="61">
        <f>8.2707 * CHOOSE(CONTROL!$C$22, $C$13, 100%, $E$13)</f>
        <v>8.2706999999999997</v>
      </c>
      <c r="K460" s="61">
        <f>8.2709 * CHOOSE(CONTROL!$C$22, $C$13, 100%, $E$13)</f>
        <v>8.2708999999999993</v>
      </c>
    </row>
    <row r="461" spans="1:11" ht="15">
      <c r="A461" s="13">
        <v>55885</v>
      </c>
      <c r="B461" s="60">
        <f>7.2256 * CHOOSE(CONTROL!$C$22, $C$13, 100%, $E$13)</f>
        <v>7.2256</v>
      </c>
      <c r="C461" s="60">
        <f>7.2256 * CHOOSE(CONTROL!$C$22, $C$13, 100%, $E$13)</f>
        <v>7.2256</v>
      </c>
      <c r="D461" s="60">
        <f>7.2419 * CHOOSE(CONTROL!$C$22, $C$13, 100%, $E$13)</f>
        <v>7.2419000000000002</v>
      </c>
      <c r="E461" s="61">
        <f>8.3788 * CHOOSE(CONTROL!$C$22, $C$13, 100%, $E$13)</f>
        <v>8.3788</v>
      </c>
      <c r="F461" s="61">
        <f>8.3788 * CHOOSE(CONTROL!$C$22, $C$13, 100%, $E$13)</f>
        <v>8.3788</v>
      </c>
      <c r="G461" s="61">
        <f>8.379 * CHOOSE(CONTROL!$C$22, $C$13, 100%, $E$13)</f>
        <v>8.3789999999999996</v>
      </c>
      <c r="H461" s="61">
        <f>14.439* CHOOSE(CONTROL!$C$22, $C$13, 100%, $E$13)</f>
        <v>14.439</v>
      </c>
      <c r="I461" s="61">
        <f>14.4392 * CHOOSE(CONTROL!$C$22, $C$13, 100%, $E$13)</f>
        <v>14.4392</v>
      </c>
      <c r="J461" s="61">
        <f>8.3788 * CHOOSE(CONTROL!$C$22, $C$13, 100%, $E$13)</f>
        <v>8.3788</v>
      </c>
      <c r="K461" s="61">
        <f>8.379 * CHOOSE(CONTROL!$C$22, $C$13, 100%, $E$13)</f>
        <v>8.3789999999999996</v>
      </c>
    </row>
    <row r="462" spans="1:11" ht="15">
      <c r="A462" s="13">
        <v>55916</v>
      </c>
      <c r="B462" s="60">
        <f>7.2225 * CHOOSE(CONTROL!$C$22, $C$13, 100%, $E$13)</f>
        <v>7.2225000000000001</v>
      </c>
      <c r="C462" s="60">
        <f>7.2225 * CHOOSE(CONTROL!$C$22, $C$13, 100%, $E$13)</f>
        <v>7.2225000000000001</v>
      </c>
      <c r="D462" s="60">
        <f>7.2389 * CHOOSE(CONTROL!$C$22, $C$13, 100%, $E$13)</f>
        <v>7.2389000000000001</v>
      </c>
      <c r="E462" s="61">
        <f>8.2852 * CHOOSE(CONTROL!$C$22, $C$13, 100%, $E$13)</f>
        <v>8.2851999999999997</v>
      </c>
      <c r="F462" s="61">
        <f>8.2852 * CHOOSE(CONTROL!$C$22, $C$13, 100%, $E$13)</f>
        <v>8.2851999999999997</v>
      </c>
      <c r="G462" s="61">
        <f>8.2854 * CHOOSE(CONTROL!$C$22, $C$13, 100%, $E$13)</f>
        <v>8.2853999999999992</v>
      </c>
      <c r="H462" s="61">
        <f>14.4691* CHOOSE(CONTROL!$C$22, $C$13, 100%, $E$13)</f>
        <v>14.469099999999999</v>
      </c>
      <c r="I462" s="61">
        <f>14.4693 * CHOOSE(CONTROL!$C$22, $C$13, 100%, $E$13)</f>
        <v>14.4693</v>
      </c>
      <c r="J462" s="61">
        <f>8.2852 * CHOOSE(CONTROL!$C$22, $C$13, 100%, $E$13)</f>
        <v>8.2851999999999997</v>
      </c>
      <c r="K462" s="61">
        <f>8.2854 * CHOOSE(CONTROL!$C$22, $C$13, 100%, $E$13)</f>
        <v>8.2853999999999992</v>
      </c>
    </row>
    <row r="463" spans="1:11" ht="15">
      <c r="A463" s="13">
        <v>55944</v>
      </c>
      <c r="B463" s="60">
        <f>7.2195 * CHOOSE(CONTROL!$C$22, $C$13, 100%, $E$13)</f>
        <v>7.2195</v>
      </c>
      <c r="C463" s="60">
        <f>7.2195 * CHOOSE(CONTROL!$C$22, $C$13, 100%, $E$13)</f>
        <v>7.2195</v>
      </c>
      <c r="D463" s="60">
        <f>7.2358 * CHOOSE(CONTROL!$C$22, $C$13, 100%, $E$13)</f>
        <v>7.2358000000000002</v>
      </c>
      <c r="E463" s="61">
        <f>8.3552 * CHOOSE(CONTROL!$C$22, $C$13, 100%, $E$13)</f>
        <v>8.3552</v>
      </c>
      <c r="F463" s="61">
        <f>8.3552 * CHOOSE(CONTROL!$C$22, $C$13, 100%, $E$13)</f>
        <v>8.3552</v>
      </c>
      <c r="G463" s="61">
        <f>8.3554 * CHOOSE(CONTROL!$C$22, $C$13, 100%, $E$13)</f>
        <v>8.3553999999999995</v>
      </c>
      <c r="H463" s="61">
        <f>14.4993* CHOOSE(CONTROL!$C$22, $C$13, 100%, $E$13)</f>
        <v>14.4993</v>
      </c>
      <c r="I463" s="61">
        <f>14.4994 * CHOOSE(CONTROL!$C$22, $C$13, 100%, $E$13)</f>
        <v>14.4994</v>
      </c>
      <c r="J463" s="61">
        <f>8.3552 * CHOOSE(CONTROL!$C$22, $C$13, 100%, $E$13)</f>
        <v>8.3552</v>
      </c>
      <c r="K463" s="61">
        <f>8.3554 * CHOOSE(CONTROL!$C$22, $C$13, 100%, $E$13)</f>
        <v>8.3553999999999995</v>
      </c>
    </row>
    <row r="464" spans="1:11" ht="15">
      <c r="A464" s="13">
        <v>55975</v>
      </c>
      <c r="B464" s="60">
        <f>7.22 * CHOOSE(CONTROL!$C$22, $C$13, 100%, $E$13)</f>
        <v>7.22</v>
      </c>
      <c r="C464" s="60">
        <f>7.22 * CHOOSE(CONTROL!$C$22, $C$13, 100%, $E$13)</f>
        <v>7.22</v>
      </c>
      <c r="D464" s="60">
        <f>7.2363 * CHOOSE(CONTROL!$C$22, $C$13, 100%, $E$13)</f>
        <v>7.2363</v>
      </c>
      <c r="E464" s="61">
        <f>8.4285 * CHOOSE(CONTROL!$C$22, $C$13, 100%, $E$13)</f>
        <v>8.4284999999999997</v>
      </c>
      <c r="F464" s="61">
        <f>8.4285 * CHOOSE(CONTROL!$C$22, $C$13, 100%, $E$13)</f>
        <v>8.4284999999999997</v>
      </c>
      <c r="G464" s="61">
        <f>8.4287 * CHOOSE(CONTROL!$C$22, $C$13, 100%, $E$13)</f>
        <v>8.4286999999999992</v>
      </c>
      <c r="H464" s="61">
        <f>14.5295* CHOOSE(CONTROL!$C$22, $C$13, 100%, $E$13)</f>
        <v>14.529500000000001</v>
      </c>
      <c r="I464" s="61">
        <f>14.5296 * CHOOSE(CONTROL!$C$22, $C$13, 100%, $E$13)</f>
        <v>14.5296</v>
      </c>
      <c r="J464" s="61">
        <f>8.4285 * CHOOSE(CONTROL!$C$22, $C$13, 100%, $E$13)</f>
        <v>8.4284999999999997</v>
      </c>
      <c r="K464" s="61">
        <f>8.4287 * CHOOSE(CONTROL!$C$22, $C$13, 100%, $E$13)</f>
        <v>8.4286999999999992</v>
      </c>
    </row>
    <row r="465" spans="1:11" ht="15">
      <c r="A465" s="13">
        <v>56005</v>
      </c>
      <c r="B465" s="60">
        <f>7.22 * CHOOSE(CONTROL!$C$22, $C$13, 100%, $E$13)</f>
        <v>7.22</v>
      </c>
      <c r="C465" s="60">
        <f>7.22 * CHOOSE(CONTROL!$C$22, $C$13, 100%, $E$13)</f>
        <v>7.22</v>
      </c>
      <c r="D465" s="60">
        <f>7.2527 * CHOOSE(CONTROL!$C$22, $C$13, 100%, $E$13)</f>
        <v>7.2526999999999999</v>
      </c>
      <c r="E465" s="61">
        <f>8.4576 * CHOOSE(CONTROL!$C$22, $C$13, 100%, $E$13)</f>
        <v>8.4575999999999993</v>
      </c>
      <c r="F465" s="61">
        <f>8.4576 * CHOOSE(CONTROL!$C$22, $C$13, 100%, $E$13)</f>
        <v>8.4575999999999993</v>
      </c>
      <c r="G465" s="61">
        <f>8.4596 * CHOOSE(CONTROL!$C$22, $C$13, 100%, $E$13)</f>
        <v>8.4596</v>
      </c>
      <c r="H465" s="61">
        <f>14.5597* CHOOSE(CONTROL!$C$22, $C$13, 100%, $E$13)</f>
        <v>14.559699999999999</v>
      </c>
      <c r="I465" s="61">
        <f>14.5618 * CHOOSE(CONTROL!$C$22, $C$13, 100%, $E$13)</f>
        <v>14.5618</v>
      </c>
      <c r="J465" s="61">
        <f>8.4576 * CHOOSE(CONTROL!$C$22, $C$13, 100%, $E$13)</f>
        <v>8.4575999999999993</v>
      </c>
      <c r="K465" s="61">
        <f>8.4596 * CHOOSE(CONTROL!$C$22, $C$13, 100%, $E$13)</f>
        <v>8.4596</v>
      </c>
    </row>
    <row r="466" spans="1:11" ht="15">
      <c r="A466" s="13">
        <v>56036</v>
      </c>
      <c r="B466" s="60">
        <f>7.2261 * CHOOSE(CONTROL!$C$22, $C$13, 100%, $E$13)</f>
        <v>7.2260999999999997</v>
      </c>
      <c r="C466" s="60">
        <f>7.2261 * CHOOSE(CONTROL!$C$22, $C$13, 100%, $E$13)</f>
        <v>7.2260999999999997</v>
      </c>
      <c r="D466" s="60">
        <f>7.2587 * CHOOSE(CONTROL!$C$22, $C$13, 100%, $E$13)</f>
        <v>7.2587000000000002</v>
      </c>
      <c r="E466" s="61">
        <f>8.4327 * CHOOSE(CONTROL!$C$22, $C$13, 100%, $E$13)</f>
        <v>8.4327000000000005</v>
      </c>
      <c r="F466" s="61">
        <f>8.4327 * CHOOSE(CONTROL!$C$22, $C$13, 100%, $E$13)</f>
        <v>8.4327000000000005</v>
      </c>
      <c r="G466" s="61">
        <f>8.4348 * CHOOSE(CONTROL!$C$22, $C$13, 100%, $E$13)</f>
        <v>8.4347999999999992</v>
      </c>
      <c r="H466" s="61">
        <f>14.5901* CHOOSE(CONTROL!$C$22, $C$13, 100%, $E$13)</f>
        <v>14.5901</v>
      </c>
      <c r="I466" s="61">
        <f>14.5921 * CHOOSE(CONTROL!$C$22, $C$13, 100%, $E$13)</f>
        <v>14.5921</v>
      </c>
      <c r="J466" s="61">
        <f>8.4327 * CHOOSE(CONTROL!$C$22, $C$13, 100%, $E$13)</f>
        <v>8.4327000000000005</v>
      </c>
      <c r="K466" s="61">
        <f>8.4348 * CHOOSE(CONTROL!$C$22, $C$13, 100%, $E$13)</f>
        <v>8.4347999999999992</v>
      </c>
    </row>
    <row r="467" spans="1:11" ht="15">
      <c r="A467" s="13">
        <v>56066</v>
      </c>
      <c r="B467" s="60">
        <f>7.3442 * CHOOSE(CONTROL!$C$22, $C$13, 100%, $E$13)</f>
        <v>7.3441999999999998</v>
      </c>
      <c r="C467" s="60">
        <f>7.3442 * CHOOSE(CONTROL!$C$22, $C$13, 100%, $E$13)</f>
        <v>7.3441999999999998</v>
      </c>
      <c r="D467" s="60">
        <f>7.3769 * CHOOSE(CONTROL!$C$22, $C$13, 100%, $E$13)</f>
        <v>7.3769</v>
      </c>
      <c r="E467" s="61">
        <f>8.5982 * CHOOSE(CONTROL!$C$22, $C$13, 100%, $E$13)</f>
        <v>8.5982000000000003</v>
      </c>
      <c r="F467" s="61">
        <f>8.5982 * CHOOSE(CONTROL!$C$22, $C$13, 100%, $E$13)</f>
        <v>8.5982000000000003</v>
      </c>
      <c r="G467" s="61">
        <f>8.6002 * CHOOSE(CONTROL!$C$22, $C$13, 100%, $E$13)</f>
        <v>8.6001999999999992</v>
      </c>
      <c r="H467" s="61">
        <f>14.6205* CHOOSE(CONTROL!$C$22, $C$13, 100%, $E$13)</f>
        <v>14.6205</v>
      </c>
      <c r="I467" s="61">
        <f>14.6225 * CHOOSE(CONTROL!$C$22, $C$13, 100%, $E$13)</f>
        <v>14.6225</v>
      </c>
      <c r="J467" s="61">
        <f>8.5982 * CHOOSE(CONTROL!$C$22, $C$13, 100%, $E$13)</f>
        <v>8.5982000000000003</v>
      </c>
      <c r="K467" s="61">
        <f>8.6002 * CHOOSE(CONTROL!$C$22, $C$13, 100%, $E$13)</f>
        <v>8.6001999999999992</v>
      </c>
    </row>
    <row r="468" spans="1:11" ht="15">
      <c r="A468" s="13">
        <v>56097</v>
      </c>
      <c r="B468" s="60">
        <f>7.3509 * CHOOSE(CONTROL!$C$22, $C$13, 100%, $E$13)</f>
        <v>7.3509000000000002</v>
      </c>
      <c r="C468" s="60">
        <f>7.3509 * CHOOSE(CONTROL!$C$22, $C$13, 100%, $E$13)</f>
        <v>7.3509000000000002</v>
      </c>
      <c r="D468" s="60">
        <f>7.3836 * CHOOSE(CONTROL!$C$22, $C$13, 100%, $E$13)</f>
        <v>7.3836000000000004</v>
      </c>
      <c r="E468" s="61">
        <f>8.5157 * CHOOSE(CONTROL!$C$22, $C$13, 100%, $E$13)</f>
        <v>8.5157000000000007</v>
      </c>
      <c r="F468" s="61">
        <f>8.5157 * CHOOSE(CONTROL!$C$22, $C$13, 100%, $E$13)</f>
        <v>8.5157000000000007</v>
      </c>
      <c r="G468" s="61">
        <f>8.5177 * CHOOSE(CONTROL!$C$22, $C$13, 100%, $E$13)</f>
        <v>8.5176999999999996</v>
      </c>
      <c r="H468" s="61">
        <f>14.6509* CHOOSE(CONTROL!$C$22, $C$13, 100%, $E$13)</f>
        <v>14.6509</v>
      </c>
      <c r="I468" s="61">
        <f>14.653 * CHOOSE(CONTROL!$C$22, $C$13, 100%, $E$13)</f>
        <v>14.653</v>
      </c>
      <c r="J468" s="61">
        <f>8.5157 * CHOOSE(CONTROL!$C$22, $C$13, 100%, $E$13)</f>
        <v>8.5157000000000007</v>
      </c>
      <c r="K468" s="61">
        <f>8.5177 * CHOOSE(CONTROL!$C$22, $C$13, 100%, $E$13)</f>
        <v>8.5176999999999996</v>
      </c>
    </row>
    <row r="469" spans="1:11" ht="15">
      <c r="A469" s="13">
        <v>56128</v>
      </c>
      <c r="B469" s="60">
        <f>7.3479 * CHOOSE(CONTROL!$C$22, $C$13, 100%, $E$13)</f>
        <v>7.3479000000000001</v>
      </c>
      <c r="C469" s="60">
        <f>7.3479 * CHOOSE(CONTROL!$C$22, $C$13, 100%, $E$13)</f>
        <v>7.3479000000000001</v>
      </c>
      <c r="D469" s="60">
        <f>7.3805 * CHOOSE(CONTROL!$C$22, $C$13, 100%, $E$13)</f>
        <v>7.3804999999999996</v>
      </c>
      <c r="E469" s="61">
        <f>8.5039 * CHOOSE(CONTROL!$C$22, $C$13, 100%, $E$13)</f>
        <v>8.5038999999999998</v>
      </c>
      <c r="F469" s="61">
        <f>8.5039 * CHOOSE(CONTROL!$C$22, $C$13, 100%, $E$13)</f>
        <v>8.5038999999999998</v>
      </c>
      <c r="G469" s="61">
        <f>8.5059 * CHOOSE(CONTROL!$C$22, $C$13, 100%, $E$13)</f>
        <v>8.5059000000000005</v>
      </c>
      <c r="H469" s="61">
        <f>14.6814* CHOOSE(CONTROL!$C$22, $C$13, 100%, $E$13)</f>
        <v>14.6814</v>
      </c>
      <c r="I469" s="61">
        <f>14.6835 * CHOOSE(CONTROL!$C$22, $C$13, 100%, $E$13)</f>
        <v>14.6835</v>
      </c>
      <c r="J469" s="61">
        <f>8.5039 * CHOOSE(CONTROL!$C$22, $C$13, 100%, $E$13)</f>
        <v>8.5038999999999998</v>
      </c>
      <c r="K469" s="61">
        <f>8.5059 * CHOOSE(CONTROL!$C$22, $C$13, 100%, $E$13)</f>
        <v>8.5059000000000005</v>
      </c>
    </row>
    <row r="470" spans="1:11" ht="15">
      <c r="A470" s="13">
        <v>56158</v>
      </c>
      <c r="B470" s="60">
        <f>7.3543 * CHOOSE(CONTROL!$C$22, $C$13, 100%, $E$13)</f>
        <v>7.3543000000000003</v>
      </c>
      <c r="C470" s="60">
        <f>7.3543 * CHOOSE(CONTROL!$C$22, $C$13, 100%, $E$13)</f>
        <v>7.3543000000000003</v>
      </c>
      <c r="D470" s="60">
        <f>7.3706 * CHOOSE(CONTROL!$C$22, $C$13, 100%, $E$13)</f>
        <v>7.3705999999999996</v>
      </c>
      <c r="E470" s="61">
        <f>8.5292 * CHOOSE(CONTROL!$C$22, $C$13, 100%, $E$13)</f>
        <v>8.5291999999999994</v>
      </c>
      <c r="F470" s="61">
        <f>8.5292 * CHOOSE(CONTROL!$C$22, $C$13, 100%, $E$13)</f>
        <v>8.5291999999999994</v>
      </c>
      <c r="G470" s="61">
        <f>8.5294 * CHOOSE(CONTROL!$C$22, $C$13, 100%, $E$13)</f>
        <v>8.5294000000000008</v>
      </c>
      <c r="H470" s="61">
        <f>14.712* CHOOSE(CONTROL!$C$22, $C$13, 100%, $E$13)</f>
        <v>14.712</v>
      </c>
      <c r="I470" s="61">
        <f>14.7122 * CHOOSE(CONTROL!$C$22, $C$13, 100%, $E$13)</f>
        <v>14.712199999999999</v>
      </c>
      <c r="J470" s="61">
        <f>8.5292 * CHOOSE(CONTROL!$C$22, $C$13, 100%, $E$13)</f>
        <v>8.5291999999999994</v>
      </c>
      <c r="K470" s="61">
        <f>8.5294 * CHOOSE(CONTROL!$C$22, $C$13, 100%, $E$13)</f>
        <v>8.5294000000000008</v>
      </c>
    </row>
    <row r="471" spans="1:11" ht="15">
      <c r="A471" s="13">
        <v>56189</v>
      </c>
      <c r="B471" s="60">
        <f>7.3573 * CHOOSE(CONTROL!$C$22, $C$13, 100%, $E$13)</f>
        <v>7.3573000000000004</v>
      </c>
      <c r="C471" s="60">
        <f>7.3573 * CHOOSE(CONTROL!$C$22, $C$13, 100%, $E$13)</f>
        <v>7.3573000000000004</v>
      </c>
      <c r="D471" s="60">
        <f>7.3737 * CHOOSE(CONTROL!$C$22, $C$13, 100%, $E$13)</f>
        <v>7.3737000000000004</v>
      </c>
      <c r="E471" s="61">
        <f>8.5507 * CHOOSE(CONTROL!$C$22, $C$13, 100%, $E$13)</f>
        <v>8.5507000000000009</v>
      </c>
      <c r="F471" s="61">
        <f>8.5507 * CHOOSE(CONTROL!$C$22, $C$13, 100%, $E$13)</f>
        <v>8.5507000000000009</v>
      </c>
      <c r="G471" s="61">
        <f>8.5509 * CHOOSE(CONTROL!$C$22, $C$13, 100%, $E$13)</f>
        <v>8.5509000000000004</v>
      </c>
      <c r="H471" s="61">
        <f>14.7427* CHOOSE(CONTROL!$C$22, $C$13, 100%, $E$13)</f>
        <v>14.742699999999999</v>
      </c>
      <c r="I471" s="61">
        <f>14.7429 * CHOOSE(CONTROL!$C$22, $C$13, 100%, $E$13)</f>
        <v>14.742900000000001</v>
      </c>
      <c r="J471" s="61">
        <f>8.5507 * CHOOSE(CONTROL!$C$22, $C$13, 100%, $E$13)</f>
        <v>8.5507000000000009</v>
      </c>
      <c r="K471" s="61">
        <f>8.5509 * CHOOSE(CONTROL!$C$22, $C$13, 100%, $E$13)</f>
        <v>8.5509000000000004</v>
      </c>
    </row>
    <row r="472" spans="1:11" ht="15">
      <c r="A472" s="13">
        <v>56219</v>
      </c>
      <c r="B472" s="60">
        <f>7.3573 * CHOOSE(CONTROL!$C$22, $C$13, 100%, $E$13)</f>
        <v>7.3573000000000004</v>
      </c>
      <c r="C472" s="60">
        <f>7.3573 * CHOOSE(CONTROL!$C$22, $C$13, 100%, $E$13)</f>
        <v>7.3573000000000004</v>
      </c>
      <c r="D472" s="60">
        <f>7.3737 * CHOOSE(CONTROL!$C$22, $C$13, 100%, $E$13)</f>
        <v>7.3737000000000004</v>
      </c>
      <c r="E472" s="61">
        <f>8.5022 * CHOOSE(CONTROL!$C$22, $C$13, 100%, $E$13)</f>
        <v>8.5022000000000002</v>
      </c>
      <c r="F472" s="61">
        <f>8.5022 * CHOOSE(CONTROL!$C$22, $C$13, 100%, $E$13)</f>
        <v>8.5022000000000002</v>
      </c>
      <c r="G472" s="61">
        <f>8.5024 * CHOOSE(CONTROL!$C$22, $C$13, 100%, $E$13)</f>
        <v>8.5023999999999997</v>
      </c>
      <c r="H472" s="61">
        <f>14.7734* CHOOSE(CONTROL!$C$22, $C$13, 100%, $E$13)</f>
        <v>14.773400000000001</v>
      </c>
      <c r="I472" s="61">
        <f>14.7736 * CHOOSE(CONTROL!$C$22, $C$13, 100%, $E$13)</f>
        <v>14.7736</v>
      </c>
      <c r="J472" s="61">
        <f>8.5022 * CHOOSE(CONTROL!$C$22, $C$13, 100%, $E$13)</f>
        <v>8.5022000000000002</v>
      </c>
      <c r="K472" s="61">
        <f>8.5024 * CHOOSE(CONTROL!$C$22, $C$13, 100%, $E$13)</f>
        <v>8.5023999999999997</v>
      </c>
    </row>
    <row r="473" spans="1:11" ht="15">
      <c r="A473" s="13">
        <v>56250</v>
      </c>
      <c r="B473" s="60">
        <f>7.4229 * CHOOSE(CONTROL!$C$22, $C$13, 100%, $E$13)</f>
        <v>7.4229000000000003</v>
      </c>
      <c r="C473" s="60">
        <f>7.4229 * CHOOSE(CONTROL!$C$22, $C$13, 100%, $E$13)</f>
        <v>7.4229000000000003</v>
      </c>
      <c r="D473" s="60">
        <f>7.4392 * CHOOSE(CONTROL!$C$22, $C$13, 100%, $E$13)</f>
        <v>7.4391999999999996</v>
      </c>
      <c r="E473" s="61">
        <f>8.6133 * CHOOSE(CONTROL!$C$22, $C$13, 100%, $E$13)</f>
        <v>8.6133000000000006</v>
      </c>
      <c r="F473" s="61">
        <f>8.6133 * CHOOSE(CONTROL!$C$22, $C$13, 100%, $E$13)</f>
        <v>8.6133000000000006</v>
      </c>
      <c r="G473" s="61">
        <f>8.6135 * CHOOSE(CONTROL!$C$22, $C$13, 100%, $E$13)</f>
        <v>8.6135000000000002</v>
      </c>
      <c r="H473" s="61">
        <f>14.8042* CHOOSE(CONTROL!$C$22, $C$13, 100%, $E$13)</f>
        <v>14.8042</v>
      </c>
      <c r="I473" s="61">
        <f>14.8043 * CHOOSE(CONTROL!$C$22, $C$13, 100%, $E$13)</f>
        <v>14.8043</v>
      </c>
      <c r="J473" s="61">
        <f>8.6133 * CHOOSE(CONTROL!$C$22, $C$13, 100%, $E$13)</f>
        <v>8.6133000000000006</v>
      </c>
      <c r="K473" s="61">
        <f>8.6135 * CHOOSE(CONTROL!$C$22, $C$13, 100%, $E$13)</f>
        <v>8.6135000000000002</v>
      </c>
    </row>
    <row r="474" spans="1:11" ht="15">
      <c r="A474" s="13">
        <v>56281</v>
      </c>
      <c r="B474" s="60">
        <f>7.4198 * CHOOSE(CONTROL!$C$22, $C$13, 100%, $E$13)</f>
        <v>7.4198000000000004</v>
      </c>
      <c r="C474" s="60">
        <f>7.4198 * CHOOSE(CONTROL!$C$22, $C$13, 100%, $E$13)</f>
        <v>7.4198000000000004</v>
      </c>
      <c r="D474" s="60">
        <f>7.4362 * CHOOSE(CONTROL!$C$22, $C$13, 100%, $E$13)</f>
        <v>7.4362000000000004</v>
      </c>
      <c r="E474" s="61">
        <f>8.5171 * CHOOSE(CONTROL!$C$22, $C$13, 100%, $E$13)</f>
        <v>8.5170999999999992</v>
      </c>
      <c r="F474" s="61">
        <f>8.5171 * CHOOSE(CONTROL!$C$22, $C$13, 100%, $E$13)</f>
        <v>8.5170999999999992</v>
      </c>
      <c r="G474" s="61">
        <f>8.5173 * CHOOSE(CONTROL!$C$22, $C$13, 100%, $E$13)</f>
        <v>8.5173000000000005</v>
      </c>
      <c r="H474" s="61">
        <f>14.835* CHOOSE(CONTROL!$C$22, $C$13, 100%, $E$13)</f>
        <v>14.835000000000001</v>
      </c>
      <c r="I474" s="61">
        <f>14.8352 * CHOOSE(CONTROL!$C$22, $C$13, 100%, $E$13)</f>
        <v>14.8352</v>
      </c>
      <c r="J474" s="61">
        <f>8.5171 * CHOOSE(CONTROL!$C$22, $C$13, 100%, $E$13)</f>
        <v>8.5170999999999992</v>
      </c>
      <c r="K474" s="61">
        <f>8.5173 * CHOOSE(CONTROL!$C$22, $C$13, 100%, $E$13)</f>
        <v>8.5173000000000005</v>
      </c>
    </row>
    <row r="475" spans="1:11" ht="15">
      <c r="A475" s="13">
        <v>56309</v>
      </c>
      <c r="B475" s="60">
        <f>7.4168 * CHOOSE(CONTROL!$C$22, $C$13, 100%, $E$13)</f>
        <v>7.4168000000000003</v>
      </c>
      <c r="C475" s="60">
        <f>7.4168 * CHOOSE(CONTROL!$C$22, $C$13, 100%, $E$13)</f>
        <v>7.4168000000000003</v>
      </c>
      <c r="D475" s="60">
        <f>7.4331 * CHOOSE(CONTROL!$C$22, $C$13, 100%, $E$13)</f>
        <v>7.4330999999999996</v>
      </c>
      <c r="E475" s="61">
        <f>8.5892 * CHOOSE(CONTROL!$C$22, $C$13, 100%, $E$13)</f>
        <v>8.5891999999999999</v>
      </c>
      <c r="F475" s="61">
        <f>8.5892 * CHOOSE(CONTROL!$C$22, $C$13, 100%, $E$13)</f>
        <v>8.5891999999999999</v>
      </c>
      <c r="G475" s="61">
        <f>8.5893 * CHOOSE(CONTROL!$C$22, $C$13, 100%, $E$13)</f>
        <v>8.5892999999999997</v>
      </c>
      <c r="H475" s="61">
        <f>14.8659* CHOOSE(CONTROL!$C$22, $C$13, 100%, $E$13)</f>
        <v>14.8659</v>
      </c>
      <c r="I475" s="61">
        <f>14.8661 * CHOOSE(CONTROL!$C$22, $C$13, 100%, $E$13)</f>
        <v>14.866099999999999</v>
      </c>
      <c r="J475" s="61">
        <f>8.5892 * CHOOSE(CONTROL!$C$22, $C$13, 100%, $E$13)</f>
        <v>8.5891999999999999</v>
      </c>
      <c r="K475" s="61">
        <f>8.5893 * CHOOSE(CONTROL!$C$22, $C$13, 100%, $E$13)</f>
        <v>8.5892999999999997</v>
      </c>
    </row>
    <row r="476" spans="1:11" ht="15">
      <c r="A476" s="13">
        <v>56340</v>
      </c>
      <c r="B476" s="60">
        <f>7.4175 * CHOOSE(CONTROL!$C$22, $C$13, 100%, $E$13)</f>
        <v>7.4175000000000004</v>
      </c>
      <c r="C476" s="60">
        <f>7.4175 * CHOOSE(CONTROL!$C$22, $C$13, 100%, $E$13)</f>
        <v>7.4175000000000004</v>
      </c>
      <c r="D476" s="60">
        <f>7.4338 * CHOOSE(CONTROL!$C$22, $C$13, 100%, $E$13)</f>
        <v>7.4337999999999997</v>
      </c>
      <c r="E476" s="61">
        <f>8.6646 * CHOOSE(CONTROL!$C$22, $C$13, 100%, $E$13)</f>
        <v>8.6646000000000001</v>
      </c>
      <c r="F476" s="61">
        <f>8.6646 * CHOOSE(CONTROL!$C$22, $C$13, 100%, $E$13)</f>
        <v>8.6646000000000001</v>
      </c>
      <c r="G476" s="61">
        <f>8.6648 * CHOOSE(CONTROL!$C$22, $C$13, 100%, $E$13)</f>
        <v>8.6647999999999996</v>
      </c>
      <c r="H476" s="61">
        <f>14.8969* CHOOSE(CONTROL!$C$22, $C$13, 100%, $E$13)</f>
        <v>14.8969</v>
      </c>
      <c r="I476" s="61">
        <f>14.8971 * CHOOSE(CONTROL!$C$22, $C$13, 100%, $E$13)</f>
        <v>14.8971</v>
      </c>
      <c r="J476" s="61">
        <f>8.6646 * CHOOSE(CONTROL!$C$22, $C$13, 100%, $E$13)</f>
        <v>8.6646000000000001</v>
      </c>
      <c r="K476" s="61">
        <f>8.6648 * CHOOSE(CONTROL!$C$22, $C$13, 100%, $E$13)</f>
        <v>8.6647999999999996</v>
      </c>
    </row>
    <row r="477" spans="1:11" ht="15">
      <c r="A477" s="13">
        <v>56370</v>
      </c>
      <c r="B477" s="60">
        <f>7.4175 * CHOOSE(CONTROL!$C$22, $C$13, 100%, $E$13)</f>
        <v>7.4175000000000004</v>
      </c>
      <c r="C477" s="60">
        <f>7.4175 * CHOOSE(CONTROL!$C$22, $C$13, 100%, $E$13)</f>
        <v>7.4175000000000004</v>
      </c>
      <c r="D477" s="60">
        <f>7.4501 * CHOOSE(CONTROL!$C$22, $C$13, 100%, $E$13)</f>
        <v>7.4500999999999999</v>
      </c>
      <c r="E477" s="61">
        <f>8.6945 * CHOOSE(CONTROL!$C$22, $C$13, 100%, $E$13)</f>
        <v>8.6944999999999997</v>
      </c>
      <c r="F477" s="61">
        <f>8.6945 * CHOOSE(CONTROL!$C$22, $C$13, 100%, $E$13)</f>
        <v>8.6944999999999997</v>
      </c>
      <c r="G477" s="61">
        <f>8.6965 * CHOOSE(CONTROL!$C$22, $C$13, 100%, $E$13)</f>
        <v>8.6965000000000003</v>
      </c>
      <c r="H477" s="61">
        <f>14.9279* CHOOSE(CONTROL!$C$22, $C$13, 100%, $E$13)</f>
        <v>14.927899999999999</v>
      </c>
      <c r="I477" s="61">
        <f>14.93 * CHOOSE(CONTROL!$C$22, $C$13, 100%, $E$13)</f>
        <v>14.93</v>
      </c>
      <c r="J477" s="61">
        <f>8.6945 * CHOOSE(CONTROL!$C$22, $C$13, 100%, $E$13)</f>
        <v>8.6944999999999997</v>
      </c>
      <c r="K477" s="61">
        <f>8.6965 * CHOOSE(CONTROL!$C$22, $C$13, 100%, $E$13)</f>
        <v>8.6965000000000003</v>
      </c>
    </row>
    <row r="478" spans="1:11" ht="15">
      <c r="A478" s="13">
        <v>56401</v>
      </c>
      <c r="B478" s="60">
        <f>7.4235 * CHOOSE(CONTROL!$C$22, $C$13, 100%, $E$13)</f>
        <v>7.4234999999999998</v>
      </c>
      <c r="C478" s="60">
        <f>7.4235 * CHOOSE(CONTROL!$C$22, $C$13, 100%, $E$13)</f>
        <v>7.4234999999999998</v>
      </c>
      <c r="D478" s="60">
        <f>7.4562 * CHOOSE(CONTROL!$C$22, $C$13, 100%, $E$13)</f>
        <v>7.4561999999999999</v>
      </c>
      <c r="E478" s="61">
        <f>8.6688 * CHOOSE(CONTROL!$C$22, $C$13, 100%, $E$13)</f>
        <v>8.6687999999999992</v>
      </c>
      <c r="F478" s="61">
        <f>8.6688 * CHOOSE(CONTROL!$C$22, $C$13, 100%, $E$13)</f>
        <v>8.6687999999999992</v>
      </c>
      <c r="G478" s="61">
        <f>8.6709 * CHOOSE(CONTROL!$C$22, $C$13, 100%, $E$13)</f>
        <v>8.6708999999999996</v>
      </c>
      <c r="H478" s="61">
        <f>14.959* CHOOSE(CONTROL!$C$22, $C$13, 100%, $E$13)</f>
        <v>14.959</v>
      </c>
      <c r="I478" s="61">
        <f>14.9611 * CHOOSE(CONTROL!$C$22, $C$13, 100%, $E$13)</f>
        <v>14.9611</v>
      </c>
      <c r="J478" s="61">
        <f>8.6688 * CHOOSE(CONTROL!$C$22, $C$13, 100%, $E$13)</f>
        <v>8.6687999999999992</v>
      </c>
      <c r="K478" s="61">
        <f>8.6709 * CHOOSE(CONTROL!$C$22, $C$13, 100%, $E$13)</f>
        <v>8.6708999999999996</v>
      </c>
    </row>
    <row r="479" spans="1:11" ht="15">
      <c r="A479" s="13">
        <v>56431</v>
      </c>
      <c r="B479" s="60">
        <f>7.5446 * CHOOSE(CONTROL!$C$22, $C$13, 100%, $E$13)</f>
        <v>7.5446</v>
      </c>
      <c r="C479" s="60">
        <f>7.5446 * CHOOSE(CONTROL!$C$22, $C$13, 100%, $E$13)</f>
        <v>7.5446</v>
      </c>
      <c r="D479" s="60">
        <f>7.5773 * CHOOSE(CONTROL!$C$22, $C$13, 100%, $E$13)</f>
        <v>7.5773000000000001</v>
      </c>
      <c r="E479" s="61">
        <f>8.8387 * CHOOSE(CONTROL!$C$22, $C$13, 100%, $E$13)</f>
        <v>8.8386999999999993</v>
      </c>
      <c r="F479" s="61">
        <f>8.8387 * CHOOSE(CONTROL!$C$22, $C$13, 100%, $E$13)</f>
        <v>8.8386999999999993</v>
      </c>
      <c r="G479" s="61">
        <f>8.8407 * CHOOSE(CONTROL!$C$22, $C$13, 100%, $E$13)</f>
        <v>8.8407</v>
      </c>
      <c r="H479" s="61">
        <f>14.9902* CHOOSE(CONTROL!$C$22, $C$13, 100%, $E$13)</f>
        <v>14.9902</v>
      </c>
      <c r="I479" s="61">
        <f>14.9922 * CHOOSE(CONTROL!$C$22, $C$13, 100%, $E$13)</f>
        <v>14.9922</v>
      </c>
      <c r="J479" s="61">
        <f>8.8387 * CHOOSE(CONTROL!$C$22, $C$13, 100%, $E$13)</f>
        <v>8.8386999999999993</v>
      </c>
      <c r="K479" s="61">
        <f>8.8407 * CHOOSE(CONTROL!$C$22, $C$13, 100%, $E$13)</f>
        <v>8.8407</v>
      </c>
    </row>
    <row r="480" spans="1:11" ht="15">
      <c r="A480" s="13">
        <v>56462</v>
      </c>
      <c r="B480" s="60">
        <f>7.5513 * CHOOSE(CONTROL!$C$22, $C$13, 100%, $E$13)</f>
        <v>7.5513000000000003</v>
      </c>
      <c r="C480" s="60">
        <f>7.5513 * CHOOSE(CONTROL!$C$22, $C$13, 100%, $E$13)</f>
        <v>7.5513000000000003</v>
      </c>
      <c r="D480" s="60">
        <f>7.584 * CHOOSE(CONTROL!$C$22, $C$13, 100%, $E$13)</f>
        <v>7.5839999999999996</v>
      </c>
      <c r="E480" s="61">
        <f>8.7537 * CHOOSE(CONTROL!$C$22, $C$13, 100%, $E$13)</f>
        <v>8.7537000000000003</v>
      </c>
      <c r="F480" s="61">
        <f>8.7537 * CHOOSE(CONTROL!$C$22, $C$13, 100%, $E$13)</f>
        <v>8.7537000000000003</v>
      </c>
      <c r="G480" s="61">
        <f>8.7557 * CHOOSE(CONTROL!$C$22, $C$13, 100%, $E$13)</f>
        <v>8.7556999999999992</v>
      </c>
      <c r="H480" s="61">
        <f>15.0214* CHOOSE(CONTROL!$C$22, $C$13, 100%, $E$13)</f>
        <v>15.0214</v>
      </c>
      <c r="I480" s="61">
        <f>15.0234 * CHOOSE(CONTROL!$C$22, $C$13, 100%, $E$13)</f>
        <v>15.023400000000001</v>
      </c>
      <c r="J480" s="61">
        <f>8.7537 * CHOOSE(CONTROL!$C$22, $C$13, 100%, $E$13)</f>
        <v>8.7537000000000003</v>
      </c>
      <c r="K480" s="61">
        <f>8.7557 * CHOOSE(CONTROL!$C$22, $C$13, 100%, $E$13)</f>
        <v>8.7556999999999992</v>
      </c>
    </row>
    <row r="481" spans="1:11" ht="15">
      <c r="A481" s="13">
        <v>56493</v>
      </c>
      <c r="B481" s="60">
        <f>7.5483 * CHOOSE(CONTROL!$C$22, $C$13, 100%, $E$13)</f>
        <v>7.5483000000000002</v>
      </c>
      <c r="C481" s="60">
        <f>7.5483 * CHOOSE(CONTROL!$C$22, $C$13, 100%, $E$13)</f>
        <v>7.5483000000000002</v>
      </c>
      <c r="D481" s="60">
        <f>7.5809 * CHOOSE(CONTROL!$C$22, $C$13, 100%, $E$13)</f>
        <v>7.5808999999999997</v>
      </c>
      <c r="E481" s="61">
        <f>8.7416 * CHOOSE(CONTROL!$C$22, $C$13, 100%, $E$13)</f>
        <v>8.7416</v>
      </c>
      <c r="F481" s="61">
        <f>8.7416 * CHOOSE(CONTROL!$C$22, $C$13, 100%, $E$13)</f>
        <v>8.7416</v>
      </c>
      <c r="G481" s="61">
        <f>8.7436 * CHOOSE(CONTROL!$C$22, $C$13, 100%, $E$13)</f>
        <v>8.7436000000000007</v>
      </c>
      <c r="H481" s="61">
        <f>15.0527* CHOOSE(CONTROL!$C$22, $C$13, 100%, $E$13)</f>
        <v>15.0527</v>
      </c>
      <c r="I481" s="61">
        <f>15.0547 * CHOOSE(CONTROL!$C$22, $C$13, 100%, $E$13)</f>
        <v>15.0547</v>
      </c>
      <c r="J481" s="61">
        <f>8.7416 * CHOOSE(CONTROL!$C$22, $C$13, 100%, $E$13)</f>
        <v>8.7416</v>
      </c>
      <c r="K481" s="61">
        <f>8.7436 * CHOOSE(CONTROL!$C$22, $C$13, 100%, $E$13)</f>
        <v>8.7436000000000007</v>
      </c>
    </row>
    <row r="482" spans="1:11" ht="15">
      <c r="A482" s="13">
        <v>56523</v>
      </c>
      <c r="B482" s="60">
        <f>7.5554 * CHOOSE(CONTROL!$C$22, $C$13, 100%, $E$13)</f>
        <v>7.5553999999999997</v>
      </c>
      <c r="C482" s="60">
        <f>7.5554 * CHOOSE(CONTROL!$C$22, $C$13, 100%, $E$13)</f>
        <v>7.5553999999999997</v>
      </c>
      <c r="D482" s="60">
        <f>7.5717 * CHOOSE(CONTROL!$C$22, $C$13, 100%, $E$13)</f>
        <v>7.5716999999999999</v>
      </c>
      <c r="E482" s="61">
        <f>8.768 * CHOOSE(CONTROL!$C$22, $C$13, 100%, $E$13)</f>
        <v>8.7680000000000007</v>
      </c>
      <c r="F482" s="61">
        <f>8.768 * CHOOSE(CONTROL!$C$22, $C$13, 100%, $E$13)</f>
        <v>8.7680000000000007</v>
      </c>
      <c r="G482" s="61">
        <f>8.7682 * CHOOSE(CONTROL!$C$22, $C$13, 100%, $E$13)</f>
        <v>8.7682000000000002</v>
      </c>
      <c r="H482" s="61">
        <f>15.0841* CHOOSE(CONTROL!$C$22, $C$13, 100%, $E$13)</f>
        <v>15.084099999999999</v>
      </c>
      <c r="I482" s="61">
        <f>15.0842 * CHOOSE(CONTROL!$C$22, $C$13, 100%, $E$13)</f>
        <v>15.084199999999999</v>
      </c>
      <c r="J482" s="61">
        <f>8.768 * CHOOSE(CONTROL!$C$22, $C$13, 100%, $E$13)</f>
        <v>8.7680000000000007</v>
      </c>
      <c r="K482" s="61">
        <f>8.7682 * CHOOSE(CONTROL!$C$22, $C$13, 100%, $E$13)</f>
        <v>8.7682000000000002</v>
      </c>
    </row>
    <row r="483" spans="1:11" ht="15">
      <c r="A483" s="13">
        <v>56554</v>
      </c>
      <c r="B483" s="60">
        <f>7.5584 * CHOOSE(CONTROL!$C$22, $C$13, 100%, $E$13)</f>
        <v>7.5583999999999998</v>
      </c>
      <c r="C483" s="60">
        <f>7.5584 * CHOOSE(CONTROL!$C$22, $C$13, 100%, $E$13)</f>
        <v>7.5583999999999998</v>
      </c>
      <c r="D483" s="60">
        <f>7.5747 * CHOOSE(CONTROL!$C$22, $C$13, 100%, $E$13)</f>
        <v>7.5747</v>
      </c>
      <c r="E483" s="61">
        <f>8.7901 * CHOOSE(CONTROL!$C$22, $C$13, 100%, $E$13)</f>
        <v>8.7901000000000007</v>
      </c>
      <c r="F483" s="61">
        <f>8.7901 * CHOOSE(CONTROL!$C$22, $C$13, 100%, $E$13)</f>
        <v>8.7901000000000007</v>
      </c>
      <c r="G483" s="61">
        <f>8.7902 * CHOOSE(CONTROL!$C$22, $C$13, 100%, $E$13)</f>
        <v>8.7902000000000005</v>
      </c>
      <c r="H483" s="61">
        <f>15.1155* CHOOSE(CONTROL!$C$22, $C$13, 100%, $E$13)</f>
        <v>15.115500000000001</v>
      </c>
      <c r="I483" s="61">
        <f>15.1157 * CHOOSE(CONTROL!$C$22, $C$13, 100%, $E$13)</f>
        <v>15.1157</v>
      </c>
      <c r="J483" s="61">
        <f>8.7901 * CHOOSE(CONTROL!$C$22, $C$13, 100%, $E$13)</f>
        <v>8.7901000000000007</v>
      </c>
      <c r="K483" s="61">
        <f>8.7902 * CHOOSE(CONTROL!$C$22, $C$13, 100%, $E$13)</f>
        <v>8.7902000000000005</v>
      </c>
    </row>
    <row r="484" spans="1:11" ht="15">
      <c r="A484" s="13">
        <v>56584</v>
      </c>
      <c r="B484" s="60">
        <f>7.5584 * CHOOSE(CONTROL!$C$22, $C$13, 100%, $E$13)</f>
        <v>7.5583999999999998</v>
      </c>
      <c r="C484" s="60">
        <f>7.5584 * CHOOSE(CONTROL!$C$22, $C$13, 100%, $E$13)</f>
        <v>7.5583999999999998</v>
      </c>
      <c r="D484" s="60">
        <f>7.5747 * CHOOSE(CONTROL!$C$22, $C$13, 100%, $E$13)</f>
        <v>7.5747</v>
      </c>
      <c r="E484" s="61">
        <f>8.7403 * CHOOSE(CONTROL!$C$22, $C$13, 100%, $E$13)</f>
        <v>8.7402999999999995</v>
      </c>
      <c r="F484" s="61">
        <f>8.7403 * CHOOSE(CONTROL!$C$22, $C$13, 100%, $E$13)</f>
        <v>8.7402999999999995</v>
      </c>
      <c r="G484" s="61">
        <f>8.7404 * CHOOSE(CONTROL!$C$22, $C$13, 100%, $E$13)</f>
        <v>8.7403999999999993</v>
      </c>
      <c r="H484" s="61">
        <f>15.147* CHOOSE(CONTROL!$C$22, $C$13, 100%, $E$13)</f>
        <v>15.147</v>
      </c>
      <c r="I484" s="61">
        <f>15.1472 * CHOOSE(CONTROL!$C$22, $C$13, 100%, $E$13)</f>
        <v>15.1472</v>
      </c>
      <c r="J484" s="61">
        <f>8.7403 * CHOOSE(CONTROL!$C$22, $C$13, 100%, $E$13)</f>
        <v>8.7402999999999995</v>
      </c>
      <c r="K484" s="61">
        <f>8.7404 * CHOOSE(CONTROL!$C$22, $C$13, 100%, $E$13)</f>
        <v>8.7403999999999993</v>
      </c>
    </row>
    <row r="485" spans="1:11" ht="15">
      <c r="A485" s="13">
        <v>56615</v>
      </c>
      <c r="B485" s="60">
        <f>7.6256 * CHOOSE(CONTROL!$C$22, $C$13, 100%, $E$13)</f>
        <v>7.6256000000000004</v>
      </c>
      <c r="C485" s="60">
        <f>7.6256 * CHOOSE(CONTROL!$C$22, $C$13, 100%, $E$13)</f>
        <v>7.6256000000000004</v>
      </c>
      <c r="D485" s="60">
        <f>7.6419 * CHOOSE(CONTROL!$C$22, $C$13, 100%, $E$13)</f>
        <v>7.6418999999999997</v>
      </c>
      <c r="E485" s="61">
        <f>8.8543 * CHOOSE(CONTROL!$C$22, $C$13, 100%, $E$13)</f>
        <v>8.8543000000000003</v>
      </c>
      <c r="F485" s="61">
        <f>8.8543 * CHOOSE(CONTROL!$C$22, $C$13, 100%, $E$13)</f>
        <v>8.8543000000000003</v>
      </c>
      <c r="G485" s="61">
        <f>8.8545 * CHOOSE(CONTROL!$C$22, $C$13, 100%, $E$13)</f>
        <v>8.8544999999999998</v>
      </c>
      <c r="H485" s="61">
        <f>15.1785* CHOOSE(CONTROL!$C$22, $C$13, 100%, $E$13)</f>
        <v>15.1785</v>
      </c>
      <c r="I485" s="61">
        <f>15.1787 * CHOOSE(CONTROL!$C$22, $C$13, 100%, $E$13)</f>
        <v>15.178699999999999</v>
      </c>
      <c r="J485" s="61">
        <f>8.8543 * CHOOSE(CONTROL!$C$22, $C$13, 100%, $E$13)</f>
        <v>8.8543000000000003</v>
      </c>
      <c r="K485" s="61">
        <f>8.8545 * CHOOSE(CONTROL!$C$22, $C$13, 100%, $E$13)</f>
        <v>8.8544999999999998</v>
      </c>
    </row>
    <row r="486" spans="1:11" ht="15">
      <c r="A486" s="13">
        <v>56646</v>
      </c>
      <c r="B486" s="60">
        <f>7.6226 * CHOOSE(CONTROL!$C$22, $C$13, 100%, $E$13)</f>
        <v>7.6226000000000003</v>
      </c>
      <c r="C486" s="60">
        <f>7.6226 * CHOOSE(CONTROL!$C$22, $C$13, 100%, $E$13)</f>
        <v>7.6226000000000003</v>
      </c>
      <c r="D486" s="60">
        <f>7.6389 * CHOOSE(CONTROL!$C$22, $C$13, 100%, $E$13)</f>
        <v>7.6388999999999996</v>
      </c>
      <c r="E486" s="61">
        <f>8.7555 * CHOOSE(CONTROL!$C$22, $C$13, 100%, $E$13)</f>
        <v>8.7554999999999996</v>
      </c>
      <c r="F486" s="61">
        <f>8.7555 * CHOOSE(CONTROL!$C$22, $C$13, 100%, $E$13)</f>
        <v>8.7554999999999996</v>
      </c>
      <c r="G486" s="61">
        <f>8.7557 * CHOOSE(CONTROL!$C$22, $C$13, 100%, $E$13)</f>
        <v>8.7556999999999992</v>
      </c>
      <c r="H486" s="61">
        <f>15.2102* CHOOSE(CONTROL!$C$22, $C$13, 100%, $E$13)</f>
        <v>15.2102</v>
      </c>
      <c r="I486" s="61">
        <f>15.2103 * CHOOSE(CONTROL!$C$22, $C$13, 100%, $E$13)</f>
        <v>15.2103</v>
      </c>
      <c r="J486" s="61">
        <f>8.7555 * CHOOSE(CONTROL!$C$22, $C$13, 100%, $E$13)</f>
        <v>8.7554999999999996</v>
      </c>
      <c r="K486" s="61">
        <f>8.7557 * CHOOSE(CONTROL!$C$22, $C$13, 100%, $E$13)</f>
        <v>8.7556999999999992</v>
      </c>
    </row>
    <row r="487" spans="1:11" ht="15">
      <c r="A487" s="13">
        <v>56674</v>
      </c>
      <c r="B487" s="60">
        <f>7.6195 * CHOOSE(CONTROL!$C$22, $C$13, 100%, $E$13)</f>
        <v>7.6195000000000004</v>
      </c>
      <c r="C487" s="60">
        <f>7.6195 * CHOOSE(CONTROL!$C$22, $C$13, 100%, $E$13)</f>
        <v>7.6195000000000004</v>
      </c>
      <c r="D487" s="60">
        <f>7.6359 * CHOOSE(CONTROL!$C$22, $C$13, 100%, $E$13)</f>
        <v>7.6359000000000004</v>
      </c>
      <c r="E487" s="61">
        <f>8.8296 * CHOOSE(CONTROL!$C$22, $C$13, 100%, $E$13)</f>
        <v>8.8295999999999992</v>
      </c>
      <c r="F487" s="61">
        <f>8.8296 * CHOOSE(CONTROL!$C$22, $C$13, 100%, $E$13)</f>
        <v>8.8295999999999992</v>
      </c>
      <c r="G487" s="61">
        <f>8.8298 * CHOOSE(CONTROL!$C$22, $C$13, 100%, $E$13)</f>
        <v>8.8298000000000005</v>
      </c>
      <c r="H487" s="61">
        <f>15.2419* CHOOSE(CONTROL!$C$22, $C$13, 100%, $E$13)</f>
        <v>15.241899999999999</v>
      </c>
      <c r="I487" s="61">
        <f>15.242 * CHOOSE(CONTROL!$C$22, $C$13, 100%, $E$13)</f>
        <v>15.242000000000001</v>
      </c>
      <c r="J487" s="61">
        <f>8.8296 * CHOOSE(CONTROL!$C$22, $C$13, 100%, $E$13)</f>
        <v>8.8295999999999992</v>
      </c>
      <c r="K487" s="61">
        <f>8.8298 * CHOOSE(CONTROL!$C$22, $C$13, 100%, $E$13)</f>
        <v>8.8298000000000005</v>
      </c>
    </row>
    <row r="488" spans="1:11" ht="15">
      <c r="A488" s="13">
        <v>56705</v>
      </c>
      <c r="B488" s="60">
        <f>7.6204 * CHOOSE(CONTROL!$C$22, $C$13, 100%, $E$13)</f>
        <v>7.6204000000000001</v>
      </c>
      <c r="C488" s="60">
        <f>7.6204 * CHOOSE(CONTROL!$C$22, $C$13, 100%, $E$13)</f>
        <v>7.6204000000000001</v>
      </c>
      <c r="D488" s="60">
        <f>7.6367 * CHOOSE(CONTROL!$C$22, $C$13, 100%, $E$13)</f>
        <v>7.6367000000000003</v>
      </c>
      <c r="E488" s="61">
        <f>8.9073 * CHOOSE(CONTROL!$C$22, $C$13, 100%, $E$13)</f>
        <v>8.9072999999999993</v>
      </c>
      <c r="F488" s="61">
        <f>8.9073 * CHOOSE(CONTROL!$C$22, $C$13, 100%, $E$13)</f>
        <v>8.9072999999999993</v>
      </c>
      <c r="G488" s="61">
        <f>8.9075 * CHOOSE(CONTROL!$C$22, $C$13, 100%, $E$13)</f>
        <v>8.9075000000000006</v>
      </c>
      <c r="H488" s="61">
        <f>15.2736* CHOOSE(CONTROL!$C$22, $C$13, 100%, $E$13)</f>
        <v>15.2736</v>
      </c>
      <c r="I488" s="61">
        <f>15.2738 * CHOOSE(CONTROL!$C$22, $C$13, 100%, $E$13)</f>
        <v>15.2738</v>
      </c>
      <c r="J488" s="61">
        <f>8.9073 * CHOOSE(CONTROL!$C$22, $C$13, 100%, $E$13)</f>
        <v>8.9072999999999993</v>
      </c>
      <c r="K488" s="61">
        <f>8.9075 * CHOOSE(CONTROL!$C$22, $C$13, 100%, $E$13)</f>
        <v>8.9075000000000006</v>
      </c>
    </row>
    <row r="489" spans="1:11" ht="15">
      <c r="A489" s="13">
        <v>56735</v>
      </c>
      <c r="B489" s="60">
        <f>7.6204 * CHOOSE(CONTROL!$C$22, $C$13, 100%, $E$13)</f>
        <v>7.6204000000000001</v>
      </c>
      <c r="C489" s="60">
        <f>7.6204 * CHOOSE(CONTROL!$C$22, $C$13, 100%, $E$13)</f>
        <v>7.6204000000000001</v>
      </c>
      <c r="D489" s="60">
        <f>7.653 * CHOOSE(CONTROL!$C$22, $C$13, 100%, $E$13)</f>
        <v>7.6529999999999996</v>
      </c>
      <c r="E489" s="61">
        <f>8.938 * CHOOSE(CONTROL!$C$22, $C$13, 100%, $E$13)</f>
        <v>8.9380000000000006</v>
      </c>
      <c r="F489" s="61">
        <f>8.938 * CHOOSE(CONTROL!$C$22, $C$13, 100%, $E$13)</f>
        <v>8.9380000000000006</v>
      </c>
      <c r="G489" s="61">
        <f>8.9401 * CHOOSE(CONTROL!$C$22, $C$13, 100%, $E$13)</f>
        <v>8.9400999999999993</v>
      </c>
      <c r="H489" s="61">
        <f>15.3054* CHOOSE(CONTROL!$C$22, $C$13, 100%, $E$13)</f>
        <v>15.305400000000001</v>
      </c>
      <c r="I489" s="61">
        <f>15.3075 * CHOOSE(CONTROL!$C$22, $C$13, 100%, $E$13)</f>
        <v>15.307499999999999</v>
      </c>
      <c r="J489" s="61">
        <f>8.938 * CHOOSE(CONTROL!$C$22, $C$13, 100%, $E$13)</f>
        <v>8.9380000000000006</v>
      </c>
      <c r="K489" s="61">
        <f>8.9401 * CHOOSE(CONTROL!$C$22, $C$13, 100%, $E$13)</f>
        <v>8.9400999999999993</v>
      </c>
    </row>
    <row r="490" spans="1:11" ht="15">
      <c r="A490" s="13">
        <v>56766</v>
      </c>
      <c r="B490" s="60">
        <f>7.6264 * CHOOSE(CONTROL!$C$22, $C$13, 100%, $E$13)</f>
        <v>7.6264000000000003</v>
      </c>
      <c r="C490" s="60">
        <f>7.6264 * CHOOSE(CONTROL!$C$22, $C$13, 100%, $E$13)</f>
        <v>7.6264000000000003</v>
      </c>
      <c r="D490" s="60">
        <f>7.6591 * CHOOSE(CONTROL!$C$22, $C$13, 100%, $E$13)</f>
        <v>7.6590999999999996</v>
      </c>
      <c r="E490" s="61">
        <f>8.9115 * CHOOSE(CONTROL!$C$22, $C$13, 100%, $E$13)</f>
        <v>8.9115000000000002</v>
      </c>
      <c r="F490" s="61">
        <f>8.9115 * CHOOSE(CONTROL!$C$22, $C$13, 100%, $E$13)</f>
        <v>8.9115000000000002</v>
      </c>
      <c r="G490" s="61">
        <f>8.9136 * CHOOSE(CONTROL!$C$22, $C$13, 100%, $E$13)</f>
        <v>8.9136000000000006</v>
      </c>
      <c r="H490" s="61">
        <f>15.3373* CHOOSE(CONTROL!$C$22, $C$13, 100%, $E$13)</f>
        <v>15.337300000000001</v>
      </c>
      <c r="I490" s="61">
        <f>15.3393 * CHOOSE(CONTROL!$C$22, $C$13, 100%, $E$13)</f>
        <v>15.3393</v>
      </c>
      <c r="J490" s="61">
        <f>8.9115 * CHOOSE(CONTROL!$C$22, $C$13, 100%, $E$13)</f>
        <v>8.9115000000000002</v>
      </c>
      <c r="K490" s="61">
        <f>8.9136 * CHOOSE(CONTROL!$C$22, $C$13, 100%, $E$13)</f>
        <v>8.9136000000000006</v>
      </c>
    </row>
    <row r="491" spans="1:11" ht="15">
      <c r="A491" s="13">
        <v>56796</v>
      </c>
      <c r="B491" s="60">
        <f>7.7506 * CHOOSE(CONTROL!$C$22, $C$13, 100%, $E$13)</f>
        <v>7.7506000000000004</v>
      </c>
      <c r="C491" s="60">
        <f>7.7506 * CHOOSE(CONTROL!$C$22, $C$13, 100%, $E$13)</f>
        <v>7.7506000000000004</v>
      </c>
      <c r="D491" s="60">
        <f>7.7832 * CHOOSE(CONTROL!$C$22, $C$13, 100%, $E$13)</f>
        <v>7.7831999999999999</v>
      </c>
      <c r="E491" s="61">
        <f>9.0859 * CHOOSE(CONTROL!$C$22, $C$13, 100%, $E$13)</f>
        <v>9.0859000000000005</v>
      </c>
      <c r="F491" s="61">
        <f>9.0859 * CHOOSE(CONTROL!$C$22, $C$13, 100%, $E$13)</f>
        <v>9.0859000000000005</v>
      </c>
      <c r="G491" s="61">
        <f>9.0879 * CHOOSE(CONTROL!$C$22, $C$13, 100%, $E$13)</f>
        <v>9.0878999999999994</v>
      </c>
      <c r="H491" s="61">
        <f>15.3693* CHOOSE(CONTROL!$C$22, $C$13, 100%, $E$13)</f>
        <v>15.369300000000001</v>
      </c>
      <c r="I491" s="61">
        <f>15.3713 * CHOOSE(CONTROL!$C$22, $C$13, 100%, $E$13)</f>
        <v>15.3713</v>
      </c>
      <c r="J491" s="61">
        <f>9.0859 * CHOOSE(CONTROL!$C$22, $C$13, 100%, $E$13)</f>
        <v>9.0859000000000005</v>
      </c>
      <c r="K491" s="61">
        <f>9.0879 * CHOOSE(CONTROL!$C$22, $C$13, 100%, $E$13)</f>
        <v>9.0878999999999994</v>
      </c>
    </row>
    <row r="492" spans="1:11" ht="15">
      <c r="A492" s="13">
        <v>56827</v>
      </c>
      <c r="B492" s="60">
        <f>7.7573 * CHOOSE(CONTROL!$C$22, $C$13, 100%, $E$13)</f>
        <v>7.7572999999999999</v>
      </c>
      <c r="C492" s="60">
        <f>7.7573 * CHOOSE(CONTROL!$C$22, $C$13, 100%, $E$13)</f>
        <v>7.7572999999999999</v>
      </c>
      <c r="D492" s="60">
        <f>7.7899 * CHOOSE(CONTROL!$C$22, $C$13, 100%, $E$13)</f>
        <v>7.7899000000000003</v>
      </c>
      <c r="E492" s="61">
        <f>8.9984 * CHOOSE(CONTROL!$C$22, $C$13, 100%, $E$13)</f>
        <v>8.9984000000000002</v>
      </c>
      <c r="F492" s="61">
        <f>8.9984 * CHOOSE(CONTROL!$C$22, $C$13, 100%, $E$13)</f>
        <v>8.9984000000000002</v>
      </c>
      <c r="G492" s="61">
        <f>9.0004 * CHOOSE(CONTROL!$C$22, $C$13, 100%, $E$13)</f>
        <v>9.0004000000000008</v>
      </c>
      <c r="H492" s="61">
        <f>15.4013* CHOOSE(CONTROL!$C$22, $C$13, 100%, $E$13)</f>
        <v>15.401300000000001</v>
      </c>
      <c r="I492" s="61">
        <f>15.4033 * CHOOSE(CONTROL!$C$22, $C$13, 100%, $E$13)</f>
        <v>15.4033</v>
      </c>
      <c r="J492" s="61">
        <f>8.9984 * CHOOSE(CONTROL!$C$22, $C$13, 100%, $E$13)</f>
        <v>8.9984000000000002</v>
      </c>
      <c r="K492" s="61">
        <f>9.0004 * CHOOSE(CONTROL!$C$22, $C$13, 100%, $E$13)</f>
        <v>9.0004000000000008</v>
      </c>
    </row>
    <row r="493" spans="1:11" ht="15">
      <c r="A493" s="13">
        <v>56858</v>
      </c>
      <c r="B493" s="60">
        <f>7.7542 * CHOOSE(CONTROL!$C$22, $C$13, 100%, $E$13)</f>
        <v>7.7542</v>
      </c>
      <c r="C493" s="60">
        <f>7.7542 * CHOOSE(CONTROL!$C$22, $C$13, 100%, $E$13)</f>
        <v>7.7542</v>
      </c>
      <c r="D493" s="60">
        <f>7.7869 * CHOOSE(CONTROL!$C$22, $C$13, 100%, $E$13)</f>
        <v>7.7869000000000002</v>
      </c>
      <c r="E493" s="61">
        <f>8.986 * CHOOSE(CONTROL!$C$22, $C$13, 100%, $E$13)</f>
        <v>8.9860000000000007</v>
      </c>
      <c r="F493" s="61">
        <f>8.986 * CHOOSE(CONTROL!$C$22, $C$13, 100%, $E$13)</f>
        <v>8.9860000000000007</v>
      </c>
      <c r="G493" s="61">
        <f>8.988 * CHOOSE(CONTROL!$C$22, $C$13, 100%, $E$13)</f>
        <v>8.9879999999999995</v>
      </c>
      <c r="H493" s="61">
        <f>15.4334* CHOOSE(CONTROL!$C$22, $C$13, 100%, $E$13)</f>
        <v>15.433400000000001</v>
      </c>
      <c r="I493" s="61">
        <f>15.4354 * CHOOSE(CONTROL!$C$22, $C$13, 100%, $E$13)</f>
        <v>15.4354</v>
      </c>
      <c r="J493" s="61">
        <f>8.986 * CHOOSE(CONTROL!$C$22, $C$13, 100%, $E$13)</f>
        <v>8.9860000000000007</v>
      </c>
      <c r="K493" s="61">
        <f>8.988 * CHOOSE(CONTROL!$C$22, $C$13, 100%, $E$13)</f>
        <v>8.9879999999999995</v>
      </c>
    </row>
    <row r="494" spans="1:11" ht="15">
      <c r="A494" s="13">
        <v>56888</v>
      </c>
      <c r="B494" s="60">
        <f>7.762 * CHOOSE(CONTROL!$C$22, $C$13, 100%, $E$13)</f>
        <v>7.7619999999999996</v>
      </c>
      <c r="C494" s="60">
        <f>7.762 * CHOOSE(CONTROL!$C$22, $C$13, 100%, $E$13)</f>
        <v>7.7619999999999996</v>
      </c>
      <c r="D494" s="60">
        <f>7.7783 * CHOOSE(CONTROL!$C$22, $C$13, 100%, $E$13)</f>
        <v>7.7782999999999998</v>
      </c>
      <c r="E494" s="61">
        <f>9.0135 * CHOOSE(CONTROL!$C$22, $C$13, 100%, $E$13)</f>
        <v>9.0135000000000005</v>
      </c>
      <c r="F494" s="61">
        <f>9.0135 * CHOOSE(CONTROL!$C$22, $C$13, 100%, $E$13)</f>
        <v>9.0135000000000005</v>
      </c>
      <c r="G494" s="61">
        <f>9.0137 * CHOOSE(CONTROL!$C$22, $C$13, 100%, $E$13)</f>
        <v>9.0137</v>
      </c>
      <c r="H494" s="61">
        <f>15.4655* CHOOSE(CONTROL!$C$22, $C$13, 100%, $E$13)</f>
        <v>15.4655</v>
      </c>
      <c r="I494" s="61">
        <f>15.4657 * CHOOSE(CONTROL!$C$22, $C$13, 100%, $E$13)</f>
        <v>15.4657</v>
      </c>
      <c r="J494" s="61">
        <f>9.0135 * CHOOSE(CONTROL!$C$22, $C$13, 100%, $E$13)</f>
        <v>9.0135000000000005</v>
      </c>
      <c r="K494" s="61">
        <f>9.0137 * CHOOSE(CONTROL!$C$22, $C$13, 100%, $E$13)</f>
        <v>9.0137</v>
      </c>
    </row>
    <row r="495" spans="1:11" ht="15">
      <c r="A495" s="13">
        <v>56919</v>
      </c>
      <c r="B495" s="60">
        <f>7.765 * CHOOSE(CONTROL!$C$22, $C$13, 100%, $E$13)</f>
        <v>7.7649999999999997</v>
      </c>
      <c r="C495" s="60">
        <f>7.765 * CHOOSE(CONTROL!$C$22, $C$13, 100%, $E$13)</f>
        <v>7.7649999999999997</v>
      </c>
      <c r="D495" s="60">
        <f>7.7813 * CHOOSE(CONTROL!$C$22, $C$13, 100%, $E$13)</f>
        <v>7.7812999999999999</v>
      </c>
      <c r="E495" s="61">
        <f>9.0361 * CHOOSE(CONTROL!$C$22, $C$13, 100%, $E$13)</f>
        <v>9.0360999999999994</v>
      </c>
      <c r="F495" s="61">
        <f>9.0361 * CHOOSE(CONTROL!$C$22, $C$13, 100%, $E$13)</f>
        <v>9.0360999999999994</v>
      </c>
      <c r="G495" s="61">
        <f>9.0363 * CHOOSE(CONTROL!$C$22, $C$13, 100%, $E$13)</f>
        <v>9.0363000000000007</v>
      </c>
      <c r="H495" s="61">
        <f>15.4977* CHOOSE(CONTROL!$C$22, $C$13, 100%, $E$13)</f>
        <v>15.4977</v>
      </c>
      <c r="I495" s="61">
        <f>15.4979 * CHOOSE(CONTROL!$C$22, $C$13, 100%, $E$13)</f>
        <v>15.4979</v>
      </c>
      <c r="J495" s="61">
        <f>9.0361 * CHOOSE(CONTROL!$C$22, $C$13, 100%, $E$13)</f>
        <v>9.0360999999999994</v>
      </c>
      <c r="K495" s="61">
        <f>9.0363 * CHOOSE(CONTROL!$C$22, $C$13, 100%, $E$13)</f>
        <v>9.0363000000000007</v>
      </c>
    </row>
    <row r="496" spans="1:11" ht="15">
      <c r="A496" s="13">
        <v>56949</v>
      </c>
      <c r="B496" s="60">
        <f>7.765 * CHOOSE(CONTROL!$C$22, $C$13, 100%, $E$13)</f>
        <v>7.7649999999999997</v>
      </c>
      <c r="C496" s="60">
        <f>7.765 * CHOOSE(CONTROL!$C$22, $C$13, 100%, $E$13)</f>
        <v>7.7649999999999997</v>
      </c>
      <c r="D496" s="60">
        <f>7.7813 * CHOOSE(CONTROL!$C$22, $C$13, 100%, $E$13)</f>
        <v>7.7812999999999999</v>
      </c>
      <c r="E496" s="61">
        <f>8.9849 * CHOOSE(CONTROL!$C$22, $C$13, 100%, $E$13)</f>
        <v>8.9848999999999997</v>
      </c>
      <c r="F496" s="61">
        <f>8.9849 * CHOOSE(CONTROL!$C$22, $C$13, 100%, $E$13)</f>
        <v>8.9848999999999997</v>
      </c>
      <c r="G496" s="61">
        <f>8.9851 * CHOOSE(CONTROL!$C$22, $C$13, 100%, $E$13)</f>
        <v>8.9850999999999992</v>
      </c>
      <c r="H496" s="61">
        <f>15.53* CHOOSE(CONTROL!$C$22, $C$13, 100%, $E$13)</f>
        <v>15.53</v>
      </c>
      <c r="I496" s="61">
        <f>15.5302 * CHOOSE(CONTROL!$C$22, $C$13, 100%, $E$13)</f>
        <v>15.530200000000001</v>
      </c>
      <c r="J496" s="61">
        <f>8.9849 * CHOOSE(CONTROL!$C$22, $C$13, 100%, $E$13)</f>
        <v>8.9848999999999997</v>
      </c>
      <c r="K496" s="61">
        <f>8.9851 * CHOOSE(CONTROL!$C$22, $C$13, 100%, $E$13)</f>
        <v>8.9850999999999992</v>
      </c>
    </row>
    <row r="497" spans="1:11" ht="15">
      <c r="A497" s="13">
        <v>56980</v>
      </c>
      <c r="B497" s="60">
        <f>7.8339 * CHOOSE(CONTROL!$C$22, $C$13, 100%, $E$13)</f>
        <v>7.8338999999999999</v>
      </c>
      <c r="C497" s="60">
        <f>7.8339 * CHOOSE(CONTROL!$C$22, $C$13, 100%, $E$13)</f>
        <v>7.8338999999999999</v>
      </c>
      <c r="D497" s="60">
        <f>7.8503 * CHOOSE(CONTROL!$C$22, $C$13, 100%, $E$13)</f>
        <v>7.8502999999999998</v>
      </c>
      <c r="E497" s="61">
        <f>9.1021 * CHOOSE(CONTROL!$C$22, $C$13, 100%, $E$13)</f>
        <v>9.1021000000000001</v>
      </c>
      <c r="F497" s="61">
        <f>9.1021 * CHOOSE(CONTROL!$C$22, $C$13, 100%, $E$13)</f>
        <v>9.1021000000000001</v>
      </c>
      <c r="G497" s="61">
        <f>9.1023 * CHOOSE(CONTROL!$C$22, $C$13, 100%, $E$13)</f>
        <v>9.1022999999999996</v>
      </c>
      <c r="H497" s="61">
        <f>15.5624* CHOOSE(CONTROL!$C$22, $C$13, 100%, $E$13)</f>
        <v>15.5624</v>
      </c>
      <c r="I497" s="61">
        <f>15.5626 * CHOOSE(CONTROL!$C$22, $C$13, 100%, $E$13)</f>
        <v>15.5626</v>
      </c>
      <c r="J497" s="61">
        <f>9.1021 * CHOOSE(CONTROL!$C$22, $C$13, 100%, $E$13)</f>
        <v>9.1021000000000001</v>
      </c>
      <c r="K497" s="61">
        <f>9.1023 * CHOOSE(CONTROL!$C$22, $C$13, 100%, $E$13)</f>
        <v>9.1022999999999996</v>
      </c>
    </row>
    <row r="498" spans="1:11" ht="15">
      <c r="A498" s="13">
        <v>57011</v>
      </c>
      <c r="B498" s="60">
        <f>7.8309 * CHOOSE(CONTROL!$C$22, $C$13, 100%, $E$13)</f>
        <v>7.8308999999999997</v>
      </c>
      <c r="C498" s="60">
        <f>7.8309 * CHOOSE(CONTROL!$C$22, $C$13, 100%, $E$13)</f>
        <v>7.8308999999999997</v>
      </c>
      <c r="D498" s="60">
        <f>7.8472 * CHOOSE(CONTROL!$C$22, $C$13, 100%, $E$13)</f>
        <v>7.8472</v>
      </c>
      <c r="E498" s="61">
        <f>9.0005 * CHOOSE(CONTROL!$C$22, $C$13, 100%, $E$13)</f>
        <v>9.0005000000000006</v>
      </c>
      <c r="F498" s="61">
        <f>9.0005 * CHOOSE(CONTROL!$C$22, $C$13, 100%, $E$13)</f>
        <v>9.0005000000000006</v>
      </c>
      <c r="G498" s="61">
        <f>9.0007 * CHOOSE(CONTROL!$C$22, $C$13, 100%, $E$13)</f>
        <v>9.0007000000000001</v>
      </c>
      <c r="H498" s="61">
        <f>15.5948* CHOOSE(CONTROL!$C$22, $C$13, 100%, $E$13)</f>
        <v>15.594799999999999</v>
      </c>
      <c r="I498" s="61">
        <f>15.595 * CHOOSE(CONTROL!$C$22, $C$13, 100%, $E$13)</f>
        <v>15.595000000000001</v>
      </c>
      <c r="J498" s="61">
        <f>9.0005 * CHOOSE(CONTROL!$C$22, $C$13, 100%, $E$13)</f>
        <v>9.0005000000000006</v>
      </c>
      <c r="K498" s="61">
        <f>9.0007 * CHOOSE(CONTROL!$C$22, $C$13, 100%, $E$13)</f>
        <v>9.0007000000000001</v>
      </c>
    </row>
    <row r="499" spans="1:11" ht="15">
      <c r="A499" s="13">
        <v>57040</v>
      </c>
      <c r="B499" s="60">
        <f>7.8279 * CHOOSE(CONTROL!$C$22, $C$13, 100%, $E$13)</f>
        <v>7.8278999999999996</v>
      </c>
      <c r="C499" s="60">
        <f>7.8279 * CHOOSE(CONTROL!$C$22, $C$13, 100%, $E$13)</f>
        <v>7.8278999999999996</v>
      </c>
      <c r="D499" s="60">
        <f>7.8442 * CHOOSE(CONTROL!$C$22, $C$13, 100%, $E$13)</f>
        <v>7.8441999999999998</v>
      </c>
      <c r="E499" s="61">
        <f>9.0768 * CHOOSE(CONTROL!$C$22, $C$13, 100%, $E$13)</f>
        <v>9.0768000000000004</v>
      </c>
      <c r="F499" s="61">
        <f>9.0768 * CHOOSE(CONTROL!$C$22, $C$13, 100%, $E$13)</f>
        <v>9.0768000000000004</v>
      </c>
      <c r="G499" s="61">
        <f>9.077 * CHOOSE(CONTROL!$C$22, $C$13, 100%, $E$13)</f>
        <v>9.077</v>
      </c>
      <c r="H499" s="61">
        <f>15.6273* CHOOSE(CONTROL!$C$22, $C$13, 100%, $E$13)</f>
        <v>15.6273</v>
      </c>
      <c r="I499" s="61">
        <f>15.6275 * CHOOSE(CONTROL!$C$22, $C$13, 100%, $E$13)</f>
        <v>15.6275</v>
      </c>
      <c r="J499" s="61">
        <f>9.0768 * CHOOSE(CONTROL!$C$22, $C$13, 100%, $E$13)</f>
        <v>9.0768000000000004</v>
      </c>
      <c r="K499" s="61">
        <f>9.077 * CHOOSE(CONTROL!$C$22, $C$13, 100%, $E$13)</f>
        <v>9.077</v>
      </c>
    </row>
    <row r="500" spans="1:11" ht="15">
      <c r="A500" s="13">
        <v>57071</v>
      </c>
      <c r="B500" s="60">
        <f>7.8289 * CHOOSE(CONTROL!$C$22, $C$13, 100%, $E$13)</f>
        <v>7.8289</v>
      </c>
      <c r="C500" s="60">
        <f>7.8289 * CHOOSE(CONTROL!$C$22, $C$13, 100%, $E$13)</f>
        <v>7.8289</v>
      </c>
      <c r="D500" s="60">
        <f>7.8452 * CHOOSE(CONTROL!$C$22, $C$13, 100%, $E$13)</f>
        <v>7.8452000000000002</v>
      </c>
      <c r="E500" s="61">
        <f>9.1568 * CHOOSE(CONTROL!$C$22, $C$13, 100%, $E$13)</f>
        <v>9.1568000000000005</v>
      </c>
      <c r="F500" s="61">
        <f>9.1568 * CHOOSE(CONTROL!$C$22, $C$13, 100%, $E$13)</f>
        <v>9.1568000000000005</v>
      </c>
      <c r="G500" s="61">
        <f>9.157 * CHOOSE(CONTROL!$C$22, $C$13, 100%, $E$13)</f>
        <v>9.157</v>
      </c>
      <c r="H500" s="61">
        <f>15.6599* CHOOSE(CONTROL!$C$22, $C$13, 100%, $E$13)</f>
        <v>15.6599</v>
      </c>
      <c r="I500" s="61">
        <f>15.66 * CHOOSE(CONTROL!$C$22, $C$13, 100%, $E$13)</f>
        <v>15.66</v>
      </c>
      <c r="J500" s="61">
        <f>9.1568 * CHOOSE(CONTROL!$C$22, $C$13, 100%, $E$13)</f>
        <v>9.1568000000000005</v>
      </c>
      <c r="K500" s="61">
        <f>9.157 * CHOOSE(CONTROL!$C$22, $C$13, 100%, $E$13)</f>
        <v>9.157</v>
      </c>
    </row>
    <row r="501" spans="1:11" ht="15">
      <c r="A501" s="13">
        <v>57101</v>
      </c>
      <c r="B501" s="60">
        <f>7.8289 * CHOOSE(CONTROL!$C$22, $C$13, 100%, $E$13)</f>
        <v>7.8289</v>
      </c>
      <c r="C501" s="60">
        <f>7.8289 * CHOOSE(CONTROL!$C$22, $C$13, 100%, $E$13)</f>
        <v>7.8289</v>
      </c>
      <c r="D501" s="60">
        <f>7.8616 * CHOOSE(CONTROL!$C$22, $C$13, 100%, $E$13)</f>
        <v>7.8616000000000001</v>
      </c>
      <c r="E501" s="61">
        <f>9.1884 * CHOOSE(CONTROL!$C$22, $C$13, 100%, $E$13)</f>
        <v>9.1883999999999997</v>
      </c>
      <c r="F501" s="61">
        <f>9.1884 * CHOOSE(CONTROL!$C$22, $C$13, 100%, $E$13)</f>
        <v>9.1883999999999997</v>
      </c>
      <c r="G501" s="61">
        <f>9.1904 * CHOOSE(CONTROL!$C$22, $C$13, 100%, $E$13)</f>
        <v>9.1904000000000003</v>
      </c>
      <c r="H501" s="61">
        <f>15.6925* CHOOSE(CONTROL!$C$22, $C$13, 100%, $E$13)</f>
        <v>15.692500000000001</v>
      </c>
      <c r="I501" s="61">
        <f>15.6945 * CHOOSE(CONTROL!$C$22, $C$13, 100%, $E$13)</f>
        <v>15.6945</v>
      </c>
      <c r="J501" s="61">
        <f>9.1884 * CHOOSE(CONTROL!$C$22, $C$13, 100%, $E$13)</f>
        <v>9.1883999999999997</v>
      </c>
      <c r="K501" s="61">
        <f>9.1904 * CHOOSE(CONTROL!$C$22, $C$13, 100%, $E$13)</f>
        <v>9.1904000000000003</v>
      </c>
    </row>
    <row r="502" spans="1:11" ht="15">
      <c r="A502" s="13">
        <v>57132</v>
      </c>
      <c r="B502" s="60">
        <f>7.835 * CHOOSE(CONTROL!$C$22, $C$13, 100%, $E$13)</f>
        <v>7.835</v>
      </c>
      <c r="C502" s="60">
        <f>7.835 * CHOOSE(CONTROL!$C$22, $C$13, 100%, $E$13)</f>
        <v>7.835</v>
      </c>
      <c r="D502" s="60">
        <f>7.8676 * CHOOSE(CONTROL!$C$22, $C$13, 100%, $E$13)</f>
        <v>7.8676000000000004</v>
      </c>
      <c r="E502" s="61">
        <f>9.1611 * CHOOSE(CONTROL!$C$22, $C$13, 100%, $E$13)</f>
        <v>9.1610999999999994</v>
      </c>
      <c r="F502" s="61">
        <f>9.1611 * CHOOSE(CONTROL!$C$22, $C$13, 100%, $E$13)</f>
        <v>9.1610999999999994</v>
      </c>
      <c r="G502" s="61">
        <f>9.1631 * CHOOSE(CONTROL!$C$22, $C$13, 100%, $E$13)</f>
        <v>9.1631</v>
      </c>
      <c r="H502" s="61">
        <f>15.7252* CHOOSE(CONTROL!$C$22, $C$13, 100%, $E$13)</f>
        <v>15.725199999999999</v>
      </c>
      <c r="I502" s="61">
        <f>15.7272 * CHOOSE(CONTROL!$C$22, $C$13, 100%, $E$13)</f>
        <v>15.7272</v>
      </c>
      <c r="J502" s="61">
        <f>9.1611 * CHOOSE(CONTROL!$C$22, $C$13, 100%, $E$13)</f>
        <v>9.1610999999999994</v>
      </c>
      <c r="K502" s="61">
        <f>9.1631 * CHOOSE(CONTROL!$C$22, $C$13, 100%, $E$13)</f>
        <v>9.1631</v>
      </c>
    </row>
    <row r="503" spans="1:11" ht="15">
      <c r="A503" s="13">
        <v>57162</v>
      </c>
      <c r="B503" s="60">
        <f>7.9622 * CHOOSE(CONTROL!$C$22, $C$13, 100%, $E$13)</f>
        <v>7.9622000000000002</v>
      </c>
      <c r="C503" s="60">
        <f>7.9622 * CHOOSE(CONTROL!$C$22, $C$13, 100%, $E$13)</f>
        <v>7.9622000000000002</v>
      </c>
      <c r="D503" s="60">
        <f>7.9949 * CHOOSE(CONTROL!$C$22, $C$13, 100%, $E$13)</f>
        <v>7.9949000000000003</v>
      </c>
      <c r="E503" s="61">
        <f>9.34 * CHOOSE(CONTROL!$C$22, $C$13, 100%, $E$13)</f>
        <v>9.34</v>
      </c>
      <c r="F503" s="61">
        <f>9.34 * CHOOSE(CONTROL!$C$22, $C$13, 100%, $E$13)</f>
        <v>9.34</v>
      </c>
      <c r="G503" s="61">
        <f>9.342 * CHOOSE(CONTROL!$C$22, $C$13, 100%, $E$13)</f>
        <v>9.3420000000000005</v>
      </c>
      <c r="H503" s="61">
        <f>15.7579* CHOOSE(CONTROL!$C$22, $C$13, 100%, $E$13)</f>
        <v>15.757899999999999</v>
      </c>
      <c r="I503" s="61">
        <f>15.76 * CHOOSE(CONTROL!$C$22, $C$13, 100%, $E$13)</f>
        <v>15.76</v>
      </c>
      <c r="J503" s="61">
        <f>9.34 * CHOOSE(CONTROL!$C$22, $C$13, 100%, $E$13)</f>
        <v>9.34</v>
      </c>
      <c r="K503" s="61">
        <f>9.342 * CHOOSE(CONTROL!$C$22, $C$13, 100%, $E$13)</f>
        <v>9.3420000000000005</v>
      </c>
    </row>
    <row r="504" spans="1:11" ht="15">
      <c r="A504" s="13">
        <v>57193</v>
      </c>
      <c r="B504" s="60">
        <f>7.9689 * CHOOSE(CONTROL!$C$22, $C$13, 100%, $E$13)</f>
        <v>7.9688999999999997</v>
      </c>
      <c r="C504" s="60">
        <f>7.9689 * CHOOSE(CONTROL!$C$22, $C$13, 100%, $E$13)</f>
        <v>7.9688999999999997</v>
      </c>
      <c r="D504" s="60">
        <f>8.0016 * CHOOSE(CONTROL!$C$22, $C$13, 100%, $E$13)</f>
        <v>8.0015999999999998</v>
      </c>
      <c r="E504" s="61">
        <f>9.2499 * CHOOSE(CONTROL!$C$22, $C$13, 100%, $E$13)</f>
        <v>9.2499000000000002</v>
      </c>
      <c r="F504" s="61">
        <f>9.2499 * CHOOSE(CONTROL!$C$22, $C$13, 100%, $E$13)</f>
        <v>9.2499000000000002</v>
      </c>
      <c r="G504" s="61">
        <f>9.2519 * CHOOSE(CONTROL!$C$22, $C$13, 100%, $E$13)</f>
        <v>9.2518999999999991</v>
      </c>
      <c r="H504" s="61">
        <f>15.7908* CHOOSE(CONTROL!$C$22, $C$13, 100%, $E$13)</f>
        <v>15.790800000000001</v>
      </c>
      <c r="I504" s="61">
        <f>15.7928 * CHOOSE(CONTROL!$C$22, $C$13, 100%, $E$13)</f>
        <v>15.7928</v>
      </c>
      <c r="J504" s="61">
        <f>9.2499 * CHOOSE(CONTROL!$C$22, $C$13, 100%, $E$13)</f>
        <v>9.2499000000000002</v>
      </c>
      <c r="K504" s="61">
        <f>9.2519 * CHOOSE(CONTROL!$C$22, $C$13, 100%, $E$13)</f>
        <v>9.2518999999999991</v>
      </c>
    </row>
    <row r="505" spans="1:11" ht="15">
      <c r="A505" s="13">
        <v>57224</v>
      </c>
      <c r="B505" s="60">
        <f>7.9658 * CHOOSE(CONTROL!$C$22, $C$13, 100%, $E$13)</f>
        <v>7.9657999999999998</v>
      </c>
      <c r="C505" s="60">
        <f>7.9658 * CHOOSE(CONTROL!$C$22, $C$13, 100%, $E$13)</f>
        <v>7.9657999999999998</v>
      </c>
      <c r="D505" s="60">
        <f>7.9985 * CHOOSE(CONTROL!$C$22, $C$13, 100%, $E$13)</f>
        <v>7.9984999999999999</v>
      </c>
      <c r="E505" s="61">
        <f>9.2372 * CHOOSE(CONTROL!$C$22, $C$13, 100%, $E$13)</f>
        <v>9.2371999999999996</v>
      </c>
      <c r="F505" s="61">
        <f>9.2372 * CHOOSE(CONTROL!$C$22, $C$13, 100%, $E$13)</f>
        <v>9.2371999999999996</v>
      </c>
      <c r="G505" s="61">
        <f>9.2393 * CHOOSE(CONTROL!$C$22, $C$13, 100%, $E$13)</f>
        <v>9.2393000000000001</v>
      </c>
      <c r="H505" s="61">
        <f>15.8237* CHOOSE(CONTROL!$C$22, $C$13, 100%, $E$13)</f>
        <v>15.823700000000001</v>
      </c>
      <c r="I505" s="61">
        <f>15.8257 * CHOOSE(CONTROL!$C$22, $C$13, 100%, $E$13)</f>
        <v>15.825699999999999</v>
      </c>
      <c r="J505" s="61">
        <f>9.2372 * CHOOSE(CONTROL!$C$22, $C$13, 100%, $E$13)</f>
        <v>9.2371999999999996</v>
      </c>
      <c r="K505" s="61">
        <f>9.2393 * CHOOSE(CONTROL!$C$22, $C$13, 100%, $E$13)</f>
        <v>9.2393000000000001</v>
      </c>
    </row>
    <row r="506" spans="1:11" ht="15">
      <c r="A506" s="13">
        <v>57254</v>
      </c>
      <c r="B506" s="60">
        <f>7.9743 * CHOOSE(CONTROL!$C$22, $C$13, 100%, $E$13)</f>
        <v>7.9743000000000004</v>
      </c>
      <c r="C506" s="60">
        <f>7.9743 * CHOOSE(CONTROL!$C$22, $C$13, 100%, $E$13)</f>
        <v>7.9743000000000004</v>
      </c>
      <c r="D506" s="60">
        <f>7.9906 * CHOOSE(CONTROL!$C$22, $C$13, 100%, $E$13)</f>
        <v>7.9905999999999997</v>
      </c>
      <c r="E506" s="61">
        <f>9.2659 * CHOOSE(CONTROL!$C$22, $C$13, 100%, $E$13)</f>
        <v>9.2659000000000002</v>
      </c>
      <c r="F506" s="61">
        <f>9.2659 * CHOOSE(CONTROL!$C$22, $C$13, 100%, $E$13)</f>
        <v>9.2659000000000002</v>
      </c>
      <c r="G506" s="61">
        <f>9.2661 * CHOOSE(CONTROL!$C$22, $C$13, 100%, $E$13)</f>
        <v>9.2660999999999998</v>
      </c>
      <c r="H506" s="61">
        <f>15.8566* CHOOSE(CONTROL!$C$22, $C$13, 100%, $E$13)</f>
        <v>15.8566</v>
      </c>
      <c r="I506" s="61">
        <f>15.8568 * CHOOSE(CONTROL!$C$22, $C$13, 100%, $E$13)</f>
        <v>15.8568</v>
      </c>
      <c r="J506" s="61">
        <f>9.2659 * CHOOSE(CONTROL!$C$22, $C$13, 100%, $E$13)</f>
        <v>9.2659000000000002</v>
      </c>
      <c r="K506" s="61">
        <f>9.2661 * CHOOSE(CONTROL!$C$22, $C$13, 100%, $E$13)</f>
        <v>9.2660999999999998</v>
      </c>
    </row>
    <row r="507" spans="1:11" ht="15">
      <c r="A507" s="13">
        <v>57285</v>
      </c>
      <c r="B507" s="60">
        <f>7.9773 * CHOOSE(CONTROL!$C$22, $C$13, 100%, $E$13)</f>
        <v>7.9772999999999996</v>
      </c>
      <c r="C507" s="60">
        <f>7.9773 * CHOOSE(CONTROL!$C$22, $C$13, 100%, $E$13)</f>
        <v>7.9772999999999996</v>
      </c>
      <c r="D507" s="60">
        <f>7.9937 * CHOOSE(CONTROL!$C$22, $C$13, 100%, $E$13)</f>
        <v>7.9936999999999996</v>
      </c>
      <c r="E507" s="61">
        <f>9.2891 * CHOOSE(CONTROL!$C$22, $C$13, 100%, $E$13)</f>
        <v>9.2890999999999995</v>
      </c>
      <c r="F507" s="61">
        <f>9.2891 * CHOOSE(CONTROL!$C$22, $C$13, 100%, $E$13)</f>
        <v>9.2890999999999995</v>
      </c>
      <c r="G507" s="61">
        <f>9.2893 * CHOOSE(CONTROL!$C$22, $C$13, 100%, $E$13)</f>
        <v>9.2893000000000008</v>
      </c>
      <c r="H507" s="61">
        <f>15.8897* CHOOSE(CONTROL!$C$22, $C$13, 100%, $E$13)</f>
        <v>15.889699999999999</v>
      </c>
      <c r="I507" s="61">
        <f>15.8898 * CHOOSE(CONTROL!$C$22, $C$13, 100%, $E$13)</f>
        <v>15.889799999999999</v>
      </c>
      <c r="J507" s="61">
        <f>9.2891 * CHOOSE(CONTROL!$C$22, $C$13, 100%, $E$13)</f>
        <v>9.2890999999999995</v>
      </c>
      <c r="K507" s="61">
        <f>9.2893 * CHOOSE(CONTROL!$C$22, $C$13, 100%, $E$13)</f>
        <v>9.2893000000000008</v>
      </c>
    </row>
    <row r="508" spans="1:11" ht="15">
      <c r="A508" s="13">
        <v>57315</v>
      </c>
      <c r="B508" s="60">
        <f>7.9773 * CHOOSE(CONTROL!$C$22, $C$13, 100%, $E$13)</f>
        <v>7.9772999999999996</v>
      </c>
      <c r="C508" s="60">
        <f>7.9773 * CHOOSE(CONTROL!$C$22, $C$13, 100%, $E$13)</f>
        <v>7.9772999999999996</v>
      </c>
      <c r="D508" s="60">
        <f>7.9937 * CHOOSE(CONTROL!$C$22, $C$13, 100%, $E$13)</f>
        <v>7.9936999999999996</v>
      </c>
      <c r="E508" s="61">
        <f>9.2365 * CHOOSE(CONTROL!$C$22, $C$13, 100%, $E$13)</f>
        <v>9.2364999999999995</v>
      </c>
      <c r="F508" s="61">
        <f>9.2365 * CHOOSE(CONTROL!$C$22, $C$13, 100%, $E$13)</f>
        <v>9.2364999999999995</v>
      </c>
      <c r="G508" s="61">
        <f>9.2366 * CHOOSE(CONTROL!$C$22, $C$13, 100%, $E$13)</f>
        <v>9.2365999999999993</v>
      </c>
      <c r="H508" s="61">
        <f>15.9228* CHOOSE(CONTROL!$C$22, $C$13, 100%, $E$13)</f>
        <v>15.922800000000001</v>
      </c>
      <c r="I508" s="61">
        <f>15.9229 * CHOOSE(CONTROL!$C$22, $C$13, 100%, $E$13)</f>
        <v>15.9229</v>
      </c>
      <c r="J508" s="61">
        <f>9.2365 * CHOOSE(CONTROL!$C$22, $C$13, 100%, $E$13)</f>
        <v>9.2364999999999995</v>
      </c>
      <c r="K508" s="61">
        <f>9.2366 * CHOOSE(CONTROL!$C$22, $C$13, 100%, $E$13)</f>
        <v>9.2365999999999993</v>
      </c>
    </row>
    <row r="509" spans="1:11" ht="15">
      <c r="A509" s="13">
        <v>57346</v>
      </c>
      <c r="B509" s="60">
        <f>8.048 * CHOOSE(CONTROL!$C$22, $C$13, 100%, $E$13)</f>
        <v>8.048</v>
      </c>
      <c r="C509" s="60">
        <f>8.048 * CHOOSE(CONTROL!$C$22, $C$13, 100%, $E$13)</f>
        <v>8.048</v>
      </c>
      <c r="D509" s="60">
        <f>8.0644 * CHOOSE(CONTROL!$C$22, $C$13, 100%, $E$13)</f>
        <v>8.0643999999999991</v>
      </c>
      <c r="E509" s="61">
        <f>9.3568 * CHOOSE(CONTROL!$C$22, $C$13, 100%, $E$13)</f>
        <v>9.3567999999999998</v>
      </c>
      <c r="F509" s="61">
        <f>9.3568 * CHOOSE(CONTROL!$C$22, $C$13, 100%, $E$13)</f>
        <v>9.3567999999999998</v>
      </c>
      <c r="G509" s="61">
        <f>9.357 * CHOOSE(CONTROL!$C$22, $C$13, 100%, $E$13)</f>
        <v>9.3569999999999993</v>
      </c>
      <c r="H509" s="61">
        <f>15.9559* CHOOSE(CONTROL!$C$22, $C$13, 100%, $E$13)</f>
        <v>15.9559</v>
      </c>
      <c r="I509" s="61">
        <f>15.9561 * CHOOSE(CONTROL!$C$22, $C$13, 100%, $E$13)</f>
        <v>15.956099999999999</v>
      </c>
      <c r="J509" s="61">
        <f>9.3568 * CHOOSE(CONTROL!$C$22, $C$13, 100%, $E$13)</f>
        <v>9.3567999999999998</v>
      </c>
      <c r="K509" s="61">
        <f>9.357 * CHOOSE(CONTROL!$C$22, $C$13, 100%, $E$13)</f>
        <v>9.3569999999999993</v>
      </c>
    </row>
    <row r="510" spans="1:11" ht="15">
      <c r="A510" s="13">
        <v>57377</v>
      </c>
      <c r="B510" s="60">
        <f>8.045 * CHOOSE(CONTROL!$C$22, $C$13, 100%, $E$13)</f>
        <v>8.0449999999999999</v>
      </c>
      <c r="C510" s="60">
        <f>8.045 * CHOOSE(CONTROL!$C$22, $C$13, 100%, $E$13)</f>
        <v>8.0449999999999999</v>
      </c>
      <c r="D510" s="60">
        <f>8.0613 * CHOOSE(CONTROL!$C$22, $C$13, 100%, $E$13)</f>
        <v>8.0612999999999992</v>
      </c>
      <c r="E510" s="61">
        <f>9.2525 * CHOOSE(CONTROL!$C$22, $C$13, 100%, $E$13)</f>
        <v>9.2524999999999995</v>
      </c>
      <c r="F510" s="61">
        <f>9.2525 * CHOOSE(CONTROL!$C$22, $C$13, 100%, $E$13)</f>
        <v>9.2524999999999995</v>
      </c>
      <c r="G510" s="61">
        <f>9.2526 * CHOOSE(CONTROL!$C$22, $C$13, 100%, $E$13)</f>
        <v>9.2525999999999993</v>
      </c>
      <c r="H510" s="61">
        <f>15.9892* CHOOSE(CONTROL!$C$22, $C$13, 100%, $E$13)</f>
        <v>15.9892</v>
      </c>
      <c r="I510" s="61">
        <f>15.9894 * CHOOSE(CONTROL!$C$22, $C$13, 100%, $E$13)</f>
        <v>15.9894</v>
      </c>
      <c r="J510" s="61">
        <f>9.2525 * CHOOSE(CONTROL!$C$22, $C$13, 100%, $E$13)</f>
        <v>9.2524999999999995</v>
      </c>
      <c r="K510" s="61">
        <f>9.2526 * CHOOSE(CONTROL!$C$22, $C$13, 100%, $E$13)</f>
        <v>9.2525999999999993</v>
      </c>
    </row>
    <row r="511" spans="1:11" ht="15">
      <c r="A511" s="13">
        <v>57405</v>
      </c>
      <c r="B511" s="60">
        <f>8.0419 * CHOOSE(CONTROL!$C$22, $C$13, 100%, $E$13)</f>
        <v>8.0419</v>
      </c>
      <c r="C511" s="60">
        <f>8.0419 * CHOOSE(CONTROL!$C$22, $C$13, 100%, $E$13)</f>
        <v>8.0419</v>
      </c>
      <c r="D511" s="60">
        <f>8.0583 * CHOOSE(CONTROL!$C$22, $C$13, 100%, $E$13)</f>
        <v>8.0582999999999991</v>
      </c>
      <c r="E511" s="61">
        <f>9.331 * CHOOSE(CONTROL!$C$22, $C$13, 100%, $E$13)</f>
        <v>9.3309999999999995</v>
      </c>
      <c r="F511" s="61">
        <f>9.331 * CHOOSE(CONTROL!$C$22, $C$13, 100%, $E$13)</f>
        <v>9.3309999999999995</v>
      </c>
      <c r="G511" s="61">
        <f>9.3311 * CHOOSE(CONTROL!$C$22, $C$13, 100%, $E$13)</f>
        <v>9.3310999999999993</v>
      </c>
      <c r="H511" s="61">
        <f>16.0225* CHOOSE(CONTROL!$C$22, $C$13, 100%, $E$13)</f>
        <v>16.022500000000001</v>
      </c>
      <c r="I511" s="61">
        <f>16.0227 * CHOOSE(CONTROL!$C$22, $C$13, 100%, $E$13)</f>
        <v>16.0227</v>
      </c>
      <c r="J511" s="61">
        <f>9.331 * CHOOSE(CONTROL!$C$22, $C$13, 100%, $E$13)</f>
        <v>9.3309999999999995</v>
      </c>
      <c r="K511" s="61">
        <f>9.3311 * CHOOSE(CONTROL!$C$22, $C$13, 100%, $E$13)</f>
        <v>9.3310999999999993</v>
      </c>
    </row>
    <row r="512" spans="1:11" ht="15">
      <c r="A512" s="13">
        <v>57436</v>
      </c>
      <c r="B512" s="60">
        <f>8.0431 * CHOOSE(CONTROL!$C$22, $C$13, 100%, $E$13)</f>
        <v>8.0431000000000008</v>
      </c>
      <c r="C512" s="60">
        <f>8.0431 * CHOOSE(CONTROL!$C$22, $C$13, 100%, $E$13)</f>
        <v>8.0431000000000008</v>
      </c>
      <c r="D512" s="60">
        <f>8.0595 * CHOOSE(CONTROL!$C$22, $C$13, 100%, $E$13)</f>
        <v>8.0594999999999999</v>
      </c>
      <c r="E512" s="61">
        <f>9.4133 * CHOOSE(CONTROL!$C$22, $C$13, 100%, $E$13)</f>
        <v>9.4132999999999996</v>
      </c>
      <c r="F512" s="61">
        <f>9.4133 * CHOOSE(CONTROL!$C$22, $C$13, 100%, $E$13)</f>
        <v>9.4132999999999996</v>
      </c>
      <c r="G512" s="61">
        <f>9.4135 * CHOOSE(CONTROL!$C$22, $C$13, 100%, $E$13)</f>
        <v>9.4135000000000009</v>
      </c>
      <c r="H512" s="61">
        <f>16.0559* CHOOSE(CONTROL!$C$22, $C$13, 100%, $E$13)</f>
        <v>16.055900000000001</v>
      </c>
      <c r="I512" s="61">
        <f>16.056 * CHOOSE(CONTROL!$C$22, $C$13, 100%, $E$13)</f>
        <v>16.056000000000001</v>
      </c>
      <c r="J512" s="61">
        <f>9.4133 * CHOOSE(CONTROL!$C$22, $C$13, 100%, $E$13)</f>
        <v>9.4132999999999996</v>
      </c>
      <c r="K512" s="61">
        <f>9.4135 * CHOOSE(CONTROL!$C$22, $C$13, 100%, $E$13)</f>
        <v>9.4135000000000009</v>
      </c>
    </row>
    <row r="513" spans="1:11" ht="15">
      <c r="A513" s="13">
        <v>57466</v>
      </c>
      <c r="B513" s="60">
        <f>8.0431 * CHOOSE(CONTROL!$C$22, $C$13, 100%, $E$13)</f>
        <v>8.0431000000000008</v>
      </c>
      <c r="C513" s="60">
        <f>8.0431 * CHOOSE(CONTROL!$C$22, $C$13, 100%, $E$13)</f>
        <v>8.0431000000000008</v>
      </c>
      <c r="D513" s="60">
        <f>8.0758 * CHOOSE(CONTROL!$C$22, $C$13, 100%, $E$13)</f>
        <v>8.0757999999999992</v>
      </c>
      <c r="E513" s="61">
        <f>9.4458 * CHOOSE(CONTROL!$C$22, $C$13, 100%, $E$13)</f>
        <v>9.4458000000000002</v>
      </c>
      <c r="F513" s="61">
        <f>9.4458 * CHOOSE(CONTROL!$C$22, $C$13, 100%, $E$13)</f>
        <v>9.4458000000000002</v>
      </c>
      <c r="G513" s="61">
        <f>9.4478 * CHOOSE(CONTROL!$C$22, $C$13, 100%, $E$13)</f>
        <v>9.4478000000000009</v>
      </c>
      <c r="H513" s="61">
        <f>16.0893* CHOOSE(CONTROL!$C$22, $C$13, 100%, $E$13)</f>
        <v>16.089300000000001</v>
      </c>
      <c r="I513" s="61">
        <f>16.0913 * CHOOSE(CONTROL!$C$22, $C$13, 100%, $E$13)</f>
        <v>16.0913</v>
      </c>
      <c r="J513" s="61">
        <f>9.4458 * CHOOSE(CONTROL!$C$22, $C$13, 100%, $E$13)</f>
        <v>9.4458000000000002</v>
      </c>
      <c r="K513" s="61">
        <f>9.4478 * CHOOSE(CONTROL!$C$22, $C$13, 100%, $E$13)</f>
        <v>9.4478000000000009</v>
      </c>
    </row>
    <row r="514" spans="1:11" ht="15">
      <c r="A514" s="13">
        <v>57497</v>
      </c>
      <c r="B514" s="60">
        <f>8.0492 * CHOOSE(CONTROL!$C$22, $C$13, 100%, $E$13)</f>
        <v>8.0492000000000008</v>
      </c>
      <c r="C514" s="60">
        <f>8.0492 * CHOOSE(CONTROL!$C$22, $C$13, 100%, $E$13)</f>
        <v>8.0492000000000008</v>
      </c>
      <c r="D514" s="60">
        <f>8.0819 * CHOOSE(CONTROL!$C$22, $C$13, 100%, $E$13)</f>
        <v>8.0818999999999992</v>
      </c>
      <c r="E514" s="61">
        <f>9.4175 * CHOOSE(CONTROL!$C$22, $C$13, 100%, $E$13)</f>
        <v>9.4175000000000004</v>
      </c>
      <c r="F514" s="61">
        <f>9.4175 * CHOOSE(CONTROL!$C$22, $C$13, 100%, $E$13)</f>
        <v>9.4175000000000004</v>
      </c>
      <c r="G514" s="61">
        <f>9.4196 * CHOOSE(CONTROL!$C$22, $C$13, 100%, $E$13)</f>
        <v>9.4196000000000009</v>
      </c>
      <c r="H514" s="61">
        <f>16.1228* CHOOSE(CONTROL!$C$22, $C$13, 100%, $E$13)</f>
        <v>16.122800000000002</v>
      </c>
      <c r="I514" s="61">
        <f>16.1249 * CHOOSE(CONTROL!$C$22, $C$13, 100%, $E$13)</f>
        <v>16.1249</v>
      </c>
      <c r="J514" s="61">
        <f>9.4175 * CHOOSE(CONTROL!$C$22, $C$13, 100%, $E$13)</f>
        <v>9.4175000000000004</v>
      </c>
      <c r="K514" s="61">
        <f>9.4196 * CHOOSE(CONTROL!$C$22, $C$13, 100%, $E$13)</f>
        <v>9.4196000000000009</v>
      </c>
    </row>
    <row r="515" spans="1:11" ht="15">
      <c r="A515" s="13">
        <v>57527</v>
      </c>
      <c r="B515" s="60">
        <f>8.1797 * CHOOSE(CONTROL!$C$22, $C$13, 100%, $E$13)</f>
        <v>8.1797000000000004</v>
      </c>
      <c r="C515" s="60">
        <f>8.1797 * CHOOSE(CONTROL!$C$22, $C$13, 100%, $E$13)</f>
        <v>8.1797000000000004</v>
      </c>
      <c r="D515" s="60">
        <f>8.2123 * CHOOSE(CONTROL!$C$22, $C$13, 100%, $E$13)</f>
        <v>8.2123000000000008</v>
      </c>
      <c r="E515" s="61">
        <f>9.6012 * CHOOSE(CONTROL!$C$22, $C$13, 100%, $E$13)</f>
        <v>9.6012000000000004</v>
      </c>
      <c r="F515" s="61">
        <f>9.6012 * CHOOSE(CONTROL!$C$22, $C$13, 100%, $E$13)</f>
        <v>9.6012000000000004</v>
      </c>
      <c r="G515" s="61">
        <f>9.6032 * CHOOSE(CONTROL!$C$22, $C$13, 100%, $E$13)</f>
        <v>9.6031999999999993</v>
      </c>
      <c r="H515" s="61">
        <f>16.1564* CHOOSE(CONTROL!$C$22, $C$13, 100%, $E$13)</f>
        <v>16.156400000000001</v>
      </c>
      <c r="I515" s="61">
        <f>16.1585 * CHOOSE(CONTROL!$C$22, $C$13, 100%, $E$13)</f>
        <v>16.1585</v>
      </c>
      <c r="J515" s="61">
        <f>9.6012 * CHOOSE(CONTROL!$C$22, $C$13, 100%, $E$13)</f>
        <v>9.6012000000000004</v>
      </c>
      <c r="K515" s="61">
        <f>9.6032 * CHOOSE(CONTROL!$C$22, $C$13, 100%, $E$13)</f>
        <v>9.6031999999999993</v>
      </c>
    </row>
    <row r="516" spans="1:11" ht="15">
      <c r="A516" s="13">
        <v>57558</v>
      </c>
      <c r="B516" s="60">
        <f>8.1863 * CHOOSE(CONTROL!$C$22, $C$13, 100%, $E$13)</f>
        <v>8.1862999999999992</v>
      </c>
      <c r="C516" s="60">
        <f>8.1863 * CHOOSE(CONTROL!$C$22, $C$13, 100%, $E$13)</f>
        <v>8.1862999999999992</v>
      </c>
      <c r="D516" s="60">
        <f>8.219 * CHOOSE(CONTROL!$C$22, $C$13, 100%, $E$13)</f>
        <v>8.2189999999999994</v>
      </c>
      <c r="E516" s="61">
        <f>9.5085 * CHOOSE(CONTROL!$C$22, $C$13, 100%, $E$13)</f>
        <v>9.5084999999999997</v>
      </c>
      <c r="F516" s="61">
        <f>9.5085 * CHOOSE(CONTROL!$C$22, $C$13, 100%, $E$13)</f>
        <v>9.5084999999999997</v>
      </c>
      <c r="G516" s="61">
        <f>9.5105 * CHOOSE(CONTROL!$C$22, $C$13, 100%, $E$13)</f>
        <v>9.5105000000000004</v>
      </c>
      <c r="H516" s="61">
        <f>16.1901* CHOOSE(CONTROL!$C$22, $C$13, 100%, $E$13)</f>
        <v>16.190100000000001</v>
      </c>
      <c r="I516" s="61">
        <f>16.1921 * CHOOSE(CONTROL!$C$22, $C$13, 100%, $E$13)</f>
        <v>16.1921</v>
      </c>
      <c r="J516" s="61">
        <f>9.5085 * CHOOSE(CONTROL!$C$22, $C$13, 100%, $E$13)</f>
        <v>9.5084999999999997</v>
      </c>
      <c r="K516" s="61">
        <f>9.5105 * CHOOSE(CONTROL!$C$22, $C$13, 100%, $E$13)</f>
        <v>9.5105000000000004</v>
      </c>
    </row>
    <row r="517" spans="1:11" ht="15">
      <c r="A517" s="13">
        <v>57589</v>
      </c>
      <c r="B517" s="60">
        <f>8.1833 * CHOOSE(CONTROL!$C$22, $C$13, 100%, $E$13)</f>
        <v>8.1832999999999991</v>
      </c>
      <c r="C517" s="60">
        <f>8.1833 * CHOOSE(CONTROL!$C$22, $C$13, 100%, $E$13)</f>
        <v>8.1832999999999991</v>
      </c>
      <c r="D517" s="60">
        <f>8.216 * CHOOSE(CONTROL!$C$22, $C$13, 100%, $E$13)</f>
        <v>8.2159999999999993</v>
      </c>
      <c r="E517" s="61">
        <f>9.4955 * CHOOSE(CONTROL!$C$22, $C$13, 100%, $E$13)</f>
        <v>9.4954999999999998</v>
      </c>
      <c r="F517" s="61">
        <f>9.4955 * CHOOSE(CONTROL!$C$22, $C$13, 100%, $E$13)</f>
        <v>9.4954999999999998</v>
      </c>
      <c r="G517" s="61">
        <f>9.4975 * CHOOSE(CONTROL!$C$22, $C$13, 100%, $E$13)</f>
        <v>9.4975000000000005</v>
      </c>
      <c r="H517" s="61">
        <f>16.2238* CHOOSE(CONTROL!$C$22, $C$13, 100%, $E$13)</f>
        <v>16.223800000000001</v>
      </c>
      <c r="I517" s="61">
        <f>16.2258 * CHOOSE(CONTROL!$C$22, $C$13, 100%, $E$13)</f>
        <v>16.2258</v>
      </c>
      <c r="J517" s="61">
        <f>9.4955 * CHOOSE(CONTROL!$C$22, $C$13, 100%, $E$13)</f>
        <v>9.4954999999999998</v>
      </c>
      <c r="K517" s="61">
        <f>9.4975 * CHOOSE(CONTROL!$C$22, $C$13, 100%, $E$13)</f>
        <v>9.4975000000000005</v>
      </c>
    </row>
    <row r="518" spans="1:11" ht="15">
      <c r="A518" s="13">
        <v>57619</v>
      </c>
      <c r="B518" s="60">
        <f>8.1925 * CHOOSE(CONTROL!$C$22, $C$13, 100%, $E$13)</f>
        <v>8.1925000000000008</v>
      </c>
      <c r="C518" s="60">
        <f>8.1925 * CHOOSE(CONTROL!$C$22, $C$13, 100%, $E$13)</f>
        <v>8.1925000000000008</v>
      </c>
      <c r="D518" s="60">
        <f>8.2088 * CHOOSE(CONTROL!$C$22, $C$13, 100%, $E$13)</f>
        <v>8.2088000000000001</v>
      </c>
      <c r="E518" s="61">
        <f>9.5254 * CHOOSE(CONTROL!$C$22, $C$13, 100%, $E$13)</f>
        <v>9.5253999999999994</v>
      </c>
      <c r="F518" s="61">
        <f>9.5254 * CHOOSE(CONTROL!$C$22, $C$13, 100%, $E$13)</f>
        <v>9.5253999999999994</v>
      </c>
      <c r="G518" s="61">
        <f>9.5256 * CHOOSE(CONTROL!$C$22, $C$13, 100%, $E$13)</f>
        <v>9.5256000000000007</v>
      </c>
      <c r="H518" s="61">
        <f>16.2576* CHOOSE(CONTROL!$C$22, $C$13, 100%, $E$13)</f>
        <v>16.2576</v>
      </c>
      <c r="I518" s="61">
        <f>16.2578 * CHOOSE(CONTROL!$C$22, $C$13, 100%, $E$13)</f>
        <v>16.2578</v>
      </c>
      <c r="J518" s="61">
        <f>9.5254 * CHOOSE(CONTROL!$C$22, $C$13, 100%, $E$13)</f>
        <v>9.5253999999999994</v>
      </c>
      <c r="K518" s="61">
        <f>9.5256 * CHOOSE(CONTROL!$C$22, $C$13, 100%, $E$13)</f>
        <v>9.5256000000000007</v>
      </c>
    </row>
    <row r="519" spans="1:11" ht="15">
      <c r="A519" s="13">
        <v>57650</v>
      </c>
      <c r="B519" s="60">
        <f>8.1955 * CHOOSE(CONTROL!$C$22, $C$13, 100%, $E$13)</f>
        <v>8.1954999999999991</v>
      </c>
      <c r="C519" s="60">
        <f>8.1955 * CHOOSE(CONTROL!$C$22, $C$13, 100%, $E$13)</f>
        <v>8.1954999999999991</v>
      </c>
      <c r="D519" s="60">
        <f>8.2118 * CHOOSE(CONTROL!$C$22, $C$13, 100%, $E$13)</f>
        <v>8.2118000000000002</v>
      </c>
      <c r="E519" s="61">
        <f>9.5491 * CHOOSE(CONTROL!$C$22, $C$13, 100%, $E$13)</f>
        <v>9.5490999999999993</v>
      </c>
      <c r="F519" s="61">
        <f>9.5491 * CHOOSE(CONTROL!$C$22, $C$13, 100%, $E$13)</f>
        <v>9.5490999999999993</v>
      </c>
      <c r="G519" s="61">
        <f>9.5493 * CHOOSE(CONTROL!$C$22, $C$13, 100%, $E$13)</f>
        <v>9.5493000000000006</v>
      </c>
      <c r="H519" s="61">
        <f>16.2915* CHOOSE(CONTROL!$C$22, $C$13, 100%, $E$13)</f>
        <v>16.291499999999999</v>
      </c>
      <c r="I519" s="61">
        <f>16.2917 * CHOOSE(CONTROL!$C$22, $C$13, 100%, $E$13)</f>
        <v>16.291699999999999</v>
      </c>
      <c r="J519" s="61">
        <f>9.5491 * CHOOSE(CONTROL!$C$22, $C$13, 100%, $E$13)</f>
        <v>9.5490999999999993</v>
      </c>
      <c r="K519" s="61">
        <f>9.5493 * CHOOSE(CONTROL!$C$22, $C$13, 100%, $E$13)</f>
        <v>9.5493000000000006</v>
      </c>
    </row>
    <row r="520" spans="1:11" ht="15">
      <c r="A520" s="13">
        <v>57680</v>
      </c>
      <c r="B520" s="60">
        <f>8.1955 * CHOOSE(CONTROL!$C$22, $C$13, 100%, $E$13)</f>
        <v>8.1954999999999991</v>
      </c>
      <c r="C520" s="60">
        <f>8.1955 * CHOOSE(CONTROL!$C$22, $C$13, 100%, $E$13)</f>
        <v>8.1954999999999991</v>
      </c>
      <c r="D520" s="60">
        <f>8.2118 * CHOOSE(CONTROL!$C$22, $C$13, 100%, $E$13)</f>
        <v>8.2118000000000002</v>
      </c>
      <c r="E520" s="61">
        <f>9.495 * CHOOSE(CONTROL!$C$22, $C$13, 100%, $E$13)</f>
        <v>9.4949999999999992</v>
      </c>
      <c r="F520" s="61">
        <f>9.495 * CHOOSE(CONTROL!$C$22, $C$13, 100%, $E$13)</f>
        <v>9.4949999999999992</v>
      </c>
      <c r="G520" s="61">
        <f>9.4952 * CHOOSE(CONTROL!$C$22, $C$13, 100%, $E$13)</f>
        <v>9.4952000000000005</v>
      </c>
      <c r="H520" s="61">
        <f>16.3254* CHOOSE(CONTROL!$C$22, $C$13, 100%, $E$13)</f>
        <v>16.325399999999998</v>
      </c>
      <c r="I520" s="61">
        <f>16.3256 * CHOOSE(CONTROL!$C$22, $C$13, 100%, $E$13)</f>
        <v>16.325600000000001</v>
      </c>
      <c r="J520" s="61">
        <f>9.495 * CHOOSE(CONTROL!$C$22, $C$13, 100%, $E$13)</f>
        <v>9.4949999999999992</v>
      </c>
      <c r="K520" s="61">
        <f>9.4952 * CHOOSE(CONTROL!$C$22, $C$13, 100%, $E$13)</f>
        <v>9.4952000000000005</v>
      </c>
    </row>
    <row r="521" spans="1:11" ht="15">
      <c r="A521" s="13">
        <v>57711</v>
      </c>
      <c r="B521" s="60">
        <f>8.268 * CHOOSE(CONTROL!$C$22, $C$13, 100%, $E$13)</f>
        <v>8.2680000000000007</v>
      </c>
      <c r="C521" s="60">
        <f>8.268 * CHOOSE(CONTROL!$C$22, $C$13, 100%, $E$13)</f>
        <v>8.2680000000000007</v>
      </c>
      <c r="D521" s="60">
        <f>8.2844 * CHOOSE(CONTROL!$C$22, $C$13, 100%, $E$13)</f>
        <v>8.2843999999999998</v>
      </c>
      <c r="E521" s="61">
        <f>9.6187 * CHOOSE(CONTROL!$C$22, $C$13, 100%, $E$13)</f>
        <v>9.6187000000000005</v>
      </c>
      <c r="F521" s="61">
        <f>9.6187 * CHOOSE(CONTROL!$C$22, $C$13, 100%, $E$13)</f>
        <v>9.6187000000000005</v>
      </c>
      <c r="G521" s="61">
        <f>9.6189 * CHOOSE(CONTROL!$C$22, $C$13, 100%, $E$13)</f>
        <v>9.6189</v>
      </c>
      <c r="H521" s="61">
        <f>16.3594* CHOOSE(CONTROL!$C$22, $C$13, 100%, $E$13)</f>
        <v>16.359400000000001</v>
      </c>
      <c r="I521" s="61">
        <f>16.3596 * CHOOSE(CONTROL!$C$22, $C$13, 100%, $E$13)</f>
        <v>16.3596</v>
      </c>
      <c r="J521" s="61">
        <f>9.6187 * CHOOSE(CONTROL!$C$22, $C$13, 100%, $E$13)</f>
        <v>9.6187000000000005</v>
      </c>
      <c r="K521" s="61">
        <f>9.6189 * CHOOSE(CONTROL!$C$22, $C$13, 100%, $E$13)</f>
        <v>9.6189</v>
      </c>
    </row>
    <row r="522" spans="1:11" ht="15">
      <c r="A522" s="13">
        <v>57742</v>
      </c>
      <c r="B522" s="60">
        <f>8.265 * CHOOSE(CONTROL!$C$22, $C$13, 100%, $E$13)</f>
        <v>8.2650000000000006</v>
      </c>
      <c r="C522" s="60">
        <f>8.265 * CHOOSE(CONTROL!$C$22, $C$13, 100%, $E$13)</f>
        <v>8.2650000000000006</v>
      </c>
      <c r="D522" s="60">
        <f>8.2813 * CHOOSE(CONTROL!$C$22, $C$13, 100%, $E$13)</f>
        <v>8.2812999999999999</v>
      </c>
      <c r="E522" s="61">
        <f>9.5114 * CHOOSE(CONTROL!$C$22, $C$13, 100%, $E$13)</f>
        <v>9.5114000000000001</v>
      </c>
      <c r="F522" s="61">
        <f>9.5114 * CHOOSE(CONTROL!$C$22, $C$13, 100%, $E$13)</f>
        <v>9.5114000000000001</v>
      </c>
      <c r="G522" s="61">
        <f>9.5116 * CHOOSE(CONTROL!$C$22, $C$13, 100%, $E$13)</f>
        <v>9.5115999999999996</v>
      </c>
      <c r="H522" s="61">
        <f>16.3935* CHOOSE(CONTROL!$C$22, $C$13, 100%, $E$13)</f>
        <v>16.3935</v>
      </c>
      <c r="I522" s="61">
        <f>16.3937 * CHOOSE(CONTROL!$C$22, $C$13, 100%, $E$13)</f>
        <v>16.393699999999999</v>
      </c>
      <c r="J522" s="61">
        <f>9.5114 * CHOOSE(CONTROL!$C$22, $C$13, 100%, $E$13)</f>
        <v>9.5114000000000001</v>
      </c>
      <c r="K522" s="61">
        <f>9.5116 * CHOOSE(CONTROL!$C$22, $C$13, 100%, $E$13)</f>
        <v>9.5115999999999996</v>
      </c>
    </row>
    <row r="523" spans="1:11" ht="15">
      <c r="A523" s="13">
        <v>57770</v>
      </c>
      <c r="B523" s="60">
        <f>8.2619 * CHOOSE(CONTROL!$C$22, $C$13, 100%, $E$13)</f>
        <v>8.2619000000000007</v>
      </c>
      <c r="C523" s="60">
        <f>8.2619 * CHOOSE(CONTROL!$C$22, $C$13, 100%, $E$13)</f>
        <v>8.2619000000000007</v>
      </c>
      <c r="D523" s="60">
        <f>8.2783 * CHOOSE(CONTROL!$C$22, $C$13, 100%, $E$13)</f>
        <v>8.2782999999999998</v>
      </c>
      <c r="E523" s="61">
        <f>9.5922 * CHOOSE(CONTROL!$C$22, $C$13, 100%, $E$13)</f>
        <v>9.5922000000000001</v>
      </c>
      <c r="F523" s="61">
        <f>9.5922 * CHOOSE(CONTROL!$C$22, $C$13, 100%, $E$13)</f>
        <v>9.5922000000000001</v>
      </c>
      <c r="G523" s="61">
        <f>9.5924 * CHOOSE(CONTROL!$C$22, $C$13, 100%, $E$13)</f>
        <v>9.5923999999999996</v>
      </c>
      <c r="H523" s="61">
        <f>16.4277* CHOOSE(CONTROL!$C$22, $C$13, 100%, $E$13)</f>
        <v>16.427700000000002</v>
      </c>
      <c r="I523" s="61">
        <f>16.4278 * CHOOSE(CONTROL!$C$22, $C$13, 100%, $E$13)</f>
        <v>16.427800000000001</v>
      </c>
      <c r="J523" s="61">
        <f>9.5922 * CHOOSE(CONTROL!$C$22, $C$13, 100%, $E$13)</f>
        <v>9.5922000000000001</v>
      </c>
      <c r="K523" s="61">
        <f>9.5924 * CHOOSE(CONTROL!$C$22, $C$13, 100%, $E$13)</f>
        <v>9.5923999999999996</v>
      </c>
    </row>
    <row r="524" spans="1:11" ht="15">
      <c r="A524" s="13">
        <v>57801</v>
      </c>
      <c r="B524" s="60">
        <f>8.2633 * CHOOSE(CONTROL!$C$22, $C$13, 100%, $E$13)</f>
        <v>8.2632999999999992</v>
      </c>
      <c r="C524" s="60">
        <f>8.2633 * CHOOSE(CONTROL!$C$22, $C$13, 100%, $E$13)</f>
        <v>8.2632999999999992</v>
      </c>
      <c r="D524" s="60">
        <f>8.2797 * CHOOSE(CONTROL!$C$22, $C$13, 100%, $E$13)</f>
        <v>8.2797000000000001</v>
      </c>
      <c r="E524" s="61">
        <f>9.677 * CHOOSE(CONTROL!$C$22, $C$13, 100%, $E$13)</f>
        <v>9.6769999999999996</v>
      </c>
      <c r="F524" s="61">
        <f>9.677 * CHOOSE(CONTROL!$C$22, $C$13, 100%, $E$13)</f>
        <v>9.6769999999999996</v>
      </c>
      <c r="G524" s="61">
        <f>9.6771 * CHOOSE(CONTROL!$C$22, $C$13, 100%, $E$13)</f>
        <v>9.6770999999999994</v>
      </c>
      <c r="H524" s="61">
        <f>16.4619* CHOOSE(CONTROL!$C$22, $C$13, 100%, $E$13)</f>
        <v>16.4619</v>
      </c>
      <c r="I524" s="61">
        <f>16.4621 * CHOOSE(CONTROL!$C$22, $C$13, 100%, $E$13)</f>
        <v>16.4621</v>
      </c>
      <c r="J524" s="61">
        <f>9.677 * CHOOSE(CONTROL!$C$22, $C$13, 100%, $E$13)</f>
        <v>9.6769999999999996</v>
      </c>
      <c r="K524" s="61">
        <f>9.6771 * CHOOSE(CONTROL!$C$22, $C$13, 100%, $E$13)</f>
        <v>9.6770999999999994</v>
      </c>
    </row>
    <row r="525" spans="1:11" ht="15">
      <c r="A525" s="13">
        <v>57831</v>
      </c>
      <c r="B525" s="60">
        <f>8.2633 * CHOOSE(CONTROL!$C$22, $C$13, 100%, $E$13)</f>
        <v>8.2632999999999992</v>
      </c>
      <c r="C525" s="60">
        <f>8.2633 * CHOOSE(CONTROL!$C$22, $C$13, 100%, $E$13)</f>
        <v>8.2632999999999992</v>
      </c>
      <c r="D525" s="60">
        <f>8.296 * CHOOSE(CONTROL!$C$22, $C$13, 100%, $E$13)</f>
        <v>8.2959999999999994</v>
      </c>
      <c r="E525" s="61">
        <f>9.7103 * CHOOSE(CONTROL!$C$22, $C$13, 100%, $E$13)</f>
        <v>9.7103000000000002</v>
      </c>
      <c r="F525" s="61">
        <f>9.7103 * CHOOSE(CONTROL!$C$22, $C$13, 100%, $E$13)</f>
        <v>9.7103000000000002</v>
      </c>
      <c r="G525" s="61">
        <f>9.7124 * CHOOSE(CONTROL!$C$22, $C$13, 100%, $E$13)</f>
        <v>9.7124000000000006</v>
      </c>
      <c r="H525" s="61">
        <f>16.4962* CHOOSE(CONTROL!$C$22, $C$13, 100%, $E$13)</f>
        <v>16.496200000000002</v>
      </c>
      <c r="I525" s="61">
        <f>16.4982 * CHOOSE(CONTROL!$C$22, $C$13, 100%, $E$13)</f>
        <v>16.498200000000001</v>
      </c>
      <c r="J525" s="61">
        <f>9.7103 * CHOOSE(CONTROL!$C$22, $C$13, 100%, $E$13)</f>
        <v>9.7103000000000002</v>
      </c>
      <c r="K525" s="61">
        <f>9.7124 * CHOOSE(CONTROL!$C$22, $C$13, 100%, $E$13)</f>
        <v>9.7124000000000006</v>
      </c>
    </row>
    <row r="526" spans="1:11" ht="15">
      <c r="A526" s="13">
        <v>57862</v>
      </c>
      <c r="B526" s="60">
        <f>8.2694 * CHOOSE(CONTROL!$C$22, $C$13, 100%, $E$13)</f>
        <v>8.2693999999999992</v>
      </c>
      <c r="C526" s="60">
        <f>8.2694 * CHOOSE(CONTROL!$C$22, $C$13, 100%, $E$13)</f>
        <v>8.2693999999999992</v>
      </c>
      <c r="D526" s="60">
        <f>8.3021 * CHOOSE(CONTROL!$C$22, $C$13, 100%, $E$13)</f>
        <v>8.3020999999999994</v>
      </c>
      <c r="E526" s="61">
        <f>9.6812 * CHOOSE(CONTROL!$C$22, $C$13, 100%, $E$13)</f>
        <v>9.6812000000000005</v>
      </c>
      <c r="F526" s="61">
        <f>9.6812 * CHOOSE(CONTROL!$C$22, $C$13, 100%, $E$13)</f>
        <v>9.6812000000000005</v>
      </c>
      <c r="G526" s="61">
        <f>9.6832 * CHOOSE(CONTROL!$C$22, $C$13, 100%, $E$13)</f>
        <v>9.6831999999999994</v>
      </c>
      <c r="H526" s="61">
        <f>16.5306* CHOOSE(CONTROL!$C$22, $C$13, 100%, $E$13)</f>
        <v>16.5306</v>
      </c>
      <c r="I526" s="61">
        <f>16.5326 * CHOOSE(CONTROL!$C$22, $C$13, 100%, $E$13)</f>
        <v>16.532599999999999</v>
      </c>
      <c r="J526" s="61">
        <f>9.6812 * CHOOSE(CONTROL!$C$22, $C$13, 100%, $E$13)</f>
        <v>9.6812000000000005</v>
      </c>
      <c r="K526" s="61">
        <f>9.6832 * CHOOSE(CONTROL!$C$22, $C$13, 100%, $E$13)</f>
        <v>9.6831999999999994</v>
      </c>
    </row>
    <row r="527" spans="1:11" ht="15">
      <c r="A527" s="13">
        <v>57892</v>
      </c>
      <c r="B527" s="60">
        <f>8.4031 * CHOOSE(CONTROL!$C$22, $C$13, 100%, $E$13)</f>
        <v>8.4031000000000002</v>
      </c>
      <c r="C527" s="60">
        <f>8.4031 * CHOOSE(CONTROL!$C$22, $C$13, 100%, $E$13)</f>
        <v>8.4031000000000002</v>
      </c>
      <c r="D527" s="60">
        <f>8.4358 * CHOOSE(CONTROL!$C$22, $C$13, 100%, $E$13)</f>
        <v>8.4358000000000004</v>
      </c>
      <c r="E527" s="61">
        <f>9.8697 * CHOOSE(CONTROL!$C$22, $C$13, 100%, $E$13)</f>
        <v>9.8696999999999999</v>
      </c>
      <c r="F527" s="61">
        <f>9.8697 * CHOOSE(CONTROL!$C$22, $C$13, 100%, $E$13)</f>
        <v>9.8696999999999999</v>
      </c>
      <c r="G527" s="61">
        <f>9.8718 * CHOOSE(CONTROL!$C$22, $C$13, 100%, $E$13)</f>
        <v>9.8718000000000004</v>
      </c>
      <c r="H527" s="61">
        <f>16.565* CHOOSE(CONTROL!$C$22, $C$13, 100%, $E$13)</f>
        <v>16.565000000000001</v>
      </c>
      <c r="I527" s="61">
        <f>16.567 * CHOOSE(CONTROL!$C$22, $C$13, 100%, $E$13)</f>
        <v>16.567</v>
      </c>
      <c r="J527" s="61">
        <f>9.8697 * CHOOSE(CONTROL!$C$22, $C$13, 100%, $E$13)</f>
        <v>9.8696999999999999</v>
      </c>
      <c r="K527" s="61">
        <f>9.8718 * CHOOSE(CONTROL!$C$22, $C$13, 100%, $E$13)</f>
        <v>9.8718000000000004</v>
      </c>
    </row>
    <row r="528" spans="1:11" ht="15">
      <c r="A528" s="13">
        <v>57923</v>
      </c>
      <c r="B528" s="60">
        <f>8.4098 * CHOOSE(CONTROL!$C$22, $C$13, 100%, $E$13)</f>
        <v>8.4098000000000006</v>
      </c>
      <c r="C528" s="60">
        <f>8.4098 * CHOOSE(CONTROL!$C$22, $C$13, 100%, $E$13)</f>
        <v>8.4098000000000006</v>
      </c>
      <c r="D528" s="60">
        <f>8.4425 * CHOOSE(CONTROL!$C$22, $C$13, 100%, $E$13)</f>
        <v>8.4425000000000008</v>
      </c>
      <c r="E528" s="61">
        <f>9.7743 * CHOOSE(CONTROL!$C$22, $C$13, 100%, $E$13)</f>
        <v>9.7743000000000002</v>
      </c>
      <c r="F528" s="61">
        <f>9.7743 * CHOOSE(CONTROL!$C$22, $C$13, 100%, $E$13)</f>
        <v>9.7743000000000002</v>
      </c>
      <c r="G528" s="61">
        <f>9.7763 * CHOOSE(CONTROL!$C$22, $C$13, 100%, $E$13)</f>
        <v>9.7763000000000009</v>
      </c>
      <c r="H528" s="61">
        <f>16.5995* CHOOSE(CONTROL!$C$22, $C$13, 100%, $E$13)</f>
        <v>16.599499999999999</v>
      </c>
      <c r="I528" s="61">
        <f>16.6015 * CHOOSE(CONTROL!$C$22, $C$13, 100%, $E$13)</f>
        <v>16.601500000000001</v>
      </c>
      <c r="J528" s="61">
        <f>9.7743 * CHOOSE(CONTROL!$C$22, $C$13, 100%, $E$13)</f>
        <v>9.7743000000000002</v>
      </c>
      <c r="K528" s="61">
        <f>9.7763 * CHOOSE(CONTROL!$C$22, $C$13, 100%, $E$13)</f>
        <v>9.7763000000000009</v>
      </c>
    </row>
    <row r="529" spans="1:11" ht="15">
      <c r="A529" s="13">
        <v>57954</v>
      </c>
      <c r="B529" s="60">
        <f>8.4068 * CHOOSE(CONTROL!$C$22, $C$13, 100%, $E$13)</f>
        <v>8.4068000000000005</v>
      </c>
      <c r="C529" s="60">
        <f>8.4068 * CHOOSE(CONTROL!$C$22, $C$13, 100%, $E$13)</f>
        <v>8.4068000000000005</v>
      </c>
      <c r="D529" s="60">
        <f>8.4395 * CHOOSE(CONTROL!$C$22, $C$13, 100%, $E$13)</f>
        <v>8.4395000000000007</v>
      </c>
      <c r="E529" s="61">
        <f>9.761 * CHOOSE(CONTROL!$C$22, $C$13, 100%, $E$13)</f>
        <v>9.7609999999999992</v>
      </c>
      <c r="F529" s="61">
        <f>9.761 * CHOOSE(CONTROL!$C$22, $C$13, 100%, $E$13)</f>
        <v>9.7609999999999992</v>
      </c>
      <c r="G529" s="61">
        <f>9.763 * CHOOSE(CONTROL!$C$22, $C$13, 100%, $E$13)</f>
        <v>9.7629999999999999</v>
      </c>
      <c r="H529" s="61">
        <f>16.6341* CHOOSE(CONTROL!$C$22, $C$13, 100%, $E$13)</f>
        <v>16.6341</v>
      </c>
      <c r="I529" s="61">
        <f>16.6361 * CHOOSE(CONTROL!$C$22, $C$13, 100%, $E$13)</f>
        <v>16.636099999999999</v>
      </c>
      <c r="J529" s="61">
        <f>9.761 * CHOOSE(CONTROL!$C$22, $C$13, 100%, $E$13)</f>
        <v>9.7609999999999992</v>
      </c>
      <c r="K529" s="61">
        <f>9.763 * CHOOSE(CONTROL!$C$22, $C$13, 100%, $E$13)</f>
        <v>9.7629999999999999</v>
      </c>
    </row>
    <row r="530" spans="1:11" ht="15">
      <c r="A530" s="13">
        <v>57984</v>
      </c>
      <c r="B530" s="60">
        <f>8.4167 * CHOOSE(CONTROL!$C$22, $C$13, 100%, $E$13)</f>
        <v>8.4167000000000005</v>
      </c>
      <c r="C530" s="60">
        <f>8.4167 * CHOOSE(CONTROL!$C$22, $C$13, 100%, $E$13)</f>
        <v>8.4167000000000005</v>
      </c>
      <c r="D530" s="60">
        <f>8.433 * CHOOSE(CONTROL!$C$22, $C$13, 100%, $E$13)</f>
        <v>8.4329999999999998</v>
      </c>
      <c r="E530" s="61">
        <f>9.7921 * CHOOSE(CONTROL!$C$22, $C$13, 100%, $E$13)</f>
        <v>9.7920999999999996</v>
      </c>
      <c r="F530" s="61">
        <f>9.7921 * CHOOSE(CONTROL!$C$22, $C$13, 100%, $E$13)</f>
        <v>9.7920999999999996</v>
      </c>
      <c r="G530" s="61">
        <f>9.7923 * CHOOSE(CONTROL!$C$22, $C$13, 100%, $E$13)</f>
        <v>9.7922999999999991</v>
      </c>
      <c r="H530" s="61">
        <f>16.6687* CHOOSE(CONTROL!$C$22, $C$13, 100%, $E$13)</f>
        <v>16.668700000000001</v>
      </c>
      <c r="I530" s="61">
        <f>16.6689 * CHOOSE(CONTROL!$C$22, $C$13, 100%, $E$13)</f>
        <v>16.668900000000001</v>
      </c>
      <c r="J530" s="61">
        <f>9.7921 * CHOOSE(CONTROL!$C$22, $C$13, 100%, $E$13)</f>
        <v>9.7920999999999996</v>
      </c>
      <c r="K530" s="61">
        <f>9.7923 * CHOOSE(CONTROL!$C$22, $C$13, 100%, $E$13)</f>
        <v>9.7922999999999991</v>
      </c>
    </row>
    <row r="531" spans="1:11" ht="15">
      <c r="A531" s="13">
        <v>58015</v>
      </c>
      <c r="B531" s="60">
        <f>8.4197 * CHOOSE(CONTROL!$C$22, $C$13, 100%, $E$13)</f>
        <v>8.4197000000000006</v>
      </c>
      <c r="C531" s="60">
        <f>8.4197 * CHOOSE(CONTROL!$C$22, $C$13, 100%, $E$13)</f>
        <v>8.4197000000000006</v>
      </c>
      <c r="D531" s="60">
        <f>8.436 * CHOOSE(CONTROL!$C$22, $C$13, 100%, $E$13)</f>
        <v>8.4359999999999999</v>
      </c>
      <c r="E531" s="61">
        <f>9.8165 * CHOOSE(CONTROL!$C$22, $C$13, 100%, $E$13)</f>
        <v>9.8164999999999996</v>
      </c>
      <c r="F531" s="61">
        <f>9.8165 * CHOOSE(CONTROL!$C$22, $C$13, 100%, $E$13)</f>
        <v>9.8164999999999996</v>
      </c>
      <c r="G531" s="61">
        <f>9.8166 * CHOOSE(CONTROL!$C$22, $C$13, 100%, $E$13)</f>
        <v>9.8165999999999993</v>
      </c>
      <c r="H531" s="61">
        <f>16.7035* CHOOSE(CONTROL!$C$22, $C$13, 100%, $E$13)</f>
        <v>16.703499999999998</v>
      </c>
      <c r="I531" s="61">
        <f>16.7036 * CHOOSE(CONTROL!$C$22, $C$13, 100%, $E$13)</f>
        <v>16.703600000000002</v>
      </c>
      <c r="J531" s="61">
        <f>9.8165 * CHOOSE(CONTROL!$C$22, $C$13, 100%, $E$13)</f>
        <v>9.8164999999999996</v>
      </c>
      <c r="K531" s="61">
        <f>9.8166 * CHOOSE(CONTROL!$C$22, $C$13, 100%, $E$13)</f>
        <v>9.8165999999999993</v>
      </c>
    </row>
    <row r="532" spans="1:11" ht="15">
      <c r="A532" s="13">
        <v>58045</v>
      </c>
      <c r="B532" s="60">
        <f>8.4197 * CHOOSE(CONTROL!$C$22, $C$13, 100%, $E$13)</f>
        <v>8.4197000000000006</v>
      </c>
      <c r="C532" s="60">
        <f>8.4197 * CHOOSE(CONTROL!$C$22, $C$13, 100%, $E$13)</f>
        <v>8.4197000000000006</v>
      </c>
      <c r="D532" s="60">
        <f>8.436 * CHOOSE(CONTROL!$C$22, $C$13, 100%, $E$13)</f>
        <v>8.4359999999999999</v>
      </c>
      <c r="E532" s="61">
        <f>9.7608 * CHOOSE(CONTROL!$C$22, $C$13, 100%, $E$13)</f>
        <v>9.7607999999999997</v>
      </c>
      <c r="F532" s="61">
        <f>9.7608 * CHOOSE(CONTROL!$C$22, $C$13, 100%, $E$13)</f>
        <v>9.7607999999999997</v>
      </c>
      <c r="G532" s="61">
        <f>9.761 * CHOOSE(CONTROL!$C$22, $C$13, 100%, $E$13)</f>
        <v>9.7609999999999992</v>
      </c>
      <c r="H532" s="61">
        <f>16.7383* CHOOSE(CONTROL!$C$22, $C$13, 100%, $E$13)</f>
        <v>16.738299999999999</v>
      </c>
      <c r="I532" s="61">
        <f>16.7384 * CHOOSE(CONTROL!$C$22, $C$13, 100%, $E$13)</f>
        <v>16.738399999999999</v>
      </c>
      <c r="J532" s="61">
        <f>9.7608 * CHOOSE(CONTROL!$C$22, $C$13, 100%, $E$13)</f>
        <v>9.7607999999999997</v>
      </c>
      <c r="K532" s="61">
        <f>9.761 * CHOOSE(CONTROL!$C$22, $C$13, 100%, $E$13)</f>
        <v>9.7609999999999992</v>
      </c>
    </row>
    <row r="533" spans="1:11" ht="15">
      <c r="A533" s="13">
        <v>58076</v>
      </c>
      <c r="B533" s="60">
        <f>8.4941 * CHOOSE(CONTROL!$C$22, $C$13, 100%, $E$13)</f>
        <v>8.4940999999999995</v>
      </c>
      <c r="C533" s="60">
        <f>8.4941 * CHOOSE(CONTROL!$C$22, $C$13, 100%, $E$13)</f>
        <v>8.4940999999999995</v>
      </c>
      <c r="D533" s="60">
        <f>8.5104 * CHOOSE(CONTROL!$C$22, $C$13, 100%, $E$13)</f>
        <v>8.5104000000000006</v>
      </c>
      <c r="E533" s="61">
        <f>9.8879 * CHOOSE(CONTROL!$C$22, $C$13, 100%, $E$13)</f>
        <v>9.8879000000000001</v>
      </c>
      <c r="F533" s="61">
        <f>9.8879 * CHOOSE(CONTROL!$C$22, $C$13, 100%, $E$13)</f>
        <v>9.8879000000000001</v>
      </c>
      <c r="G533" s="61">
        <f>9.888 * CHOOSE(CONTROL!$C$22, $C$13, 100%, $E$13)</f>
        <v>9.8879999999999999</v>
      </c>
      <c r="H533" s="61">
        <f>16.7731* CHOOSE(CONTROL!$C$22, $C$13, 100%, $E$13)</f>
        <v>16.773099999999999</v>
      </c>
      <c r="I533" s="61">
        <f>16.7733 * CHOOSE(CONTROL!$C$22, $C$13, 100%, $E$13)</f>
        <v>16.773299999999999</v>
      </c>
      <c r="J533" s="61">
        <f>9.8879 * CHOOSE(CONTROL!$C$22, $C$13, 100%, $E$13)</f>
        <v>9.8879000000000001</v>
      </c>
      <c r="K533" s="61">
        <f>9.888 * CHOOSE(CONTROL!$C$22, $C$13, 100%, $E$13)</f>
        <v>9.8879999999999999</v>
      </c>
    </row>
    <row r="534" spans="1:11" ht="15">
      <c r="A534" s="13">
        <v>58107</v>
      </c>
      <c r="B534" s="60">
        <f>8.491 * CHOOSE(CONTROL!$C$22, $C$13, 100%, $E$13)</f>
        <v>8.4909999999999997</v>
      </c>
      <c r="C534" s="60">
        <f>8.491 * CHOOSE(CONTROL!$C$22, $C$13, 100%, $E$13)</f>
        <v>8.4909999999999997</v>
      </c>
      <c r="D534" s="60">
        <f>8.5074 * CHOOSE(CONTROL!$C$22, $C$13, 100%, $E$13)</f>
        <v>8.5074000000000005</v>
      </c>
      <c r="E534" s="61">
        <f>9.7777 * CHOOSE(CONTROL!$C$22, $C$13, 100%, $E$13)</f>
        <v>9.7776999999999994</v>
      </c>
      <c r="F534" s="61">
        <f>9.7777 * CHOOSE(CONTROL!$C$22, $C$13, 100%, $E$13)</f>
        <v>9.7776999999999994</v>
      </c>
      <c r="G534" s="61">
        <f>9.7778 * CHOOSE(CONTROL!$C$22, $C$13, 100%, $E$13)</f>
        <v>9.7777999999999992</v>
      </c>
      <c r="H534" s="61">
        <f>16.8081* CHOOSE(CONTROL!$C$22, $C$13, 100%, $E$13)</f>
        <v>16.8081</v>
      </c>
      <c r="I534" s="61">
        <f>16.8083 * CHOOSE(CONTROL!$C$22, $C$13, 100%, $E$13)</f>
        <v>16.808299999999999</v>
      </c>
      <c r="J534" s="61">
        <f>9.7777 * CHOOSE(CONTROL!$C$22, $C$13, 100%, $E$13)</f>
        <v>9.7776999999999994</v>
      </c>
      <c r="K534" s="61">
        <f>9.7778 * CHOOSE(CONTROL!$C$22, $C$13, 100%, $E$13)</f>
        <v>9.7777999999999992</v>
      </c>
    </row>
    <row r="535" spans="1:11" ht="15">
      <c r="A535" s="13">
        <v>58135</v>
      </c>
      <c r="B535" s="60">
        <f>8.488 * CHOOSE(CONTROL!$C$22, $C$13, 100%, $E$13)</f>
        <v>8.4879999999999995</v>
      </c>
      <c r="C535" s="60">
        <f>8.488 * CHOOSE(CONTROL!$C$22, $C$13, 100%, $E$13)</f>
        <v>8.4879999999999995</v>
      </c>
      <c r="D535" s="60">
        <f>8.5043 * CHOOSE(CONTROL!$C$22, $C$13, 100%, $E$13)</f>
        <v>8.5043000000000006</v>
      </c>
      <c r="E535" s="61">
        <f>9.8608 * CHOOSE(CONTROL!$C$22, $C$13, 100%, $E$13)</f>
        <v>9.8607999999999993</v>
      </c>
      <c r="F535" s="61">
        <f>9.8608 * CHOOSE(CONTROL!$C$22, $C$13, 100%, $E$13)</f>
        <v>9.8607999999999993</v>
      </c>
      <c r="G535" s="61">
        <f>9.8609 * CHOOSE(CONTROL!$C$22, $C$13, 100%, $E$13)</f>
        <v>9.8609000000000009</v>
      </c>
      <c r="H535" s="61">
        <f>16.8431* CHOOSE(CONTROL!$C$22, $C$13, 100%, $E$13)</f>
        <v>16.8431</v>
      </c>
      <c r="I535" s="61">
        <f>16.8433 * CHOOSE(CONTROL!$C$22, $C$13, 100%, $E$13)</f>
        <v>16.843299999999999</v>
      </c>
      <c r="J535" s="61">
        <f>9.8608 * CHOOSE(CONTROL!$C$22, $C$13, 100%, $E$13)</f>
        <v>9.8607999999999993</v>
      </c>
      <c r="K535" s="61">
        <f>9.8609 * CHOOSE(CONTROL!$C$22, $C$13, 100%, $E$13)</f>
        <v>9.8609000000000009</v>
      </c>
    </row>
    <row r="536" spans="1:11" ht="15">
      <c r="A536" s="13">
        <v>58166</v>
      </c>
      <c r="B536" s="60">
        <f>8.4896 * CHOOSE(CONTROL!$C$22, $C$13, 100%, $E$13)</f>
        <v>8.4895999999999994</v>
      </c>
      <c r="C536" s="60">
        <f>8.4896 * CHOOSE(CONTROL!$C$22, $C$13, 100%, $E$13)</f>
        <v>8.4895999999999994</v>
      </c>
      <c r="D536" s="60">
        <f>8.5059 * CHOOSE(CONTROL!$C$22, $C$13, 100%, $E$13)</f>
        <v>8.5059000000000005</v>
      </c>
      <c r="E536" s="61">
        <f>9.948 * CHOOSE(CONTROL!$C$22, $C$13, 100%, $E$13)</f>
        <v>9.9480000000000004</v>
      </c>
      <c r="F536" s="61">
        <f>9.948 * CHOOSE(CONTROL!$C$22, $C$13, 100%, $E$13)</f>
        <v>9.9480000000000004</v>
      </c>
      <c r="G536" s="61">
        <f>9.9482 * CHOOSE(CONTROL!$C$22, $C$13, 100%, $E$13)</f>
        <v>9.9481999999999999</v>
      </c>
      <c r="H536" s="61">
        <f>16.8782* CHOOSE(CONTROL!$C$22, $C$13, 100%, $E$13)</f>
        <v>16.8782</v>
      </c>
      <c r="I536" s="61">
        <f>16.8784 * CHOOSE(CONTROL!$C$22, $C$13, 100%, $E$13)</f>
        <v>16.878399999999999</v>
      </c>
      <c r="J536" s="61">
        <f>9.948 * CHOOSE(CONTROL!$C$22, $C$13, 100%, $E$13)</f>
        <v>9.9480000000000004</v>
      </c>
      <c r="K536" s="61">
        <f>9.9482 * CHOOSE(CONTROL!$C$22, $C$13, 100%, $E$13)</f>
        <v>9.9481999999999999</v>
      </c>
    </row>
    <row r="537" spans="1:11" ht="15">
      <c r="A537" s="13">
        <v>58196</v>
      </c>
      <c r="B537" s="60">
        <f>8.4896 * CHOOSE(CONTROL!$C$22, $C$13, 100%, $E$13)</f>
        <v>8.4895999999999994</v>
      </c>
      <c r="C537" s="60">
        <f>8.4896 * CHOOSE(CONTROL!$C$22, $C$13, 100%, $E$13)</f>
        <v>8.4895999999999994</v>
      </c>
      <c r="D537" s="60">
        <f>8.5222 * CHOOSE(CONTROL!$C$22, $C$13, 100%, $E$13)</f>
        <v>8.5221999999999998</v>
      </c>
      <c r="E537" s="61">
        <f>9.9823 * CHOOSE(CONTROL!$C$22, $C$13, 100%, $E$13)</f>
        <v>9.9823000000000004</v>
      </c>
      <c r="F537" s="61">
        <f>9.9823 * CHOOSE(CONTROL!$C$22, $C$13, 100%, $E$13)</f>
        <v>9.9823000000000004</v>
      </c>
      <c r="G537" s="61">
        <f>9.9844 * CHOOSE(CONTROL!$C$22, $C$13, 100%, $E$13)</f>
        <v>9.9844000000000008</v>
      </c>
      <c r="H537" s="61">
        <f>16.9134* CHOOSE(CONTROL!$C$22, $C$13, 100%, $E$13)</f>
        <v>16.913399999999999</v>
      </c>
      <c r="I537" s="61">
        <f>16.9154 * CHOOSE(CONTROL!$C$22, $C$13, 100%, $E$13)</f>
        <v>16.915400000000002</v>
      </c>
      <c r="J537" s="61">
        <f>9.9823 * CHOOSE(CONTROL!$C$22, $C$13, 100%, $E$13)</f>
        <v>9.9823000000000004</v>
      </c>
      <c r="K537" s="61">
        <f>9.9844 * CHOOSE(CONTROL!$C$22, $C$13, 100%, $E$13)</f>
        <v>9.9844000000000008</v>
      </c>
    </row>
    <row r="538" spans="1:11" ht="15">
      <c r="A538" s="13">
        <v>58227</v>
      </c>
      <c r="B538" s="60">
        <f>8.4957 * CHOOSE(CONTROL!$C$22, $C$13, 100%, $E$13)</f>
        <v>8.4956999999999994</v>
      </c>
      <c r="C538" s="60">
        <f>8.4957 * CHOOSE(CONTROL!$C$22, $C$13, 100%, $E$13)</f>
        <v>8.4956999999999994</v>
      </c>
      <c r="D538" s="60">
        <f>8.5283 * CHOOSE(CONTROL!$C$22, $C$13, 100%, $E$13)</f>
        <v>8.5282999999999998</v>
      </c>
      <c r="E538" s="61">
        <f>9.9523 * CHOOSE(CONTROL!$C$22, $C$13, 100%, $E$13)</f>
        <v>9.9522999999999993</v>
      </c>
      <c r="F538" s="61">
        <f>9.9523 * CHOOSE(CONTROL!$C$22, $C$13, 100%, $E$13)</f>
        <v>9.9522999999999993</v>
      </c>
      <c r="G538" s="61">
        <f>9.9543 * CHOOSE(CONTROL!$C$22, $C$13, 100%, $E$13)</f>
        <v>9.9542999999999999</v>
      </c>
      <c r="H538" s="61">
        <f>16.9486* CHOOSE(CONTROL!$C$22, $C$13, 100%, $E$13)</f>
        <v>16.948599999999999</v>
      </c>
      <c r="I538" s="61">
        <f>16.9506 * CHOOSE(CONTROL!$C$22, $C$13, 100%, $E$13)</f>
        <v>16.950600000000001</v>
      </c>
      <c r="J538" s="61">
        <f>9.9523 * CHOOSE(CONTROL!$C$22, $C$13, 100%, $E$13)</f>
        <v>9.9522999999999993</v>
      </c>
      <c r="K538" s="61">
        <f>9.9543 * CHOOSE(CONTROL!$C$22, $C$13, 100%, $E$13)</f>
        <v>9.9542999999999999</v>
      </c>
    </row>
    <row r="539" spans="1:11" ht="15">
      <c r="A539" s="13">
        <v>58257</v>
      </c>
      <c r="B539" s="60">
        <f>8.6328 * CHOOSE(CONTROL!$C$22, $C$13, 100%, $E$13)</f>
        <v>8.6327999999999996</v>
      </c>
      <c r="C539" s="60">
        <f>8.6328 * CHOOSE(CONTROL!$C$22, $C$13, 100%, $E$13)</f>
        <v>8.6327999999999996</v>
      </c>
      <c r="D539" s="60">
        <f>8.6655 * CHOOSE(CONTROL!$C$22, $C$13, 100%, $E$13)</f>
        <v>8.6654999999999998</v>
      </c>
      <c r="E539" s="61">
        <f>10.1458 * CHOOSE(CONTROL!$C$22, $C$13, 100%, $E$13)</f>
        <v>10.145799999999999</v>
      </c>
      <c r="F539" s="61">
        <f>10.1458 * CHOOSE(CONTROL!$C$22, $C$13, 100%, $E$13)</f>
        <v>10.145799999999999</v>
      </c>
      <c r="G539" s="61">
        <f>10.1478 * CHOOSE(CONTROL!$C$22, $C$13, 100%, $E$13)</f>
        <v>10.1478</v>
      </c>
      <c r="H539" s="61">
        <f>16.9839* CHOOSE(CONTROL!$C$22, $C$13, 100%, $E$13)</f>
        <v>16.983899999999998</v>
      </c>
      <c r="I539" s="61">
        <f>16.9859 * CHOOSE(CONTROL!$C$22, $C$13, 100%, $E$13)</f>
        <v>16.985900000000001</v>
      </c>
      <c r="J539" s="61">
        <f>10.1458 * CHOOSE(CONTROL!$C$22, $C$13, 100%, $E$13)</f>
        <v>10.145799999999999</v>
      </c>
      <c r="K539" s="61">
        <f>10.1478 * CHOOSE(CONTROL!$C$22, $C$13, 100%, $E$13)</f>
        <v>10.1478</v>
      </c>
    </row>
    <row r="540" spans="1:11" ht="15">
      <c r="A540" s="13">
        <v>58288</v>
      </c>
      <c r="B540" s="60">
        <f>8.6395 * CHOOSE(CONTROL!$C$22, $C$13, 100%, $E$13)</f>
        <v>8.6395</v>
      </c>
      <c r="C540" s="60">
        <f>8.6395 * CHOOSE(CONTROL!$C$22, $C$13, 100%, $E$13)</f>
        <v>8.6395</v>
      </c>
      <c r="D540" s="60">
        <f>8.6721 * CHOOSE(CONTROL!$C$22, $C$13, 100%, $E$13)</f>
        <v>8.6721000000000004</v>
      </c>
      <c r="E540" s="61">
        <f>10.0475 * CHOOSE(CONTROL!$C$22, $C$13, 100%, $E$13)</f>
        <v>10.047499999999999</v>
      </c>
      <c r="F540" s="61">
        <f>10.0475 * CHOOSE(CONTROL!$C$22, $C$13, 100%, $E$13)</f>
        <v>10.047499999999999</v>
      </c>
      <c r="G540" s="61">
        <f>10.0495 * CHOOSE(CONTROL!$C$22, $C$13, 100%, $E$13)</f>
        <v>10.0495</v>
      </c>
      <c r="H540" s="61">
        <f>17.0193* CHOOSE(CONTROL!$C$22, $C$13, 100%, $E$13)</f>
        <v>17.019300000000001</v>
      </c>
      <c r="I540" s="61">
        <f>17.0213 * CHOOSE(CONTROL!$C$22, $C$13, 100%, $E$13)</f>
        <v>17.0213</v>
      </c>
      <c r="J540" s="61">
        <f>10.0475 * CHOOSE(CONTROL!$C$22, $C$13, 100%, $E$13)</f>
        <v>10.047499999999999</v>
      </c>
      <c r="K540" s="61">
        <f>10.0495 * CHOOSE(CONTROL!$C$22, $C$13, 100%, $E$13)</f>
        <v>10.0495</v>
      </c>
    </row>
    <row r="541" spans="1:11" ht="15">
      <c r="A541" s="13">
        <v>58319</v>
      </c>
      <c r="B541" s="60">
        <f>8.6364 * CHOOSE(CONTROL!$C$22, $C$13, 100%, $E$13)</f>
        <v>8.6364000000000001</v>
      </c>
      <c r="C541" s="60">
        <f>8.6364 * CHOOSE(CONTROL!$C$22, $C$13, 100%, $E$13)</f>
        <v>8.6364000000000001</v>
      </c>
      <c r="D541" s="60">
        <f>8.6691 * CHOOSE(CONTROL!$C$22, $C$13, 100%, $E$13)</f>
        <v>8.6691000000000003</v>
      </c>
      <c r="E541" s="61">
        <f>10.0339 * CHOOSE(CONTROL!$C$22, $C$13, 100%, $E$13)</f>
        <v>10.033899999999999</v>
      </c>
      <c r="F541" s="61">
        <f>10.0339 * CHOOSE(CONTROL!$C$22, $C$13, 100%, $E$13)</f>
        <v>10.033899999999999</v>
      </c>
      <c r="G541" s="61">
        <f>10.036 * CHOOSE(CONTROL!$C$22, $C$13, 100%, $E$13)</f>
        <v>10.036</v>
      </c>
      <c r="H541" s="61">
        <f>17.0547* CHOOSE(CONTROL!$C$22, $C$13, 100%, $E$13)</f>
        <v>17.0547</v>
      </c>
      <c r="I541" s="61">
        <f>17.0568 * CHOOSE(CONTROL!$C$22, $C$13, 100%, $E$13)</f>
        <v>17.056799999999999</v>
      </c>
      <c r="J541" s="61">
        <f>10.0339 * CHOOSE(CONTROL!$C$22, $C$13, 100%, $E$13)</f>
        <v>10.033899999999999</v>
      </c>
      <c r="K541" s="61">
        <f>10.036 * CHOOSE(CONTROL!$C$22, $C$13, 100%, $E$13)</f>
        <v>10.036</v>
      </c>
    </row>
    <row r="542" spans="1:11" ht="15">
      <c r="A542" s="13">
        <v>58349</v>
      </c>
      <c r="B542" s="60">
        <f>8.6471 * CHOOSE(CONTROL!$C$22, $C$13, 100%, $E$13)</f>
        <v>8.6471</v>
      </c>
      <c r="C542" s="60">
        <f>8.6471 * CHOOSE(CONTROL!$C$22, $C$13, 100%, $E$13)</f>
        <v>8.6471</v>
      </c>
      <c r="D542" s="60">
        <f>8.6634 * CHOOSE(CONTROL!$C$22, $C$13, 100%, $E$13)</f>
        <v>8.6633999999999993</v>
      </c>
      <c r="E542" s="61">
        <f>10.0663 * CHOOSE(CONTROL!$C$22, $C$13, 100%, $E$13)</f>
        <v>10.0663</v>
      </c>
      <c r="F542" s="61">
        <f>10.0663 * CHOOSE(CONTROL!$C$22, $C$13, 100%, $E$13)</f>
        <v>10.0663</v>
      </c>
      <c r="G542" s="61">
        <f>10.0665 * CHOOSE(CONTROL!$C$22, $C$13, 100%, $E$13)</f>
        <v>10.0665</v>
      </c>
      <c r="H542" s="61">
        <f>17.0903* CHOOSE(CONTROL!$C$22, $C$13, 100%, $E$13)</f>
        <v>17.090299999999999</v>
      </c>
      <c r="I542" s="61">
        <f>17.0904 * CHOOSE(CONTROL!$C$22, $C$13, 100%, $E$13)</f>
        <v>17.090399999999999</v>
      </c>
      <c r="J542" s="61">
        <f>10.0663 * CHOOSE(CONTROL!$C$22, $C$13, 100%, $E$13)</f>
        <v>10.0663</v>
      </c>
      <c r="K542" s="61">
        <f>10.0665 * CHOOSE(CONTROL!$C$22, $C$13, 100%, $E$13)</f>
        <v>10.0665</v>
      </c>
    </row>
    <row r="543" spans="1:11" ht="15">
      <c r="A543" s="13">
        <v>58380</v>
      </c>
      <c r="B543" s="60">
        <f>8.6501 * CHOOSE(CONTROL!$C$22, $C$13, 100%, $E$13)</f>
        <v>8.6501000000000001</v>
      </c>
      <c r="C543" s="60">
        <f>8.6501 * CHOOSE(CONTROL!$C$22, $C$13, 100%, $E$13)</f>
        <v>8.6501000000000001</v>
      </c>
      <c r="D543" s="60">
        <f>8.6664 * CHOOSE(CONTROL!$C$22, $C$13, 100%, $E$13)</f>
        <v>8.6663999999999994</v>
      </c>
      <c r="E543" s="61">
        <f>10.0913 * CHOOSE(CONTROL!$C$22, $C$13, 100%, $E$13)</f>
        <v>10.0913</v>
      </c>
      <c r="F543" s="61">
        <f>10.0913 * CHOOSE(CONTROL!$C$22, $C$13, 100%, $E$13)</f>
        <v>10.0913</v>
      </c>
      <c r="G543" s="61">
        <f>10.0914 * CHOOSE(CONTROL!$C$22, $C$13, 100%, $E$13)</f>
        <v>10.0914</v>
      </c>
      <c r="H543" s="61">
        <f>17.1259* CHOOSE(CONTROL!$C$22, $C$13, 100%, $E$13)</f>
        <v>17.125900000000001</v>
      </c>
      <c r="I543" s="61">
        <f>17.1261 * CHOOSE(CONTROL!$C$22, $C$13, 100%, $E$13)</f>
        <v>17.126100000000001</v>
      </c>
      <c r="J543" s="61">
        <f>10.0913 * CHOOSE(CONTROL!$C$22, $C$13, 100%, $E$13)</f>
        <v>10.0913</v>
      </c>
      <c r="K543" s="61">
        <f>10.0914 * CHOOSE(CONTROL!$C$22, $C$13, 100%, $E$13)</f>
        <v>10.0914</v>
      </c>
    </row>
    <row r="544" spans="1:11" ht="15">
      <c r="A544" s="13">
        <v>58410</v>
      </c>
      <c r="B544" s="60">
        <f>8.6501 * CHOOSE(CONTROL!$C$22, $C$13, 100%, $E$13)</f>
        <v>8.6501000000000001</v>
      </c>
      <c r="C544" s="60">
        <f>8.6501 * CHOOSE(CONTROL!$C$22, $C$13, 100%, $E$13)</f>
        <v>8.6501000000000001</v>
      </c>
      <c r="D544" s="60">
        <f>8.6664 * CHOOSE(CONTROL!$C$22, $C$13, 100%, $E$13)</f>
        <v>8.6663999999999994</v>
      </c>
      <c r="E544" s="61">
        <f>10.0341 * CHOOSE(CONTROL!$C$22, $C$13, 100%, $E$13)</f>
        <v>10.0341</v>
      </c>
      <c r="F544" s="61">
        <f>10.0341 * CHOOSE(CONTROL!$C$22, $C$13, 100%, $E$13)</f>
        <v>10.0341</v>
      </c>
      <c r="G544" s="61">
        <f>10.0343 * CHOOSE(CONTROL!$C$22, $C$13, 100%, $E$13)</f>
        <v>10.0343</v>
      </c>
      <c r="H544" s="61">
        <f>17.1616* CHOOSE(CONTROL!$C$22, $C$13, 100%, $E$13)</f>
        <v>17.1616</v>
      </c>
      <c r="I544" s="61">
        <f>17.1617 * CHOOSE(CONTROL!$C$22, $C$13, 100%, $E$13)</f>
        <v>17.1617</v>
      </c>
      <c r="J544" s="61">
        <f>10.0341 * CHOOSE(CONTROL!$C$22, $C$13, 100%, $E$13)</f>
        <v>10.0341</v>
      </c>
      <c r="K544" s="61">
        <f>10.0343 * CHOOSE(CONTROL!$C$22, $C$13, 100%, $E$13)</f>
        <v>10.0343</v>
      </c>
    </row>
    <row r="545" spans="1:11" ht="15">
      <c r="A545" s="13">
        <v>58441</v>
      </c>
      <c r="B545" s="60">
        <f>8.7264 * CHOOSE(CONTROL!$C$22, $C$13, 100%, $E$13)</f>
        <v>8.7263999999999999</v>
      </c>
      <c r="C545" s="60">
        <f>8.7264 * CHOOSE(CONTROL!$C$22, $C$13, 100%, $E$13)</f>
        <v>8.7263999999999999</v>
      </c>
      <c r="D545" s="60">
        <f>8.7427 * CHOOSE(CONTROL!$C$22, $C$13, 100%, $E$13)</f>
        <v>8.7426999999999992</v>
      </c>
      <c r="E545" s="61">
        <f>10.1646 * CHOOSE(CONTROL!$C$22, $C$13, 100%, $E$13)</f>
        <v>10.1646</v>
      </c>
      <c r="F545" s="61">
        <f>10.1646 * CHOOSE(CONTROL!$C$22, $C$13, 100%, $E$13)</f>
        <v>10.1646</v>
      </c>
      <c r="G545" s="61">
        <f>10.1647 * CHOOSE(CONTROL!$C$22, $C$13, 100%, $E$13)</f>
        <v>10.1647</v>
      </c>
      <c r="H545" s="61">
        <f>17.1973* CHOOSE(CONTROL!$C$22, $C$13, 100%, $E$13)</f>
        <v>17.197299999999998</v>
      </c>
      <c r="I545" s="61">
        <f>17.1975 * CHOOSE(CONTROL!$C$22, $C$13, 100%, $E$13)</f>
        <v>17.197500000000002</v>
      </c>
      <c r="J545" s="61">
        <f>10.1646 * CHOOSE(CONTROL!$C$22, $C$13, 100%, $E$13)</f>
        <v>10.1646</v>
      </c>
      <c r="K545" s="61">
        <f>10.1647 * CHOOSE(CONTROL!$C$22, $C$13, 100%, $E$13)</f>
        <v>10.1647</v>
      </c>
    </row>
    <row r="546" spans="1:11" ht="15">
      <c r="A546" s="13">
        <v>58472</v>
      </c>
      <c r="B546" s="60">
        <f>8.7233 * CHOOSE(CONTROL!$C$22, $C$13, 100%, $E$13)</f>
        <v>8.7233000000000001</v>
      </c>
      <c r="C546" s="60">
        <f>8.7233 * CHOOSE(CONTROL!$C$22, $C$13, 100%, $E$13)</f>
        <v>8.7233000000000001</v>
      </c>
      <c r="D546" s="60">
        <f>8.7397 * CHOOSE(CONTROL!$C$22, $C$13, 100%, $E$13)</f>
        <v>8.7396999999999991</v>
      </c>
      <c r="E546" s="61">
        <f>10.0513 * CHOOSE(CONTROL!$C$22, $C$13, 100%, $E$13)</f>
        <v>10.051299999999999</v>
      </c>
      <c r="F546" s="61">
        <f>10.0513 * CHOOSE(CONTROL!$C$22, $C$13, 100%, $E$13)</f>
        <v>10.051299999999999</v>
      </c>
      <c r="G546" s="61">
        <f>10.0515 * CHOOSE(CONTROL!$C$22, $C$13, 100%, $E$13)</f>
        <v>10.051500000000001</v>
      </c>
      <c r="H546" s="61">
        <f>17.2331* CHOOSE(CONTROL!$C$22, $C$13, 100%, $E$13)</f>
        <v>17.2331</v>
      </c>
      <c r="I546" s="61">
        <f>17.2333 * CHOOSE(CONTROL!$C$22, $C$13, 100%, $E$13)</f>
        <v>17.2333</v>
      </c>
      <c r="J546" s="61">
        <f>10.0513 * CHOOSE(CONTROL!$C$22, $C$13, 100%, $E$13)</f>
        <v>10.051299999999999</v>
      </c>
      <c r="K546" s="61">
        <f>10.0515 * CHOOSE(CONTROL!$C$22, $C$13, 100%, $E$13)</f>
        <v>10.051500000000001</v>
      </c>
    </row>
    <row r="547" spans="1:11" ht="15">
      <c r="A547" s="13">
        <v>58501</v>
      </c>
      <c r="B547" s="60">
        <f>8.7203 * CHOOSE(CONTROL!$C$22, $C$13, 100%, $E$13)</f>
        <v>8.7202999999999999</v>
      </c>
      <c r="C547" s="60">
        <f>8.7203 * CHOOSE(CONTROL!$C$22, $C$13, 100%, $E$13)</f>
        <v>8.7202999999999999</v>
      </c>
      <c r="D547" s="60">
        <f>8.7366 * CHOOSE(CONTROL!$C$22, $C$13, 100%, $E$13)</f>
        <v>8.7365999999999993</v>
      </c>
      <c r="E547" s="61">
        <f>10.1368 * CHOOSE(CONTROL!$C$22, $C$13, 100%, $E$13)</f>
        <v>10.136799999999999</v>
      </c>
      <c r="F547" s="61">
        <f>10.1368 * CHOOSE(CONTROL!$C$22, $C$13, 100%, $E$13)</f>
        <v>10.136799999999999</v>
      </c>
      <c r="G547" s="61">
        <f>10.137 * CHOOSE(CONTROL!$C$22, $C$13, 100%, $E$13)</f>
        <v>10.137</v>
      </c>
      <c r="H547" s="61">
        <f>17.269* CHOOSE(CONTROL!$C$22, $C$13, 100%, $E$13)</f>
        <v>17.268999999999998</v>
      </c>
      <c r="I547" s="61">
        <f>17.2692 * CHOOSE(CONTROL!$C$22, $C$13, 100%, $E$13)</f>
        <v>17.269200000000001</v>
      </c>
      <c r="J547" s="61">
        <f>10.1368 * CHOOSE(CONTROL!$C$22, $C$13, 100%, $E$13)</f>
        <v>10.136799999999999</v>
      </c>
      <c r="K547" s="61">
        <f>10.137 * CHOOSE(CONTROL!$C$22, $C$13, 100%, $E$13)</f>
        <v>10.137</v>
      </c>
    </row>
    <row r="548" spans="1:11" ht="15">
      <c r="A548" s="13">
        <v>58532</v>
      </c>
      <c r="B548" s="60">
        <f>8.7221 * CHOOSE(CONTROL!$C$22, $C$13, 100%, $E$13)</f>
        <v>8.7220999999999993</v>
      </c>
      <c r="C548" s="60">
        <f>8.7221 * CHOOSE(CONTROL!$C$22, $C$13, 100%, $E$13)</f>
        <v>8.7220999999999993</v>
      </c>
      <c r="D548" s="60">
        <f>8.7384 * CHOOSE(CONTROL!$C$22, $C$13, 100%, $E$13)</f>
        <v>8.7384000000000004</v>
      </c>
      <c r="E548" s="61">
        <f>10.2266 * CHOOSE(CONTROL!$C$22, $C$13, 100%, $E$13)</f>
        <v>10.226599999999999</v>
      </c>
      <c r="F548" s="61">
        <f>10.2266 * CHOOSE(CONTROL!$C$22, $C$13, 100%, $E$13)</f>
        <v>10.226599999999999</v>
      </c>
      <c r="G548" s="61">
        <f>10.2268 * CHOOSE(CONTROL!$C$22, $C$13, 100%, $E$13)</f>
        <v>10.226800000000001</v>
      </c>
      <c r="H548" s="61">
        <f>17.305* CHOOSE(CONTROL!$C$22, $C$13, 100%, $E$13)</f>
        <v>17.305</v>
      </c>
      <c r="I548" s="61">
        <f>17.3052 * CHOOSE(CONTROL!$C$22, $C$13, 100%, $E$13)</f>
        <v>17.305199999999999</v>
      </c>
      <c r="J548" s="61">
        <f>10.2266 * CHOOSE(CONTROL!$C$22, $C$13, 100%, $E$13)</f>
        <v>10.226599999999999</v>
      </c>
      <c r="K548" s="61">
        <f>10.2268 * CHOOSE(CONTROL!$C$22, $C$13, 100%, $E$13)</f>
        <v>10.226800000000001</v>
      </c>
    </row>
    <row r="549" spans="1:11" ht="15">
      <c r="A549" s="13">
        <v>58562</v>
      </c>
      <c r="B549" s="60">
        <f>8.7221 * CHOOSE(CONTROL!$C$22, $C$13, 100%, $E$13)</f>
        <v>8.7220999999999993</v>
      </c>
      <c r="C549" s="60">
        <f>8.7221 * CHOOSE(CONTROL!$C$22, $C$13, 100%, $E$13)</f>
        <v>8.7220999999999993</v>
      </c>
      <c r="D549" s="60">
        <f>8.7547 * CHOOSE(CONTROL!$C$22, $C$13, 100%, $E$13)</f>
        <v>8.7546999999999997</v>
      </c>
      <c r="E549" s="61">
        <f>10.2619 * CHOOSE(CONTROL!$C$22, $C$13, 100%, $E$13)</f>
        <v>10.261900000000001</v>
      </c>
      <c r="F549" s="61">
        <f>10.2619 * CHOOSE(CONTROL!$C$22, $C$13, 100%, $E$13)</f>
        <v>10.261900000000001</v>
      </c>
      <c r="G549" s="61">
        <f>10.264 * CHOOSE(CONTROL!$C$22, $C$13, 100%, $E$13)</f>
        <v>10.263999999999999</v>
      </c>
      <c r="H549" s="61">
        <f>17.3411* CHOOSE(CONTROL!$C$22, $C$13, 100%, $E$13)</f>
        <v>17.341100000000001</v>
      </c>
      <c r="I549" s="61">
        <f>17.3431 * CHOOSE(CONTROL!$C$22, $C$13, 100%, $E$13)</f>
        <v>17.3431</v>
      </c>
      <c r="J549" s="61">
        <f>10.2619 * CHOOSE(CONTROL!$C$22, $C$13, 100%, $E$13)</f>
        <v>10.261900000000001</v>
      </c>
      <c r="K549" s="61">
        <f>10.264 * CHOOSE(CONTROL!$C$22, $C$13, 100%, $E$13)</f>
        <v>10.263999999999999</v>
      </c>
    </row>
    <row r="550" spans="1:11" ht="15">
      <c r="A550" s="13">
        <v>58593</v>
      </c>
      <c r="B550" s="60">
        <f>8.7282 * CHOOSE(CONTROL!$C$22, $C$13, 100%, $E$13)</f>
        <v>8.7281999999999993</v>
      </c>
      <c r="C550" s="60">
        <f>8.7282 * CHOOSE(CONTROL!$C$22, $C$13, 100%, $E$13)</f>
        <v>8.7281999999999993</v>
      </c>
      <c r="D550" s="60">
        <f>8.7608 * CHOOSE(CONTROL!$C$22, $C$13, 100%, $E$13)</f>
        <v>8.7607999999999997</v>
      </c>
      <c r="E550" s="61">
        <f>10.2309 * CHOOSE(CONTROL!$C$22, $C$13, 100%, $E$13)</f>
        <v>10.2309</v>
      </c>
      <c r="F550" s="61">
        <f>10.2309 * CHOOSE(CONTROL!$C$22, $C$13, 100%, $E$13)</f>
        <v>10.2309</v>
      </c>
      <c r="G550" s="61">
        <f>10.2329 * CHOOSE(CONTROL!$C$22, $C$13, 100%, $E$13)</f>
        <v>10.232900000000001</v>
      </c>
      <c r="H550" s="61">
        <f>17.3772* CHOOSE(CONTROL!$C$22, $C$13, 100%, $E$13)</f>
        <v>17.377199999999998</v>
      </c>
      <c r="I550" s="61">
        <f>17.3792 * CHOOSE(CONTROL!$C$22, $C$13, 100%, $E$13)</f>
        <v>17.379200000000001</v>
      </c>
      <c r="J550" s="61">
        <f>10.2309 * CHOOSE(CONTROL!$C$22, $C$13, 100%, $E$13)</f>
        <v>10.2309</v>
      </c>
      <c r="K550" s="61">
        <f>10.2329 * CHOOSE(CONTROL!$C$22, $C$13, 100%, $E$13)</f>
        <v>10.232900000000001</v>
      </c>
    </row>
    <row r="551" spans="1:11" ht="15">
      <c r="A551" s="13">
        <v>58623</v>
      </c>
      <c r="B551" s="60">
        <f>8.8688 * CHOOSE(CONTROL!$C$22, $C$13, 100%, $E$13)</f>
        <v>8.8688000000000002</v>
      </c>
      <c r="C551" s="60">
        <f>8.8688 * CHOOSE(CONTROL!$C$22, $C$13, 100%, $E$13)</f>
        <v>8.8688000000000002</v>
      </c>
      <c r="D551" s="60">
        <f>8.9014 * CHOOSE(CONTROL!$C$22, $C$13, 100%, $E$13)</f>
        <v>8.9014000000000006</v>
      </c>
      <c r="E551" s="61">
        <f>10.4296 * CHOOSE(CONTROL!$C$22, $C$13, 100%, $E$13)</f>
        <v>10.429600000000001</v>
      </c>
      <c r="F551" s="61">
        <f>10.4296 * CHOOSE(CONTROL!$C$22, $C$13, 100%, $E$13)</f>
        <v>10.429600000000001</v>
      </c>
      <c r="G551" s="61">
        <f>10.4316 * CHOOSE(CONTROL!$C$22, $C$13, 100%, $E$13)</f>
        <v>10.4316</v>
      </c>
      <c r="H551" s="61">
        <f>17.4134* CHOOSE(CONTROL!$C$22, $C$13, 100%, $E$13)</f>
        <v>17.413399999999999</v>
      </c>
      <c r="I551" s="61">
        <f>17.4154 * CHOOSE(CONTROL!$C$22, $C$13, 100%, $E$13)</f>
        <v>17.415400000000002</v>
      </c>
      <c r="J551" s="61">
        <f>10.4296 * CHOOSE(CONTROL!$C$22, $C$13, 100%, $E$13)</f>
        <v>10.429600000000001</v>
      </c>
      <c r="K551" s="61">
        <f>10.4316 * CHOOSE(CONTROL!$C$22, $C$13, 100%, $E$13)</f>
        <v>10.4316</v>
      </c>
    </row>
    <row r="552" spans="1:11" ht="15">
      <c r="A552" s="13">
        <v>58654</v>
      </c>
      <c r="B552" s="60">
        <f>8.8755 * CHOOSE(CONTROL!$C$22, $C$13, 100%, $E$13)</f>
        <v>8.8755000000000006</v>
      </c>
      <c r="C552" s="60">
        <f>8.8755 * CHOOSE(CONTROL!$C$22, $C$13, 100%, $E$13)</f>
        <v>8.8755000000000006</v>
      </c>
      <c r="D552" s="60">
        <f>8.9081 * CHOOSE(CONTROL!$C$22, $C$13, 100%, $E$13)</f>
        <v>8.9080999999999992</v>
      </c>
      <c r="E552" s="61">
        <f>10.3284 * CHOOSE(CONTROL!$C$22, $C$13, 100%, $E$13)</f>
        <v>10.3284</v>
      </c>
      <c r="F552" s="61">
        <f>10.3284 * CHOOSE(CONTROL!$C$22, $C$13, 100%, $E$13)</f>
        <v>10.3284</v>
      </c>
      <c r="G552" s="61">
        <f>10.3304 * CHOOSE(CONTROL!$C$22, $C$13, 100%, $E$13)</f>
        <v>10.330399999999999</v>
      </c>
      <c r="H552" s="61">
        <f>17.4497* CHOOSE(CONTROL!$C$22, $C$13, 100%, $E$13)</f>
        <v>17.4497</v>
      </c>
      <c r="I552" s="61">
        <f>17.4517 * CHOOSE(CONTROL!$C$22, $C$13, 100%, $E$13)</f>
        <v>17.451699999999999</v>
      </c>
      <c r="J552" s="61">
        <f>10.3284 * CHOOSE(CONTROL!$C$22, $C$13, 100%, $E$13)</f>
        <v>10.3284</v>
      </c>
      <c r="K552" s="61">
        <f>10.3304 * CHOOSE(CONTROL!$C$22, $C$13, 100%, $E$13)</f>
        <v>10.330399999999999</v>
      </c>
    </row>
    <row r="553" spans="1:11" ht="15">
      <c r="A553" s="13">
        <v>58685</v>
      </c>
      <c r="B553" s="60">
        <f>8.8724 * CHOOSE(CONTROL!$C$22, $C$13, 100%, $E$13)</f>
        <v>8.8724000000000007</v>
      </c>
      <c r="C553" s="60">
        <f>8.8724 * CHOOSE(CONTROL!$C$22, $C$13, 100%, $E$13)</f>
        <v>8.8724000000000007</v>
      </c>
      <c r="D553" s="60">
        <f>8.9051 * CHOOSE(CONTROL!$C$22, $C$13, 100%, $E$13)</f>
        <v>8.9050999999999991</v>
      </c>
      <c r="E553" s="61">
        <f>10.3145 * CHOOSE(CONTROL!$C$22, $C$13, 100%, $E$13)</f>
        <v>10.314500000000001</v>
      </c>
      <c r="F553" s="61">
        <f>10.3145 * CHOOSE(CONTROL!$C$22, $C$13, 100%, $E$13)</f>
        <v>10.314500000000001</v>
      </c>
      <c r="G553" s="61">
        <f>10.3165 * CHOOSE(CONTROL!$C$22, $C$13, 100%, $E$13)</f>
        <v>10.3165</v>
      </c>
      <c r="H553" s="61">
        <f>17.486* CHOOSE(CONTROL!$C$22, $C$13, 100%, $E$13)</f>
        <v>17.486000000000001</v>
      </c>
      <c r="I553" s="61">
        <f>17.4881 * CHOOSE(CONTROL!$C$22, $C$13, 100%, $E$13)</f>
        <v>17.488099999999999</v>
      </c>
      <c r="J553" s="61">
        <f>10.3145 * CHOOSE(CONTROL!$C$22, $C$13, 100%, $E$13)</f>
        <v>10.314500000000001</v>
      </c>
      <c r="K553" s="61">
        <f>10.3165 * CHOOSE(CONTROL!$C$22, $C$13, 100%, $E$13)</f>
        <v>10.3165</v>
      </c>
    </row>
    <row r="554" spans="1:11" ht="15">
      <c r="A554" s="13">
        <v>58715</v>
      </c>
      <c r="B554" s="60">
        <f>8.8838 * CHOOSE(CONTROL!$C$22, $C$13, 100%, $E$13)</f>
        <v>8.8838000000000008</v>
      </c>
      <c r="C554" s="60">
        <f>8.8838 * CHOOSE(CONTROL!$C$22, $C$13, 100%, $E$13)</f>
        <v>8.8838000000000008</v>
      </c>
      <c r="D554" s="60">
        <f>8.9001 * CHOOSE(CONTROL!$C$22, $C$13, 100%, $E$13)</f>
        <v>8.9001000000000001</v>
      </c>
      <c r="E554" s="61">
        <f>10.3481 * CHOOSE(CONTROL!$C$22, $C$13, 100%, $E$13)</f>
        <v>10.348100000000001</v>
      </c>
      <c r="F554" s="61">
        <f>10.3481 * CHOOSE(CONTROL!$C$22, $C$13, 100%, $E$13)</f>
        <v>10.348100000000001</v>
      </c>
      <c r="G554" s="61">
        <f>10.3483 * CHOOSE(CONTROL!$C$22, $C$13, 100%, $E$13)</f>
        <v>10.3483</v>
      </c>
      <c r="H554" s="61">
        <f>17.5225* CHOOSE(CONTROL!$C$22, $C$13, 100%, $E$13)</f>
        <v>17.522500000000001</v>
      </c>
      <c r="I554" s="61">
        <f>17.5226 * CHOOSE(CONTROL!$C$22, $C$13, 100%, $E$13)</f>
        <v>17.522600000000001</v>
      </c>
      <c r="J554" s="61">
        <f>10.3481 * CHOOSE(CONTROL!$C$22, $C$13, 100%, $E$13)</f>
        <v>10.348100000000001</v>
      </c>
      <c r="K554" s="61">
        <f>10.3483 * CHOOSE(CONTROL!$C$22, $C$13, 100%, $E$13)</f>
        <v>10.3483</v>
      </c>
    </row>
    <row r="555" spans="1:11" ht="15">
      <c r="A555" s="13">
        <v>58746</v>
      </c>
      <c r="B555" s="60">
        <f>8.8868 * CHOOSE(CONTROL!$C$22, $C$13, 100%, $E$13)</f>
        <v>8.8867999999999991</v>
      </c>
      <c r="C555" s="60">
        <f>8.8868 * CHOOSE(CONTROL!$C$22, $C$13, 100%, $E$13)</f>
        <v>8.8867999999999991</v>
      </c>
      <c r="D555" s="60">
        <f>8.9032 * CHOOSE(CONTROL!$C$22, $C$13, 100%, $E$13)</f>
        <v>8.9032</v>
      </c>
      <c r="E555" s="61">
        <f>10.3738 * CHOOSE(CONTROL!$C$22, $C$13, 100%, $E$13)</f>
        <v>10.373799999999999</v>
      </c>
      <c r="F555" s="61">
        <f>10.3738 * CHOOSE(CONTROL!$C$22, $C$13, 100%, $E$13)</f>
        <v>10.373799999999999</v>
      </c>
      <c r="G555" s="61">
        <f>10.3739 * CHOOSE(CONTROL!$C$22, $C$13, 100%, $E$13)</f>
        <v>10.373900000000001</v>
      </c>
      <c r="H555" s="61">
        <f>17.559* CHOOSE(CONTROL!$C$22, $C$13, 100%, $E$13)</f>
        <v>17.559000000000001</v>
      </c>
      <c r="I555" s="61">
        <f>17.5591 * CHOOSE(CONTROL!$C$22, $C$13, 100%, $E$13)</f>
        <v>17.559100000000001</v>
      </c>
      <c r="J555" s="61">
        <f>10.3738 * CHOOSE(CONTROL!$C$22, $C$13, 100%, $E$13)</f>
        <v>10.373799999999999</v>
      </c>
      <c r="K555" s="61">
        <f>10.3739 * CHOOSE(CONTROL!$C$22, $C$13, 100%, $E$13)</f>
        <v>10.373900000000001</v>
      </c>
    </row>
    <row r="556" spans="1:11" ht="15">
      <c r="A556" s="13">
        <v>58776</v>
      </c>
      <c r="B556" s="60">
        <f>8.8868 * CHOOSE(CONTROL!$C$22, $C$13, 100%, $E$13)</f>
        <v>8.8867999999999991</v>
      </c>
      <c r="C556" s="60">
        <f>8.8868 * CHOOSE(CONTROL!$C$22, $C$13, 100%, $E$13)</f>
        <v>8.8867999999999991</v>
      </c>
      <c r="D556" s="60">
        <f>8.9032 * CHOOSE(CONTROL!$C$22, $C$13, 100%, $E$13)</f>
        <v>8.9032</v>
      </c>
      <c r="E556" s="61">
        <f>10.315 * CHOOSE(CONTROL!$C$22, $C$13, 100%, $E$13)</f>
        <v>10.315</v>
      </c>
      <c r="F556" s="61">
        <f>10.315 * CHOOSE(CONTROL!$C$22, $C$13, 100%, $E$13)</f>
        <v>10.315</v>
      </c>
      <c r="G556" s="61">
        <f>10.3151 * CHOOSE(CONTROL!$C$22, $C$13, 100%, $E$13)</f>
        <v>10.315099999999999</v>
      </c>
      <c r="H556" s="61">
        <f>17.5955* CHOOSE(CONTROL!$C$22, $C$13, 100%, $E$13)</f>
        <v>17.595500000000001</v>
      </c>
      <c r="I556" s="61">
        <f>17.5957 * CHOOSE(CONTROL!$C$22, $C$13, 100%, $E$13)</f>
        <v>17.595700000000001</v>
      </c>
      <c r="J556" s="61">
        <f>10.315 * CHOOSE(CONTROL!$C$22, $C$13, 100%, $E$13)</f>
        <v>10.315</v>
      </c>
      <c r="K556" s="61">
        <f>10.3151 * CHOOSE(CONTROL!$C$22, $C$13, 100%, $E$13)</f>
        <v>10.315099999999999</v>
      </c>
    </row>
    <row r="557" spans="1:11" ht="15">
      <c r="A557" s="13">
        <v>58807</v>
      </c>
      <c r="B557" s="60">
        <f>8.9651 * CHOOSE(CONTROL!$C$22, $C$13, 100%, $E$13)</f>
        <v>8.9650999999999996</v>
      </c>
      <c r="C557" s="60">
        <f>8.9651 * CHOOSE(CONTROL!$C$22, $C$13, 100%, $E$13)</f>
        <v>8.9650999999999996</v>
      </c>
      <c r="D557" s="60">
        <f>8.9814 * CHOOSE(CONTROL!$C$22, $C$13, 100%, $E$13)</f>
        <v>8.9814000000000007</v>
      </c>
      <c r="E557" s="61">
        <f>10.449 * CHOOSE(CONTROL!$C$22, $C$13, 100%, $E$13)</f>
        <v>10.449</v>
      </c>
      <c r="F557" s="61">
        <f>10.449 * CHOOSE(CONTROL!$C$22, $C$13, 100%, $E$13)</f>
        <v>10.449</v>
      </c>
      <c r="G557" s="61">
        <f>10.4492 * CHOOSE(CONTROL!$C$22, $C$13, 100%, $E$13)</f>
        <v>10.449199999999999</v>
      </c>
      <c r="H557" s="61">
        <f>17.6322* CHOOSE(CONTROL!$C$22, $C$13, 100%, $E$13)</f>
        <v>17.632200000000001</v>
      </c>
      <c r="I557" s="61">
        <f>17.6324 * CHOOSE(CONTROL!$C$22, $C$13, 100%, $E$13)</f>
        <v>17.632400000000001</v>
      </c>
      <c r="J557" s="61">
        <f>10.449 * CHOOSE(CONTROL!$C$22, $C$13, 100%, $E$13)</f>
        <v>10.449</v>
      </c>
      <c r="K557" s="61">
        <f>10.4492 * CHOOSE(CONTROL!$C$22, $C$13, 100%, $E$13)</f>
        <v>10.449199999999999</v>
      </c>
    </row>
    <row r="558" spans="1:11" ht="15">
      <c r="A558" s="13">
        <v>58838</v>
      </c>
      <c r="B558" s="60">
        <f>8.9621 * CHOOSE(CONTROL!$C$22, $C$13, 100%, $E$13)</f>
        <v>8.9620999999999995</v>
      </c>
      <c r="C558" s="60">
        <f>8.9621 * CHOOSE(CONTROL!$C$22, $C$13, 100%, $E$13)</f>
        <v>8.9620999999999995</v>
      </c>
      <c r="D558" s="60">
        <f>8.9784 * CHOOSE(CONTROL!$C$22, $C$13, 100%, $E$13)</f>
        <v>8.9784000000000006</v>
      </c>
      <c r="E558" s="61">
        <f>10.3327 * CHOOSE(CONTROL!$C$22, $C$13, 100%, $E$13)</f>
        <v>10.332700000000001</v>
      </c>
      <c r="F558" s="61">
        <f>10.3327 * CHOOSE(CONTROL!$C$22, $C$13, 100%, $E$13)</f>
        <v>10.332700000000001</v>
      </c>
      <c r="G558" s="61">
        <f>10.3328 * CHOOSE(CONTROL!$C$22, $C$13, 100%, $E$13)</f>
        <v>10.332800000000001</v>
      </c>
      <c r="H558" s="61">
        <f>17.6689* CHOOSE(CONTROL!$C$22, $C$13, 100%, $E$13)</f>
        <v>17.668900000000001</v>
      </c>
      <c r="I558" s="61">
        <f>17.6691 * CHOOSE(CONTROL!$C$22, $C$13, 100%, $E$13)</f>
        <v>17.6691</v>
      </c>
      <c r="J558" s="61">
        <f>10.3327 * CHOOSE(CONTROL!$C$22, $C$13, 100%, $E$13)</f>
        <v>10.332700000000001</v>
      </c>
      <c r="K558" s="61">
        <f>10.3328 * CHOOSE(CONTROL!$C$22, $C$13, 100%, $E$13)</f>
        <v>10.332800000000001</v>
      </c>
    </row>
    <row r="559" spans="1:11" ht="15">
      <c r="A559" s="13">
        <v>58866</v>
      </c>
      <c r="B559" s="60">
        <f>8.959 * CHOOSE(CONTROL!$C$22, $C$13, 100%, $E$13)</f>
        <v>8.9589999999999996</v>
      </c>
      <c r="C559" s="60">
        <f>8.959 * CHOOSE(CONTROL!$C$22, $C$13, 100%, $E$13)</f>
        <v>8.9589999999999996</v>
      </c>
      <c r="D559" s="60">
        <f>8.9754 * CHOOSE(CONTROL!$C$22, $C$13, 100%, $E$13)</f>
        <v>8.9754000000000005</v>
      </c>
      <c r="E559" s="61">
        <f>10.4206 * CHOOSE(CONTROL!$C$22, $C$13, 100%, $E$13)</f>
        <v>10.4206</v>
      </c>
      <c r="F559" s="61">
        <f>10.4206 * CHOOSE(CONTROL!$C$22, $C$13, 100%, $E$13)</f>
        <v>10.4206</v>
      </c>
      <c r="G559" s="61">
        <f>10.4208 * CHOOSE(CONTROL!$C$22, $C$13, 100%, $E$13)</f>
        <v>10.4208</v>
      </c>
      <c r="H559" s="61">
        <f>17.7057* CHOOSE(CONTROL!$C$22, $C$13, 100%, $E$13)</f>
        <v>17.7057</v>
      </c>
      <c r="I559" s="61">
        <f>17.7059 * CHOOSE(CONTROL!$C$22, $C$13, 100%, $E$13)</f>
        <v>17.7059</v>
      </c>
      <c r="J559" s="61">
        <f>10.4206 * CHOOSE(CONTROL!$C$22, $C$13, 100%, $E$13)</f>
        <v>10.4206</v>
      </c>
      <c r="K559" s="61">
        <f>10.4208 * CHOOSE(CONTROL!$C$22, $C$13, 100%, $E$13)</f>
        <v>10.4208</v>
      </c>
    </row>
    <row r="560" spans="1:11" ht="15">
      <c r="A560" s="13">
        <v>58897</v>
      </c>
      <c r="B560" s="60">
        <f>8.961 * CHOOSE(CONTROL!$C$22, $C$13, 100%, $E$13)</f>
        <v>8.9610000000000003</v>
      </c>
      <c r="C560" s="60">
        <f>8.961 * CHOOSE(CONTROL!$C$22, $C$13, 100%, $E$13)</f>
        <v>8.9610000000000003</v>
      </c>
      <c r="D560" s="60">
        <f>8.9773 * CHOOSE(CONTROL!$C$22, $C$13, 100%, $E$13)</f>
        <v>8.9772999999999996</v>
      </c>
      <c r="E560" s="61">
        <f>10.5131 * CHOOSE(CONTROL!$C$22, $C$13, 100%, $E$13)</f>
        <v>10.5131</v>
      </c>
      <c r="F560" s="61">
        <f>10.5131 * CHOOSE(CONTROL!$C$22, $C$13, 100%, $E$13)</f>
        <v>10.5131</v>
      </c>
      <c r="G560" s="61">
        <f>10.5133 * CHOOSE(CONTROL!$C$22, $C$13, 100%, $E$13)</f>
        <v>10.513299999999999</v>
      </c>
      <c r="H560" s="61">
        <f>17.7426* CHOOSE(CONTROL!$C$22, $C$13, 100%, $E$13)</f>
        <v>17.742599999999999</v>
      </c>
      <c r="I560" s="61">
        <f>17.7428 * CHOOSE(CONTROL!$C$22, $C$13, 100%, $E$13)</f>
        <v>17.742799999999999</v>
      </c>
      <c r="J560" s="61">
        <f>10.5131 * CHOOSE(CONTROL!$C$22, $C$13, 100%, $E$13)</f>
        <v>10.5131</v>
      </c>
      <c r="K560" s="61">
        <f>10.5133 * CHOOSE(CONTROL!$C$22, $C$13, 100%, $E$13)</f>
        <v>10.513299999999999</v>
      </c>
    </row>
    <row r="561" spans="1:11" ht="15">
      <c r="A561" s="13">
        <v>58927</v>
      </c>
      <c r="B561" s="60">
        <f>8.961 * CHOOSE(CONTROL!$C$22, $C$13, 100%, $E$13)</f>
        <v>8.9610000000000003</v>
      </c>
      <c r="C561" s="60">
        <f>8.961 * CHOOSE(CONTROL!$C$22, $C$13, 100%, $E$13)</f>
        <v>8.9610000000000003</v>
      </c>
      <c r="D561" s="60">
        <f>8.9937 * CHOOSE(CONTROL!$C$22, $C$13, 100%, $E$13)</f>
        <v>8.9937000000000005</v>
      </c>
      <c r="E561" s="61">
        <f>10.5493 * CHOOSE(CONTROL!$C$22, $C$13, 100%, $E$13)</f>
        <v>10.549300000000001</v>
      </c>
      <c r="F561" s="61">
        <f>10.5493 * CHOOSE(CONTROL!$C$22, $C$13, 100%, $E$13)</f>
        <v>10.549300000000001</v>
      </c>
      <c r="G561" s="61">
        <f>10.5514 * CHOOSE(CONTROL!$C$22, $C$13, 100%, $E$13)</f>
        <v>10.551399999999999</v>
      </c>
      <c r="H561" s="61">
        <f>17.7796* CHOOSE(CONTROL!$C$22, $C$13, 100%, $E$13)</f>
        <v>17.779599999999999</v>
      </c>
      <c r="I561" s="61">
        <f>17.7816 * CHOOSE(CONTROL!$C$22, $C$13, 100%, $E$13)</f>
        <v>17.781600000000001</v>
      </c>
      <c r="J561" s="61">
        <f>10.5493 * CHOOSE(CONTROL!$C$22, $C$13, 100%, $E$13)</f>
        <v>10.549300000000001</v>
      </c>
      <c r="K561" s="61">
        <f>10.5514 * CHOOSE(CONTROL!$C$22, $C$13, 100%, $E$13)</f>
        <v>10.551399999999999</v>
      </c>
    </row>
    <row r="562" spans="1:11" ht="15">
      <c r="A562" s="13">
        <v>58958</v>
      </c>
      <c r="B562" s="60">
        <f>8.9671 * CHOOSE(CONTROL!$C$22, $C$13, 100%, $E$13)</f>
        <v>8.9671000000000003</v>
      </c>
      <c r="C562" s="60">
        <f>8.9671 * CHOOSE(CONTROL!$C$22, $C$13, 100%, $E$13)</f>
        <v>8.9671000000000003</v>
      </c>
      <c r="D562" s="60">
        <f>8.9998 * CHOOSE(CONTROL!$C$22, $C$13, 100%, $E$13)</f>
        <v>8.9998000000000005</v>
      </c>
      <c r="E562" s="61">
        <f>10.5173 * CHOOSE(CONTROL!$C$22, $C$13, 100%, $E$13)</f>
        <v>10.517300000000001</v>
      </c>
      <c r="F562" s="61">
        <f>10.5173 * CHOOSE(CONTROL!$C$22, $C$13, 100%, $E$13)</f>
        <v>10.517300000000001</v>
      </c>
      <c r="G562" s="61">
        <f>10.5194 * CHOOSE(CONTROL!$C$22, $C$13, 100%, $E$13)</f>
        <v>10.519399999999999</v>
      </c>
      <c r="H562" s="61">
        <f>17.8166* CHOOSE(CONTROL!$C$22, $C$13, 100%, $E$13)</f>
        <v>17.816600000000001</v>
      </c>
      <c r="I562" s="61">
        <f>17.8187 * CHOOSE(CONTROL!$C$22, $C$13, 100%, $E$13)</f>
        <v>17.8187</v>
      </c>
      <c r="J562" s="61">
        <f>10.5173 * CHOOSE(CONTROL!$C$22, $C$13, 100%, $E$13)</f>
        <v>10.517300000000001</v>
      </c>
      <c r="K562" s="61">
        <f>10.5194 * CHOOSE(CONTROL!$C$22, $C$13, 100%, $E$13)</f>
        <v>10.519399999999999</v>
      </c>
    </row>
    <row r="563" spans="1:11" ht="15">
      <c r="A563" s="13">
        <v>58988</v>
      </c>
      <c r="B563" s="60">
        <f>9.1113 * CHOOSE(CONTROL!$C$22, $C$13, 100%, $E$13)</f>
        <v>9.1113</v>
      </c>
      <c r="C563" s="60">
        <f>9.1113 * CHOOSE(CONTROL!$C$22, $C$13, 100%, $E$13)</f>
        <v>9.1113</v>
      </c>
      <c r="D563" s="60">
        <f>9.144 * CHOOSE(CONTROL!$C$22, $C$13, 100%, $E$13)</f>
        <v>9.1440000000000001</v>
      </c>
      <c r="E563" s="61">
        <f>10.7213 * CHOOSE(CONTROL!$C$22, $C$13, 100%, $E$13)</f>
        <v>10.721299999999999</v>
      </c>
      <c r="F563" s="61">
        <f>10.7213 * CHOOSE(CONTROL!$C$22, $C$13, 100%, $E$13)</f>
        <v>10.721299999999999</v>
      </c>
      <c r="G563" s="61">
        <f>10.7233 * CHOOSE(CONTROL!$C$22, $C$13, 100%, $E$13)</f>
        <v>10.7233</v>
      </c>
      <c r="H563" s="61">
        <f>17.8538* CHOOSE(CONTROL!$C$22, $C$13, 100%, $E$13)</f>
        <v>17.8538</v>
      </c>
      <c r="I563" s="61">
        <f>17.8558 * CHOOSE(CONTROL!$C$22, $C$13, 100%, $E$13)</f>
        <v>17.855799999999999</v>
      </c>
      <c r="J563" s="61">
        <f>10.7213 * CHOOSE(CONTROL!$C$22, $C$13, 100%, $E$13)</f>
        <v>10.721299999999999</v>
      </c>
      <c r="K563" s="61">
        <f>10.7233 * CHOOSE(CONTROL!$C$22, $C$13, 100%, $E$13)</f>
        <v>10.7233</v>
      </c>
    </row>
    <row r="564" spans="1:11" ht="15">
      <c r="A564" s="13">
        <v>59019</v>
      </c>
      <c r="B564" s="60">
        <f>9.118 * CHOOSE(CONTROL!$C$22, $C$13, 100%, $E$13)</f>
        <v>9.1180000000000003</v>
      </c>
      <c r="C564" s="60">
        <f>9.118 * CHOOSE(CONTROL!$C$22, $C$13, 100%, $E$13)</f>
        <v>9.1180000000000003</v>
      </c>
      <c r="D564" s="60">
        <f>9.1506 * CHOOSE(CONTROL!$C$22, $C$13, 100%, $E$13)</f>
        <v>9.1506000000000007</v>
      </c>
      <c r="E564" s="61">
        <f>10.6171 * CHOOSE(CONTROL!$C$22, $C$13, 100%, $E$13)</f>
        <v>10.617100000000001</v>
      </c>
      <c r="F564" s="61">
        <f>10.6171 * CHOOSE(CONTROL!$C$22, $C$13, 100%, $E$13)</f>
        <v>10.617100000000001</v>
      </c>
      <c r="G564" s="61">
        <f>10.6192 * CHOOSE(CONTROL!$C$22, $C$13, 100%, $E$13)</f>
        <v>10.619199999999999</v>
      </c>
      <c r="H564" s="61">
        <f>17.8909* CHOOSE(CONTROL!$C$22, $C$13, 100%, $E$13)</f>
        <v>17.890899999999998</v>
      </c>
      <c r="I564" s="61">
        <f>17.893 * CHOOSE(CONTROL!$C$22, $C$13, 100%, $E$13)</f>
        <v>17.893000000000001</v>
      </c>
      <c r="J564" s="61">
        <f>10.6171 * CHOOSE(CONTROL!$C$22, $C$13, 100%, $E$13)</f>
        <v>10.617100000000001</v>
      </c>
      <c r="K564" s="61">
        <f>10.6192 * CHOOSE(CONTROL!$C$22, $C$13, 100%, $E$13)</f>
        <v>10.619199999999999</v>
      </c>
    </row>
    <row r="565" spans="1:11" ht="15">
      <c r="A565" s="13">
        <v>59050</v>
      </c>
      <c r="B565" s="60">
        <f>9.1149 * CHOOSE(CONTROL!$C$22, $C$13, 100%, $E$13)</f>
        <v>9.1149000000000004</v>
      </c>
      <c r="C565" s="60">
        <f>9.1149 * CHOOSE(CONTROL!$C$22, $C$13, 100%, $E$13)</f>
        <v>9.1149000000000004</v>
      </c>
      <c r="D565" s="60">
        <f>9.1476 * CHOOSE(CONTROL!$C$22, $C$13, 100%, $E$13)</f>
        <v>9.1476000000000006</v>
      </c>
      <c r="E565" s="61">
        <f>10.6029 * CHOOSE(CONTROL!$C$22, $C$13, 100%, $E$13)</f>
        <v>10.6029</v>
      </c>
      <c r="F565" s="61">
        <f>10.6029 * CHOOSE(CONTROL!$C$22, $C$13, 100%, $E$13)</f>
        <v>10.6029</v>
      </c>
      <c r="G565" s="61">
        <f>10.605 * CHOOSE(CONTROL!$C$22, $C$13, 100%, $E$13)</f>
        <v>10.605</v>
      </c>
      <c r="H565" s="61">
        <f>17.9282* CHOOSE(CONTROL!$C$22, $C$13, 100%, $E$13)</f>
        <v>17.9282</v>
      </c>
      <c r="I565" s="61">
        <f>17.9303 * CHOOSE(CONTROL!$C$22, $C$13, 100%, $E$13)</f>
        <v>17.930299999999999</v>
      </c>
      <c r="J565" s="61">
        <f>10.6029 * CHOOSE(CONTROL!$C$22, $C$13, 100%, $E$13)</f>
        <v>10.6029</v>
      </c>
      <c r="K565" s="61">
        <f>10.605 * CHOOSE(CONTROL!$C$22, $C$13, 100%, $E$13)</f>
        <v>10.605</v>
      </c>
    </row>
    <row r="566" spans="1:11" ht="15">
      <c r="A566" s="13">
        <v>59080</v>
      </c>
      <c r="B566" s="60">
        <f>9.1271 * CHOOSE(CONTROL!$C$22, $C$13, 100%, $E$13)</f>
        <v>9.1271000000000004</v>
      </c>
      <c r="C566" s="60">
        <f>9.1271 * CHOOSE(CONTROL!$C$22, $C$13, 100%, $E$13)</f>
        <v>9.1271000000000004</v>
      </c>
      <c r="D566" s="60">
        <f>9.1434 * CHOOSE(CONTROL!$C$22, $C$13, 100%, $E$13)</f>
        <v>9.1433999999999997</v>
      </c>
      <c r="E566" s="61">
        <f>10.6379 * CHOOSE(CONTROL!$C$22, $C$13, 100%, $E$13)</f>
        <v>10.6379</v>
      </c>
      <c r="F566" s="61">
        <f>10.6379 * CHOOSE(CONTROL!$C$22, $C$13, 100%, $E$13)</f>
        <v>10.6379</v>
      </c>
      <c r="G566" s="61">
        <f>10.638 * CHOOSE(CONTROL!$C$22, $C$13, 100%, $E$13)</f>
        <v>10.638</v>
      </c>
      <c r="H566" s="61">
        <f>17.9656* CHOOSE(CONTROL!$C$22, $C$13, 100%, $E$13)</f>
        <v>17.965599999999998</v>
      </c>
      <c r="I566" s="61">
        <f>17.9657 * CHOOSE(CONTROL!$C$22, $C$13, 100%, $E$13)</f>
        <v>17.965699999999998</v>
      </c>
      <c r="J566" s="61">
        <f>10.6379 * CHOOSE(CONTROL!$C$22, $C$13, 100%, $E$13)</f>
        <v>10.6379</v>
      </c>
      <c r="K566" s="61">
        <f>10.638 * CHOOSE(CONTROL!$C$22, $C$13, 100%, $E$13)</f>
        <v>10.638</v>
      </c>
    </row>
    <row r="567" spans="1:11" ht="15">
      <c r="A567" s="13">
        <v>59111</v>
      </c>
      <c r="B567" s="60">
        <f>9.1301 * CHOOSE(CONTROL!$C$22, $C$13, 100%, $E$13)</f>
        <v>9.1301000000000005</v>
      </c>
      <c r="C567" s="60">
        <f>9.1301 * CHOOSE(CONTROL!$C$22, $C$13, 100%, $E$13)</f>
        <v>9.1301000000000005</v>
      </c>
      <c r="D567" s="60">
        <f>9.1465 * CHOOSE(CONTROL!$C$22, $C$13, 100%, $E$13)</f>
        <v>9.1464999999999996</v>
      </c>
      <c r="E567" s="61">
        <f>10.6642 * CHOOSE(CONTROL!$C$22, $C$13, 100%, $E$13)</f>
        <v>10.664199999999999</v>
      </c>
      <c r="F567" s="61">
        <f>10.6642 * CHOOSE(CONTROL!$C$22, $C$13, 100%, $E$13)</f>
        <v>10.664199999999999</v>
      </c>
      <c r="G567" s="61">
        <f>10.6643 * CHOOSE(CONTROL!$C$22, $C$13, 100%, $E$13)</f>
        <v>10.664300000000001</v>
      </c>
      <c r="H567" s="61">
        <f>18.003* CHOOSE(CONTROL!$C$22, $C$13, 100%, $E$13)</f>
        <v>18.003</v>
      </c>
      <c r="I567" s="61">
        <f>18.0032 * CHOOSE(CONTROL!$C$22, $C$13, 100%, $E$13)</f>
        <v>18.0032</v>
      </c>
      <c r="J567" s="61">
        <f>10.6642 * CHOOSE(CONTROL!$C$22, $C$13, 100%, $E$13)</f>
        <v>10.664199999999999</v>
      </c>
      <c r="K567" s="61">
        <f>10.6643 * CHOOSE(CONTROL!$C$22, $C$13, 100%, $E$13)</f>
        <v>10.664300000000001</v>
      </c>
    </row>
    <row r="568" spans="1:11" ht="15">
      <c r="A568" s="13">
        <v>59141</v>
      </c>
      <c r="B568" s="60">
        <f>9.1301 * CHOOSE(CONTROL!$C$22, $C$13, 100%, $E$13)</f>
        <v>9.1301000000000005</v>
      </c>
      <c r="C568" s="60">
        <f>9.1301 * CHOOSE(CONTROL!$C$22, $C$13, 100%, $E$13)</f>
        <v>9.1301000000000005</v>
      </c>
      <c r="D568" s="60">
        <f>9.1465 * CHOOSE(CONTROL!$C$22, $C$13, 100%, $E$13)</f>
        <v>9.1464999999999996</v>
      </c>
      <c r="E568" s="61">
        <f>10.6037 * CHOOSE(CONTROL!$C$22, $C$13, 100%, $E$13)</f>
        <v>10.6037</v>
      </c>
      <c r="F568" s="61">
        <f>10.6037 * CHOOSE(CONTROL!$C$22, $C$13, 100%, $E$13)</f>
        <v>10.6037</v>
      </c>
      <c r="G568" s="61">
        <f>10.6039 * CHOOSE(CONTROL!$C$22, $C$13, 100%, $E$13)</f>
        <v>10.603899999999999</v>
      </c>
      <c r="H568" s="61">
        <f>18.0405* CHOOSE(CONTROL!$C$22, $C$13, 100%, $E$13)</f>
        <v>18.040500000000002</v>
      </c>
      <c r="I568" s="61">
        <f>18.0407 * CHOOSE(CONTROL!$C$22, $C$13, 100%, $E$13)</f>
        <v>18.040700000000001</v>
      </c>
      <c r="J568" s="61">
        <f>10.6037 * CHOOSE(CONTROL!$C$22, $C$13, 100%, $E$13)</f>
        <v>10.6037</v>
      </c>
      <c r="K568" s="61">
        <f>10.6039 * CHOOSE(CONTROL!$C$22, $C$13, 100%, $E$13)</f>
        <v>10.603899999999999</v>
      </c>
    </row>
    <row r="569" spans="1:11" ht="15">
      <c r="A569" s="13">
        <v>59172</v>
      </c>
      <c r="B569" s="60">
        <f>9.2104 * CHOOSE(CONTROL!$C$22, $C$13, 100%, $E$13)</f>
        <v>9.2103999999999999</v>
      </c>
      <c r="C569" s="60">
        <f>9.2104 * CHOOSE(CONTROL!$C$22, $C$13, 100%, $E$13)</f>
        <v>9.2103999999999999</v>
      </c>
      <c r="D569" s="60">
        <f>9.2268 * CHOOSE(CONTROL!$C$22, $C$13, 100%, $E$13)</f>
        <v>9.2268000000000008</v>
      </c>
      <c r="E569" s="61">
        <f>10.7414 * CHOOSE(CONTROL!$C$22, $C$13, 100%, $E$13)</f>
        <v>10.741400000000001</v>
      </c>
      <c r="F569" s="61">
        <f>10.7414 * CHOOSE(CONTROL!$C$22, $C$13, 100%, $E$13)</f>
        <v>10.741400000000001</v>
      </c>
      <c r="G569" s="61">
        <f>10.7416 * CHOOSE(CONTROL!$C$22, $C$13, 100%, $E$13)</f>
        <v>10.7416</v>
      </c>
      <c r="H569" s="61">
        <f>18.0781* CHOOSE(CONTROL!$C$22, $C$13, 100%, $E$13)</f>
        <v>18.078099999999999</v>
      </c>
      <c r="I569" s="61">
        <f>18.0783 * CHOOSE(CONTROL!$C$22, $C$13, 100%, $E$13)</f>
        <v>18.078299999999999</v>
      </c>
      <c r="J569" s="61">
        <f>10.7414 * CHOOSE(CONTROL!$C$22, $C$13, 100%, $E$13)</f>
        <v>10.741400000000001</v>
      </c>
      <c r="K569" s="61">
        <f>10.7416 * CHOOSE(CONTROL!$C$22, $C$13, 100%, $E$13)</f>
        <v>10.7416</v>
      </c>
    </row>
    <row r="570" spans="1:11" ht="15">
      <c r="A570" s="13">
        <v>59203</v>
      </c>
      <c r="B570" s="60">
        <f>9.2074 * CHOOSE(CONTROL!$C$22, $C$13, 100%, $E$13)</f>
        <v>9.2073999999999998</v>
      </c>
      <c r="C570" s="60">
        <f>9.2074 * CHOOSE(CONTROL!$C$22, $C$13, 100%, $E$13)</f>
        <v>9.2073999999999998</v>
      </c>
      <c r="D570" s="60">
        <f>9.2237 * CHOOSE(CONTROL!$C$22, $C$13, 100%, $E$13)</f>
        <v>9.2236999999999991</v>
      </c>
      <c r="E570" s="61">
        <f>10.6219 * CHOOSE(CONTROL!$C$22, $C$13, 100%, $E$13)</f>
        <v>10.6219</v>
      </c>
      <c r="F570" s="61">
        <f>10.6219 * CHOOSE(CONTROL!$C$22, $C$13, 100%, $E$13)</f>
        <v>10.6219</v>
      </c>
      <c r="G570" s="61">
        <f>10.6221 * CHOOSE(CONTROL!$C$22, $C$13, 100%, $E$13)</f>
        <v>10.6221</v>
      </c>
      <c r="H570" s="61">
        <f>18.1158* CHOOSE(CONTROL!$C$22, $C$13, 100%, $E$13)</f>
        <v>18.1158</v>
      </c>
      <c r="I570" s="61">
        <f>18.1159 * CHOOSE(CONTROL!$C$22, $C$13, 100%, $E$13)</f>
        <v>18.1159</v>
      </c>
      <c r="J570" s="61">
        <f>10.6219 * CHOOSE(CONTROL!$C$22, $C$13, 100%, $E$13)</f>
        <v>10.6219</v>
      </c>
      <c r="K570" s="61">
        <f>10.6221 * CHOOSE(CONTROL!$C$22, $C$13, 100%, $E$13)</f>
        <v>10.6221</v>
      </c>
    </row>
    <row r="571" spans="1:11" ht="15">
      <c r="A571" s="13">
        <v>59231</v>
      </c>
      <c r="B571" s="60">
        <f>9.2043 * CHOOSE(CONTROL!$C$22, $C$13, 100%, $E$13)</f>
        <v>9.2042999999999999</v>
      </c>
      <c r="C571" s="60">
        <f>9.2043 * CHOOSE(CONTROL!$C$22, $C$13, 100%, $E$13)</f>
        <v>9.2042999999999999</v>
      </c>
      <c r="D571" s="60">
        <f>9.2207 * CHOOSE(CONTROL!$C$22, $C$13, 100%, $E$13)</f>
        <v>9.2207000000000008</v>
      </c>
      <c r="E571" s="61">
        <f>10.7123 * CHOOSE(CONTROL!$C$22, $C$13, 100%, $E$13)</f>
        <v>10.712300000000001</v>
      </c>
      <c r="F571" s="61">
        <f>10.7123 * CHOOSE(CONTROL!$C$22, $C$13, 100%, $E$13)</f>
        <v>10.712300000000001</v>
      </c>
      <c r="G571" s="61">
        <f>10.7125 * CHOOSE(CONTROL!$C$22, $C$13, 100%, $E$13)</f>
        <v>10.7125</v>
      </c>
      <c r="H571" s="61">
        <f>18.1535* CHOOSE(CONTROL!$C$22, $C$13, 100%, $E$13)</f>
        <v>18.153500000000001</v>
      </c>
      <c r="I571" s="61">
        <f>18.1537 * CHOOSE(CONTROL!$C$22, $C$13, 100%, $E$13)</f>
        <v>18.153700000000001</v>
      </c>
      <c r="J571" s="61">
        <f>10.7123 * CHOOSE(CONTROL!$C$22, $C$13, 100%, $E$13)</f>
        <v>10.712300000000001</v>
      </c>
      <c r="K571" s="61">
        <f>10.7125 * CHOOSE(CONTROL!$C$22, $C$13, 100%, $E$13)</f>
        <v>10.7125</v>
      </c>
    </row>
    <row r="572" spans="1:11" ht="15">
      <c r="A572" s="13">
        <v>59262</v>
      </c>
      <c r="B572" s="60">
        <f>9.2065 * CHOOSE(CONTROL!$C$22, $C$13, 100%, $E$13)</f>
        <v>9.2065000000000001</v>
      </c>
      <c r="C572" s="60">
        <f>9.2065 * CHOOSE(CONTROL!$C$22, $C$13, 100%, $E$13)</f>
        <v>9.2065000000000001</v>
      </c>
      <c r="D572" s="60">
        <f>9.2229 * CHOOSE(CONTROL!$C$22, $C$13, 100%, $E$13)</f>
        <v>9.2228999999999992</v>
      </c>
      <c r="E572" s="61">
        <f>10.8075 * CHOOSE(CONTROL!$C$22, $C$13, 100%, $E$13)</f>
        <v>10.807499999999999</v>
      </c>
      <c r="F572" s="61">
        <f>10.8075 * CHOOSE(CONTROL!$C$22, $C$13, 100%, $E$13)</f>
        <v>10.807499999999999</v>
      </c>
      <c r="G572" s="61">
        <f>10.8077 * CHOOSE(CONTROL!$C$22, $C$13, 100%, $E$13)</f>
        <v>10.807700000000001</v>
      </c>
      <c r="H572" s="61">
        <f>18.1913* CHOOSE(CONTROL!$C$22, $C$13, 100%, $E$13)</f>
        <v>18.191299999999998</v>
      </c>
      <c r="I572" s="61">
        <f>18.1915 * CHOOSE(CONTROL!$C$22, $C$13, 100%, $E$13)</f>
        <v>18.191500000000001</v>
      </c>
      <c r="J572" s="61">
        <f>10.8075 * CHOOSE(CONTROL!$C$22, $C$13, 100%, $E$13)</f>
        <v>10.807499999999999</v>
      </c>
      <c r="K572" s="61">
        <f>10.8077 * CHOOSE(CONTROL!$C$22, $C$13, 100%, $E$13)</f>
        <v>10.807700000000001</v>
      </c>
    </row>
    <row r="573" spans="1:11" ht="15">
      <c r="A573" s="13">
        <v>59292</v>
      </c>
      <c r="B573" s="60">
        <f>9.2065 * CHOOSE(CONTROL!$C$22, $C$13, 100%, $E$13)</f>
        <v>9.2065000000000001</v>
      </c>
      <c r="C573" s="60">
        <f>9.2065 * CHOOSE(CONTROL!$C$22, $C$13, 100%, $E$13)</f>
        <v>9.2065000000000001</v>
      </c>
      <c r="D573" s="60">
        <f>9.2392 * CHOOSE(CONTROL!$C$22, $C$13, 100%, $E$13)</f>
        <v>9.2392000000000003</v>
      </c>
      <c r="E573" s="61">
        <f>10.8448 * CHOOSE(CONTROL!$C$22, $C$13, 100%, $E$13)</f>
        <v>10.844799999999999</v>
      </c>
      <c r="F573" s="61">
        <f>10.8448 * CHOOSE(CONTROL!$C$22, $C$13, 100%, $E$13)</f>
        <v>10.844799999999999</v>
      </c>
      <c r="G573" s="61">
        <f>10.8468 * CHOOSE(CONTROL!$C$22, $C$13, 100%, $E$13)</f>
        <v>10.8468</v>
      </c>
      <c r="H573" s="61">
        <f>18.2292* CHOOSE(CONTROL!$C$22, $C$13, 100%, $E$13)</f>
        <v>18.229199999999999</v>
      </c>
      <c r="I573" s="61">
        <f>18.2312 * CHOOSE(CONTROL!$C$22, $C$13, 100%, $E$13)</f>
        <v>18.231200000000001</v>
      </c>
      <c r="J573" s="61">
        <f>10.8448 * CHOOSE(CONTROL!$C$22, $C$13, 100%, $E$13)</f>
        <v>10.844799999999999</v>
      </c>
      <c r="K573" s="61">
        <f>10.8468 * CHOOSE(CONTROL!$C$22, $C$13, 100%, $E$13)</f>
        <v>10.8468</v>
      </c>
    </row>
    <row r="574" spans="1:11" ht="15">
      <c r="A574" s="13">
        <v>59323</v>
      </c>
      <c r="B574" s="60">
        <f>9.2126 * CHOOSE(CONTROL!$C$22, $C$13, 100%, $E$13)</f>
        <v>9.2126000000000001</v>
      </c>
      <c r="C574" s="60">
        <f>9.2126 * CHOOSE(CONTROL!$C$22, $C$13, 100%, $E$13)</f>
        <v>9.2126000000000001</v>
      </c>
      <c r="D574" s="60">
        <f>9.2453 * CHOOSE(CONTROL!$C$22, $C$13, 100%, $E$13)</f>
        <v>9.2453000000000003</v>
      </c>
      <c r="E574" s="61">
        <f>10.8118 * CHOOSE(CONTROL!$C$22, $C$13, 100%, $E$13)</f>
        <v>10.8118</v>
      </c>
      <c r="F574" s="61">
        <f>10.8118 * CHOOSE(CONTROL!$C$22, $C$13, 100%, $E$13)</f>
        <v>10.8118</v>
      </c>
      <c r="G574" s="61">
        <f>10.8138 * CHOOSE(CONTROL!$C$22, $C$13, 100%, $E$13)</f>
        <v>10.813800000000001</v>
      </c>
      <c r="H574" s="61">
        <f>18.2672* CHOOSE(CONTROL!$C$22, $C$13, 100%, $E$13)</f>
        <v>18.267199999999999</v>
      </c>
      <c r="I574" s="61">
        <f>18.2692 * CHOOSE(CONTROL!$C$22, $C$13, 100%, $E$13)</f>
        <v>18.269200000000001</v>
      </c>
      <c r="J574" s="61">
        <f>10.8118 * CHOOSE(CONTROL!$C$22, $C$13, 100%, $E$13)</f>
        <v>10.8118</v>
      </c>
      <c r="K574" s="61">
        <f>10.8138 * CHOOSE(CONTROL!$C$22, $C$13, 100%, $E$13)</f>
        <v>10.813800000000001</v>
      </c>
    </row>
    <row r="575" spans="1:11" ht="15">
      <c r="A575" s="13">
        <v>59353</v>
      </c>
      <c r="B575" s="60">
        <f>9.3605 * CHOOSE(CONTROL!$C$22, $C$13, 100%, $E$13)</f>
        <v>9.3605</v>
      </c>
      <c r="C575" s="60">
        <f>9.3605 * CHOOSE(CONTROL!$C$22, $C$13, 100%, $E$13)</f>
        <v>9.3605</v>
      </c>
      <c r="D575" s="60">
        <f>9.3932 * CHOOSE(CONTROL!$C$22, $C$13, 100%, $E$13)</f>
        <v>9.3932000000000002</v>
      </c>
      <c r="E575" s="61">
        <f>11.0212 * CHOOSE(CONTROL!$C$22, $C$13, 100%, $E$13)</f>
        <v>11.0212</v>
      </c>
      <c r="F575" s="61">
        <f>11.0212 * CHOOSE(CONTROL!$C$22, $C$13, 100%, $E$13)</f>
        <v>11.0212</v>
      </c>
      <c r="G575" s="61">
        <f>11.0232 * CHOOSE(CONTROL!$C$22, $C$13, 100%, $E$13)</f>
        <v>11.023199999999999</v>
      </c>
      <c r="H575" s="61">
        <f>18.3052* CHOOSE(CONTROL!$C$22, $C$13, 100%, $E$13)</f>
        <v>18.305199999999999</v>
      </c>
      <c r="I575" s="61">
        <f>18.3073 * CHOOSE(CONTROL!$C$22, $C$13, 100%, $E$13)</f>
        <v>18.307300000000001</v>
      </c>
      <c r="J575" s="61">
        <f>11.0212 * CHOOSE(CONTROL!$C$22, $C$13, 100%, $E$13)</f>
        <v>11.0212</v>
      </c>
      <c r="K575" s="61">
        <f>11.0232 * CHOOSE(CONTROL!$C$22, $C$13, 100%, $E$13)</f>
        <v>11.023199999999999</v>
      </c>
    </row>
    <row r="576" spans="1:11" ht="15">
      <c r="A576" s="13">
        <v>59384</v>
      </c>
      <c r="B576" s="60">
        <f>9.3672 * CHOOSE(CONTROL!$C$22, $C$13, 100%, $E$13)</f>
        <v>9.3672000000000004</v>
      </c>
      <c r="C576" s="60">
        <f>9.3672 * CHOOSE(CONTROL!$C$22, $C$13, 100%, $E$13)</f>
        <v>9.3672000000000004</v>
      </c>
      <c r="D576" s="60">
        <f>9.3999 * CHOOSE(CONTROL!$C$22, $C$13, 100%, $E$13)</f>
        <v>9.3999000000000006</v>
      </c>
      <c r="E576" s="61">
        <f>10.914 * CHOOSE(CONTROL!$C$22, $C$13, 100%, $E$13)</f>
        <v>10.914</v>
      </c>
      <c r="F576" s="61">
        <f>10.914 * CHOOSE(CONTROL!$C$22, $C$13, 100%, $E$13)</f>
        <v>10.914</v>
      </c>
      <c r="G576" s="61">
        <f>10.916 * CHOOSE(CONTROL!$C$22, $C$13, 100%, $E$13)</f>
        <v>10.916</v>
      </c>
      <c r="H576" s="61">
        <f>18.3434* CHOOSE(CONTROL!$C$22, $C$13, 100%, $E$13)</f>
        <v>18.343399999999999</v>
      </c>
      <c r="I576" s="61">
        <f>18.3454 * CHOOSE(CONTROL!$C$22, $C$13, 100%, $E$13)</f>
        <v>18.345400000000001</v>
      </c>
      <c r="J576" s="61">
        <f>10.914 * CHOOSE(CONTROL!$C$22, $C$13, 100%, $E$13)</f>
        <v>10.914</v>
      </c>
      <c r="K576" s="61">
        <f>10.916 * CHOOSE(CONTROL!$C$22, $C$13, 100%, $E$13)</f>
        <v>10.916</v>
      </c>
    </row>
    <row r="577" spans="1:11" ht="15">
      <c r="A577" s="13">
        <v>59415</v>
      </c>
      <c r="B577" s="60">
        <f>9.3641 * CHOOSE(CONTROL!$C$22, $C$13, 100%, $E$13)</f>
        <v>9.3641000000000005</v>
      </c>
      <c r="C577" s="60">
        <f>9.3641 * CHOOSE(CONTROL!$C$22, $C$13, 100%, $E$13)</f>
        <v>9.3641000000000005</v>
      </c>
      <c r="D577" s="60">
        <f>9.3968 * CHOOSE(CONTROL!$C$22, $C$13, 100%, $E$13)</f>
        <v>9.3968000000000007</v>
      </c>
      <c r="E577" s="61">
        <f>10.8994 * CHOOSE(CONTROL!$C$22, $C$13, 100%, $E$13)</f>
        <v>10.8994</v>
      </c>
      <c r="F577" s="61">
        <f>10.8994 * CHOOSE(CONTROL!$C$22, $C$13, 100%, $E$13)</f>
        <v>10.8994</v>
      </c>
      <c r="G577" s="61">
        <f>10.9015 * CHOOSE(CONTROL!$C$22, $C$13, 100%, $E$13)</f>
        <v>10.9015</v>
      </c>
      <c r="H577" s="61">
        <f>18.3816* CHOOSE(CONTROL!$C$22, $C$13, 100%, $E$13)</f>
        <v>18.381599999999999</v>
      </c>
      <c r="I577" s="61">
        <f>18.3836 * CHOOSE(CONTROL!$C$22, $C$13, 100%, $E$13)</f>
        <v>18.383600000000001</v>
      </c>
      <c r="J577" s="61">
        <f>10.8994 * CHOOSE(CONTROL!$C$22, $C$13, 100%, $E$13)</f>
        <v>10.8994</v>
      </c>
      <c r="K577" s="61">
        <f>10.9015 * CHOOSE(CONTROL!$C$22, $C$13, 100%, $E$13)</f>
        <v>10.9015</v>
      </c>
    </row>
    <row r="578" spans="1:11" ht="15">
      <c r="A578" s="13">
        <v>59445</v>
      </c>
      <c r="B578" s="60">
        <f>9.3771 * CHOOSE(CONTROL!$C$22, $C$13, 100%, $E$13)</f>
        <v>9.3771000000000004</v>
      </c>
      <c r="C578" s="60">
        <f>9.3771 * CHOOSE(CONTROL!$C$22, $C$13, 100%, $E$13)</f>
        <v>9.3771000000000004</v>
      </c>
      <c r="D578" s="60">
        <f>9.3935 * CHOOSE(CONTROL!$C$22, $C$13, 100%, $E$13)</f>
        <v>9.3934999999999995</v>
      </c>
      <c r="E578" s="61">
        <f>10.9357 * CHOOSE(CONTROL!$C$22, $C$13, 100%, $E$13)</f>
        <v>10.935700000000001</v>
      </c>
      <c r="F578" s="61">
        <f>10.9357 * CHOOSE(CONTROL!$C$22, $C$13, 100%, $E$13)</f>
        <v>10.935700000000001</v>
      </c>
      <c r="G578" s="61">
        <f>10.9359 * CHOOSE(CONTROL!$C$22, $C$13, 100%, $E$13)</f>
        <v>10.9359</v>
      </c>
      <c r="H578" s="61">
        <f>18.4199* CHOOSE(CONTROL!$C$22, $C$13, 100%, $E$13)</f>
        <v>18.419899999999998</v>
      </c>
      <c r="I578" s="61">
        <f>18.4201 * CHOOSE(CONTROL!$C$22, $C$13, 100%, $E$13)</f>
        <v>18.420100000000001</v>
      </c>
      <c r="J578" s="61">
        <f>10.9357 * CHOOSE(CONTROL!$C$22, $C$13, 100%, $E$13)</f>
        <v>10.935700000000001</v>
      </c>
      <c r="K578" s="61">
        <f>10.9359 * CHOOSE(CONTROL!$C$22, $C$13, 100%, $E$13)</f>
        <v>10.9359</v>
      </c>
    </row>
    <row r="579" spans="1:11" ht="15">
      <c r="A579" s="13">
        <v>59476</v>
      </c>
      <c r="B579" s="60">
        <f>9.3802 * CHOOSE(CONTROL!$C$22, $C$13, 100%, $E$13)</f>
        <v>9.3802000000000003</v>
      </c>
      <c r="C579" s="60">
        <f>9.3802 * CHOOSE(CONTROL!$C$22, $C$13, 100%, $E$13)</f>
        <v>9.3802000000000003</v>
      </c>
      <c r="D579" s="60">
        <f>9.3965 * CHOOSE(CONTROL!$C$22, $C$13, 100%, $E$13)</f>
        <v>9.3964999999999996</v>
      </c>
      <c r="E579" s="61">
        <f>10.9627 * CHOOSE(CONTROL!$C$22, $C$13, 100%, $E$13)</f>
        <v>10.9627</v>
      </c>
      <c r="F579" s="61">
        <f>10.9627 * CHOOSE(CONTROL!$C$22, $C$13, 100%, $E$13)</f>
        <v>10.9627</v>
      </c>
      <c r="G579" s="61">
        <f>10.9629 * CHOOSE(CONTROL!$C$22, $C$13, 100%, $E$13)</f>
        <v>10.962899999999999</v>
      </c>
      <c r="H579" s="61">
        <f>18.4583* CHOOSE(CONTROL!$C$22, $C$13, 100%, $E$13)</f>
        <v>18.458300000000001</v>
      </c>
      <c r="I579" s="61">
        <f>18.4584 * CHOOSE(CONTROL!$C$22, $C$13, 100%, $E$13)</f>
        <v>18.458400000000001</v>
      </c>
      <c r="J579" s="61">
        <f>10.9627 * CHOOSE(CONTROL!$C$22, $C$13, 100%, $E$13)</f>
        <v>10.9627</v>
      </c>
      <c r="K579" s="61">
        <f>10.9629 * CHOOSE(CONTROL!$C$22, $C$13, 100%, $E$13)</f>
        <v>10.962899999999999</v>
      </c>
    </row>
    <row r="580" spans="1:11" ht="15">
      <c r="A580" s="13">
        <v>59506</v>
      </c>
      <c r="B580" s="60">
        <f>9.3802 * CHOOSE(CONTROL!$C$22, $C$13, 100%, $E$13)</f>
        <v>9.3802000000000003</v>
      </c>
      <c r="C580" s="60">
        <f>9.3802 * CHOOSE(CONTROL!$C$22, $C$13, 100%, $E$13)</f>
        <v>9.3802000000000003</v>
      </c>
      <c r="D580" s="60">
        <f>9.3965 * CHOOSE(CONTROL!$C$22, $C$13, 100%, $E$13)</f>
        <v>9.3964999999999996</v>
      </c>
      <c r="E580" s="61">
        <f>10.9005 * CHOOSE(CONTROL!$C$22, $C$13, 100%, $E$13)</f>
        <v>10.900499999999999</v>
      </c>
      <c r="F580" s="61">
        <f>10.9005 * CHOOSE(CONTROL!$C$22, $C$13, 100%, $E$13)</f>
        <v>10.900499999999999</v>
      </c>
      <c r="G580" s="61">
        <f>10.9007 * CHOOSE(CONTROL!$C$22, $C$13, 100%, $E$13)</f>
        <v>10.900700000000001</v>
      </c>
      <c r="H580" s="61">
        <f>18.4967* CHOOSE(CONTROL!$C$22, $C$13, 100%, $E$13)</f>
        <v>18.496700000000001</v>
      </c>
      <c r="I580" s="61">
        <f>18.4969 * CHOOSE(CONTROL!$C$22, $C$13, 100%, $E$13)</f>
        <v>18.4969</v>
      </c>
      <c r="J580" s="61">
        <f>10.9005 * CHOOSE(CONTROL!$C$22, $C$13, 100%, $E$13)</f>
        <v>10.900499999999999</v>
      </c>
      <c r="K580" s="61">
        <f>10.9007 * CHOOSE(CONTROL!$C$22, $C$13, 100%, $E$13)</f>
        <v>10.900700000000001</v>
      </c>
    </row>
    <row r="581" spans="1:11" ht="15">
      <c r="A581" s="13">
        <v>59537</v>
      </c>
      <c r="B581" s="60">
        <f>9.4557 * CHOOSE(CONTROL!$C$22, $C$13, 100%, $E$13)</f>
        <v>9.4557000000000002</v>
      </c>
      <c r="C581" s="60">
        <f>9.4557 * CHOOSE(CONTROL!$C$22, $C$13, 100%, $E$13)</f>
        <v>9.4557000000000002</v>
      </c>
      <c r="D581" s="60">
        <f>9.4721 * CHOOSE(CONTROL!$C$22, $C$13, 100%, $E$13)</f>
        <v>9.4720999999999993</v>
      </c>
      <c r="E581" s="61">
        <f>11.0338 * CHOOSE(CONTROL!$C$22, $C$13, 100%, $E$13)</f>
        <v>11.033799999999999</v>
      </c>
      <c r="F581" s="61">
        <f>11.0338 * CHOOSE(CONTROL!$C$22, $C$13, 100%, $E$13)</f>
        <v>11.033799999999999</v>
      </c>
      <c r="G581" s="61">
        <f>11.034 * CHOOSE(CONTROL!$C$22, $C$13, 100%, $E$13)</f>
        <v>11.034000000000001</v>
      </c>
      <c r="H581" s="61">
        <f>18.524* CHOOSE(CONTROL!$C$22, $C$13, 100%, $E$13)</f>
        <v>18.524000000000001</v>
      </c>
      <c r="I581" s="61">
        <f>18.5242 * CHOOSE(CONTROL!$C$22, $C$13, 100%, $E$13)</f>
        <v>18.5242</v>
      </c>
      <c r="J581" s="61">
        <f>11.0338 * CHOOSE(CONTROL!$C$22, $C$13, 100%, $E$13)</f>
        <v>11.033799999999999</v>
      </c>
      <c r="K581" s="61">
        <f>11.034 * CHOOSE(CONTROL!$C$22, $C$13, 100%, $E$13)</f>
        <v>11.034000000000001</v>
      </c>
    </row>
    <row r="582" spans="1:11" ht="15">
      <c r="A582" s="13">
        <v>59568</v>
      </c>
      <c r="B582" s="60">
        <f>9.4527 * CHOOSE(CONTROL!$C$22, $C$13, 100%, $E$13)</f>
        <v>9.4527000000000001</v>
      </c>
      <c r="C582" s="60">
        <f>9.4527 * CHOOSE(CONTROL!$C$22, $C$13, 100%, $E$13)</f>
        <v>9.4527000000000001</v>
      </c>
      <c r="D582" s="60">
        <f>9.469 * CHOOSE(CONTROL!$C$22, $C$13, 100%, $E$13)</f>
        <v>9.4689999999999994</v>
      </c>
      <c r="E582" s="61">
        <f>10.9111 * CHOOSE(CONTROL!$C$22, $C$13, 100%, $E$13)</f>
        <v>10.911099999999999</v>
      </c>
      <c r="F582" s="61">
        <f>10.9111 * CHOOSE(CONTROL!$C$22, $C$13, 100%, $E$13)</f>
        <v>10.911099999999999</v>
      </c>
      <c r="G582" s="61">
        <f>10.9113 * CHOOSE(CONTROL!$C$22, $C$13, 100%, $E$13)</f>
        <v>10.911300000000001</v>
      </c>
      <c r="H582" s="61">
        <f>18.5626* CHOOSE(CONTROL!$C$22, $C$13, 100%, $E$13)</f>
        <v>18.5626</v>
      </c>
      <c r="I582" s="61">
        <f>18.5628 * CHOOSE(CONTROL!$C$22, $C$13, 100%, $E$13)</f>
        <v>18.562799999999999</v>
      </c>
      <c r="J582" s="61">
        <f>10.9111 * CHOOSE(CONTROL!$C$22, $C$13, 100%, $E$13)</f>
        <v>10.911099999999999</v>
      </c>
      <c r="K582" s="61">
        <f>10.9113 * CHOOSE(CONTROL!$C$22, $C$13, 100%, $E$13)</f>
        <v>10.911300000000001</v>
      </c>
    </row>
    <row r="583" spans="1:11" ht="15">
      <c r="A583" s="13">
        <v>59596</v>
      </c>
      <c r="B583" s="60">
        <f>9.4497 * CHOOSE(CONTROL!$C$22, $C$13, 100%, $E$13)</f>
        <v>9.4497</v>
      </c>
      <c r="C583" s="60">
        <f>9.4497 * CHOOSE(CONTROL!$C$22, $C$13, 100%, $E$13)</f>
        <v>9.4497</v>
      </c>
      <c r="D583" s="60">
        <f>9.466 * CHOOSE(CONTROL!$C$22, $C$13, 100%, $E$13)</f>
        <v>9.4659999999999993</v>
      </c>
      <c r="E583" s="61">
        <f>11.0041 * CHOOSE(CONTROL!$C$22, $C$13, 100%, $E$13)</f>
        <v>11.004099999999999</v>
      </c>
      <c r="F583" s="61">
        <f>11.0041 * CHOOSE(CONTROL!$C$22, $C$13, 100%, $E$13)</f>
        <v>11.004099999999999</v>
      </c>
      <c r="G583" s="61">
        <f>11.0042 * CHOOSE(CONTROL!$C$22, $C$13, 100%, $E$13)</f>
        <v>11.004200000000001</v>
      </c>
      <c r="H583" s="61">
        <f>18.6012* CHOOSE(CONTROL!$C$22, $C$13, 100%, $E$13)</f>
        <v>18.601199999999999</v>
      </c>
      <c r="I583" s="61">
        <f>18.6014 * CHOOSE(CONTROL!$C$22, $C$13, 100%, $E$13)</f>
        <v>18.601400000000002</v>
      </c>
      <c r="J583" s="61">
        <f>11.0041 * CHOOSE(CONTROL!$C$22, $C$13, 100%, $E$13)</f>
        <v>11.004099999999999</v>
      </c>
      <c r="K583" s="61">
        <f>11.0042 * CHOOSE(CONTROL!$C$22, $C$13, 100%, $E$13)</f>
        <v>11.004200000000001</v>
      </c>
    </row>
    <row r="584" spans="1:11" ht="15">
      <c r="A584" s="13">
        <v>59627</v>
      </c>
      <c r="B584" s="60">
        <f>9.452 * CHOOSE(CONTROL!$C$22, $C$13, 100%, $E$13)</f>
        <v>9.452</v>
      </c>
      <c r="C584" s="60">
        <f>9.452 * CHOOSE(CONTROL!$C$22, $C$13, 100%, $E$13)</f>
        <v>9.452</v>
      </c>
      <c r="D584" s="60">
        <f>9.4684 * CHOOSE(CONTROL!$C$22, $C$13, 100%, $E$13)</f>
        <v>9.4684000000000008</v>
      </c>
      <c r="E584" s="61">
        <f>11.102 * CHOOSE(CONTROL!$C$22, $C$13, 100%, $E$13)</f>
        <v>11.102</v>
      </c>
      <c r="F584" s="61">
        <f>11.102 * CHOOSE(CONTROL!$C$22, $C$13, 100%, $E$13)</f>
        <v>11.102</v>
      </c>
      <c r="G584" s="61">
        <f>11.1022 * CHOOSE(CONTROL!$C$22, $C$13, 100%, $E$13)</f>
        <v>11.1022</v>
      </c>
      <c r="H584" s="61">
        <f>18.64* CHOOSE(CONTROL!$C$22, $C$13, 100%, $E$13)</f>
        <v>18.64</v>
      </c>
      <c r="I584" s="61">
        <f>18.6402 * CHOOSE(CONTROL!$C$22, $C$13, 100%, $E$13)</f>
        <v>18.6402</v>
      </c>
      <c r="J584" s="61">
        <f>11.102 * CHOOSE(CONTROL!$C$22, $C$13, 100%, $E$13)</f>
        <v>11.102</v>
      </c>
      <c r="K584" s="61">
        <f>11.1022 * CHOOSE(CONTROL!$C$22, $C$13, 100%, $E$13)</f>
        <v>11.1022</v>
      </c>
    </row>
    <row r="585" spans="1:11" ht="15">
      <c r="A585" s="13">
        <v>59657</v>
      </c>
      <c r="B585" s="60">
        <f>9.452 * CHOOSE(CONTROL!$C$22, $C$13, 100%, $E$13)</f>
        <v>9.452</v>
      </c>
      <c r="C585" s="60">
        <f>9.452 * CHOOSE(CONTROL!$C$22, $C$13, 100%, $E$13)</f>
        <v>9.452</v>
      </c>
      <c r="D585" s="60">
        <f>9.4847 * CHOOSE(CONTROL!$C$22, $C$13, 100%, $E$13)</f>
        <v>9.4847000000000001</v>
      </c>
      <c r="E585" s="61">
        <f>11.1403 * CHOOSE(CONTROL!$C$22, $C$13, 100%, $E$13)</f>
        <v>11.1403</v>
      </c>
      <c r="F585" s="61">
        <f>11.1403 * CHOOSE(CONTROL!$C$22, $C$13, 100%, $E$13)</f>
        <v>11.1403</v>
      </c>
      <c r="G585" s="61">
        <f>11.1423 * CHOOSE(CONTROL!$C$22, $C$13, 100%, $E$13)</f>
        <v>11.142300000000001</v>
      </c>
      <c r="H585" s="61">
        <f>18.6788* CHOOSE(CONTROL!$C$22, $C$13, 100%, $E$13)</f>
        <v>18.678799999999999</v>
      </c>
      <c r="I585" s="61">
        <f>18.6809 * CHOOSE(CONTROL!$C$22, $C$13, 100%, $E$13)</f>
        <v>18.680900000000001</v>
      </c>
      <c r="J585" s="61">
        <f>11.1403 * CHOOSE(CONTROL!$C$22, $C$13, 100%, $E$13)</f>
        <v>11.1403</v>
      </c>
      <c r="K585" s="61">
        <f>11.1423 * CHOOSE(CONTROL!$C$22, $C$13, 100%, $E$13)</f>
        <v>11.142300000000001</v>
      </c>
    </row>
    <row r="586" spans="1:11" ht="15">
      <c r="A586" s="13">
        <v>59688</v>
      </c>
      <c r="B586" s="60">
        <f>9.4581 * CHOOSE(CONTROL!$C$22, $C$13, 100%, $E$13)</f>
        <v>9.4581</v>
      </c>
      <c r="C586" s="60">
        <f>9.4581 * CHOOSE(CONTROL!$C$22, $C$13, 100%, $E$13)</f>
        <v>9.4581</v>
      </c>
      <c r="D586" s="60">
        <f>9.4908 * CHOOSE(CONTROL!$C$22, $C$13, 100%, $E$13)</f>
        <v>9.4908000000000001</v>
      </c>
      <c r="E586" s="61">
        <f>11.1062 * CHOOSE(CONTROL!$C$22, $C$13, 100%, $E$13)</f>
        <v>11.106199999999999</v>
      </c>
      <c r="F586" s="61">
        <f>11.1062 * CHOOSE(CONTROL!$C$22, $C$13, 100%, $E$13)</f>
        <v>11.106199999999999</v>
      </c>
      <c r="G586" s="61">
        <f>11.1082 * CHOOSE(CONTROL!$C$22, $C$13, 100%, $E$13)</f>
        <v>11.1082</v>
      </c>
      <c r="H586" s="61">
        <f>18.7177* CHOOSE(CONTROL!$C$22, $C$13, 100%, $E$13)</f>
        <v>18.717700000000001</v>
      </c>
      <c r="I586" s="61">
        <f>18.7198 * CHOOSE(CONTROL!$C$22, $C$13, 100%, $E$13)</f>
        <v>18.719799999999999</v>
      </c>
      <c r="J586" s="61">
        <f>11.1062 * CHOOSE(CONTROL!$C$22, $C$13, 100%, $E$13)</f>
        <v>11.106199999999999</v>
      </c>
      <c r="K586" s="61">
        <f>11.1082 * CHOOSE(CONTROL!$C$22, $C$13, 100%, $E$13)</f>
        <v>11.1082</v>
      </c>
    </row>
    <row r="587" spans="1:11" ht="15">
      <c r="A587" s="13">
        <v>59718</v>
      </c>
      <c r="B587" s="60">
        <f>9.6097 * CHOOSE(CONTROL!$C$22, $C$13, 100%, $E$13)</f>
        <v>9.6097000000000001</v>
      </c>
      <c r="C587" s="60">
        <f>9.6097 * CHOOSE(CONTROL!$C$22, $C$13, 100%, $E$13)</f>
        <v>9.6097000000000001</v>
      </c>
      <c r="D587" s="60">
        <f>9.6424 * CHOOSE(CONTROL!$C$22, $C$13, 100%, $E$13)</f>
        <v>9.6424000000000003</v>
      </c>
      <c r="E587" s="61">
        <f>11.321 * CHOOSE(CONTROL!$C$22, $C$13, 100%, $E$13)</f>
        <v>11.321</v>
      </c>
      <c r="F587" s="61">
        <f>11.321 * CHOOSE(CONTROL!$C$22, $C$13, 100%, $E$13)</f>
        <v>11.321</v>
      </c>
      <c r="G587" s="61">
        <f>11.3231 * CHOOSE(CONTROL!$C$22, $C$13, 100%, $E$13)</f>
        <v>11.3231</v>
      </c>
      <c r="H587" s="61">
        <f>18.7567* CHOOSE(CONTROL!$C$22, $C$13, 100%, $E$13)</f>
        <v>18.756699999999999</v>
      </c>
      <c r="I587" s="61">
        <f>18.7588 * CHOOSE(CONTROL!$C$22, $C$13, 100%, $E$13)</f>
        <v>18.758800000000001</v>
      </c>
      <c r="J587" s="61">
        <f>11.321 * CHOOSE(CONTROL!$C$22, $C$13, 100%, $E$13)</f>
        <v>11.321</v>
      </c>
      <c r="K587" s="61">
        <f>11.3231 * CHOOSE(CONTROL!$C$22, $C$13, 100%, $E$13)</f>
        <v>11.3231</v>
      </c>
    </row>
    <row r="588" spans="1:11" ht="15">
      <c r="A588" s="13">
        <v>59749</v>
      </c>
      <c r="B588" s="60">
        <f>9.6164 * CHOOSE(CONTROL!$C$22, $C$13, 100%, $E$13)</f>
        <v>9.6164000000000005</v>
      </c>
      <c r="C588" s="60">
        <f>9.6164 * CHOOSE(CONTROL!$C$22, $C$13, 100%, $E$13)</f>
        <v>9.6164000000000005</v>
      </c>
      <c r="D588" s="60">
        <f>9.6491 * CHOOSE(CONTROL!$C$22, $C$13, 100%, $E$13)</f>
        <v>9.6491000000000007</v>
      </c>
      <c r="E588" s="61">
        <f>11.2108 * CHOOSE(CONTROL!$C$22, $C$13, 100%, $E$13)</f>
        <v>11.210800000000001</v>
      </c>
      <c r="F588" s="61">
        <f>11.2108 * CHOOSE(CONTROL!$C$22, $C$13, 100%, $E$13)</f>
        <v>11.210800000000001</v>
      </c>
      <c r="G588" s="61">
        <f>11.2128 * CHOOSE(CONTROL!$C$22, $C$13, 100%, $E$13)</f>
        <v>11.2128</v>
      </c>
      <c r="H588" s="61">
        <f>18.7958* CHOOSE(CONTROL!$C$22, $C$13, 100%, $E$13)</f>
        <v>18.7958</v>
      </c>
      <c r="I588" s="61">
        <f>18.7979 * CHOOSE(CONTROL!$C$22, $C$13, 100%, $E$13)</f>
        <v>18.797899999999998</v>
      </c>
      <c r="J588" s="61">
        <f>11.2108 * CHOOSE(CONTROL!$C$22, $C$13, 100%, $E$13)</f>
        <v>11.210800000000001</v>
      </c>
      <c r="K588" s="61">
        <f>11.2128 * CHOOSE(CONTROL!$C$22, $C$13, 100%, $E$13)</f>
        <v>11.2128</v>
      </c>
    </row>
    <row r="589" spans="1:11" ht="15">
      <c r="A589" s="13">
        <v>59780</v>
      </c>
      <c r="B589" s="60">
        <f>9.6134 * CHOOSE(CONTROL!$C$22, $C$13, 100%, $E$13)</f>
        <v>9.6134000000000004</v>
      </c>
      <c r="C589" s="60">
        <f>9.6134 * CHOOSE(CONTROL!$C$22, $C$13, 100%, $E$13)</f>
        <v>9.6134000000000004</v>
      </c>
      <c r="D589" s="60">
        <f>9.646 * CHOOSE(CONTROL!$C$22, $C$13, 100%, $E$13)</f>
        <v>9.6460000000000008</v>
      </c>
      <c r="E589" s="61">
        <f>11.1959 * CHOOSE(CONTROL!$C$22, $C$13, 100%, $E$13)</f>
        <v>11.1959</v>
      </c>
      <c r="F589" s="61">
        <f>11.1959 * CHOOSE(CONTROL!$C$22, $C$13, 100%, $E$13)</f>
        <v>11.1959</v>
      </c>
      <c r="G589" s="61">
        <f>11.1979 * CHOOSE(CONTROL!$C$22, $C$13, 100%, $E$13)</f>
        <v>11.197900000000001</v>
      </c>
      <c r="H589" s="61">
        <f>18.835* CHOOSE(CONTROL!$C$22, $C$13, 100%, $E$13)</f>
        <v>18.835000000000001</v>
      </c>
      <c r="I589" s="61">
        <f>18.837 * CHOOSE(CONTROL!$C$22, $C$13, 100%, $E$13)</f>
        <v>18.837</v>
      </c>
      <c r="J589" s="61">
        <f>11.1959 * CHOOSE(CONTROL!$C$22, $C$13, 100%, $E$13)</f>
        <v>11.1959</v>
      </c>
      <c r="K589" s="61">
        <f>11.1979 * CHOOSE(CONTROL!$C$22, $C$13, 100%, $E$13)</f>
        <v>11.197900000000001</v>
      </c>
    </row>
    <row r="590" spans="1:11" ht="15">
      <c r="A590" s="13">
        <v>59810</v>
      </c>
      <c r="B590" s="60">
        <f>9.6271 * CHOOSE(CONTROL!$C$22, $C$13, 100%, $E$13)</f>
        <v>9.6271000000000004</v>
      </c>
      <c r="C590" s="60">
        <f>9.6271 * CHOOSE(CONTROL!$C$22, $C$13, 100%, $E$13)</f>
        <v>9.6271000000000004</v>
      </c>
      <c r="D590" s="60">
        <f>9.6435 * CHOOSE(CONTROL!$C$22, $C$13, 100%, $E$13)</f>
        <v>9.6434999999999995</v>
      </c>
      <c r="E590" s="61">
        <f>11.2336 * CHOOSE(CONTROL!$C$22, $C$13, 100%, $E$13)</f>
        <v>11.233599999999999</v>
      </c>
      <c r="F590" s="61">
        <f>11.2336 * CHOOSE(CONTROL!$C$22, $C$13, 100%, $E$13)</f>
        <v>11.233599999999999</v>
      </c>
      <c r="G590" s="61">
        <f>11.2337 * CHOOSE(CONTROL!$C$22, $C$13, 100%, $E$13)</f>
        <v>11.233700000000001</v>
      </c>
      <c r="H590" s="61">
        <f>18.8742* CHOOSE(CONTROL!$C$22, $C$13, 100%, $E$13)</f>
        <v>18.874199999999998</v>
      </c>
      <c r="I590" s="61">
        <f>18.8744 * CHOOSE(CONTROL!$C$22, $C$13, 100%, $E$13)</f>
        <v>18.874400000000001</v>
      </c>
      <c r="J590" s="61">
        <f>11.2336 * CHOOSE(CONTROL!$C$22, $C$13, 100%, $E$13)</f>
        <v>11.233599999999999</v>
      </c>
      <c r="K590" s="61">
        <f>11.2337 * CHOOSE(CONTROL!$C$22, $C$13, 100%, $E$13)</f>
        <v>11.233700000000001</v>
      </c>
    </row>
    <row r="591" spans="1:11" ht="15">
      <c r="A591" s="13">
        <v>59841</v>
      </c>
      <c r="B591" s="60">
        <f>9.6302 * CHOOSE(CONTROL!$C$22, $C$13, 100%, $E$13)</f>
        <v>9.6302000000000003</v>
      </c>
      <c r="C591" s="60">
        <f>9.6302 * CHOOSE(CONTROL!$C$22, $C$13, 100%, $E$13)</f>
        <v>9.6302000000000003</v>
      </c>
      <c r="D591" s="60">
        <f>9.6465 * CHOOSE(CONTROL!$C$22, $C$13, 100%, $E$13)</f>
        <v>9.6464999999999996</v>
      </c>
      <c r="E591" s="61">
        <f>11.2612 * CHOOSE(CONTROL!$C$22, $C$13, 100%, $E$13)</f>
        <v>11.261200000000001</v>
      </c>
      <c r="F591" s="61">
        <f>11.2612 * CHOOSE(CONTROL!$C$22, $C$13, 100%, $E$13)</f>
        <v>11.261200000000001</v>
      </c>
      <c r="G591" s="61">
        <f>11.2614 * CHOOSE(CONTROL!$C$22, $C$13, 100%, $E$13)</f>
        <v>11.2614</v>
      </c>
      <c r="H591" s="61">
        <f>18.9135* CHOOSE(CONTROL!$C$22, $C$13, 100%, $E$13)</f>
        <v>18.913499999999999</v>
      </c>
      <c r="I591" s="61">
        <f>18.9137 * CHOOSE(CONTROL!$C$22, $C$13, 100%, $E$13)</f>
        <v>18.913699999999999</v>
      </c>
      <c r="J591" s="61">
        <f>11.2612 * CHOOSE(CONTROL!$C$22, $C$13, 100%, $E$13)</f>
        <v>11.261200000000001</v>
      </c>
      <c r="K591" s="61">
        <f>11.2614 * CHOOSE(CONTROL!$C$22, $C$13, 100%, $E$13)</f>
        <v>11.2614</v>
      </c>
    </row>
    <row r="592" spans="1:11" ht="15">
      <c r="A592" s="13">
        <v>59871</v>
      </c>
      <c r="B592" s="60">
        <f>9.6302 * CHOOSE(CONTROL!$C$22, $C$13, 100%, $E$13)</f>
        <v>9.6302000000000003</v>
      </c>
      <c r="C592" s="60">
        <f>9.6302 * CHOOSE(CONTROL!$C$22, $C$13, 100%, $E$13)</f>
        <v>9.6302000000000003</v>
      </c>
      <c r="D592" s="60">
        <f>9.6465 * CHOOSE(CONTROL!$C$22, $C$13, 100%, $E$13)</f>
        <v>9.6464999999999996</v>
      </c>
      <c r="E592" s="61">
        <f>11.1974 * CHOOSE(CONTROL!$C$22, $C$13, 100%, $E$13)</f>
        <v>11.1974</v>
      </c>
      <c r="F592" s="61">
        <f>11.1974 * CHOOSE(CONTROL!$C$22, $C$13, 100%, $E$13)</f>
        <v>11.1974</v>
      </c>
      <c r="G592" s="61">
        <f>11.1976 * CHOOSE(CONTROL!$C$22, $C$13, 100%, $E$13)</f>
        <v>11.1976</v>
      </c>
      <c r="H592" s="61">
        <f>18.9529* CHOOSE(CONTROL!$C$22, $C$13, 100%, $E$13)</f>
        <v>18.9529</v>
      </c>
      <c r="I592" s="61">
        <f>18.9531 * CHOOSE(CONTROL!$C$22, $C$13, 100%, $E$13)</f>
        <v>18.953099999999999</v>
      </c>
      <c r="J592" s="61">
        <f>11.1974 * CHOOSE(CONTROL!$C$22, $C$13, 100%, $E$13)</f>
        <v>11.1974</v>
      </c>
      <c r="K592" s="61">
        <f>11.1976 * CHOOSE(CONTROL!$C$22, $C$13, 100%, $E$13)</f>
        <v>11.1976</v>
      </c>
    </row>
    <row r="593" spans="1:11" ht="15">
      <c r="A593" s="13">
        <v>59902</v>
      </c>
      <c r="B593" s="60">
        <f>9.7011 * CHOOSE(CONTROL!$C$22, $C$13, 100%, $E$13)</f>
        <v>9.7011000000000003</v>
      </c>
      <c r="C593" s="60">
        <f>9.7011 * CHOOSE(CONTROL!$C$22, $C$13, 100%, $E$13)</f>
        <v>9.7011000000000003</v>
      </c>
      <c r="D593" s="60">
        <f>9.7174 * CHOOSE(CONTROL!$C$22, $C$13, 100%, $E$13)</f>
        <v>9.7173999999999996</v>
      </c>
      <c r="E593" s="61">
        <f>11.3263 * CHOOSE(CONTROL!$C$22, $C$13, 100%, $E$13)</f>
        <v>11.3263</v>
      </c>
      <c r="F593" s="61">
        <f>11.3263 * CHOOSE(CONTROL!$C$22, $C$13, 100%, $E$13)</f>
        <v>11.3263</v>
      </c>
      <c r="G593" s="61">
        <f>11.3264 * CHOOSE(CONTROL!$C$22, $C$13, 100%, $E$13)</f>
        <v>11.3264</v>
      </c>
      <c r="H593" s="61">
        <f>18.9699* CHOOSE(CONTROL!$C$22, $C$13, 100%, $E$13)</f>
        <v>18.969899999999999</v>
      </c>
      <c r="I593" s="61">
        <f>18.97 * CHOOSE(CONTROL!$C$22, $C$13, 100%, $E$13)</f>
        <v>18.97</v>
      </c>
      <c r="J593" s="61">
        <f>11.3263 * CHOOSE(CONTROL!$C$22, $C$13, 100%, $E$13)</f>
        <v>11.3263</v>
      </c>
      <c r="K593" s="61">
        <f>11.3264 * CHOOSE(CONTROL!$C$22, $C$13, 100%, $E$13)</f>
        <v>11.3264</v>
      </c>
    </row>
    <row r="594" spans="1:11" ht="15">
      <c r="A594" s="13">
        <v>59933</v>
      </c>
      <c r="B594" s="60">
        <f>9.698 * CHOOSE(CONTROL!$C$22, $C$13, 100%, $E$13)</f>
        <v>9.6980000000000004</v>
      </c>
      <c r="C594" s="60">
        <f>9.698 * CHOOSE(CONTROL!$C$22, $C$13, 100%, $E$13)</f>
        <v>9.6980000000000004</v>
      </c>
      <c r="D594" s="60">
        <f>9.7144 * CHOOSE(CONTROL!$C$22, $C$13, 100%, $E$13)</f>
        <v>9.7143999999999995</v>
      </c>
      <c r="E594" s="61">
        <f>11.2003 * CHOOSE(CONTROL!$C$22, $C$13, 100%, $E$13)</f>
        <v>11.2003</v>
      </c>
      <c r="F594" s="61">
        <f>11.2003 * CHOOSE(CONTROL!$C$22, $C$13, 100%, $E$13)</f>
        <v>11.2003</v>
      </c>
      <c r="G594" s="61">
        <f>11.2005 * CHOOSE(CONTROL!$C$22, $C$13, 100%, $E$13)</f>
        <v>11.2005</v>
      </c>
      <c r="H594" s="61">
        <f>19.0094* CHOOSE(CONTROL!$C$22, $C$13, 100%, $E$13)</f>
        <v>19.009399999999999</v>
      </c>
      <c r="I594" s="61">
        <f>19.0096 * CHOOSE(CONTROL!$C$22, $C$13, 100%, $E$13)</f>
        <v>19.009599999999999</v>
      </c>
      <c r="J594" s="61">
        <f>11.2003 * CHOOSE(CONTROL!$C$22, $C$13, 100%, $E$13)</f>
        <v>11.2003</v>
      </c>
      <c r="K594" s="61">
        <f>11.2005 * CHOOSE(CONTROL!$C$22, $C$13, 100%, $E$13)</f>
        <v>11.2005</v>
      </c>
    </row>
    <row r="595" spans="1:11" ht="15">
      <c r="A595" s="13">
        <v>59962</v>
      </c>
      <c r="B595" s="60">
        <f>9.695 * CHOOSE(CONTROL!$C$22, $C$13, 100%, $E$13)</f>
        <v>9.6950000000000003</v>
      </c>
      <c r="C595" s="60">
        <f>9.695 * CHOOSE(CONTROL!$C$22, $C$13, 100%, $E$13)</f>
        <v>9.6950000000000003</v>
      </c>
      <c r="D595" s="60">
        <f>9.7113 * CHOOSE(CONTROL!$C$22, $C$13, 100%, $E$13)</f>
        <v>9.7112999999999996</v>
      </c>
      <c r="E595" s="61">
        <f>11.2958 * CHOOSE(CONTROL!$C$22, $C$13, 100%, $E$13)</f>
        <v>11.2958</v>
      </c>
      <c r="F595" s="61">
        <f>11.2958 * CHOOSE(CONTROL!$C$22, $C$13, 100%, $E$13)</f>
        <v>11.2958</v>
      </c>
      <c r="G595" s="61">
        <f>11.296 * CHOOSE(CONTROL!$C$22, $C$13, 100%, $E$13)</f>
        <v>11.295999999999999</v>
      </c>
      <c r="H595" s="61">
        <f>19.049* CHOOSE(CONTROL!$C$22, $C$13, 100%, $E$13)</f>
        <v>19.048999999999999</v>
      </c>
      <c r="I595" s="61">
        <f>19.0492 * CHOOSE(CONTROL!$C$22, $C$13, 100%, $E$13)</f>
        <v>19.049199999999999</v>
      </c>
      <c r="J595" s="61">
        <f>11.2958 * CHOOSE(CONTROL!$C$22, $C$13, 100%, $E$13)</f>
        <v>11.2958</v>
      </c>
      <c r="K595" s="61">
        <f>11.296 * CHOOSE(CONTROL!$C$22, $C$13, 100%, $E$13)</f>
        <v>11.295999999999999</v>
      </c>
    </row>
    <row r="596" spans="1:11" ht="15">
      <c r="A596" s="13">
        <v>59993</v>
      </c>
      <c r="B596" s="60">
        <f>9.6976 * CHOOSE(CONTROL!$C$22, $C$13, 100%, $E$13)</f>
        <v>9.6975999999999996</v>
      </c>
      <c r="C596" s="60">
        <f>9.6976 * CHOOSE(CONTROL!$C$22, $C$13, 100%, $E$13)</f>
        <v>9.6975999999999996</v>
      </c>
      <c r="D596" s="60">
        <f>9.7139 * CHOOSE(CONTROL!$C$22, $C$13, 100%, $E$13)</f>
        <v>9.7139000000000006</v>
      </c>
      <c r="E596" s="61">
        <f>11.3964 * CHOOSE(CONTROL!$C$22, $C$13, 100%, $E$13)</f>
        <v>11.3964</v>
      </c>
      <c r="F596" s="61">
        <f>11.3964 * CHOOSE(CONTROL!$C$22, $C$13, 100%, $E$13)</f>
        <v>11.3964</v>
      </c>
      <c r="G596" s="61">
        <f>11.3966 * CHOOSE(CONTROL!$C$22, $C$13, 100%, $E$13)</f>
        <v>11.396599999999999</v>
      </c>
      <c r="H596" s="61">
        <f>19.0887* CHOOSE(CONTROL!$C$22, $C$13, 100%, $E$13)</f>
        <v>19.088699999999999</v>
      </c>
      <c r="I596" s="61">
        <f>19.0889 * CHOOSE(CONTROL!$C$22, $C$13, 100%, $E$13)</f>
        <v>19.088899999999999</v>
      </c>
      <c r="J596" s="61">
        <f>11.3964 * CHOOSE(CONTROL!$C$22, $C$13, 100%, $E$13)</f>
        <v>11.3964</v>
      </c>
      <c r="K596" s="61">
        <f>11.3966 * CHOOSE(CONTROL!$C$22, $C$13, 100%, $E$13)</f>
        <v>11.396599999999999</v>
      </c>
    </row>
    <row r="597" spans="1:11" ht="15">
      <c r="A597" s="13">
        <v>60023</v>
      </c>
      <c r="B597" s="60">
        <f>9.6976 * CHOOSE(CONTROL!$C$22, $C$13, 100%, $E$13)</f>
        <v>9.6975999999999996</v>
      </c>
      <c r="C597" s="60">
        <f>9.6976 * CHOOSE(CONTROL!$C$22, $C$13, 100%, $E$13)</f>
        <v>9.6975999999999996</v>
      </c>
      <c r="D597" s="60">
        <f>9.7302 * CHOOSE(CONTROL!$C$22, $C$13, 100%, $E$13)</f>
        <v>9.7302</v>
      </c>
      <c r="E597" s="61">
        <f>11.4357 * CHOOSE(CONTROL!$C$22, $C$13, 100%, $E$13)</f>
        <v>11.435700000000001</v>
      </c>
      <c r="F597" s="61">
        <f>11.4357 * CHOOSE(CONTROL!$C$22, $C$13, 100%, $E$13)</f>
        <v>11.435700000000001</v>
      </c>
      <c r="G597" s="61">
        <f>11.4378 * CHOOSE(CONTROL!$C$22, $C$13, 100%, $E$13)</f>
        <v>11.437799999999999</v>
      </c>
      <c r="H597" s="61">
        <f>19.1284* CHOOSE(CONTROL!$C$22, $C$13, 100%, $E$13)</f>
        <v>19.128399999999999</v>
      </c>
      <c r="I597" s="61">
        <f>19.1305 * CHOOSE(CONTROL!$C$22, $C$13, 100%, $E$13)</f>
        <v>19.130500000000001</v>
      </c>
      <c r="J597" s="61">
        <f>11.4357 * CHOOSE(CONTROL!$C$22, $C$13, 100%, $E$13)</f>
        <v>11.435700000000001</v>
      </c>
      <c r="K597" s="61">
        <f>11.4378 * CHOOSE(CONTROL!$C$22, $C$13, 100%, $E$13)</f>
        <v>11.437799999999999</v>
      </c>
    </row>
    <row r="598" spans="1:11" ht="15">
      <c r="A598" s="13">
        <v>60054</v>
      </c>
      <c r="B598" s="60">
        <f>9.7037 * CHOOSE(CONTROL!$C$22, $C$13, 100%, $E$13)</f>
        <v>9.7036999999999995</v>
      </c>
      <c r="C598" s="60">
        <f>9.7037 * CHOOSE(CONTROL!$C$22, $C$13, 100%, $E$13)</f>
        <v>9.7036999999999995</v>
      </c>
      <c r="D598" s="60">
        <f>9.7363 * CHOOSE(CONTROL!$C$22, $C$13, 100%, $E$13)</f>
        <v>9.7363</v>
      </c>
      <c r="E598" s="61">
        <f>11.4007 * CHOOSE(CONTROL!$C$22, $C$13, 100%, $E$13)</f>
        <v>11.400700000000001</v>
      </c>
      <c r="F598" s="61">
        <f>11.4007 * CHOOSE(CONTROL!$C$22, $C$13, 100%, $E$13)</f>
        <v>11.400700000000001</v>
      </c>
      <c r="G598" s="61">
        <f>11.4027 * CHOOSE(CONTROL!$C$22, $C$13, 100%, $E$13)</f>
        <v>11.402699999999999</v>
      </c>
      <c r="H598" s="61">
        <f>19.1683* CHOOSE(CONTROL!$C$22, $C$13, 100%, $E$13)</f>
        <v>19.168299999999999</v>
      </c>
      <c r="I598" s="61">
        <f>19.1703 * CHOOSE(CONTROL!$C$22, $C$13, 100%, $E$13)</f>
        <v>19.170300000000001</v>
      </c>
      <c r="J598" s="61">
        <f>11.4007 * CHOOSE(CONTROL!$C$22, $C$13, 100%, $E$13)</f>
        <v>11.400700000000001</v>
      </c>
      <c r="K598" s="61">
        <f>11.4027 * CHOOSE(CONTROL!$C$22, $C$13, 100%, $E$13)</f>
        <v>11.402699999999999</v>
      </c>
    </row>
    <row r="599" spans="1:11" ht="15">
      <c r="A599" s="13">
        <v>60084</v>
      </c>
      <c r="B599" s="60">
        <f>9.8589 * CHOOSE(CONTROL!$C$22, $C$13, 100%, $E$13)</f>
        <v>9.8589000000000002</v>
      </c>
      <c r="C599" s="60">
        <f>9.8589 * CHOOSE(CONTROL!$C$22, $C$13, 100%, $E$13)</f>
        <v>9.8589000000000002</v>
      </c>
      <c r="D599" s="60">
        <f>9.8916 * CHOOSE(CONTROL!$C$22, $C$13, 100%, $E$13)</f>
        <v>9.8916000000000004</v>
      </c>
      <c r="E599" s="61">
        <f>11.6209 * CHOOSE(CONTROL!$C$22, $C$13, 100%, $E$13)</f>
        <v>11.620900000000001</v>
      </c>
      <c r="F599" s="61">
        <f>11.6209 * CHOOSE(CONTROL!$C$22, $C$13, 100%, $E$13)</f>
        <v>11.620900000000001</v>
      </c>
      <c r="G599" s="61">
        <f>11.623 * CHOOSE(CONTROL!$C$22, $C$13, 100%, $E$13)</f>
        <v>11.622999999999999</v>
      </c>
      <c r="H599" s="61">
        <f>19.2082* CHOOSE(CONTROL!$C$22, $C$13, 100%, $E$13)</f>
        <v>19.208200000000001</v>
      </c>
      <c r="I599" s="61">
        <f>19.2103 * CHOOSE(CONTROL!$C$22, $C$13, 100%, $E$13)</f>
        <v>19.2103</v>
      </c>
      <c r="J599" s="61">
        <f>11.6209 * CHOOSE(CONTROL!$C$22, $C$13, 100%, $E$13)</f>
        <v>11.620900000000001</v>
      </c>
      <c r="K599" s="61">
        <f>11.623 * CHOOSE(CONTROL!$C$22, $C$13, 100%, $E$13)</f>
        <v>11.622999999999999</v>
      </c>
    </row>
    <row r="600" spans="1:11" ht="15">
      <c r="A600" s="13">
        <v>60115</v>
      </c>
      <c r="B600" s="60">
        <f>9.8656 * CHOOSE(CONTROL!$C$22, $C$13, 100%, $E$13)</f>
        <v>9.8656000000000006</v>
      </c>
      <c r="C600" s="60">
        <f>9.8656 * CHOOSE(CONTROL!$C$22, $C$13, 100%, $E$13)</f>
        <v>9.8656000000000006</v>
      </c>
      <c r="D600" s="60">
        <f>9.8983 * CHOOSE(CONTROL!$C$22, $C$13, 100%, $E$13)</f>
        <v>9.8983000000000008</v>
      </c>
      <c r="E600" s="61">
        <f>11.5076 * CHOOSE(CONTROL!$C$22, $C$13, 100%, $E$13)</f>
        <v>11.5076</v>
      </c>
      <c r="F600" s="61">
        <f>11.5076 * CHOOSE(CONTROL!$C$22, $C$13, 100%, $E$13)</f>
        <v>11.5076</v>
      </c>
      <c r="G600" s="61">
        <f>11.5097 * CHOOSE(CONTROL!$C$22, $C$13, 100%, $E$13)</f>
        <v>11.5097</v>
      </c>
      <c r="H600" s="61">
        <f>19.2483* CHOOSE(CONTROL!$C$22, $C$13, 100%, $E$13)</f>
        <v>19.2483</v>
      </c>
      <c r="I600" s="61">
        <f>19.2503 * CHOOSE(CONTROL!$C$22, $C$13, 100%, $E$13)</f>
        <v>19.250299999999999</v>
      </c>
      <c r="J600" s="61">
        <f>11.5076 * CHOOSE(CONTROL!$C$22, $C$13, 100%, $E$13)</f>
        <v>11.5076</v>
      </c>
      <c r="K600" s="61">
        <f>11.5097 * CHOOSE(CONTROL!$C$22, $C$13, 100%, $E$13)</f>
        <v>11.5097</v>
      </c>
    </row>
    <row r="601" spans="1:11" ht="15">
      <c r="A601" s="13">
        <v>60146</v>
      </c>
      <c r="B601" s="60">
        <f>9.8626 * CHOOSE(CONTROL!$C$22, $C$13, 100%, $E$13)</f>
        <v>9.8626000000000005</v>
      </c>
      <c r="C601" s="60">
        <f>9.8626 * CHOOSE(CONTROL!$C$22, $C$13, 100%, $E$13)</f>
        <v>9.8626000000000005</v>
      </c>
      <c r="D601" s="60">
        <f>9.8952 * CHOOSE(CONTROL!$C$22, $C$13, 100%, $E$13)</f>
        <v>9.8952000000000009</v>
      </c>
      <c r="E601" s="61">
        <f>11.4924 * CHOOSE(CONTROL!$C$22, $C$13, 100%, $E$13)</f>
        <v>11.4924</v>
      </c>
      <c r="F601" s="61">
        <f>11.4924 * CHOOSE(CONTROL!$C$22, $C$13, 100%, $E$13)</f>
        <v>11.4924</v>
      </c>
      <c r="G601" s="61">
        <f>11.4944 * CHOOSE(CONTROL!$C$22, $C$13, 100%, $E$13)</f>
        <v>11.494400000000001</v>
      </c>
      <c r="H601" s="61">
        <f>19.2884* CHOOSE(CONTROL!$C$22, $C$13, 100%, $E$13)</f>
        <v>19.288399999999999</v>
      </c>
      <c r="I601" s="61">
        <f>19.2904 * CHOOSE(CONTROL!$C$22, $C$13, 100%, $E$13)</f>
        <v>19.290400000000002</v>
      </c>
      <c r="J601" s="61">
        <f>11.4924 * CHOOSE(CONTROL!$C$22, $C$13, 100%, $E$13)</f>
        <v>11.4924</v>
      </c>
      <c r="K601" s="61">
        <f>11.4944 * CHOOSE(CONTROL!$C$22, $C$13, 100%, $E$13)</f>
        <v>11.494400000000001</v>
      </c>
    </row>
    <row r="602" spans="1:11" ht="15">
      <c r="A602" s="13">
        <v>60176</v>
      </c>
      <c r="B602" s="60">
        <f>9.8772 * CHOOSE(CONTROL!$C$22, $C$13, 100%, $E$13)</f>
        <v>9.8772000000000002</v>
      </c>
      <c r="C602" s="60">
        <f>9.8772 * CHOOSE(CONTROL!$C$22, $C$13, 100%, $E$13)</f>
        <v>9.8772000000000002</v>
      </c>
      <c r="D602" s="60">
        <f>9.8935 * CHOOSE(CONTROL!$C$22, $C$13, 100%, $E$13)</f>
        <v>9.8934999999999995</v>
      </c>
      <c r="E602" s="61">
        <f>11.5314 * CHOOSE(CONTROL!$C$22, $C$13, 100%, $E$13)</f>
        <v>11.5314</v>
      </c>
      <c r="F602" s="61">
        <f>11.5314 * CHOOSE(CONTROL!$C$22, $C$13, 100%, $E$13)</f>
        <v>11.5314</v>
      </c>
      <c r="G602" s="61">
        <f>11.5316 * CHOOSE(CONTROL!$C$22, $C$13, 100%, $E$13)</f>
        <v>11.531599999999999</v>
      </c>
      <c r="H602" s="61">
        <f>19.3285* CHOOSE(CONTROL!$C$22, $C$13, 100%, $E$13)</f>
        <v>19.328499999999998</v>
      </c>
      <c r="I602" s="61">
        <f>19.3287 * CHOOSE(CONTROL!$C$22, $C$13, 100%, $E$13)</f>
        <v>19.328700000000001</v>
      </c>
      <c r="J602" s="61">
        <f>11.5314 * CHOOSE(CONTROL!$C$22, $C$13, 100%, $E$13)</f>
        <v>11.5314</v>
      </c>
      <c r="K602" s="61">
        <f>11.5316 * CHOOSE(CONTROL!$C$22, $C$13, 100%, $E$13)</f>
        <v>11.531599999999999</v>
      </c>
    </row>
    <row r="603" spans="1:11" ht="15">
      <c r="A603" s="13">
        <v>60207</v>
      </c>
      <c r="B603" s="60">
        <f>9.8802 * CHOOSE(CONTROL!$C$22, $C$13, 100%, $E$13)</f>
        <v>9.8802000000000003</v>
      </c>
      <c r="C603" s="60">
        <f>9.8802 * CHOOSE(CONTROL!$C$22, $C$13, 100%, $E$13)</f>
        <v>9.8802000000000003</v>
      </c>
      <c r="D603" s="60">
        <f>9.8965 * CHOOSE(CONTROL!$C$22, $C$13, 100%, $E$13)</f>
        <v>9.8964999999999996</v>
      </c>
      <c r="E603" s="61">
        <f>11.5597 * CHOOSE(CONTROL!$C$22, $C$13, 100%, $E$13)</f>
        <v>11.559699999999999</v>
      </c>
      <c r="F603" s="61">
        <f>11.5597 * CHOOSE(CONTROL!$C$22, $C$13, 100%, $E$13)</f>
        <v>11.559699999999999</v>
      </c>
      <c r="G603" s="61">
        <f>11.5599 * CHOOSE(CONTROL!$C$22, $C$13, 100%, $E$13)</f>
        <v>11.559900000000001</v>
      </c>
      <c r="H603" s="61">
        <f>19.3688* CHOOSE(CONTROL!$C$22, $C$13, 100%, $E$13)</f>
        <v>19.3688</v>
      </c>
      <c r="I603" s="61">
        <f>19.369 * CHOOSE(CONTROL!$C$22, $C$13, 100%, $E$13)</f>
        <v>19.369</v>
      </c>
      <c r="J603" s="61">
        <f>11.5597 * CHOOSE(CONTROL!$C$22, $C$13, 100%, $E$13)</f>
        <v>11.559699999999999</v>
      </c>
      <c r="K603" s="61">
        <f>11.5599 * CHOOSE(CONTROL!$C$22, $C$13, 100%, $E$13)</f>
        <v>11.559900000000001</v>
      </c>
    </row>
    <row r="604" spans="1:11" ht="15">
      <c r="A604" s="13">
        <v>60237</v>
      </c>
      <c r="B604" s="60">
        <f>9.8802 * CHOOSE(CONTROL!$C$22, $C$13, 100%, $E$13)</f>
        <v>9.8802000000000003</v>
      </c>
      <c r="C604" s="60">
        <f>9.8802 * CHOOSE(CONTROL!$C$22, $C$13, 100%, $E$13)</f>
        <v>9.8802000000000003</v>
      </c>
      <c r="D604" s="60">
        <f>9.8965 * CHOOSE(CONTROL!$C$22, $C$13, 100%, $E$13)</f>
        <v>9.8964999999999996</v>
      </c>
      <c r="E604" s="61">
        <f>11.4942 * CHOOSE(CONTROL!$C$22, $C$13, 100%, $E$13)</f>
        <v>11.494199999999999</v>
      </c>
      <c r="F604" s="61">
        <f>11.4942 * CHOOSE(CONTROL!$C$22, $C$13, 100%, $E$13)</f>
        <v>11.494199999999999</v>
      </c>
      <c r="G604" s="61">
        <f>11.4944 * CHOOSE(CONTROL!$C$22, $C$13, 100%, $E$13)</f>
        <v>11.494400000000001</v>
      </c>
      <c r="H604" s="61">
        <f>19.4092* CHOOSE(CONTROL!$C$22, $C$13, 100%, $E$13)</f>
        <v>19.409199999999998</v>
      </c>
      <c r="I604" s="61">
        <f>19.4093 * CHOOSE(CONTROL!$C$22, $C$13, 100%, $E$13)</f>
        <v>19.409300000000002</v>
      </c>
      <c r="J604" s="61">
        <f>11.4942 * CHOOSE(CONTROL!$C$22, $C$13, 100%, $E$13)</f>
        <v>11.494199999999999</v>
      </c>
      <c r="K604" s="61">
        <f>11.4944 * CHOOSE(CONTROL!$C$22, $C$13, 100%, $E$13)</f>
        <v>11.494400000000001</v>
      </c>
    </row>
    <row r="605" spans="1:11" ht="15">
      <c r="A605" s="13">
        <v>60268</v>
      </c>
      <c r="B605" s="60">
        <f>9.9464 * CHOOSE(CONTROL!$C$22, $C$13, 100%, $E$13)</f>
        <v>9.9464000000000006</v>
      </c>
      <c r="C605" s="60">
        <f>9.9464 * CHOOSE(CONTROL!$C$22, $C$13, 100%, $E$13)</f>
        <v>9.9464000000000006</v>
      </c>
      <c r="D605" s="60">
        <f>9.9627 * CHOOSE(CONTROL!$C$22, $C$13, 100%, $E$13)</f>
        <v>9.9626999999999999</v>
      </c>
      <c r="E605" s="61">
        <f>11.6187 * CHOOSE(CONTROL!$C$22, $C$13, 100%, $E$13)</f>
        <v>11.6187</v>
      </c>
      <c r="F605" s="61">
        <f>11.6187 * CHOOSE(CONTROL!$C$22, $C$13, 100%, $E$13)</f>
        <v>11.6187</v>
      </c>
      <c r="G605" s="61">
        <f>11.6188 * CHOOSE(CONTROL!$C$22, $C$13, 100%, $E$13)</f>
        <v>11.6188</v>
      </c>
      <c r="H605" s="61">
        <f>19.4158* CHOOSE(CONTROL!$C$22, $C$13, 100%, $E$13)</f>
        <v>19.415800000000001</v>
      </c>
      <c r="I605" s="61">
        <f>19.4159 * CHOOSE(CONTROL!$C$22, $C$13, 100%, $E$13)</f>
        <v>19.415900000000001</v>
      </c>
      <c r="J605" s="61">
        <f>11.6187 * CHOOSE(CONTROL!$C$22, $C$13, 100%, $E$13)</f>
        <v>11.6187</v>
      </c>
      <c r="K605" s="61">
        <f>11.6188 * CHOOSE(CONTROL!$C$22, $C$13, 100%, $E$13)</f>
        <v>11.6188</v>
      </c>
    </row>
    <row r="606" spans="1:11" ht="15">
      <c r="A606" s="13">
        <v>60299</v>
      </c>
      <c r="B606" s="60">
        <f>9.9433 * CHOOSE(CONTROL!$C$22, $C$13, 100%, $E$13)</f>
        <v>9.9433000000000007</v>
      </c>
      <c r="C606" s="60">
        <f>9.9433 * CHOOSE(CONTROL!$C$22, $C$13, 100%, $E$13)</f>
        <v>9.9433000000000007</v>
      </c>
      <c r="D606" s="60">
        <f>9.9597 * CHOOSE(CONTROL!$C$22, $C$13, 100%, $E$13)</f>
        <v>9.9596999999999998</v>
      </c>
      <c r="E606" s="61">
        <f>11.4895 * CHOOSE(CONTROL!$C$22, $C$13, 100%, $E$13)</f>
        <v>11.4895</v>
      </c>
      <c r="F606" s="61">
        <f>11.4895 * CHOOSE(CONTROL!$C$22, $C$13, 100%, $E$13)</f>
        <v>11.4895</v>
      </c>
      <c r="G606" s="61">
        <f>11.4897 * CHOOSE(CONTROL!$C$22, $C$13, 100%, $E$13)</f>
        <v>11.489699999999999</v>
      </c>
      <c r="H606" s="61">
        <f>19.4562* CHOOSE(CONTROL!$C$22, $C$13, 100%, $E$13)</f>
        <v>19.456199999999999</v>
      </c>
      <c r="I606" s="61">
        <f>19.4564 * CHOOSE(CONTROL!$C$22, $C$13, 100%, $E$13)</f>
        <v>19.456399999999999</v>
      </c>
      <c r="J606" s="61">
        <f>11.4895 * CHOOSE(CONTROL!$C$22, $C$13, 100%, $E$13)</f>
        <v>11.4895</v>
      </c>
      <c r="K606" s="61">
        <f>11.4897 * CHOOSE(CONTROL!$C$22, $C$13, 100%, $E$13)</f>
        <v>11.489699999999999</v>
      </c>
    </row>
    <row r="607" spans="1:11" ht="15">
      <c r="A607" s="13">
        <v>60327</v>
      </c>
      <c r="B607" s="60">
        <f>9.9403 * CHOOSE(CONTROL!$C$22, $C$13, 100%, $E$13)</f>
        <v>9.9403000000000006</v>
      </c>
      <c r="C607" s="60">
        <f>9.9403 * CHOOSE(CONTROL!$C$22, $C$13, 100%, $E$13)</f>
        <v>9.9403000000000006</v>
      </c>
      <c r="D607" s="60">
        <f>9.9566 * CHOOSE(CONTROL!$C$22, $C$13, 100%, $E$13)</f>
        <v>9.9565999999999999</v>
      </c>
      <c r="E607" s="61">
        <f>11.5875 * CHOOSE(CONTROL!$C$22, $C$13, 100%, $E$13)</f>
        <v>11.5875</v>
      </c>
      <c r="F607" s="61">
        <f>11.5875 * CHOOSE(CONTROL!$C$22, $C$13, 100%, $E$13)</f>
        <v>11.5875</v>
      </c>
      <c r="G607" s="61">
        <f>11.5877 * CHOOSE(CONTROL!$C$22, $C$13, 100%, $E$13)</f>
        <v>11.5877</v>
      </c>
      <c r="H607" s="61">
        <f>19.4967* CHOOSE(CONTROL!$C$22, $C$13, 100%, $E$13)</f>
        <v>19.496700000000001</v>
      </c>
      <c r="I607" s="61">
        <f>19.4969 * CHOOSE(CONTROL!$C$22, $C$13, 100%, $E$13)</f>
        <v>19.4969</v>
      </c>
      <c r="J607" s="61">
        <f>11.5875 * CHOOSE(CONTROL!$C$22, $C$13, 100%, $E$13)</f>
        <v>11.5875</v>
      </c>
      <c r="K607" s="61">
        <f>11.5877 * CHOOSE(CONTROL!$C$22, $C$13, 100%, $E$13)</f>
        <v>11.5877</v>
      </c>
    </row>
    <row r="608" spans="1:11" ht="15">
      <c r="A608" s="13">
        <v>60358</v>
      </c>
      <c r="B608" s="60">
        <f>9.9431 * CHOOSE(CONTROL!$C$22, $C$13, 100%, $E$13)</f>
        <v>9.9430999999999994</v>
      </c>
      <c r="C608" s="60">
        <f>9.9431 * CHOOSE(CONTROL!$C$22, $C$13, 100%, $E$13)</f>
        <v>9.9430999999999994</v>
      </c>
      <c r="D608" s="60">
        <f>9.9594 * CHOOSE(CONTROL!$C$22, $C$13, 100%, $E$13)</f>
        <v>9.9594000000000005</v>
      </c>
      <c r="E608" s="61">
        <f>11.6909 * CHOOSE(CONTROL!$C$22, $C$13, 100%, $E$13)</f>
        <v>11.690899999999999</v>
      </c>
      <c r="F608" s="61">
        <f>11.6909 * CHOOSE(CONTROL!$C$22, $C$13, 100%, $E$13)</f>
        <v>11.690899999999999</v>
      </c>
      <c r="G608" s="61">
        <f>11.691 * CHOOSE(CONTROL!$C$22, $C$13, 100%, $E$13)</f>
        <v>11.691000000000001</v>
      </c>
      <c r="H608" s="61">
        <f>19.5374* CHOOSE(CONTROL!$C$22, $C$13, 100%, $E$13)</f>
        <v>19.537400000000002</v>
      </c>
      <c r="I608" s="61">
        <f>19.5375 * CHOOSE(CONTROL!$C$22, $C$13, 100%, $E$13)</f>
        <v>19.537500000000001</v>
      </c>
      <c r="J608" s="61">
        <f>11.6909 * CHOOSE(CONTROL!$C$22, $C$13, 100%, $E$13)</f>
        <v>11.690899999999999</v>
      </c>
      <c r="K608" s="61">
        <f>11.691 * CHOOSE(CONTROL!$C$22, $C$13, 100%, $E$13)</f>
        <v>11.691000000000001</v>
      </c>
    </row>
    <row r="609" spans="1:11" ht="15">
      <c r="A609" s="13">
        <v>60388</v>
      </c>
      <c r="B609" s="60">
        <f>9.9431 * CHOOSE(CONTROL!$C$22, $C$13, 100%, $E$13)</f>
        <v>9.9430999999999994</v>
      </c>
      <c r="C609" s="60">
        <f>9.9431 * CHOOSE(CONTROL!$C$22, $C$13, 100%, $E$13)</f>
        <v>9.9430999999999994</v>
      </c>
      <c r="D609" s="60">
        <f>9.9758 * CHOOSE(CONTROL!$C$22, $C$13, 100%, $E$13)</f>
        <v>9.9757999999999996</v>
      </c>
      <c r="E609" s="61">
        <f>11.7312 * CHOOSE(CONTROL!$C$22, $C$13, 100%, $E$13)</f>
        <v>11.731199999999999</v>
      </c>
      <c r="F609" s="61">
        <f>11.7312 * CHOOSE(CONTROL!$C$22, $C$13, 100%, $E$13)</f>
        <v>11.731199999999999</v>
      </c>
      <c r="G609" s="61">
        <f>11.7332 * CHOOSE(CONTROL!$C$22, $C$13, 100%, $E$13)</f>
        <v>11.7332</v>
      </c>
      <c r="H609" s="61">
        <f>19.5781* CHOOSE(CONTROL!$C$22, $C$13, 100%, $E$13)</f>
        <v>19.578099999999999</v>
      </c>
      <c r="I609" s="61">
        <f>19.5801 * CHOOSE(CONTROL!$C$22, $C$13, 100%, $E$13)</f>
        <v>19.580100000000002</v>
      </c>
      <c r="J609" s="61">
        <f>11.7312 * CHOOSE(CONTROL!$C$22, $C$13, 100%, $E$13)</f>
        <v>11.731199999999999</v>
      </c>
      <c r="K609" s="61">
        <f>11.7332 * CHOOSE(CONTROL!$C$22, $C$13, 100%, $E$13)</f>
        <v>11.7332</v>
      </c>
    </row>
    <row r="610" spans="1:11" ht="15">
      <c r="A610" s="13">
        <v>60419</v>
      </c>
      <c r="B610" s="60">
        <f>9.9492 * CHOOSE(CONTROL!$C$22, $C$13, 100%, $E$13)</f>
        <v>9.9491999999999994</v>
      </c>
      <c r="C610" s="60">
        <f>9.9492 * CHOOSE(CONTROL!$C$22, $C$13, 100%, $E$13)</f>
        <v>9.9491999999999994</v>
      </c>
      <c r="D610" s="60">
        <f>9.9819 * CHOOSE(CONTROL!$C$22, $C$13, 100%, $E$13)</f>
        <v>9.9818999999999996</v>
      </c>
      <c r="E610" s="61">
        <f>11.6951 * CHOOSE(CONTROL!$C$22, $C$13, 100%, $E$13)</f>
        <v>11.6951</v>
      </c>
      <c r="F610" s="61">
        <f>11.6951 * CHOOSE(CONTROL!$C$22, $C$13, 100%, $E$13)</f>
        <v>11.6951</v>
      </c>
      <c r="G610" s="61">
        <f>11.6971 * CHOOSE(CONTROL!$C$22, $C$13, 100%, $E$13)</f>
        <v>11.697100000000001</v>
      </c>
      <c r="H610" s="61">
        <f>19.6189* CHOOSE(CONTROL!$C$22, $C$13, 100%, $E$13)</f>
        <v>19.6189</v>
      </c>
      <c r="I610" s="61">
        <f>19.6209 * CHOOSE(CONTROL!$C$22, $C$13, 100%, $E$13)</f>
        <v>19.620899999999999</v>
      </c>
      <c r="J610" s="61">
        <f>11.6951 * CHOOSE(CONTROL!$C$22, $C$13, 100%, $E$13)</f>
        <v>11.6951</v>
      </c>
      <c r="K610" s="61">
        <f>11.6971 * CHOOSE(CONTROL!$C$22, $C$13, 100%, $E$13)</f>
        <v>11.697100000000001</v>
      </c>
    </row>
    <row r="611" spans="1:11" ht="15">
      <c r="A611" s="13">
        <v>60449</v>
      </c>
      <c r="B611" s="60">
        <f>10.1081 * CHOOSE(CONTROL!$C$22, $C$13, 100%, $E$13)</f>
        <v>10.1081</v>
      </c>
      <c r="C611" s="60">
        <f>10.1081 * CHOOSE(CONTROL!$C$22, $C$13, 100%, $E$13)</f>
        <v>10.1081</v>
      </c>
      <c r="D611" s="60">
        <f>10.1408 * CHOOSE(CONTROL!$C$22, $C$13, 100%, $E$13)</f>
        <v>10.1408</v>
      </c>
      <c r="E611" s="61">
        <f>11.9208 * CHOOSE(CONTROL!$C$22, $C$13, 100%, $E$13)</f>
        <v>11.9208</v>
      </c>
      <c r="F611" s="61">
        <f>11.9208 * CHOOSE(CONTROL!$C$22, $C$13, 100%, $E$13)</f>
        <v>11.9208</v>
      </c>
      <c r="G611" s="61">
        <f>11.9228 * CHOOSE(CONTROL!$C$22, $C$13, 100%, $E$13)</f>
        <v>11.922800000000001</v>
      </c>
      <c r="H611" s="61">
        <f>19.6597* CHOOSE(CONTROL!$C$22, $C$13, 100%, $E$13)</f>
        <v>19.659700000000001</v>
      </c>
      <c r="I611" s="61">
        <f>19.6618 * CHOOSE(CONTROL!$C$22, $C$13, 100%, $E$13)</f>
        <v>19.661799999999999</v>
      </c>
      <c r="J611" s="61">
        <f>11.9208 * CHOOSE(CONTROL!$C$22, $C$13, 100%, $E$13)</f>
        <v>11.9208</v>
      </c>
      <c r="K611" s="61">
        <f>11.9228 * CHOOSE(CONTROL!$C$22, $C$13, 100%, $E$13)</f>
        <v>11.922800000000001</v>
      </c>
    </row>
    <row r="612" spans="1:11" ht="15">
      <c r="A612" s="13">
        <v>60480</v>
      </c>
      <c r="B612" s="60">
        <f>10.1148 * CHOOSE(CONTROL!$C$22, $C$13, 100%, $E$13)</f>
        <v>10.114800000000001</v>
      </c>
      <c r="C612" s="60">
        <f>10.1148 * CHOOSE(CONTROL!$C$22, $C$13, 100%, $E$13)</f>
        <v>10.114800000000001</v>
      </c>
      <c r="D612" s="60">
        <f>10.1475 * CHOOSE(CONTROL!$C$22, $C$13, 100%, $E$13)</f>
        <v>10.147500000000001</v>
      </c>
      <c r="E612" s="61">
        <f>11.8045 * CHOOSE(CONTROL!$C$22, $C$13, 100%, $E$13)</f>
        <v>11.804500000000001</v>
      </c>
      <c r="F612" s="61">
        <f>11.8045 * CHOOSE(CONTROL!$C$22, $C$13, 100%, $E$13)</f>
        <v>11.804500000000001</v>
      </c>
      <c r="G612" s="61">
        <f>11.8065 * CHOOSE(CONTROL!$C$22, $C$13, 100%, $E$13)</f>
        <v>11.8065</v>
      </c>
      <c r="H612" s="61">
        <f>19.7007* CHOOSE(CONTROL!$C$22, $C$13, 100%, $E$13)</f>
        <v>19.700700000000001</v>
      </c>
      <c r="I612" s="61">
        <f>19.7027 * CHOOSE(CONTROL!$C$22, $C$13, 100%, $E$13)</f>
        <v>19.7027</v>
      </c>
      <c r="J612" s="61">
        <f>11.8045 * CHOOSE(CONTROL!$C$22, $C$13, 100%, $E$13)</f>
        <v>11.804500000000001</v>
      </c>
      <c r="K612" s="61">
        <f>11.8065 * CHOOSE(CONTROL!$C$22, $C$13, 100%, $E$13)</f>
        <v>11.8065</v>
      </c>
    </row>
    <row r="613" spans="1:11" ht="15">
      <c r="A613" s="13">
        <v>60511</v>
      </c>
      <c r="B613" s="60">
        <f>10.1118 * CHOOSE(CONTROL!$C$22, $C$13, 100%, $E$13)</f>
        <v>10.111800000000001</v>
      </c>
      <c r="C613" s="60">
        <f>10.1118 * CHOOSE(CONTROL!$C$22, $C$13, 100%, $E$13)</f>
        <v>10.111800000000001</v>
      </c>
      <c r="D613" s="60">
        <f>10.1445 * CHOOSE(CONTROL!$C$22, $C$13, 100%, $E$13)</f>
        <v>10.144500000000001</v>
      </c>
      <c r="E613" s="61">
        <f>11.7889 * CHOOSE(CONTROL!$C$22, $C$13, 100%, $E$13)</f>
        <v>11.7889</v>
      </c>
      <c r="F613" s="61">
        <f>11.7889 * CHOOSE(CONTROL!$C$22, $C$13, 100%, $E$13)</f>
        <v>11.7889</v>
      </c>
      <c r="G613" s="61">
        <f>11.7909 * CHOOSE(CONTROL!$C$22, $C$13, 100%, $E$13)</f>
        <v>11.790900000000001</v>
      </c>
      <c r="H613" s="61">
        <f>19.7417* CHOOSE(CONTROL!$C$22, $C$13, 100%, $E$13)</f>
        <v>19.741700000000002</v>
      </c>
      <c r="I613" s="61">
        <f>19.7438 * CHOOSE(CONTROL!$C$22, $C$13, 100%, $E$13)</f>
        <v>19.7438</v>
      </c>
      <c r="J613" s="61">
        <f>11.7889 * CHOOSE(CONTROL!$C$22, $C$13, 100%, $E$13)</f>
        <v>11.7889</v>
      </c>
      <c r="K613" s="61">
        <f>11.7909 * CHOOSE(CONTROL!$C$22, $C$13, 100%, $E$13)</f>
        <v>11.790900000000001</v>
      </c>
    </row>
    <row r="614" spans="1:11" ht="15">
      <c r="A614" s="13">
        <v>60541</v>
      </c>
      <c r="B614" s="60">
        <f>10.1272 * CHOOSE(CONTROL!$C$22, $C$13, 100%, $E$13)</f>
        <v>10.1272</v>
      </c>
      <c r="C614" s="60">
        <f>10.1272 * CHOOSE(CONTROL!$C$22, $C$13, 100%, $E$13)</f>
        <v>10.1272</v>
      </c>
      <c r="D614" s="60">
        <f>10.1435 * CHOOSE(CONTROL!$C$22, $C$13, 100%, $E$13)</f>
        <v>10.1435</v>
      </c>
      <c r="E614" s="61">
        <f>11.8293 * CHOOSE(CONTROL!$C$22, $C$13, 100%, $E$13)</f>
        <v>11.8293</v>
      </c>
      <c r="F614" s="61">
        <f>11.8293 * CHOOSE(CONTROL!$C$22, $C$13, 100%, $E$13)</f>
        <v>11.8293</v>
      </c>
      <c r="G614" s="61">
        <f>11.8294 * CHOOSE(CONTROL!$C$22, $C$13, 100%, $E$13)</f>
        <v>11.8294</v>
      </c>
      <c r="H614" s="61">
        <f>19.7829* CHOOSE(CONTROL!$C$22, $C$13, 100%, $E$13)</f>
        <v>19.782900000000001</v>
      </c>
      <c r="I614" s="61">
        <f>19.783 * CHOOSE(CONTROL!$C$22, $C$13, 100%, $E$13)</f>
        <v>19.783000000000001</v>
      </c>
      <c r="J614" s="61">
        <f>11.8293 * CHOOSE(CONTROL!$C$22, $C$13, 100%, $E$13)</f>
        <v>11.8293</v>
      </c>
      <c r="K614" s="61">
        <f>11.8294 * CHOOSE(CONTROL!$C$22, $C$13, 100%, $E$13)</f>
        <v>11.8294</v>
      </c>
    </row>
    <row r="615" spans="1:11" ht="15">
      <c r="A615" s="13">
        <v>60572</v>
      </c>
      <c r="B615" s="60">
        <f>10.1302 * CHOOSE(CONTROL!$C$22, $C$13, 100%, $E$13)</f>
        <v>10.1302</v>
      </c>
      <c r="C615" s="60">
        <f>10.1302 * CHOOSE(CONTROL!$C$22, $C$13, 100%, $E$13)</f>
        <v>10.1302</v>
      </c>
      <c r="D615" s="60">
        <f>10.1465 * CHOOSE(CONTROL!$C$22, $C$13, 100%, $E$13)</f>
        <v>10.1465</v>
      </c>
      <c r="E615" s="61">
        <f>11.8583 * CHOOSE(CONTROL!$C$22, $C$13, 100%, $E$13)</f>
        <v>11.8583</v>
      </c>
      <c r="F615" s="61">
        <f>11.8583 * CHOOSE(CONTROL!$C$22, $C$13, 100%, $E$13)</f>
        <v>11.8583</v>
      </c>
      <c r="G615" s="61">
        <f>11.8584 * CHOOSE(CONTROL!$C$22, $C$13, 100%, $E$13)</f>
        <v>11.8584</v>
      </c>
      <c r="H615" s="61">
        <f>19.8241* CHOOSE(CONTROL!$C$22, $C$13, 100%, $E$13)</f>
        <v>19.824100000000001</v>
      </c>
      <c r="I615" s="61">
        <f>19.8242 * CHOOSE(CONTROL!$C$22, $C$13, 100%, $E$13)</f>
        <v>19.824200000000001</v>
      </c>
      <c r="J615" s="61">
        <f>11.8583 * CHOOSE(CONTROL!$C$22, $C$13, 100%, $E$13)</f>
        <v>11.8583</v>
      </c>
      <c r="K615" s="61">
        <f>11.8584 * CHOOSE(CONTROL!$C$22, $C$13, 100%, $E$13)</f>
        <v>11.8584</v>
      </c>
    </row>
    <row r="616" spans="1:11" ht="15">
      <c r="A616" s="13">
        <v>60602</v>
      </c>
      <c r="B616" s="60">
        <f>10.1302 * CHOOSE(CONTROL!$C$22, $C$13, 100%, $E$13)</f>
        <v>10.1302</v>
      </c>
      <c r="C616" s="60">
        <f>10.1302 * CHOOSE(CONTROL!$C$22, $C$13, 100%, $E$13)</f>
        <v>10.1302</v>
      </c>
      <c r="D616" s="60">
        <f>10.1465 * CHOOSE(CONTROL!$C$22, $C$13, 100%, $E$13)</f>
        <v>10.1465</v>
      </c>
      <c r="E616" s="61">
        <f>11.791 * CHOOSE(CONTROL!$C$22, $C$13, 100%, $E$13)</f>
        <v>11.791</v>
      </c>
      <c r="F616" s="61">
        <f>11.791 * CHOOSE(CONTROL!$C$22, $C$13, 100%, $E$13)</f>
        <v>11.791</v>
      </c>
      <c r="G616" s="61">
        <f>11.7912 * CHOOSE(CONTROL!$C$22, $C$13, 100%, $E$13)</f>
        <v>11.7912</v>
      </c>
      <c r="H616" s="61">
        <f>19.8654* CHOOSE(CONTROL!$C$22, $C$13, 100%, $E$13)</f>
        <v>19.865400000000001</v>
      </c>
      <c r="I616" s="61">
        <f>19.8655 * CHOOSE(CONTROL!$C$22, $C$13, 100%, $E$13)</f>
        <v>19.865500000000001</v>
      </c>
      <c r="J616" s="61">
        <f>11.791 * CHOOSE(CONTROL!$C$22, $C$13, 100%, $E$13)</f>
        <v>11.791</v>
      </c>
      <c r="K616" s="61">
        <f>11.7912 * CHOOSE(CONTROL!$C$22, $C$13, 100%, $E$13)</f>
        <v>11.7912</v>
      </c>
    </row>
    <row r="617" spans="1:11" ht="15">
      <c r="A617" s="13">
        <v>60633</v>
      </c>
      <c r="B617" s="60">
        <f>10.1917 * CHOOSE(CONTROL!$C$22, $C$13, 100%, $E$13)</f>
        <v>10.191700000000001</v>
      </c>
      <c r="C617" s="60">
        <f>10.1917 * CHOOSE(CONTROL!$C$22, $C$13, 100%, $E$13)</f>
        <v>10.191700000000001</v>
      </c>
      <c r="D617" s="60">
        <f>10.208 * CHOOSE(CONTROL!$C$22, $C$13, 100%, $E$13)</f>
        <v>10.208</v>
      </c>
      <c r="E617" s="61">
        <f>11.9111 * CHOOSE(CONTROL!$C$22, $C$13, 100%, $E$13)</f>
        <v>11.911099999999999</v>
      </c>
      <c r="F617" s="61">
        <f>11.9111 * CHOOSE(CONTROL!$C$22, $C$13, 100%, $E$13)</f>
        <v>11.911099999999999</v>
      </c>
      <c r="G617" s="61">
        <f>11.9113 * CHOOSE(CONTROL!$C$22, $C$13, 100%, $E$13)</f>
        <v>11.911300000000001</v>
      </c>
      <c r="H617" s="61">
        <f>19.8617* CHOOSE(CONTROL!$C$22, $C$13, 100%, $E$13)</f>
        <v>19.861699999999999</v>
      </c>
      <c r="I617" s="61">
        <f>19.8618 * CHOOSE(CONTROL!$C$22, $C$13, 100%, $E$13)</f>
        <v>19.861799999999999</v>
      </c>
      <c r="J617" s="61">
        <f>11.9111 * CHOOSE(CONTROL!$C$22, $C$13, 100%, $E$13)</f>
        <v>11.911099999999999</v>
      </c>
      <c r="K617" s="61">
        <f>11.9113 * CHOOSE(CONTROL!$C$22, $C$13, 100%, $E$13)</f>
        <v>11.911300000000001</v>
      </c>
    </row>
    <row r="618" spans="1:11" ht="15">
      <c r="A618" s="13">
        <v>60664</v>
      </c>
      <c r="B618" s="60">
        <f>10.1887 * CHOOSE(CONTROL!$C$22, $C$13, 100%, $E$13)</f>
        <v>10.188700000000001</v>
      </c>
      <c r="C618" s="60">
        <f>10.1887 * CHOOSE(CONTROL!$C$22, $C$13, 100%, $E$13)</f>
        <v>10.188700000000001</v>
      </c>
      <c r="D618" s="60">
        <f>10.205 * CHOOSE(CONTROL!$C$22, $C$13, 100%, $E$13)</f>
        <v>10.205</v>
      </c>
      <c r="E618" s="61">
        <f>11.7787 * CHOOSE(CONTROL!$C$22, $C$13, 100%, $E$13)</f>
        <v>11.778700000000001</v>
      </c>
      <c r="F618" s="61">
        <f>11.7787 * CHOOSE(CONTROL!$C$22, $C$13, 100%, $E$13)</f>
        <v>11.778700000000001</v>
      </c>
      <c r="G618" s="61">
        <f>11.7789 * CHOOSE(CONTROL!$C$22, $C$13, 100%, $E$13)</f>
        <v>11.7789</v>
      </c>
      <c r="H618" s="61">
        <f>19.903* CHOOSE(CONTROL!$C$22, $C$13, 100%, $E$13)</f>
        <v>19.902999999999999</v>
      </c>
      <c r="I618" s="61">
        <f>19.9032 * CHOOSE(CONTROL!$C$22, $C$13, 100%, $E$13)</f>
        <v>19.903199999999998</v>
      </c>
      <c r="J618" s="61">
        <f>11.7787 * CHOOSE(CONTROL!$C$22, $C$13, 100%, $E$13)</f>
        <v>11.778700000000001</v>
      </c>
      <c r="K618" s="61">
        <f>11.7789 * CHOOSE(CONTROL!$C$22, $C$13, 100%, $E$13)</f>
        <v>11.7789</v>
      </c>
    </row>
    <row r="619" spans="1:11" ht="15">
      <c r="A619" s="13">
        <v>60692</v>
      </c>
      <c r="B619" s="60">
        <f>10.1856 * CHOOSE(CONTROL!$C$22, $C$13, 100%, $E$13)</f>
        <v>10.185600000000001</v>
      </c>
      <c r="C619" s="60">
        <f>10.1856 * CHOOSE(CONTROL!$C$22, $C$13, 100%, $E$13)</f>
        <v>10.185600000000001</v>
      </c>
      <c r="D619" s="60">
        <f>10.202 * CHOOSE(CONTROL!$C$22, $C$13, 100%, $E$13)</f>
        <v>10.202</v>
      </c>
      <c r="E619" s="61">
        <f>11.8793 * CHOOSE(CONTROL!$C$22, $C$13, 100%, $E$13)</f>
        <v>11.879300000000001</v>
      </c>
      <c r="F619" s="61">
        <f>11.8793 * CHOOSE(CONTROL!$C$22, $C$13, 100%, $E$13)</f>
        <v>11.879300000000001</v>
      </c>
      <c r="G619" s="61">
        <f>11.8794 * CHOOSE(CONTROL!$C$22, $C$13, 100%, $E$13)</f>
        <v>11.8794</v>
      </c>
      <c r="H619" s="61">
        <f>19.9445* CHOOSE(CONTROL!$C$22, $C$13, 100%, $E$13)</f>
        <v>19.944500000000001</v>
      </c>
      <c r="I619" s="61">
        <f>19.9447 * CHOOSE(CONTROL!$C$22, $C$13, 100%, $E$13)</f>
        <v>19.944700000000001</v>
      </c>
      <c r="J619" s="61">
        <f>11.8793 * CHOOSE(CONTROL!$C$22, $C$13, 100%, $E$13)</f>
        <v>11.879300000000001</v>
      </c>
      <c r="K619" s="61">
        <f>11.8794 * CHOOSE(CONTROL!$C$22, $C$13, 100%, $E$13)</f>
        <v>11.8794</v>
      </c>
    </row>
    <row r="620" spans="1:11" ht="15">
      <c r="A620" s="13">
        <v>60723</v>
      </c>
      <c r="B620" s="60">
        <f>10.1886 * CHOOSE(CONTROL!$C$22, $C$13, 100%, $E$13)</f>
        <v>10.188599999999999</v>
      </c>
      <c r="C620" s="60">
        <f>10.1886 * CHOOSE(CONTROL!$C$22, $C$13, 100%, $E$13)</f>
        <v>10.188599999999999</v>
      </c>
      <c r="D620" s="60">
        <f>10.205 * CHOOSE(CONTROL!$C$22, $C$13, 100%, $E$13)</f>
        <v>10.205</v>
      </c>
      <c r="E620" s="61">
        <f>11.9853 * CHOOSE(CONTROL!$C$22, $C$13, 100%, $E$13)</f>
        <v>11.985300000000001</v>
      </c>
      <c r="F620" s="61">
        <f>11.9853 * CHOOSE(CONTROL!$C$22, $C$13, 100%, $E$13)</f>
        <v>11.985300000000001</v>
      </c>
      <c r="G620" s="61">
        <f>11.9855 * CHOOSE(CONTROL!$C$22, $C$13, 100%, $E$13)</f>
        <v>11.9855</v>
      </c>
      <c r="H620" s="61">
        <f>19.986* CHOOSE(CONTROL!$C$22, $C$13, 100%, $E$13)</f>
        <v>19.986000000000001</v>
      </c>
      <c r="I620" s="61">
        <f>19.9862 * CHOOSE(CONTROL!$C$22, $C$13, 100%, $E$13)</f>
        <v>19.9862</v>
      </c>
      <c r="J620" s="61">
        <f>11.9853 * CHOOSE(CONTROL!$C$22, $C$13, 100%, $E$13)</f>
        <v>11.985300000000001</v>
      </c>
      <c r="K620" s="61">
        <f>11.9855 * CHOOSE(CONTROL!$C$22, $C$13, 100%, $E$13)</f>
        <v>11.9855</v>
      </c>
    </row>
    <row r="621" spans="1:11" ht="15">
      <c r="A621" s="13">
        <v>60753</v>
      </c>
      <c r="B621" s="60">
        <f>10.1886 * CHOOSE(CONTROL!$C$22, $C$13, 100%, $E$13)</f>
        <v>10.188599999999999</v>
      </c>
      <c r="C621" s="60">
        <f>10.1886 * CHOOSE(CONTROL!$C$22, $C$13, 100%, $E$13)</f>
        <v>10.188599999999999</v>
      </c>
      <c r="D621" s="60">
        <f>10.2213 * CHOOSE(CONTROL!$C$22, $C$13, 100%, $E$13)</f>
        <v>10.221299999999999</v>
      </c>
      <c r="E621" s="61">
        <f>12.0267 * CHOOSE(CONTROL!$C$22, $C$13, 100%, $E$13)</f>
        <v>12.0267</v>
      </c>
      <c r="F621" s="61">
        <f>12.0267 * CHOOSE(CONTROL!$C$22, $C$13, 100%, $E$13)</f>
        <v>12.0267</v>
      </c>
      <c r="G621" s="61">
        <f>12.0287 * CHOOSE(CONTROL!$C$22, $C$13, 100%, $E$13)</f>
        <v>12.028700000000001</v>
      </c>
      <c r="H621" s="61">
        <f>20.0277* CHOOSE(CONTROL!$C$22, $C$13, 100%, $E$13)</f>
        <v>20.027699999999999</v>
      </c>
      <c r="I621" s="61">
        <f>20.0297 * CHOOSE(CONTROL!$C$22, $C$13, 100%, $E$13)</f>
        <v>20.029699999999998</v>
      </c>
      <c r="J621" s="61">
        <f>12.0267 * CHOOSE(CONTROL!$C$22, $C$13, 100%, $E$13)</f>
        <v>12.0267</v>
      </c>
      <c r="K621" s="61">
        <f>12.0287 * CHOOSE(CONTROL!$C$22, $C$13, 100%, $E$13)</f>
        <v>12.028700000000001</v>
      </c>
    </row>
    <row r="622" spans="1:11" ht="15">
      <c r="A622" s="13">
        <v>60784</v>
      </c>
      <c r="B622" s="60">
        <f>10.1947 * CHOOSE(CONTROL!$C$22, $C$13, 100%, $E$13)</f>
        <v>10.194699999999999</v>
      </c>
      <c r="C622" s="60">
        <f>10.1947 * CHOOSE(CONTROL!$C$22, $C$13, 100%, $E$13)</f>
        <v>10.194699999999999</v>
      </c>
      <c r="D622" s="60">
        <f>10.2274 * CHOOSE(CONTROL!$C$22, $C$13, 100%, $E$13)</f>
        <v>10.227399999999999</v>
      </c>
      <c r="E622" s="61">
        <f>11.9896 * CHOOSE(CONTROL!$C$22, $C$13, 100%, $E$13)</f>
        <v>11.989599999999999</v>
      </c>
      <c r="F622" s="61">
        <f>11.9896 * CHOOSE(CONTROL!$C$22, $C$13, 100%, $E$13)</f>
        <v>11.989599999999999</v>
      </c>
      <c r="G622" s="61">
        <f>11.9916 * CHOOSE(CONTROL!$C$22, $C$13, 100%, $E$13)</f>
        <v>11.9916</v>
      </c>
      <c r="H622" s="61">
        <f>20.0694* CHOOSE(CONTROL!$C$22, $C$13, 100%, $E$13)</f>
        <v>20.069400000000002</v>
      </c>
      <c r="I622" s="61">
        <f>20.0714 * CHOOSE(CONTROL!$C$22, $C$13, 100%, $E$13)</f>
        <v>20.071400000000001</v>
      </c>
      <c r="J622" s="61">
        <f>11.9896 * CHOOSE(CONTROL!$C$22, $C$13, 100%, $E$13)</f>
        <v>11.989599999999999</v>
      </c>
      <c r="K622" s="61">
        <f>11.9916 * CHOOSE(CONTROL!$C$22, $C$13, 100%, $E$13)</f>
        <v>11.9916</v>
      </c>
    </row>
    <row r="623" spans="1:11" ht="15">
      <c r="A623" s="13">
        <v>60814</v>
      </c>
      <c r="B623" s="60">
        <f>10.3574 * CHOOSE(CONTROL!$C$22, $C$13, 100%, $E$13)</f>
        <v>10.3574</v>
      </c>
      <c r="C623" s="60">
        <f>10.3574 * CHOOSE(CONTROL!$C$22, $C$13, 100%, $E$13)</f>
        <v>10.3574</v>
      </c>
      <c r="D623" s="60">
        <f>10.39 * CHOOSE(CONTROL!$C$22, $C$13, 100%, $E$13)</f>
        <v>10.39</v>
      </c>
      <c r="E623" s="61">
        <f>12.2207 * CHOOSE(CONTROL!$C$22, $C$13, 100%, $E$13)</f>
        <v>12.220700000000001</v>
      </c>
      <c r="F623" s="61">
        <f>12.2207 * CHOOSE(CONTROL!$C$22, $C$13, 100%, $E$13)</f>
        <v>12.220700000000001</v>
      </c>
      <c r="G623" s="61">
        <f>12.2227 * CHOOSE(CONTROL!$C$22, $C$13, 100%, $E$13)</f>
        <v>12.2227</v>
      </c>
      <c r="H623" s="61">
        <f>20.1112* CHOOSE(CONTROL!$C$22, $C$13, 100%, $E$13)</f>
        <v>20.1112</v>
      </c>
      <c r="I623" s="61">
        <f>20.1133 * CHOOSE(CONTROL!$C$22, $C$13, 100%, $E$13)</f>
        <v>20.113299999999999</v>
      </c>
      <c r="J623" s="61">
        <f>12.2207 * CHOOSE(CONTROL!$C$22, $C$13, 100%, $E$13)</f>
        <v>12.220700000000001</v>
      </c>
      <c r="K623" s="61">
        <f>12.2227 * CHOOSE(CONTROL!$C$22, $C$13, 100%, $E$13)</f>
        <v>12.2227</v>
      </c>
    </row>
    <row r="624" spans="1:11" ht="15">
      <c r="A624" s="13">
        <v>60845</v>
      </c>
      <c r="B624" s="60">
        <f>10.364 * CHOOSE(CONTROL!$C$22, $C$13, 100%, $E$13)</f>
        <v>10.364000000000001</v>
      </c>
      <c r="C624" s="60">
        <f>10.364 * CHOOSE(CONTROL!$C$22, $C$13, 100%, $E$13)</f>
        <v>10.364000000000001</v>
      </c>
      <c r="D624" s="60">
        <f>10.3967 * CHOOSE(CONTROL!$C$22, $C$13, 100%, $E$13)</f>
        <v>10.396699999999999</v>
      </c>
      <c r="E624" s="61">
        <f>12.1013 * CHOOSE(CONTROL!$C$22, $C$13, 100%, $E$13)</f>
        <v>12.1013</v>
      </c>
      <c r="F624" s="61">
        <f>12.1013 * CHOOSE(CONTROL!$C$22, $C$13, 100%, $E$13)</f>
        <v>12.1013</v>
      </c>
      <c r="G624" s="61">
        <f>12.1033 * CHOOSE(CONTROL!$C$22, $C$13, 100%, $E$13)</f>
        <v>12.103300000000001</v>
      </c>
      <c r="H624" s="61">
        <f>20.1531* CHOOSE(CONTROL!$C$22, $C$13, 100%, $E$13)</f>
        <v>20.153099999999998</v>
      </c>
      <c r="I624" s="61">
        <f>20.1552 * CHOOSE(CONTROL!$C$22, $C$13, 100%, $E$13)</f>
        <v>20.155200000000001</v>
      </c>
      <c r="J624" s="61">
        <f>12.1013 * CHOOSE(CONTROL!$C$22, $C$13, 100%, $E$13)</f>
        <v>12.1013</v>
      </c>
      <c r="K624" s="61">
        <f>12.1033 * CHOOSE(CONTROL!$C$22, $C$13, 100%, $E$13)</f>
        <v>12.103300000000001</v>
      </c>
    </row>
    <row r="625" spans="1:11" ht="15">
      <c r="A625" s="13">
        <v>60876</v>
      </c>
      <c r="B625" s="60">
        <f>10.361 * CHOOSE(CONTROL!$C$22, $C$13, 100%, $E$13)</f>
        <v>10.361000000000001</v>
      </c>
      <c r="C625" s="60">
        <f>10.361 * CHOOSE(CONTROL!$C$22, $C$13, 100%, $E$13)</f>
        <v>10.361000000000001</v>
      </c>
      <c r="D625" s="60">
        <f>10.3937 * CHOOSE(CONTROL!$C$22, $C$13, 100%, $E$13)</f>
        <v>10.393700000000001</v>
      </c>
      <c r="E625" s="61">
        <f>12.0854 * CHOOSE(CONTROL!$C$22, $C$13, 100%, $E$13)</f>
        <v>12.0854</v>
      </c>
      <c r="F625" s="61">
        <f>12.0854 * CHOOSE(CONTROL!$C$22, $C$13, 100%, $E$13)</f>
        <v>12.0854</v>
      </c>
      <c r="G625" s="61">
        <f>12.0874 * CHOOSE(CONTROL!$C$22, $C$13, 100%, $E$13)</f>
        <v>12.087400000000001</v>
      </c>
      <c r="H625" s="61">
        <f>20.1951* CHOOSE(CONTROL!$C$22, $C$13, 100%, $E$13)</f>
        <v>20.1951</v>
      </c>
      <c r="I625" s="61">
        <f>20.1971 * CHOOSE(CONTROL!$C$22, $C$13, 100%, $E$13)</f>
        <v>20.197099999999999</v>
      </c>
      <c r="J625" s="61">
        <f>12.0854 * CHOOSE(CONTROL!$C$22, $C$13, 100%, $E$13)</f>
        <v>12.0854</v>
      </c>
      <c r="K625" s="61">
        <f>12.0874 * CHOOSE(CONTROL!$C$22, $C$13, 100%, $E$13)</f>
        <v>12.087400000000001</v>
      </c>
    </row>
    <row r="626" spans="1:11" ht="15">
      <c r="A626" s="13">
        <v>60906</v>
      </c>
      <c r="B626" s="60">
        <f>10.3772 * CHOOSE(CONTROL!$C$22, $C$13, 100%, $E$13)</f>
        <v>10.3772</v>
      </c>
      <c r="C626" s="60">
        <f>10.3772 * CHOOSE(CONTROL!$C$22, $C$13, 100%, $E$13)</f>
        <v>10.3772</v>
      </c>
      <c r="D626" s="60">
        <f>10.3935 * CHOOSE(CONTROL!$C$22, $C$13, 100%, $E$13)</f>
        <v>10.3935</v>
      </c>
      <c r="E626" s="61">
        <f>12.1271 * CHOOSE(CONTROL!$C$22, $C$13, 100%, $E$13)</f>
        <v>12.1271</v>
      </c>
      <c r="F626" s="61">
        <f>12.1271 * CHOOSE(CONTROL!$C$22, $C$13, 100%, $E$13)</f>
        <v>12.1271</v>
      </c>
      <c r="G626" s="61">
        <f>12.1273 * CHOOSE(CONTROL!$C$22, $C$13, 100%, $E$13)</f>
        <v>12.1273</v>
      </c>
      <c r="H626" s="61">
        <f>20.2372* CHOOSE(CONTROL!$C$22, $C$13, 100%, $E$13)</f>
        <v>20.237200000000001</v>
      </c>
      <c r="I626" s="61">
        <f>20.2374 * CHOOSE(CONTROL!$C$22, $C$13, 100%, $E$13)</f>
        <v>20.237400000000001</v>
      </c>
      <c r="J626" s="61">
        <f>12.1271 * CHOOSE(CONTROL!$C$22, $C$13, 100%, $E$13)</f>
        <v>12.1271</v>
      </c>
      <c r="K626" s="61">
        <f>12.1273 * CHOOSE(CONTROL!$C$22, $C$13, 100%, $E$13)</f>
        <v>12.1273</v>
      </c>
    </row>
    <row r="627" spans="1:11" ht="15">
      <c r="A627" s="13">
        <v>60937</v>
      </c>
      <c r="B627" s="60">
        <f>10.3802 * CHOOSE(CONTROL!$C$22, $C$13, 100%, $E$13)</f>
        <v>10.3802</v>
      </c>
      <c r="C627" s="60">
        <f>10.3802 * CHOOSE(CONTROL!$C$22, $C$13, 100%, $E$13)</f>
        <v>10.3802</v>
      </c>
      <c r="D627" s="60">
        <f>10.3966 * CHOOSE(CONTROL!$C$22, $C$13, 100%, $E$13)</f>
        <v>10.396599999999999</v>
      </c>
      <c r="E627" s="61">
        <f>12.1568 * CHOOSE(CONTROL!$C$22, $C$13, 100%, $E$13)</f>
        <v>12.1568</v>
      </c>
      <c r="F627" s="61">
        <f>12.1568 * CHOOSE(CONTROL!$C$22, $C$13, 100%, $E$13)</f>
        <v>12.1568</v>
      </c>
      <c r="G627" s="61">
        <f>12.157 * CHOOSE(CONTROL!$C$22, $C$13, 100%, $E$13)</f>
        <v>12.157</v>
      </c>
      <c r="H627" s="61">
        <f>20.2793* CHOOSE(CONTROL!$C$22, $C$13, 100%, $E$13)</f>
        <v>20.279299999999999</v>
      </c>
      <c r="I627" s="61">
        <f>20.2795 * CHOOSE(CONTROL!$C$22, $C$13, 100%, $E$13)</f>
        <v>20.279499999999999</v>
      </c>
      <c r="J627" s="61">
        <f>12.1568 * CHOOSE(CONTROL!$C$22, $C$13, 100%, $E$13)</f>
        <v>12.1568</v>
      </c>
      <c r="K627" s="61">
        <f>12.157 * CHOOSE(CONTROL!$C$22, $C$13, 100%, $E$13)</f>
        <v>12.157</v>
      </c>
    </row>
    <row r="628" spans="1:11" ht="15">
      <c r="A628" s="13">
        <v>60967</v>
      </c>
      <c r="B628" s="60">
        <f>10.3802 * CHOOSE(CONTROL!$C$22, $C$13, 100%, $E$13)</f>
        <v>10.3802</v>
      </c>
      <c r="C628" s="60">
        <f>10.3802 * CHOOSE(CONTROL!$C$22, $C$13, 100%, $E$13)</f>
        <v>10.3802</v>
      </c>
      <c r="D628" s="60">
        <f>10.3966 * CHOOSE(CONTROL!$C$22, $C$13, 100%, $E$13)</f>
        <v>10.396599999999999</v>
      </c>
      <c r="E628" s="61">
        <f>12.0879 * CHOOSE(CONTROL!$C$22, $C$13, 100%, $E$13)</f>
        <v>12.087899999999999</v>
      </c>
      <c r="F628" s="61">
        <f>12.0879 * CHOOSE(CONTROL!$C$22, $C$13, 100%, $E$13)</f>
        <v>12.087899999999999</v>
      </c>
      <c r="G628" s="61">
        <f>12.088 * CHOOSE(CONTROL!$C$22, $C$13, 100%, $E$13)</f>
        <v>12.087999999999999</v>
      </c>
      <c r="H628" s="61">
        <f>20.3216* CHOOSE(CONTROL!$C$22, $C$13, 100%, $E$13)</f>
        <v>20.3216</v>
      </c>
      <c r="I628" s="61">
        <f>20.3218 * CHOOSE(CONTROL!$C$22, $C$13, 100%, $E$13)</f>
        <v>20.3218</v>
      </c>
      <c r="J628" s="61">
        <f>12.0879 * CHOOSE(CONTROL!$C$22, $C$13, 100%, $E$13)</f>
        <v>12.087899999999999</v>
      </c>
      <c r="K628" s="61">
        <f>12.088 * CHOOSE(CONTROL!$C$22, $C$13, 100%, $E$13)</f>
        <v>12.087999999999999</v>
      </c>
    </row>
    <row r="629" spans="1:11" ht="15">
      <c r="A629" s="13">
        <v>60998</v>
      </c>
      <c r="B629" s="60">
        <f>10.437 * CHOOSE(CONTROL!$C$22, $C$13, 100%, $E$13)</f>
        <v>10.436999999999999</v>
      </c>
      <c r="C629" s="60">
        <f>10.437 * CHOOSE(CONTROL!$C$22, $C$13, 100%, $E$13)</f>
        <v>10.436999999999999</v>
      </c>
      <c r="D629" s="60">
        <f>10.4534 * CHOOSE(CONTROL!$C$22, $C$13, 100%, $E$13)</f>
        <v>10.4534</v>
      </c>
      <c r="E629" s="61">
        <f>12.2035 * CHOOSE(CONTROL!$C$22, $C$13, 100%, $E$13)</f>
        <v>12.2035</v>
      </c>
      <c r="F629" s="61">
        <f>12.2035 * CHOOSE(CONTROL!$C$22, $C$13, 100%, $E$13)</f>
        <v>12.2035</v>
      </c>
      <c r="G629" s="61">
        <f>12.2037 * CHOOSE(CONTROL!$C$22, $C$13, 100%, $E$13)</f>
        <v>12.2037</v>
      </c>
      <c r="H629" s="61">
        <f>20.3075* CHOOSE(CONTROL!$C$22, $C$13, 100%, $E$13)</f>
        <v>20.307500000000001</v>
      </c>
      <c r="I629" s="61">
        <f>20.3077 * CHOOSE(CONTROL!$C$22, $C$13, 100%, $E$13)</f>
        <v>20.307700000000001</v>
      </c>
      <c r="J629" s="61">
        <f>12.2035 * CHOOSE(CONTROL!$C$22, $C$13, 100%, $E$13)</f>
        <v>12.2035</v>
      </c>
      <c r="K629" s="61">
        <f>12.2037 * CHOOSE(CONTROL!$C$22, $C$13, 100%, $E$13)</f>
        <v>12.2037</v>
      </c>
    </row>
    <row r="630" spans="1:11" ht="15">
      <c r="A630" s="13">
        <v>61029</v>
      </c>
      <c r="B630" s="60">
        <f>10.434 * CHOOSE(CONTROL!$C$22, $C$13, 100%, $E$13)</f>
        <v>10.433999999999999</v>
      </c>
      <c r="C630" s="60">
        <f>10.434 * CHOOSE(CONTROL!$C$22, $C$13, 100%, $E$13)</f>
        <v>10.433999999999999</v>
      </c>
      <c r="D630" s="60">
        <f>10.4503 * CHOOSE(CONTROL!$C$22, $C$13, 100%, $E$13)</f>
        <v>10.4503</v>
      </c>
      <c r="E630" s="61">
        <f>12.0679 * CHOOSE(CONTROL!$C$22, $C$13, 100%, $E$13)</f>
        <v>12.0679</v>
      </c>
      <c r="F630" s="61">
        <f>12.0679 * CHOOSE(CONTROL!$C$22, $C$13, 100%, $E$13)</f>
        <v>12.0679</v>
      </c>
      <c r="G630" s="61">
        <f>12.0681 * CHOOSE(CONTROL!$C$22, $C$13, 100%, $E$13)</f>
        <v>12.068099999999999</v>
      </c>
      <c r="H630" s="61">
        <f>20.3499* CHOOSE(CONTROL!$C$22, $C$13, 100%, $E$13)</f>
        <v>20.349900000000002</v>
      </c>
      <c r="I630" s="61">
        <f>20.35 * CHOOSE(CONTROL!$C$22, $C$13, 100%, $E$13)</f>
        <v>20.350000000000001</v>
      </c>
      <c r="J630" s="61">
        <f>12.0679 * CHOOSE(CONTROL!$C$22, $C$13, 100%, $E$13)</f>
        <v>12.0679</v>
      </c>
      <c r="K630" s="61">
        <f>12.0681 * CHOOSE(CONTROL!$C$22, $C$13, 100%, $E$13)</f>
        <v>12.068099999999999</v>
      </c>
    </row>
    <row r="631" spans="1:11" ht="15">
      <c r="A631" s="13">
        <v>61057</v>
      </c>
      <c r="B631" s="60">
        <f>10.4309 * CHOOSE(CONTROL!$C$22, $C$13, 100%, $E$13)</f>
        <v>10.430899999999999</v>
      </c>
      <c r="C631" s="60">
        <f>10.4309 * CHOOSE(CONTROL!$C$22, $C$13, 100%, $E$13)</f>
        <v>10.430899999999999</v>
      </c>
      <c r="D631" s="60">
        <f>10.4473 * CHOOSE(CONTROL!$C$22, $C$13, 100%, $E$13)</f>
        <v>10.4473</v>
      </c>
      <c r="E631" s="61">
        <f>12.171 * CHOOSE(CONTROL!$C$22, $C$13, 100%, $E$13)</f>
        <v>12.170999999999999</v>
      </c>
      <c r="F631" s="61">
        <f>12.171 * CHOOSE(CONTROL!$C$22, $C$13, 100%, $E$13)</f>
        <v>12.170999999999999</v>
      </c>
      <c r="G631" s="61">
        <f>12.1712 * CHOOSE(CONTROL!$C$22, $C$13, 100%, $E$13)</f>
        <v>12.171200000000001</v>
      </c>
      <c r="H631" s="61">
        <f>20.3922* CHOOSE(CONTROL!$C$22, $C$13, 100%, $E$13)</f>
        <v>20.392199999999999</v>
      </c>
      <c r="I631" s="61">
        <f>20.3924 * CHOOSE(CONTROL!$C$22, $C$13, 100%, $E$13)</f>
        <v>20.392399999999999</v>
      </c>
      <c r="J631" s="61">
        <f>12.171 * CHOOSE(CONTROL!$C$22, $C$13, 100%, $E$13)</f>
        <v>12.170999999999999</v>
      </c>
      <c r="K631" s="61">
        <f>12.1712 * CHOOSE(CONTROL!$C$22, $C$13, 100%, $E$13)</f>
        <v>12.171200000000001</v>
      </c>
    </row>
    <row r="632" spans="1:11" ht="15">
      <c r="A632" s="13">
        <v>61088</v>
      </c>
      <c r="B632" s="60">
        <f>10.4341 * CHOOSE(CONTROL!$C$22, $C$13, 100%, $E$13)</f>
        <v>10.434100000000001</v>
      </c>
      <c r="C632" s="60">
        <f>10.4341 * CHOOSE(CONTROL!$C$22, $C$13, 100%, $E$13)</f>
        <v>10.434100000000001</v>
      </c>
      <c r="D632" s="60">
        <f>10.4505 * CHOOSE(CONTROL!$C$22, $C$13, 100%, $E$13)</f>
        <v>10.4505</v>
      </c>
      <c r="E632" s="61">
        <f>12.2798 * CHOOSE(CONTROL!$C$22, $C$13, 100%, $E$13)</f>
        <v>12.2798</v>
      </c>
      <c r="F632" s="61">
        <f>12.2798 * CHOOSE(CONTROL!$C$22, $C$13, 100%, $E$13)</f>
        <v>12.2798</v>
      </c>
      <c r="G632" s="61">
        <f>12.2799 * CHOOSE(CONTROL!$C$22, $C$13, 100%, $E$13)</f>
        <v>12.2799</v>
      </c>
      <c r="H632" s="61">
        <f>20.4347* CHOOSE(CONTROL!$C$22, $C$13, 100%, $E$13)</f>
        <v>20.434699999999999</v>
      </c>
      <c r="I632" s="61">
        <f>20.4349 * CHOOSE(CONTROL!$C$22, $C$13, 100%, $E$13)</f>
        <v>20.434899999999999</v>
      </c>
      <c r="J632" s="61">
        <f>12.2798 * CHOOSE(CONTROL!$C$22, $C$13, 100%, $E$13)</f>
        <v>12.2798</v>
      </c>
      <c r="K632" s="61">
        <f>12.2799 * CHOOSE(CONTROL!$C$22, $C$13, 100%, $E$13)</f>
        <v>12.2799</v>
      </c>
    </row>
    <row r="633" spans="1:11" ht="15">
      <c r="A633" s="13">
        <v>61118</v>
      </c>
      <c r="B633" s="60">
        <f>10.4341 * CHOOSE(CONTROL!$C$22, $C$13, 100%, $E$13)</f>
        <v>10.434100000000001</v>
      </c>
      <c r="C633" s="60">
        <f>10.4341 * CHOOSE(CONTROL!$C$22, $C$13, 100%, $E$13)</f>
        <v>10.434100000000001</v>
      </c>
      <c r="D633" s="60">
        <f>10.4668 * CHOOSE(CONTROL!$C$22, $C$13, 100%, $E$13)</f>
        <v>10.466799999999999</v>
      </c>
      <c r="E633" s="61">
        <f>12.3221 * CHOOSE(CONTROL!$C$22, $C$13, 100%, $E$13)</f>
        <v>12.322100000000001</v>
      </c>
      <c r="F633" s="61">
        <f>12.3221 * CHOOSE(CONTROL!$C$22, $C$13, 100%, $E$13)</f>
        <v>12.322100000000001</v>
      </c>
      <c r="G633" s="61">
        <f>12.3242 * CHOOSE(CONTROL!$C$22, $C$13, 100%, $E$13)</f>
        <v>12.324199999999999</v>
      </c>
      <c r="H633" s="61">
        <f>20.4773* CHOOSE(CONTROL!$C$22, $C$13, 100%, $E$13)</f>
        <v>20.4773</v>
      </c>
      <c r="I633" s="61">
        <f>20.4793 * CHOOSE(CONTROL!$C$22, $C$13, 100%, $E$13)</f>
        <v>20.479299999999999</v>
      </c>
      <c r="J633" s="61">
        <f>12.3221 * CHOOSE(CONTROL!$C$22, $C$13, 100%, $E$13)</f>
        <v>12.322100000000001</v>
      </c>
      <c r="K633" s="61">
        <f>12.3242 * CHOOSE(CONTROL!$C$22, $C$13, 100%, $E$13)</f>
        <v>12.324199999999999</v>
      </c>
    </row>
    <row r="634" spans="1:11" ht="15">
      <c r="A634" s="13">
        <v>61149</v>
      </c>
      <c r="B634" s="60">
        <f>10.4402 * CHOOSE(CONTROL!$C$22, $C$13, 100%, $E$13)</f>
        <v>10.440200000000001</v>
      </c>
      <c r="C634" s="60">
        <f>10.4402 * CHOOSE(CONTROL!$C$22, $C$13, 100%, $E$13)</f>
        <v>10.440200000000001</v>
      </c>
      <c r="D634" s="60">
        <f>10.4729 * CHOOSE(CONTROL!$C$22, $C$13, 100%, $E$13)</f>
        <v>10.472899999999999</v>
      </c>
      <c r="E634" s="61">
        <f>12.284 * CHOOSE(CONTROL!$C$22, $C$13, 100%, $E$13)</f>
        <v>12.284000000000001</v>
      </c>
      <c r="F634" s="61">
        <f>12.284 * CHOOSE(CONTROL!$C$22, $C$13, 100%, $E$13)</f>
        <v>12.284000000000001</v>
      </c>
      <c r="G634" s="61">
        <f>12.286 * CHOOSE(CONTROL!$C$22, $C$13, 100%, $E$13)</f>
        <v>12.286</v>
      </c>
      <c r="H634" s="61">
        <f>20.52* CHOOSE(CONTROL!$C$22, $C$13, 100%, $E$13)</f>
        <v>20.52</v>
      </c>
      <c r="I634" s="61">
        <f>20.522 * CHOOSE(CONTROL!$C$22, $C$13, 100%, $E$13)</f>
        <v>20.521999999999998</v>
      </c>
      <c r="J634" s="61">
        <f>12.284 * CHOOSE(CONTROL!$C$22, $C$13, 100%, $E$13)</f>
        <v>12.284000000000001</v>
      </c>
      <c r="K634" s="61">
        <f>12.286 * CHOOSE(CONTROL!$C$22, $C$13, 100%, $E$13)</f>
        <v>12.286</v>
      </c>
    </row>
    <row r="635" spans="1:11" ht="15">
      <c r="A635" s="13">
        <v>61179</v>
      </c>
      <c r="B635" s="60">
        <f>10.6066 * CHOOSE(CONTROL!$C$22, $C$13, 100%, $E$13)</f>
        <v>10.6066</v>
      </c>
      <c r="C635" s="60">
        <f>10.6066 * CHOOSE(CONTROL!$C$22, $C$13, 100%, $E$13)</f>
        <v>10.6066</v>
      </c>
      <c r="D635" s="60">
        <f>10.6392 * CHOOSE(CONTROL!$C$22, $C$13, 100%, $E$13)</f>
        <v>10.639200000000001</v>
      </c>
      <c r="E635" s="61">
        <f>12.5206 * CHOOSE(CONTROL!$C$22, $C$13, 100%, $E$13)</f>
        <v>12.5206</v>
      </c>
      <c r="F635" s="61">
        <f>12.5206 * CHOOSE(CONTROL!$C$22, $C$13, 100%, $E$13)</f>
        <v>12.5206</v>
      </c>
      <c r="G635" s="61">
        <f>12.5226 * CHOOSE(CONTROL!$C$22, $C$13, 100%, $E$13)</f>
        <v>12.522600000000001</v>
      </c>
      <c r="H635" s="61">
        <f>20.5627* CHOOSE(CONTROL!$C$22, $C$13, 100%, $E$13)</f>
        <v>20.5627</v>
      </c>
      <c r="I635" s="61">
        <f>20.5647 * CHOOSE(CONTROL!$C$22, $C$13, 100%, $E$13)</f>
        <v>20.564699999999998</v>
      </c>
      <c r="J635" s="61">
        <f>12.5206 * CHOOSE(CONTROL!$C$22, $C$13, 100%, $E$13)</f>
        <v>12.5206</v>
      </c>
      <c r="K635" s="61">
        <f>12.5226 * CHOOSE(CONTROL!$C$22, $C$13, 100%, $E$13)</f>
        <v>12.522600000000001</v>
      </c>
    </row>
    <row r="636" spans="1:11" ht="15">
      <c r="A636" s="13">
        <v>61210</v>
      </c>
      <c r="B636" s="60">
        <f>10.6133 * CHOOSE(CONTROL!$C$22, $C$13, 100%, $E$13)</f>
        <v>10.613300000000001</v>
      </c>
      <c r="C636" s="60">
        <f>10.6133 * CHOOSE(CONTROL!$C$22, $C$13, 100%, $E$13)</f>
        <v>10.613300000000001</v>
      </c>
      <c r="D636" s="60">
        <f>10.6459 * CHOOSE(CONTROL!$C$22, $C$13, 100%, $E$13)</f>
        <v>10.645899999999999</v>
      </c>
      <c r="E636" s="61">
        <f>12.3981 * CHOOSE(CONTROL!$C$22, $C$13, 100%, $E$13)</f>
        <v>12.398099999999999</v>
      </c>
      <c r="F636" s="61">
        <f>12.3981 * CHOOSE(CONTROL!$C$22, $C$13, 100%, $E$13)</f>
        <v>12.398099999999999</v>
      </c>
      <c r="G636" s="61">
        <f>12.4001 * CHOOSE(CONTROL!$C$22, $C$13, 100%, $E$13)</f>
        <v>12.4001</v>
      </c>
      <c r="H636" s="61">
        <f>20.6056* CHOOSE(CONTROL!$C$22, $C$13, 100%, $E$13)</f>
        <v>20.605599999999999</v>
      </c>
      <c r="I636" s="61">
        <f>20.6076 * CHOOSE(CONTROL!$C$22, $C$13, 100%, $E$13)</f>
        <v>20.607600000000001</v>
      </c>
      <c r="J636" s="61">
        <f>12.3981 * CHOOSE(CONTROL!$C$22, $C$13, 100%, $E$13)</f>
        <v>12.398099999999999</v>
      </c>
      <c r="K636" s="61">
        <f>12.4001 * CHOOSE(CONTROL!$C$22, $C$13, 100%, $E$13)</f>
        <v>12.4001</v>
      </c>
    </row>
    <row r="637" spans="1:11" ht="15">
      <c r="A637" s="13">
        <v>61241</v>
      </c>
      <c r="B637" s="60">
        <f>10.6102 * CHOOSE(CONTROL!$C$22, $C$13, 100%, $E$13)</f>
        <v>10.610200000000001</v>
      </c>
      <c r="C637" s="60">
        <f>10.6102 * CHOOSE(CONTROL!$C$22, $C$13, 100%, $E$13)</f>
        <v>10.610200000000001</v>
      </c>
      <c r="D637" s="60">
        <f>10.6429 * CHOOSE(CONTROL!$C$22, $C$13, 100%, $E$13)</f>
        <v>10.642899999999999</v>
      </c>
      <c r="E637" s="61">
        <f>12.3819 * CHOOSE(CONTROL!$C$22, $C$13, 100%, $E$13)</f>
        <v>12.3819</v>
      </c>
      <c r="F637" s="61">
        <f>12.3819 * CHOOSE(CONTROL!$C$22, $C$13, 100%, $E$13)</f>
        <v>12.3819</v>
      </c>
      <c r="G637" s="61">
        <f>12.3839 * CHOOSE(CONTROL!$C$22, $C$13, 100%, $E$13)</f>
        <v>12.383900000000001</v>
      </c>
      <c r="H637" s="61">
        <f>20.6485* CHOOSE(CONTROL!$C$22, $C$13, 100%, $E$13)</f>
        <v>20.648499999999999</v>
      </c>
      <c r="I637" s="61">
        <f>20.6505 * CHOOSE(CONTROL!$C$22, $C$13, 100%, $E$13)</f>
        <v>20.650500000000001</v>
      </c>
      <c r="J637" s="61">
        <f>12.3819 * CHOOSE(CONTROL!$C$22, $C$13, 100%, $E$13)</f>
        <v>12.3819</v>
      </c>
      <c r="K637" s="61">
        <f>12.3839 * CHOOSE(CONTROL!$C$22, $C$13, 100%, $E$13)</f>
        <v>12.383900000000001</v>
      </c>
    </row>
    <row r="638" spans="1:11" ht="15">
      <c r="A638" s="13">
        <v>61271</v>
      </c>
      <c r="B638" s="60">
        <f>10.6272 * CHOOSE(CONTROL!$C$22, $C$13, 100%, $E$13)</f>
        <v>10.6272</v>
      </c>
      <c r="C638" s="60">
        <f>10.6272 * CHOOSE(CONTROL!$C$22, $C$13, 100%, $E$13)</f>
        <v>10.6272</v>
      </c>
      <c r="D638" s="60">
        <f>10.6435 * CHOOSE(CONTROL!$C$22, $C$13, 100%, $E$13)</f>
        <v>10.6435</v>
      </c>
      <c r="E638" s="61">
        <f>12.425 * CHOOSE(CONTROL!$C$22, $C$13, 100%, $E$13)</f>
        <v>12.425000000000001</v>
      </c>
      <c r="F638" s="61">
        <f>12.425 * CHOOSE(CONTROL!$C$22, $C$13, 100%, $E$13)</f>
        <v>12.425000000000001</v>
      </c>
      <c r="G638" s="61">
        <f>12.4251 * CHOOSE(CONTROL!$C$22, $C$13, 100%, $E$13)</f>
        <v>12.4251</v>
      </c>
      <c r="H638" s="61">
        <f>20.6915* CHOOSE(CONTROL!$C$22, $C$13, 100%, $E$13)</f>
        <v>20.691500000000001</v>
      </c>
      <c r="I638" s="61">
        <f>20.6917 * CHOOSE(CONTROL!$C$22, $C$13, 100%, $E$13)</f>
        <v>20.691700000000001</v>
      </c>
      <c r="J638" s="61">
        <f>12.425 * CHOOSE(CONTROL!$C$22, $C$13, 100%, $E$13)</f>
        <v>12.425000000000001</v>
      </c>
      <c r="K638" s="61">
        <f>12.4251 * CHOOSE(CONTROL!$C$22, $C$13, 100%, $E$13)</f>
        <v>12.4251</v>
      </c>
    </row>
    <row r="639" spans="1:11" ht="15">
      <c r="A639" s="13">
        <v>61302</v>
      </c>
      <c r="B639" s="60">
        <f>10.6302 * CHOOSE(CONTROL!$C$22, $C$13, 100%, $E$13)</f>
        <v>10.6302</v>
      </c>
      <c r="C639" s="60">
        <f>10.6302 * CHOOSE(CONTROL!$C$22, $C$13, 100%, $E$13)</f>
        <v>10.6302</v>
      </c>
      <c r="D639" s="60">
        <f>10.6466 * CHOOSE(CONTROL!$C$22, $C$13, 100%, $E$13)</f>
        <v>10.646599999999999</v>
      </c>
      <c r="E639" s="61">
        <f>12.4553 * CHOOSE(CONTROL!$C$22, $C$13, 100%, $E$13)</f>
        <v>12.455299999999999</v>
      </c>
      <c r="F639" s="61">
        <f>12.4553 * CHOOSE(CONTROL!$C$22, $C$13, 100%, $E$13)</f>
        <v>12.455299999999999</v>
      </c>
      <c r="G639" s="61">
        <f>12.4555 * CHOOSE(CONTROL!$C$22, $C$13, 100%, $E$13)</f>
        <v>12.455500000000001</v>
      </c>
      <c r="H639" s="61">
        <f>20.7346* CHOOSE(CONTROL!$C$22, $C$13, 100%, $E$13)</f>
        <v>20.7346</v>
      </c>
      <c r="I639" s="61">
        <f>20.7348 * CHOOSE(CONTROL!$C$22, $C$13, 100%, $E$13)</f>
        <v>20.7348</v>
      </c>
      <c r="J639" s="61">
        <f>12.4553 * CHOOSE(CONTROL!$C$22, $C$13, 100%, $E$13)</f>
        <v>12.455299999999999</v>
      </c>
      <c r="K639" s="61">
        <f>12.4555 * CHOOSE(CONTROL!$C$22, $C$13, 100%, $E$13)</f>
        <v>12.455500000000001</v>
      </c>
    </row>
    <row r="640" spans="1:11" ht="15">
      <c r="A640" s="13">
        <v>61332</v>
      </c>
      <c r="B640" s="60">
        <f>10.6302 * CHOOSE(CONTROL!$C$22, $C$13, 100%, $E$13)</f>
        <v>10.6302</v>
      </c>
      <c r="C640" s="60">
        <f>10.6302 * CHOOSE(CONTROL!$C$22, $C$13, 100%, $E$13)</f>
        <v>10.6302</v>
      </c>
      <c r="D640" s="60">
        <f>10.6466 * CHOOSE(CONTROL!$C$22, $C$13, 100%, $E$13)</f>
        <v>10.646599999999999</v>
      </c>
      <c r="E640" s="61">
        <f>12.3847 * CHOOSE(CONTROL!$C$22, $C$13, 100%, $E$13)</f>
        <v>12.3847</v>
      </c>
      <c r="F640" s="61">
        <f>12.3847 * CHOOSE(CONTROL!$C$22, $C$13, 100%, $E$13)</f>
        <v>12.3847</v>
      </c>
      <c r="G640" s="61">
        <f>12.3849 * CHOOSE(CONTROL!$C$22, $C$13, 100%, $E$13)</f>
        <v>12.3849</v>
      </c>
      <c r="H640" s="61">
        <f>20.7778* CHOOSE(CONTROL!$C$22, $C$13, 100%, $E$13)</f>
        <v>20.777799999999999</v>
      </c>
      <c r="I640" s="61">
        <f>20.778 * CHOOSE(CONTROL!$C$22, $C$13, 100%, $E$13)</f>
        <v>20.777999999999999</v>
      </c>
      <c r="J640" s="61">
        <f>12.3847 * CHOOSE(CONTROL!$C$22, $C$13, 100%, $E$13)</f>
        <v>12.3847</v>
      </c>
      <c r="K640" s="61">
        <f>12.3849 * CHOOSE(CONTROL!$C$22, $C$13, 100%, $E$13)</f>
        <v>12.3849</v>
      </c>
    </row>
    <row r="641" spans="1:11" ht="15">
      <c r="A641" s="13">
        <v>61363</v>
      </c>
      <c r="B641" s="60">
        <f>10.6823 * CHOOSE(CONTROL!$C$22, $C$13, 100%, $E$13)</f>
        <v>10.6823</v>
      </c>
      <c r="C641" s="60">
        <f>10.6823 * CHOOSE(CONTROL!$C$22, $C$13, 100%, $E$13)</f>
        <v>10.6823</v>
      </c>
      <c r="D641" s="60">
        <f>10.6987 * CHOOSE(CONTROL!$C$22, $C$13, 100%, $E$13)</f>
        <v>10.698700000000001</v>
      </c>
      <c r="E641" s="61">
        <f>12.4959 * CHOOSE(CONTROL!$C$22, $C$13, 100%, $E$13)</f>
        <v>12.495900000000001</v>
      </c>
      <c r="F641" s="61">
        <f>12.4959 * CHOOSE(CONTROL!$C$22, $C$13, 100%, $E$13)</f>
        <v>12.495900000000001</v>
      </c>
      <c r="G641" s="61">
        <f>12.4961 * CHOOSE(CONTROL!$C$22, $C$13, 100%, $E$13)</f>
        <v>12.4961</v>
      </c>
      <c r="H641" s="61">
        <f>20.7534* CHOOSE(CONTROL!$C$22, $C$13, 100%, $E$13)</f>
        <v>20.753399999999999</v>
      </c>
      <c r="I641" s="61">
        <f>20.7536 * CHOOSE(CONTROL!$C$22, $C$13, 100%, $E$13)</f>
        <v>20.753599999999999</v>
      </c>
      <c r="J641" s="61">
        <f>12.4959 * CHOOSE(CONTROL!$C$22, $C$13, 100%, $E$13)</f>
        <v>12.495900000000001</v>
      </c>
      <c r="K641" s="61">
        <f>12.4961 * CHOOSE(CONTROL!$C$22, $C$13, 100%, $E$13)</f>
        <v>12.4961</v>
      </c>
    </row>
    <row r="642" spans="1:11" ht="15">
      <c r="A642" s="13">
        <v>61394</v>
      </c>
      <c r="B642" s="60">
        <f>10.6793 * CHOOSE(CONTROL!$C$22, $C$13, 100%, $E$13)</f>
        <v>10.6793</v>
      </c>
      <c r="C642" s="60">
        <f>10.6793 * CHOOSE(CONTROL!$C$22, $C$13, 100%, $E$13)</f>
        <v>10.6793</v>
      </c>
      <c r="D642" s="60">
        <f>10.6956 * CHOOSE(CONTROL!$C$22, $C$13, 100%, $E$13)</f>
        <v>10.695600000000001</v>
      </c>
      <c r="E642" s="61">
        <f>12.3571 * CHOOSE(CONTROL!$C$22, $C$13, 100%, $E$13)</f>
        <v>12.357100000000001</v>
      </c>
      <c r="F642" s="61">
        <f>12.3571 * CHOOSE(CONTROL!$C$22, $C$13, 100%, $E$13)</f>
        <v>12.357100000000001</v>
      </c>
      <c r="G642" s="61">
        <f>12.3573 * CHOOSE(CONTROL!$C$22, $C$13, 100%, $E$13)</f>
        <v>12.3573</v>
      </c>
      <c r="H642" s="61">
        <f>20.7967* CHOOSE(CONTROL!$C$22, $C$13, 100%, $E$13)</f>
        <v>20.796700000000001</v>
      </c>
      <c r="I642" s="61">
        <f>20.7969 * CHOOSE(CONTROL!$C$22, $C$13, 100%, $E$13)</f>
        <v>20.796900000000001</v>
      </c>
      <c r="J642" s="61">
        <f>12.3571 * CHOOSE(CONTROL!$C$22, $C$13, 100%, $E$13)</f>
        <v>12.357100000000001</v>
      </c>
      <c r="K642" s="61">
        <f>12.3573 * CHOOSE(CONTROL!$C$22, $C$13, 100%, $E$13)</f>
        <v>12.3573</v>
      </c>
    </row>
    <row r="643" spans="1:11" ht="15">
      <c r="A643" s="13">
        <v>61423</v>
      </c>
      <c r="B643" s="60">
        <f>10.6763 * CHOOSE(CONTROL!$C$22, $C$13, 100%, $E$13)</f>
        <v>10.676299999999999</v>
      </c>
      <c r="C643" s="60">
        <f>10.6763 * CHOOSE(CONTROL!$C$22, $C$13, 100%, $E$13)</f>
        <v>10.676299999999999</v>
      </c>
      <c r="D643" s="60">
        <f>10.6926 * CHOOSE(CONTROL!$C$22, $C$13, 100%, $E$13)</f>
        <v>10.692600000000001</v>
      </c>
      <c r="E643" s="61">
        <f>12.4627 * CHOOSE(CONTROL!$C$22, $C$13, 100%, $E$13)</f>
        <v>12.4627</v>
      </c>
      <c r="F643" s="61">
        <f>12.4627 * CHOOSE(CONTROL!$C$22, $C$13, 100%, $E$13)</f>
        <v>12.4627</v>
      </c>
      <c r="G643" s="61">
        <f>12.4629 * CHOOSE(CONTROL!$C$22, $C$13, 100%, $E$13)</f>
        <v>12.462899999999999</v>
      </c>
      <c r="H643" s="61">
        <f>20.84* CHOOSE(CONTROL!$C$22, $C$13, 100%, $E$13)</f>
        <v>20.84</v>
      </c>
      <c r="I643" s="61">
        <f>20.8402 * CHOOSE(CONTROL!$C$22, $C$13, 100%, $E$13)</f>
        <v>20.840199999999999</v>
      </c>
      <c r="J643" s="61">
        <f>12.4627 * CHOOSE(CONTROL!$C$22, $C$13, 100%, $E$13)</f>
        <v>12.4627</v>
      </c>
      <c r="K643" s="61">
        <f>12.4629 * CHOOSE(CONTROL!$C$22, $C$13, 100%, $E$13)</f>
        <v>12.462899999999999</v>
      </c>
    </row>
    <row r="644" spans="1:11" ht="15">
      <c r="A644" s="13">
        <v>61454</v>
      </c>
      <c r="B644" s="60">
        <f>10.6797 * CHOOSE(CONTROL!$C$22, $C$13, 100%, $E$13)</f>
        <v>10.6797</v>
      </c>
      <c r="C644" s="60">
        <f>10.6797 * CHOOSE(CONTROL!$C$22, $C$13, 100%, $E$13)</f>
        <v>10.6797</v>
      </c>
      <c r="D644" s="60">
        <f>10.696 * CHOOSE(CONTROL!$C$22, $C$13, 100%, $E$13)</f>
        <v>10.696</v>
      </c>
      <c r="E644" s="61">
        <f>12.5742 * CHOOSE(CONTROL!$C$22, $C$13, 100%, $E$13)</f>
        <v>12.574199999999999</v>
      </c>
      <c r="F644" s="61">
        <f>12.5742 * CHOOSE(CONTROL!$C$22, $C$13, 100%, $E$13)</f>
        <v>12.574199999999999</v>
      </c>
      <c r="G644" s="61">
        <f>12.5744 * CHOOSE(CONTROL!$C$22, $C$13, 100%, $E$13)</f>
        <v>12.574400000000001</v>
      </c>
      <c r="H644" s="61">
        <f>20.8834* CHOOSE(CONTROL!$C$22, $C$13, 100%, $E$13)</f>
        <v>20.883400000000002</v>
      </c>
      <c r="I644" s="61">
        <f>20.8836 * CHOOSE(CONTROL!$C$22, $C$13, 100%, $E$13)</f>
        <v>20.883600000000001</v>
      </c>
      <c r="J644" s="61">
        <f>12.5742 * CHOOSE(CONTROL!$C$22, $C$13, 100%, $E$13)</f>
        <v>12.574199999999999</v>
      </c>
      <c r="K644" s="61">
        <f>12.5744 * CHOOSE(CONTROL!$C$22, $C$13, 100%, $E$13)</f>
        <v>12.574400000000001</v>
      </c>
    </row>
    <row r="645" spans="1:11" ht="15">
      <c r="A645" s="13">
        <v>61484</v>
      </c>
      <c r="B645" s="60">
        <f>10.6797 * CHOOSE(CONTROL!$C$22, $C$13, 100%, $E$13)</f>
        <v>10.6797</v>
      </c>
      <c r="C645" s="60">
        <f>10.6797 * CHOOSE(CONTROL!$C$22, $C$13, 100%, $E$13)</f>
        <v>10.6797</v>
      </c>
      <c r="D645" s="60">
        <f>10.7123 * CHOOSE(CONTROL!$C$22, $C$13, 100%, $E$13)</f>
        <v>10.712300000000001</v>
      </c>
      <c r="E645" s="61">
        <f>12.6176 * CHOOSE(CONTROL!$C$22, $C$13, 100%, $E$13)</f>
        <v>12.617599999999999</v>
      </c>
      <c r="F645" s="61">
        <f>12.6176 * CHOOSE(CONTROL!$C$22, $C$13, 100%, $E$13)</f>
        <v>12.617599999999999</v>
      </c>
      <c r="G645" s="61">
        <f>12.6196 * CHOOSE(CONTROL!$C$22, $C$13, 100%, $E$13)</f>
        <v>12.6196</v>
      </c>
      <c r="H645" s="61">
        <f>20.9269* CHOOSE(CONTROL!$C$22, $C$13, 100%, $E$13)</f>
        <v>20.9269</v>
      </c>
      <c r="I645" s="61">
        <f>20.929 * CHOOSE(CONTROL!$C$22, $C$13, 100%, $E$13)</f>
        <v>20.928999999999998</v>
      </c>
      <c r="J645" s="61">
        <f>12.6176 * CHOOSE(CONTROL!$C$22, $C$13, 100%, $E$13)</f>
        <v>12.617599999999999</v>
      </c>
      <c r="K645" s="61">
        <f>12.6196 * CHOOSE(CONTROL!$C$22, $C$13, 100%, $E$13)</f>
        <v>12.6196</v>
      </c>
    </row>
    <row r="646" spans="1:11" ht="15">
      <c r="A646" s="13">
        <v>61515</v>
      </c>
      <c r="B646" s="60">
        <f>10.6858 * CHOOSE(CONTROL!$C$22, $C$13, 100%, $E$13)</f>
        <v>10.6858</v>
      </c>
      <c r="C646" s="60">
        <f>10.6858 * CHOOSE(CONTROL!$C$22, $C$13, 100%, $E$13)</f>
        <v>10.6858</v>
      </c>
      <c r="D646" s="60">
        <f>10.7184 * CHOOSE(CONTROL!$C$22, $C$13, 100%, $E$13)</f>
        <v>10.718400000000001</v>
      </c>
      <c r="E646" s="61">
        <f>12.5784 * CHOOSE(CONTROL!$C$22, $C$13, 100%, $E$13)</f>
        <v>12.5784</v>
      </c>
      <c r="F646" s="61">
        <f>12.5784 * CHOOSE(CONTROL!$C$22, $C$13, 100%, $E$13)</f>
        <v>12.5784</v>
      </c>
      <c r="G646" s="61">
        <f>12.5805 * CHOOSE(CONTROL!$C$22, $C$13, 100%, $E$13)</f>
        <v>12.580500000000001</v>
      </c>
      <c r="H646" s="61">
        <f>20.9705* CHOOSE(CONTROL!$C$22, $C$13, 100%, $E$13)</f>
        <v>20.970500000000001</v>
      </c>
      <c r="I646" s="61">
        <f>20.9726 * CHOOSE(CONTROL!$C$22, $C$13, 100%, $E$13)</f>
        <v>20.9726</v>
      </c>
      <c r="J646" s="61">
        <f>12.5784 * CHOOSE(CONTROL!$C$22, $C$13, 100%, $E$13)</f>
        <v>12.5784</v>
      </c>
      <c r="K646" s="61">
        <f>12.5805 * CHOOSE(CONTROL!$C$22, $C$13, 100%, $E$13)</f>
        <v>12.580500000000001</v>
      </c>
    </row>
    <row r="647" spans="1:11" ht="15">
      <c r="A647" s="13">
        <v>61545</v>
      </c>
      <c r="B647" s="60">
        <f>10.8558 * CHOOSE(CONTROL!$C$22, $C$13, 100%, $E$13)</f>
        <v>10.8558</v>
      </c>
      <c r="C647" s="60">
        <f>10.8558 * CHOOSE(CONTROL!$C$22, $C$13, 100%, $E$13)</f>
        <v>10.8558</v>
      </c>
      <c r="D647" s="60">
        <f>10.8885 * CHOOSE(CONTROL!$C$22, $C$13, 100%, $E$13)</f>
        <v>10.888500000000001</v>
      </c>
      <c r="E647" s="61">
        <f>12.8205 * CHOOSE(CONTROL!$C$22, $C$13, 100%, $E$13)</f>
        <v>12.820499999999999</v>
      </c>
      <c r="F647" s="61">
        <f>12.8205 * CHOOSE(CONTROL!$C$22, $C$13, 100%, $E$13)</f>
        <v>12.820499999999999</v>
      </c>
      <c r="G647" s="61">
        <f>12.8225 * CHOOSE(CONTROL!$C$22, $C$13, 100%, $E$13)</f>
        <v>12.8225</v>
      </c>
      <c r="H647" s="61">
        <f>21.0142* CHOOSE(CONTROL!$C$22, $C$13, 100%, $E$13)</f>
        <v>21.014199999999999</v>
      </c>
      <c r="I647" s="61">
        <f>21.0162 * CHOOSE(CONTROL!$C$22, $C$13, 100%, $E$13)</f>
        <v>21.016200000000001</v>
      </c>
      <c r="J647" s="61">
        <f>12.8205 * CHOOSE(CONTROL!$C$22, $C$13, 100%, $E$13)</f>
        <v>12.820499999999999</v>
      </c>
      <c r="K647" s="61">
        <f>12.8225 * CHOOSE(CONTROL!$C$22, $C$13, 100%, $E$13)</f>
        <v>12.8225</v>
      </c>
    </row>
    <row r="648" spans="1:11" ht="15">
      <c r="A648" s="13">
        <v>61576</v>
      </c>
      <c r="B648" s="60">
        <f>10.8625 * CHOOSE(CONTROL!$C$22, $C$13, 100%, $E$13)</f>
        <v>10.862500000000001</v>
      </c>
      <c r="C648" s="60">
        <f>10.8625 * CHOOSE(CONTROL!$C$22, $C$13, 100%, $E$13)</f>
        <v>10.862500000000001</v>
      </c>
      <c r="D648" s="60">
        <f>10.8951 * CHOOSE(CONTROL!$C$22, $C$13, 100%, $E$13)</f>
        <v>10.895099999999999</v>
      </c>
      <c r="E648" s="61">
        <f>12.6949 * CHOOSE(CONTROL!$C$22, $C$13, 100%, $E$13)</f>
        <v>12.694900000000001</v>
      </c>
      <c r="F648" s="61">
        <f>12.6949 * CHOOSE(CONTROL!$C$22, $C$13, 100%, $E$13)</f>
        <v>12.694900000000001</v>
      </c>
      <c r="G648" s="61">
        <f>12.697 * CHOOSE(CONTROL!$C$22, $C$13, 100%, $E$13)</f>
        <v>12.696999999999999</v>
      </c>
      <c r="H648" s="61">
        <f>21.058* CHOOSE(CONTROL!$C$22, $C$13, 100%, $E$13)</f>
        <v>21.058</v>
      </c>
      <c r="I648" s="61">
        <f>21.06 * CHOOSE(CONTROL!$C$22, $C$13, 100%, $E$13)</f>
        <v>21.06</v>
      </c>
      <c r="J648" s="61">
        <f>12.6949 * CHOOSE(CONTROL!$C$22, $C$13, 100%, $E$13)</f>
        <v>12.694900000000001</v>
      </c>
      <c r="K648" s="61">
        <f>12.697 * CHOOSE(CONTROL!$C$22, $C$13, 100%, $E$13)</f>
        <v>12.696999999999999</v>
      </c>
    </row>
    <row r="649" spans="1:11" ht="15">
      <c r="A649" s="13">
        <v>61607</v>
      </c>
      <c r="B649" s="60">
        <f>10.8594 * CHOOSE(CONTROL!$C$22, $C$13, 100%, $E$13)</f>
        <v>10.859400000000001</v>
      </c>
      <c r="C649" s="60">
        <f>10.8594 * CHOOSE(CONTROL!$C$22, $C$13, 100%, $E$13)</f>
        <v>10.859400000000001</v>
      </c>
      <c r="D649" s="60">
        <f>10.8921 * CHOOSE(CONTROL!$C$22, $C$13, 100%, $E$13)</f>
        <v>10.892099999999999</v>
      </c>
      <c r="E649" s="61">
        <f>12.6784 * CHOOSE(CONTROL!$C$22, $C$13, 100%, $E$13)</f>
        <v>12.6784</v>
      </c>
      <c r="F649" s="61">
        <f>12.6784 * CHOOSE(CONTROL!$C$22, $C$13, 100%, $E$13)</f>
        <v>12.6784</v>
      </c>
      <c r="G649" s="61">
        <f>12.6804 * CHOOSE(CONTROL!$C$22, $C$13, 100%, $E$13)</f>
        <v>12.680400000000001</v>
      </c>
      <c r="H649" s="61">
        <f>21.1019* CHOOSE(CONTROL!$C$22, $C$13, 100%, $E$13)</f>
        <v>21.101900000000001</v>
      </c>
      <c r="I649" s="61">
        <f>21.1039 * CHOOSE(CONTROL!$C$22, $C$13, 100%, $E$13)</f>
        <v>21.103899999999999</v>
      </c>
      <c r="J649" s="61">
        <f>12.6784 * CHOOSE(CONTROL!$C$22, $C$13, 100%, $E$13)</f>
        <v>12.6784</v>
      </c>
      <c r="K649" s="61">
        <f>12.6804 * CHOOSE(CONTROL!$C$22, $C$13, 100%, $E$13)</f>
        <v>12.680400000000001</v>
      </c>
    </row>
    <row r="650" spans="1:11" ht="15">
      <c r="A650" s="13">
        <v>61637</v>
      </c>
      <c r="B650" s="60">
        <f>10.8772 * CHOOSE(CONTROL!$C$22, $C$13, 100%, $E$13)</f>
        <v>10.8772</v>
      </c>
      <c r="C650" s="60">
        <f>10.8772 * CHOOSE(CONTROL!$C$22, $C$13, 100%, $E$13)</f>
        <v>10.8772</v>
      </c>
      <c r="D650" s="60">
        <f>10.8936 * CHOOSE(CONTROL!$C$22, $C$13, 100%, $E$13)</f>
        <v>10.893599999999999</v>
      </c>
      <c r="E650" s="61">
        <f>12.7228 * CHOOSE(CONTROL!$C$22, $C$13, 100%, $E$13)</f>
        <v>12.722799999999999</v>
      </c>
      <c r="F650" s="61">
        <f>12.7228 * CHOOSE(CONTROL!$C$22, $C$13, 100%, $E$13)</f>
        <v>12.722799999999999</v>
      </c>
      <c r="G650" s="61">
        <f>12.723 * CHOOSE(CONTROL!$C$22, $C$13, 100%, $E$13)</f>
        <v>12.723000000000001</v>
      </c>
      <c r="H650" s="61">
        <f>21.1458* CHOOSE(CONTROL!$C$22, $C$13, 100%, $E$13)</f>
        <v>21.145800000000001</v>
      </c>
      <c r="I650" s="61">
        <f>21.146 * CHOOSE(CONTROL!$C$22, $C$13, 100%, $E$13)</f>
        <v>21.146000000000001</v>
      </c>
      <c r="J650" s="61">
        <f>12.7228 * CHOOSE(CONTROL!$C$22, $C$13, 100%, $E$13)</f>
        <v>12.722799999999999</v>
      </c>
      <c r="K650" s="61">
        <f>12.723 * CHOOSE(CONTROL!$C$22, $C$13, 100%, $E$13)</f>
        <v>12.723000000000001</v>
      </c>
    </row>
    <row r="651" spans="1:11" ht="15">
      <c r="A651" s="13">
        <v>61668</v>
      </c>
      <c r="B651" s="60">
        <f>10.8803 * CHOOSE(CONTROL!$C$22, $C$13, 100%, $E$13)</f>
        <v>10.8803</v>
      </c>
      <c r="C651" s="60">
        <f>10.8803 * CHOOSE(CONTROL!$C$22, $C$13, 100%, $E$13)</f>
        <v>10.8803</v>
      </c>
      <c r="D651" s="60">
        <f>10.8966 * CHOOSE(CONTROL!$C$22, $C$13, 100%, $E$13)</f>
        <v>10.896599999999999</v>
      </c>
      <c r="E651" s="61">
        <f>12.7538 * CHOOSE(CONTROL!$C$22, $C$13, 100%, $E$13)</f>
        <v>12.7538</v>
      </c>
      <c r="F651" s="61">
        <f>12.7538 * CHOOSE(CONTROL!$C$22, $C$13, 100%, $E$13)</f>
        <v>12.7538</v>
      </c>
      <c r="G651" s="61">
        <f>12.754 * CHOOSE(CONTROL!$C$22, $C$13, 100%, $E$13)</f>
        <v>12.754</v>
      </c>
      <c r="H651" s="61">
        <f>21.1899* CHOOSE(CONTROL!$C$22, $C$13, 100%, $E$13)</f>
        <v>21.189900000000002</v>
      </c>
      <c r="I651" s="61">
        <f>21.1901 * CHOOSE(CONTROL!$C$22, $C$13, 100%, $E$13)</f>
        <v>21.190100000000001</v>
      </c>
      <c r="J651" s="61">
        <f>12.7538 * CHOOSE(CONTROL!$C$22, $C$13, 100%, $E$13)</f>
        <v>12.7538</v>
      </c>
      <c r="K651" s="61">
        <f>12.754 * CHOOSE(CONTROL!$C$22, $C$13, 100%, $E$13)</f>
        <v>12.754</v>
      </c>
    </row>
    <row r="652" spans="1:11" ht="15">
      <c r="A652" s="13">
        <v>61698</v>
      </c>
      <c r="B652" s="60">
        <f>10.8803 * CHOOSE(CONTROL!$C$22, $C$13, 100%, $E$13)</f>
        <v>10.8803</v>
      </c>
      <c r="C652" s="60">
        <f>10.8803 * CHOOSE(CONTROL!$C$22, $C$13, 100%, $E$13)</f>
        <v>10.8803</v>
      </c>
      <c r="D652" s="60">
        <f>10.8966 * CHOOSE(CONTROL!$C$22, $C$13, 100%, $E$13)</f>
        <v>10.896599999999999</v>
      </c>
      <c r="E652" s="61">
        <f>12.6815 * CHOOSE(CONTROL!$C$22, $C$13, 100%, $E$13)</f>
        <v>12.6815</v>
      </c>
      <c r="F652" s="61">
        <f>12.6815 * CHOOSE(CONTROL!$C$22, $C$13, 100%, $E$13)</f>
        <v>12.6815</v>
      </c>
      <c r="G652" s="61">
        <f>12.6817 * CHOOSE(CONTROL!$C$22, $C$13, 100%, $E$13)</f>
        <v>12.681699999999999</v>
      </c>
      <c r="H652" s="61">
        <f>21.234* CHOOSE(CONTROL!$C$22, $C$13, 100%, $E$13)</f>
        <v>21.234000000000002</v>
      </c>
      <c r="I652" s="61">
        <f>21.2342 * CHOOSE(CONTROL!$C$22, $C$13, 100%, $E$13)</f>
        <v>21.234200000000001</v>
      </c>
      <c r="J652" s="61">
        <f>12.6815 * CHOOSE(CONTROL!$C$22, $C$13, 100%, $E$13)</f>
        <v>12.6815</v>
      </c>
      <c r="K652" s="61">
        <f>12.6817 * CHOOSE(CONTROL!$C$22, $C$13, 100%, $E$13)</f>
        <v>12.681699999999999</v>
      </c>
    </row>
    <row r="653" spans="1:11" ht="15">
      <c r="A653" s="13">
        <v>61729</v>
      </c>
      <c r="B653" s="60">
        <f>10.9277 * CHOOSE(CONTROL!$C$22, $C$13, 100%, $E$13)</f>
        <v>10.9277</v>
      </c>
      <c r="C653" s="60">
        <f>10.9277 * CHOOSE(CONTROL!$C$22, $C$13, 100%, $E$13)</f>
        <v>10.9277</v>
      </c>
      <c r="D653" s="60">
        <f>10.944 * CHOOSE(CONTROL!$C$22, $C$13, 100%, $E$13)</f>
        <v>10.944000000000001</v>
      </c>
      <c r="E653" s="61">
        <f>12.7883 * CHOOSE(CONTROL!$C$22, $C$13, 100%, $E$13)</f>
        <v>12.7883</v>
      </c>
      <c r="F653" s="61">
        <f>12.7883 * CHOOSE(CONTROL!$C$22, $C$13, 100%, $E$13)</f>
        <v>12.7883</v>
      </c>
      <c r="G653" s="61">
        <f>12.7885 * CHOOSE(CONTROL!$C$22, $C$13, 100%, $E$13)</f>
        <v>12.788500000000001</v>
      </c>
      <c r="H653" s="61">
        <f>21.1993* CHOOSE(CONTROL!$C$22, $C$13, 100%, $E$13)</f>
        <v>21.199300000000001</v>
      </c>
      <c r="I653" s="61">
        <f>21.1995 * CHOOSE(CONTROL!$C$22, $C$13, 100%, $E$13)</f>
        <v>21.1995</v>
      </c>
      <c r="J653" s="61">
        <f>12.7883 * CHOOSE(CONTROL!$C$22, $C$13, 100%, $E$13)</f>
        <v>12.7883</v>
      </c>
      <c r="K653" s="61">
        <f>12.7885 * CHOOSE(CONTROL!$C$22, $C$13, 100%, $E$13)</f>
        <v>12.788500000000001</v>
      </c>
    </row>
    <row r="654" spans="1:11" ht="15">
      <c r="A654" s="13">
        <v>61760</v>
      </c>
      <c r="B654" s="60">
        <f>10.9246 * CHOOSE(CONTROL!$C$22, $C$13, 100%, $E$13)</f>
        <v>10.9246</v>
      </c>
      <c r="C654" s="60">
        <f>10.9246 * CHOOSE(CONTROL!$C$22, $C$13, 100%, $E$13)</f>
        <v>10.9246</v>
      </c>
      <c r="D654" s="60">
        <f>10.941 * CHOOSE(CONTROL!$C$22, $C$13, 100%, $E$13)</f>
        <v>10.941000000000001</v>
      </c>
      <c r="E654" s="61">
        <f>12.6463 * CHOOSE(CONTROL!$C$22, $C$13, 100%, $E$13)</f>
        <v>12.6463</v>
      </c>
      <c r="F654" s="61">
        <f>12.6463 * CHOOSE(CONTROL!$C$22, $C$13, 100%, $E$13)</f>
        <v>12.6463</v>
      </c>
      <c r="G654" s="61">
        <f>12.6465 * CHOOSE(CONTROL!$C$22, $C$13, 100%, $E$13)</f>
        <v>12.6465</v>
      </c>
      <c r="H654" s="61">
        <f>21.2435* CHOOSE(CONTROL!$C$22, $C$13, 100%, $E$13)</f>
        <v>21.243500000000001</v>
      </c>
      <c r="I654" s="61">
        <f>21.2437 * CHOOSE(CONTROL!$C$22, $C$13, 100%, $E$13)</f>
        <v>21.2437</v>
      </c>
      <c r="J654" s="61">
        <f>12.6463 * CHOOSE(CONTROL!$C$22, $C$13, 100%, $E$13)</f>
        <v>12.6463</v>
      </c>
      <c r="K654" s="61">
        <f>12.6465 * CHOOSE(CONTROL!$C$22, $C$13, 100%, $E$13)</f>
        <v>12.6465</v>
      </c>
    </row>
    <row r="655" spans="1:11" ht="15">
      <c r="A655" s="13">
        <v>61788</v>
      </c>
      <c r="B655" s="60">
        <f>10.9216 * CHOOSE(CONTROL!$C$22, $C$13, 100%, $E$13)</f>
        <v>10.9216</v>
      </c>
      <c r="C655" s="60">
        <f>10.9216 * CHOOSE(CONTROL!$C$22, $C$13, 100%, $E$13)</f>
        <v>10.9216</v>
      </c>
      <c r="D655" s="60">
        <f>10.9379 * CHOOSE(CONTROL!$C$22, $C$13, 100%, $E$13)</f>
        <v>10.937900000000001</v>
      </c>
      <c r="E655" s="61">
        <f>12.7545 * CHOOSE(CONTROL!$C$22, $C$13, 100%, $E$13)</f>
        <v>12.7545</v>
      </c>
      <c r="F655" s="61">
        <f>12.7545 * CHOOSE(CONTROL!$C$22, $C$13, 100%, $E$13)</f>
        <v>12.7545</v>
      </c>
      <c r="G655" s="61">
        <f>12.7546 * CHOOSE(CONTROL!$C$22, $C$13, 100%, $E$13)</f>
        <v>12.7546</v>
      </c>
      <c r="H655" s="61">
        <f>21.2878* CHOOSE(CONTROL!$C$22, $C$13, 100%, $E$13)</f>
        <v>21.287800000000001</v>
      </c>
      <c r="I655" s="61">
        <f>21.2879 * CHOOSE(CONTROL!$C$22, $C$13, 100%, $E$13)</f>
        <v>21.2879</v>
      </c>
      <c r="J655" s="61">
        <f>12.7545 * CHOOSE(CONTROL!$C$22, $C$13, 100%, $E$13)</f>
        <v>12.7545</v>
      </c>
      <c r="K655" s="61">
        <f>12.7546 * CHOOSE(CONTROL!$C$22, $C$13, 100%, $E$13)</f>
        <v>12.7546</v>
      </c>
    </row>
    <row r="656" spans="1:11" ht="15">
      <c r="A656" s="13">
        <v>61819</v>
      </c>
      <c r="B656" s="60">
        <f>10.9252 * CHOOSE(CONTROL!$C$22, $C$13, 100%, $E$13)</f>
        <v>10.9252</v>
      </c>
      <c r="C656" s="60">
        <f>10.9252 * CHOOSE(CONTROL!$C$22, $C$13, 100%, $E$13)</f>
        <v>10.9252</v>
      </c>
      <c r="D656" s="60">
        <f>10.9415 * CHOOSE(CONTROL!$C$22, $C$13, 100%, $E$13)</f>
        <v>10.9415</v>
      </c>
      <c r="E656" s="61">
        <f>12.8687 * CHOOSE(CONTROL!$C$22, $C$13, 100%, $E$13)</f>
        <v>12.8687</v>
      </c>
      <c r="F656" s="61">
        <f>12.8687 * CHOOSE(CONTROL!$C$22, $C$13, 100%, $E$13)</f>
        <v>12.8687</v>
      </c>
      <c r="G656" s="61">
        <f>12.8688 * CHOOSE(CONTROL!$C$22, $C$13, 100%, $E$13)</f>
        <v>12.8688</v>
      </c>
      <c r="H656" s="61">
        <f>21.3321* CHOOSE(CONTROL!$C$22, $C$13, 100%, $E$13)</f>
        <v>21.332100000000001</v>
      </c>
      <c r="I656" s="61">
        <f>21.3323 * CHOOSE(CONTROL!$C$22, $C$13, 100%, $E$13)</f>
        <v>21.3323</v>
      </c>
      <c r="J656" s="61">
        <f>12.8687 * CHOOSE(CONTROL!$C$22, $C$13, 100%, $E$13)</f>
        <v>12.8687</v>
      </c>
      <c r="K656" s="61">
        <f>12.8688 * CHOOSE(CONTROL!$C$22, $C$13, 100%, $E$13)</f>
        <v>12.8688</v>
      </c>
    </row>
    <row r="657" spans="1:11" ht="15">
      <c r="A657" s="13">
        <v>61849</v>
      </c>
      <c r="B657" s="60">
        <f>10.9252 * CHOOSE(CONTROL!$C$22, $C$13, 100%, $E$13)</f>
        <v>10.9252</v>
      </c>
      <c r="C657" s="60">
        <f>10.9252 * CHOOSE(CONTROL!$C$22, $C$13, 100%, $E$13)</f>
        <v>10.9252</v>
      </c>
      <c r="D657" s="60">
        <f>10.9579 * CHOOSE(CONTROL!$C$22, $C$13, 100%, $E$13)</f>
        <v>10.9579</v>
      </c>
      <c r="E657" s="61">
        <f>12.9131 * CHOOSE(CONTROL!$C$22, $C$13, 100%, $E$13)</f>
        <v>12.9131</v>
      </c>
      <c r="F657" s="61">
        <f>12.9131 * CHOOSE(CONTROL!$C$22, $C$13, 100%, $E$13)</f>
        <v>12.9131</v>
      </c>
      <c r="G657" s="61">
        <f>12.9151 * CHOOSE(CONTROL!$C$22, $C$13, 100%, $E$13)</f>
        <v>12.915100000000001</v>
      </c>
      <c r="H657" s="61">
        <f>21.3765* CHOOSE(CONTROL!$C$22, $C$13, 100%, $E$13)</f>
        <v>21.3765</v>
      </c>
      <c r="I657" s="61">
        <f>21.3786 * CHOOSE(CONTROL!$C$22, $C$13, 100%, $E$13)</f>
        <v>21.378599999999999</v>
      </c>
      <c r="J657" s="61">
        <f>12.9131 * CHOOSE(CONTROL!$C$22, $C$13, 100%, $E$13)</f>
        <v>12.9131</v>
      </c>
      <c r="K657" s="61">
        <f>12.9151 * CHOOSE(CONTROL!$C$22, $C$13, 100%, $E$13)</f>
        <v>12.915100000000001</v>
      </c>
    </row>
    <row r="658" spans="1:11" ht="15">
      <c r="A658" s="13">
        <v>61880</v>
      </c>
      <c r="B658" s="60">
        <f>10.9313 * CHOOSE(CONTROL!$C$22, $C$13, 100%, $E$13)</f>
        <v>10.9313</v>
      </c>
      <c r="C658" s="60">
        <f>10.9313 * CHOOSE(CONTROL!$C$22, $C$13, 100%, $E$13)</f>
        <v>10.9313</v>
      </c>
      <c r="D658" s="60">
        <f>10.964 * CHOOSE(CONTROL!$C$22, $C$13, 100%, $E$13)</f>
        <v>10.964</v>
      </c>
      <c r="E658" s="61">
        <f>12.8729 * CHOOSE(CONTROL!$C$22, $C$13, 100%, $E$13)</f>
        <v>12.8729</v>
      </c>
      <c r="F658" s="61">
        <f>12.8729 * CHOOSE(CONTROL!$C$22, $C$13, 100%, $E$13)</f>
        <v>12.8729</v>
      </c>
      <c r="G658" s="61">
        <f>12.8749 * CHOOSE(CONTROL!$C$22, $C$13, 100%, $E$13)</f>
        <v>12.8749</v>
      </c>
      <c r="H658" s="61">
        <f>21.4211* CHOOSE(CONTROL!$C$22, $C$13, 100%, $E$13)</f>
        <v>21.421099999999999</v>
      </c>
      <c r="I658" s="61">
        <f>21.4231 * CHOOSE(CONTROL!$C$22, $C$13, 100%, $E$13)</f>
        <v>21.423100000000002</v>
      </c>
      <c r="J658" s="61">
        <f>12.8729 * CHOOSE(CONTROL!$C$22, $C$13, 100%, $E$13)</f>
        <v>12.8729</v>
      </c>
      <c r="K658" s="61">
        <f>12.8749 * CHOOSE(CONTROL!$C$22, $C$13, 100%, $E$13)</f>
        <v>12.8749</v>
      </c>
    </row>
    <row r="659" spans="1:11" ht="15">
      <c r="A659" s="13">
        <v>61910</v>
      </c>
      <c r="B659" s="60">
        <f>11.105 * CHOOSE(CONTROL!$C$22, $C$13, 100%, $E$13)</f>
        <v>11.105</v>
      </c>
      <c r="C659" s="60">
        <f>11.105 * CHOOSE(CONTROL!$C$22, $C$13, 100%, $E$13)</f>
        <v>11.105</v>
      </c>
      <c r="D659" s="60">
        <f>11.1377 * CHOOSE(CONTROL!$C$22, $C$13, 100%, $E$13)</f>
        <v>11.137700000000001</v>
      </c>
      <c r="E659" s="61">
        <f>13.1203 * CHOOSE(CONTROL!$C$22, $C$13, 100%, $E$13)</f>
        <v>13.1203</v>
      </c>
      <c r="F659" s="61">
        <f>13.1203 * CHOOSE(CONTROL!$C$22, $C$13, 100%, $E$13)</f>
        <v>13.1203</v>
      </c>
      <c r="G659" s="61">
        <f>13.1224 * CHOOSE(CONTROL!$C$22, $C$13, 100%, $E$13)</f>
        <v>13.122400000000001</v>
      </c>
      <c r="H659" s="61">
        <f>21.4657* CHOOSE(CONTROL!$C$22, $C$13, 100%, $E$13)</f>
        <v>21.465699999999998</v>
      </c>
      <c r="I659" s="61">
        <f>21.4677 * CHOOSE(CONTROL!$C$22, $C$13, 100%, $E$13)</f>
        <v>21.467700000000001</v>
      </c>
      <c r="J659" s="61">
        <f>13.1203 * CHOOSE(CONTROL!$C$22, $C$13, 100%, $E$13)</f>
        <v>13.1203</v>
      </c>
      <c r="K659" s="61">
        <f>13.1224 * CHOOSE(CONTROL!$C$22, $C$13, 100%, $E$13)</f>
        <v>13.122400000000001</v>
      </c>
    </row>
    <row r="660" spans="1:11" ht="15">
      <c r="A660" s="13">
        <v>61941</v>
      </c>
      <c r="B660" s="60">
        <f>11.1117 * CHOOSE(CONTROL!$C$22, $C$13, 100%, $E$13)</f>
        <v>11.111700000000001</v>
      </c>
      <c r="C660" s="60">
        <f>11.1117 * CHOOSE(CONTROL!$C$22, $C$13, 100%, $E$13)</f>
        <v>11.111700000000001</v>
      </c>
      <c r="D660" s="60">
        <f>11.1444 * CHOOSE(CONTROL!$C$22, $C$13, 100%, $E$13)</f>
        <v>11.144399999999999</v>
      </c>
      <c r="E660" s="61">
        <f>12.9918 * CHOOSE(CONTROL!$C$22, $C$13, 100%, $E$13)</f>
        <v>12.9918</v>
      </c>
      <c r="F660" s="61">
        <f>12.9918 * CHOOSE(CONTROL!$C$22, $C$13, 100%, $E$13)</f>
        <v>12.9918</v>
      </c>
      <c r="G660" s="61">
        <f>12.9938 * CHOOSE(CONTROL!$C$22, $C$13, 100%, $E$13)</f>
        <v>12.9938</v>
      </c>
      <c r="H660" s="61">
        <f>21.5104* CHOOSE(CONTROL!$C$22, $C$13, 100%, $E$13)</f>
        <v>21.510400000000001</v>
      </c>
      <c r="I660" s="61">
        <f>21.5125 * CHOOSE(CONTROL!$C$22, $C$13, 100%, $E$13)</f>
        <v>21.512499999999999</v>
      </c>
      <c r="J660" s="61">
        <f>12.9918 * CHOOSE(CONTROL!$C$22, $C$13, 100%, $E$13)</f>
        <v>12.9918</v>
      </c>
      <c r="K660" s="61">
        <f>12.9938 * CHOOSE(CONTROL!$C$22, $C$13, 100%, $E$13)</f>
        <v>12.9938</v>
      </c>
    </row>
    <row r="661" spans="1:11" ht="15">
      <c r="A661" s="13">
        <v>61972</v>
      </c>
      <c r="B661" s="60">
        <f>11.1087 * CHOOSE(CONTROL!$C$22, $C$13, 100%, $E$13)</f>
        <v>11.108700000000001</v>
      </c>
      <c r="C661" s="60">
        <f>11.1087 * CHOOSE(CONTROL!$C$22, $C$13, 100%, $E$13)</f>
        <v>11.108700000000001</v>
      </c>
      <c r="D661" s="60">
        <f>11.1413 * CHOOSE(CONTROL!$C$22, $C$13, 100%, $E$13)</f>
        <v>11.141299999999999</v>
      </c>
      <c r="E661" s="61">
        <f>12.9749 * CHOOSE(CONTROL!$C$22, $C$13, 100%, $E$13)</f>
        <v>12.9749</v>
      </c>
      <c r="F661" s="61">
        <f>12.9749 * CHOOSE(CONTROL!$C$22, $C$13, 100%, $E$13)</f>
        <v>12.9749</v>
      </c>
      <c r="G661" s="61">
        <f>12.9769 * CHOOSE(CONTROL!$C$22, $C$13, 100%, $E$13)</f>
        <v>12.976900000000001</v>
      </c>
      <c r="H661" s="61">
        <f>21.5552* CHOOSE(CONTROL!$C$22, $C$13, 100%, $E$13)</f>
        <v>21.555199999999999</v>
      </c>
      <c r="I661" s="61">
        <f>21.5573 * CHOOSE(CONTROL!$C$22, $C$13, 100%, $E$13)</f>
        <v>21.557300000000001</v>
      </c>
      <c r="J661" s="61">
        <f>12.9749 * CHOOSE(CONTROL!$C$22, $C$13, 100%, $E$13)</f>
        <v>12.9749</v>
      </c>
      <c r="K661" s="61">
        <f>12.9769 * CHOOSE(CONTROL!$C$22, $C$13, 100%, $E$13)</f>
        <v>12.976900000000001</v>
      </c>
    </row>
    <row r="662" spans="1:11" ht="15">
      <c r="A662" s="13">
        <v>62002</v>
      </c>
      <c r="B662" s="60">
        <f>11.1272 * CHOOSE(CONTROL!$C$22, $C$13, 100%, $E$13)</f>
        <v>11.1272</v>
      </c>
      <c r="C662" s="60">
        <f>11.1272 * CHOOSE(CONTROL!$C$22, $C$13, 100%, $E$13)</f>
        <v>11.1272</v>
      </c>
      <c r="D662" s="60">
        <f>11.1436 * CHOOSE(CONTROL!$C$22, $C$13, 100%, $E$13)</f>
        <v>11.143599999999999</v>
      </c>
      <c r="E662" s="61">
        <f>13.0206 * CHOOSE(CONTROL!$C$22, $C$13, 100%, $E$13)</f>
        <v>13.0206</v>
      </c>
      <c r="F662" s="61">
        <f>13.0206 * CHOOSE(CONTROL!$C$22, $C$13, 100%, $E$13)</f>
        <v>13.0206</v>
      </c>
      <c r="G662" s="61">
        <f>13.0208 * CHOOSE(CONTROL!$C$22, $C$13, 100%, $E$13)</f>
        <v>13.020799999999999</v>
      </c>
      <c r="H662" s="61">
        <f>21.6001* CHOOSE(CONTROL!$C$22, $C$13, 100%, $E$13)</f>
        <v>21.600100000000001</v>
      </c>
      <c r="I662" s="61">
        <f>21.6003 * CHOOSE(CONTROL!$C$22, $C$13, 100%, $E$13)</f>
        <v>21.600300000000001</v>
      </c>
      <c r="J662" s="61">
        <f>13.0206 * CHOOSE(CONTROL!$C$22, $C$13, 100%, $E$13)</f>
        <v>13.0206</v>
      </c>
      <c r="K662" s="61">
        <f>13.0208 * CHOOSE(CONTROL!$C$22, $C$13, 100%, $E$13)</f>
        <v>13.020799999999999</v>
      </c>
    </row>
    <row r="663" spans="1:11" ht="15">
      <c r="A663" s="13">
        <v>62033</v>
      </c>
      <c r="B663" s="60">
        <f>11.1303 * CHOOSE(CONTROL!$C$22, $C$13, 100%, $E$13)</f>
        <v>11.1303</v>
      </c>
      <c r="C663" s="60">
        <f>11.1303 * CHOOSE(CONTROL!$C$22, $C$13, 100%, $E$13)</f>
        <v>11.1303</v>
      </c>
      <c r="D663" s="60">
        <f>11.1466 * CHOOSE(CONTROL!$C$22, $C$13, 100%, $E$13)</f>
        <v>11.146599999999999</v>
      </c>
      <c r="E663" s="61">
        <f>13.0524 * CHOOSE(CONTROL!$C$22, $C$13, 100%, $E$13)</f>
        <v>13.0524</v>
      </c>
      <c r="F663" s="61">
        <f>13.0524 * CHOOSE(CONTROL!$C$22, $C$13, 100%, $E$13)</f>
        <v>13.0524</v>
      </c>
      <c r="G663" s="61">
        <f>13.0525 * CHOOSE(CONTROL!$C$22, $C$13, 100%, $E$13)</f>
        <v>13.0525</v>
      </c>
      <c r="H663" s="61">
        <f>21.6451* CHOOSE(CONTROL!$C$22, $C$13, 100%, $E$13)</f>
        <v>21.645099999999999</v>
      </c>
      <c r="I663" s="61">
        <f>21.6453 * CHOOSE(CONTROL!$C$22, $C$13, 100%, $E$13)</f>
        <v>21.645299999999999</v>
      </c>
      <c r="J663" s="61">
        <f>13.0524 * CHOOSE(CONTROL!$C$22, $C$13, 100%, $E$13)</f>
        <v>13.0524</v>
      </c>
      <c r="K663" s="61">
        <f>13.0525 * CHOOSE(CONTROL!$C$22, $C$13, 100%, $E$13)</f>
        <v>13.0525</v>
      </c>
    </row>
    <row r="664" spans="1:11" ht="15">
      <c r="A664" s="13">
        <v>62063</v>
      </c>
      <c r="B664" s="60">
        <f>11.1303 * CHOOSE(CONTROL!$C$22, $C$13, 100%, $E$13)</f>
        <v>11.1303</v>
      </c>
      <c r="C664" s="60">
        <f>11.1303 * CHOOSE(CONTROL!$C$22, $C$13, 100%, $E$13)</f>
        <v>11.1303</v>
      </c>
      <c r="D664" s="60">
        <f>11.1466 * CHOOSE(CONTROL!$C$22, $C$13, 100%, $E$13)</f>
        <v>11.146599999999999</v>
      </c>
      <c r="E664" s="61">
        <f>12.9784 * CHOOSE(CONTROL!$C$22, $C$13, 100%, $E$13)</f>
        <v>12.978400000000001</v>
      </c>
      <c r="F664" s="61">
        <f>12.9784 * CHOOSE(CONTROL!$C$22, $C$13, 100%, $E$13)</f>
        <v>12.978400000000001</v>
      </c>
      <c r="G664" s="61">
        <f>12.9785 * CHOOSE(CONTROL!$C$22, $C$13, 100%, $E$13)</f>
        <v>12.9785</v>
      </c>
      <c r="H664" s="61">
        <f>21.6902* CHOOSE(CONTROL!$C$22, $C$13, 100%, $E$13)</f>
        <v>21.690200000000001</v>
      </c>
      <c r="I664" s="61">
        <f>21.6904 * CHOOSE(CONTROL!$C$22, $C$13, 100%, $E$13)</f>
        <v>21.6904</v>
      </c>
      <c r="J664" s="61">
        <f>12.9784 * CHOOSE(CONTROL!$C$22, $C$13, 100%, $E$13)</f>
        <v>12.978400000000001</v>
      </c>
      <c r="K664" s="61">
        <f>12.9785 * CHOOSE(CONTROL!$C$22, $C$13, 100%, $E$13)</f>
        <v>12.9785</v>
      </c>
    </row>
    <row r="665" spans="1:11" ht="15">
      <c r="A665" s="13">
        <v>62094</v>
      </c>
      <c r="B665" s="60">
        <f>11.173 * CHOOSE(CONTROL!$C$22, $C$13, 100%, $E$13)</f>
        <v>11.173</v>
      </c>
      <c r="C665" s="60">
        <f>11.173 * CHOOSE(CONTROL!$C$22, $C$13, 100%, $E$13)</f>
        <v>11.173</v>
      </c>
      <c r="D665" s="60">
        <f>11.1893 * CHOOSE(CONTROL!$C$22, $C$13, 100%, $E$13)</f>
        <v>11.189299999999999</v>
      </c>
      <c r="E665" s="61">
        <f>13.0807 * CHOOSE(CONTROL!$C$22, $C$13, 100%, $E$13)</f>
        <v>13.0807</v>
      </c>
      <c r="F665" s="61">
        <f>13.0807 * CHOOSE(CONTROL!$C$22, $C$13, 100%, $E$13)</f>
        <v>13.0807</v>
      </c>
      <c r="G665" s="61">
        <f>13.0809 * CHOOSE(CONTROL!$C$22, $C$13, 100%, $E$13)</f>
        <v>13.0809</v>
      </c>
      <c r="H665" s="61">
        <f>21.6452* CHOOSE(CONTROL!$C$22, $C$13, 100%, $E$13)</f>
        <v>21.645199999999999</v>
      </c>
      <c r="I665" s="61">
        <f>21.6454 * CHOOSE(CONTROL!$C$22, $C$13, 100%, $E$13)</f>
        <v>21.645399999999999</v>
      </c>
      <c r="J665" s="61">
        <f>13.0807 * CHOOSE(CONTROL!$C$22, $C$13, 100%, $E$13)</f>
        <v>13.0807</v>
      </c>
      <c r="K665" s="61">
        <f>13.0809 * CHOOSE(CONTROL!$C$22, $C$13, 100%, $E$13)</f>
        <v>13.0809</v>
      </c>
    </row>
    <row r="666" spans="1:11" ht="15">
      <c r="A666" s="13">
        <v>62125</v>
      </c>
      <c r="B666" s="60">
        <f>11.1699 * CHOOSE(CONTROL!$C$22, $C$13, 100%, $E$13)</f>
        <v>11.1699</v>
      </c>
      <c r="C666" s="60">
        <f>11.1699 * CHOOSE(CONTROL!$C$22, $C$13, 100%, $E$13)</f>
        <v>11.1699</v>
      </c>
      <c r="D666" s="60">
        <f>11.1863 * CHOOSE(CONTROL!$C$22, $C$13, 100%, $E$13)</f>
        <v>11.186299999999999</v>
      </c>
      <c r="E666" s="61">
        <f>12.9355 * CHOOSE(CONTROL!$C$22, $C$13, 100%, $E$13)</f>
        <v>12.935499999999999</v>
      </c>
      <c r="F666" s="61">
        <f>12.9355 * CHOOSE(CONTROL!$C$22, $C$13, 100%, $E$13)</f>
        <v>12.935499999999999</v>
      </c>
      <c r="G666" s="61">
        <f>12.9357 * CHOOSE(CONTROL!$C$22, $C$13, 100%, $E$13)</f>
        <v>12.935700000000001</v>
      </c>
      <c r="H666" s="61">
        <f>21.6903* CHOOSE(CONTROL!$C$22, $C$13, 100%, $E$13)</f>
        <v>21.690300000000001</v>
      </c>
      <c r="I666" s="61">
        <f>21.6905 * CHOOSE(CONTROL!$C$22, $C$13, 100%, $E$13)</f>
        <v>21.6905</v>
      </c>
      <c r="J666" s="61">
        <f>12.9355 * CHOOSE(CONTROL!$C$22, $C$13, 100%, $E$13)</f>
        <v>12.935499999999999</v>
      </c>
      <c r="K666" s="61">
        <f>12.9357 * CHOOSE(CONTROL!$C$22, $C$13, 100%, $E$13)</f>
        <v>12.935700000000001</v>
      </c>
    </row>
    <row r="667" spans="1:11" ht="15">
      <c r="A667" s="13">
        <v>62153</v>
      </c>
      <c r="B667" s="60">
        <f>11.1669 * CHOOSE(CONTROL!$C$22, $C$13, 100%, $E$13)</f>
        <v>11.1669</v>
      </c>
      <c r="C667" s="60">
        <f>11.1669 * CHOOSE(CONTROL!$C$22, $C$13, 100%, $E$13)</f>
        <v>11.1669</v>
      </c>
      <c r="D667" s="60">
        <f>11.1832 * CHOOSE(CONTROL!$C$22, $C$13, 100%, $E$13)</f>
        <v>11.183199999999999</v>
      </c>
      <c r="E667" s="61">
        <f>13.0462 * CHOOSE(CONTROL!$C$22, $C$13, 100%, $E$13)</f>
        <v>13.046200000000001</v>
      </c>
      <c r="F667" s="61">
        <f>13.0462 * CHOOSE(CONTROL!$C$22, $C$13, 100%, $E$13)</f>
        <v>13.046200000000001</v>
      </c>
      <c r="G667" s="61">
        <f>13.0464 * CHOOSE(CONTROL!$C$22, $C$13, 100%, $E$13)</f>
        <v>13.0464</v>
      </c>
      <c r="H667" s="61">
        <f>21.7355* CHOOSE(CONTROL!$C$22, $C$13, 100%, $E$13)</f>
        <v>21.735499999999998</v>
      </c>
      <c r="I667" s="61">
        <f>21.7357 * CHOOSE(CONTROL!$C$22, $C$13, 100%, $E$13)</f>
        <v>21.735700000000001</v>
      </c>
      <c r="J667" s="61">
        <f>13.0462 * CHOOSE(CONTROL!$C$22, $C$13, 100%, $E$13)</f>
        <v>13.046200000000001</v>
      </c>
      <c r="K667" s="61">
        <f>13.0464 * CHOOSE(CONTROL!$C$22, $C$13, 100%, $E$13)</f>
        <v>13.0464</v>
      </c>
    </row>
    <row r="668" spans="1:11" ht="15">
      <c r="A668" s="13">
        <v>62184</v>
      </c>
      <c r="B668" s="60">
        <f>11.1707 * CHOOSE(CONTROL!$C$22, $C$13, 100%, $E$13)</f>
        <v>11.1707</v>
      </c>
      <c r="C668" s="60">
        <f>11.1707 * CHOOSE(CONTROL!$C$22, $C$13, 100%, $E$13)</f>
        <v>11.1707</v>
      </c>
      <c r="D668" s="60">
        <f>11.1871 * CHOOSE(CONTROL!$C$22, $C$13, 100%, $E$13)</f>
        <v>11.187099999999999</v>
      </c>
      <c r="E668" s="61">
        <f>13.1631 * CHOOSE(CONTROL!$C$22, $C$13, 100%, $E$13)</f>
        <v>13.1631</v>
      </c>
      <c r="F668" s="61">
        <f>13.1631 * CHOOSE(CONTROL!$C$22, $C$13, 100%, $E$13)</f>
        <v>13.1631</v>
      </c>
      <c r="G668" s="61">
        <f>13.1633 * CHOOSE(CONTROL!$C$22, $C$13, 100%, $E$13)</f>
        <v>13.1633</v>
      </c>
      <c r="H668" s="61">
        <f>21.7808* CHOOSE(CONTROL!$C$22, $C$13, 100%, $E$13)</f>
        <v>21.780799999999999</v>
      </c>
      <c r="I668" s="61">
        <f>21.781 * CHOOSE(CONTROL!$C$22, $C$13, 100%, $E$13)</f>
        <v>21.780999999999999</v>
      </c>
      <c r="J668" s="61">
        <f>13.1631 * CHOOSE(CONTROL!$C$22, $C$13, 100%, $E$13)</f>
        <v>13.1631</v>
      </c>
      <c r="K668" s="61">
        <f>13.1633 * CHOOSE(CONTROL!$C$22, $C$13, 100%, $E$13)</f>
        <v>13.1633</v>
      </c>
    </row>
    <row r="669" spans="1:11" ht="15">
      <c r="A669" s="13">
        <v>62214</v>
      </c>
      <c r="B669" s="60">
        <f>11.1707 * CHOOSE(CONTROL!$C$22, $C$13, 100%, $E$13)</f>
        <v>11.1707</v>
      </c>
      <c r="C669" s="60">
        <f>11.1707 * CHOOSE(CONTROL!$C$22, $C$13, 100%, $E$13)</f>
        <v>11.1707</v>
      </c>
      <c r="D669" s="60">
        <f>11.2034 * CHOOSE(CONTROL!$C$22, $C$13, 100%, $E$13)</f>
        <v>11.2034</v>
      </c>
      <c r="E669" s="61">
        <f>13.2085 * CHOOSE(CONTROL!$C$22, $C$13, 100%, $E$13)</f>
        <v>13.208500000000001</v>
      </c>
      <c r="F669" s="61">
        <f>13.2085 * CHOOSE(CONTROL!$C$22, $C$13, 100%, $E$13)</f>
        <v>13.208500000000001</v>
      </c>
      <c r="G669" s="61">
        <f>13.2106 * CHOOSE(CONTROL!$C$22, $C$13, 100%, $E$13)</f>
        <v>13.210599999999999</v>
      </c>
      <c r="H669" s="61">
        <f>21.8262* CHOOSE(CONTROL!$C$22, $C$13, 100%, $E$13)</f>
        <v>21.8262</v>
      </c>
      <c r="I669" s="61">
        <f>21.8282 * CHOOSE(CONTROL!$C$22, $C$13, 100%, $E$13)</f>
        <v>21.828199999999999</v>
      </c>
      <c r="J669" s="61">
        <f>13.2085 * CHOOSE(CONTROL!$C$22, $C$13, 100%, $E$13)</f>
        <v>13.208500000000001</v>
      </c>
      <c r="K669" s="61">
        <f>13.2106 * CHOOSE(CONTROL!$C$22, $C$13, 100%, $E$13)</f>
        <v>13.210599999999999</v>
      </c>
    </row>
    <row r="670" spans="1:11" ht="15">
      <c r="A670" s="13">
        <v>62245</v>
      </c>
      <c r="B670" s="60">
        <f>11.1768 * CHOOSE(CONTROL!$C$22, $C$13, 100%, $E$13)</f>
        <v>11.1768</v>
      </c>
      <c r="C670" s="60">
        <f>11.1768 * CHOOSE(CONTROL!$C$22, $C$13, 100%, $E$13)</f>
        <v>11.1768</v>
      </c>
      <c r="D670" s="60">
        <f>11.2095 * CHOOSE(CONTROL!$C$22, $C$13, 100%, $E$13)</f>
        <v>11.2095</v>
      </c>
      <c r="E670" s="61">
        <f>13.1673 * CHOOSE(CONTROL!$C$22, $C$13, 100%, $E$13)</f>
        <v>13.167299999999999</v>
      </c>
      <c r="F670" s="61">
        <f>13.1673 * CHOOSE(CONTROL!$C$22, $C$13, 100%, $E$13)</f>
        <v>13.167299999999999</v>
      </c>
      <c r="G670" s="61">
        <f>13.1694 * CHOOSE(CONTROL!$C$22, $C$13, 100%, $E$13)</f>
        <v>13.1694</v>
      </c>
      <c r="H670" s="61">
        <f>21.8716* CHOOSE(CONTROL!$C$22, $C$13, 100%, $E$13)</f>
        <v>21.871600000000001</v>
      </c>
      <c r="I670" s="61">
        <f>21.8737 * CHOOSE(CONTROL!$C$22, $C$13, 100%, $E$13)</f>
        <v>21.873699999999999</v>
      </c>
      <c r="J670" s="61">
        <f>13.1673 * CHOOSE(CONTROL!$C$22, $C$13, 100%, $E$13)</f>
        <v>13.167299999999999</v>
      </c>
      <c r="K670" s="61">
        <f>13.1694 * CHOOSE(CONTROL!$C$22, $C$13, 100%, $E$13)</f>
        <v>13.1694</v>
      </c>
    </row>
    <row r="671" spans="1:11" ht="15">
      <c r="A671" s="13">
        <v>62275</v>
      </c>
      <c r="B671" s="60">
        <f>11.3542 * CHOOSE(CONTROL!$C$22, $C$13, 100%, $E$13)</f>
        <v>11.354200000000001</v>
      </c>
      <c r="C671" s="60">
        <f>11.3542 * CHOOSE(CONTROL!$C$22, $C$13, 100%, $E$13)</f>
        <v>11.354200000000001</v>
      </c>
      <c r="D671" s="60">
        <f>11.3869 * CHOOSE(CONTROL!$C$22, $C$13, 100%, $E$13)</f>
        <v>11.386900000000001</v>
      </c>
      <c r="E671" s="61">
        <f>13.4202 * CHOOSE(CONTROL!$C$22, $C$13, 100%, $E$13)</f>
        <v>13.420199999999999</v>
      </c>
      <c r="F671" s="61">
        <f>13.4202 * CHOOSE(CONTROL!$C$22, $C$13, 100%, $E$13)</f>
        <v>13.420199999999999</v>
      </c>
      <c r="G671" s="61">
        <f>13.4223 * CHOOSE(CONTROL!$C$22, $C$13, 100%, $E$13)</f>
        <v>13.4223</v>
      </c>
      <c r="H671" s="61">
        <f>21.9172* CHOOSE(CONTROL!$C$22, $C$13, 100%, $E$13)</f>
        <v>21.917200000000001</v>
      </c>
      <c r="I671" s="61">
        <f>21.9192 * CHOOSE(CONTROL!$C$22, $C$13, 100%, $E$13)</f>
        <v>21.9192</v>
      </c>
      <c r="J671" s="61">
        <f>13.4202 * CHOOSE(CONTROL!$C$22, $C$13, 100%, $E$13)</f>
        <v>13.420199999999999</v>
      </c>
      <c r="K671" s="61">
        <f>13.4223 * CHOOSE(CONTROL!$C$22, $C$13, 100%, $E$13)</f>
        <v>13.4223</v>
      </c>
    </row>
    <row r="672" spans="1:11" ht="15">
      <c r="A672" s="13">
        <v>62306</v>
      </c>
      <c r="B672" s="60">
        <f>11.3609 * CHOOSE(CONTROL!$C$22, $C$13, 100%, $E$13)</f>
        <v>11.360900000000001</v>
      </c>
      <c r="C672" s="60">
        <f>11.3609 * CHOOSE(CONTROL!$C$22, $C$13, 100%, $E$13)</f>
        <v>11.360900000000001</v>
      </c>
      <c r="D672" s="60">
        <f>11.3936 * CHOOSE(CONTROL!$C$22, $C$13, 100%, $E$13)</f>
        <v>11.393599999999999</v>
      </c>
      <c r="E672" s="61">
        <f>13.2886 * CHOOSE(CONTROL!$C$22, $C$13, 100%, $E$13)</f>
        <v>13.288600000000001</v>
      </c>
      <c r="F672" s="61">
        <f>13.2886 * CHOOSE(CONTROL!$C$22, $C$13, 100%, $E$13)</f>
        <v>13.288600000000001</v>
      </c>
      <c r="G672" s="61">
        <f>13.2906 * CHOOSE(CONTROL!$C$22, $C$13, 100%, $E$13)</f>
        <v>13.2906</v>
      </c>
      <c r="H672" s="61">
        <f>21.9629* CHOOSE(CONTROL!$C$22, $C$13, 100%, $E$13)</f>
        <v>21.962900000000001</v>
      </c>
      <c r="I672" s="61">
        <f>21.9649 * CHOOSE(CONTROL!$C$22, $C$13, 100%, $E$13)</f>
        <v>21.9649</v>
      </c>
      <c r="J672" s="61">
        <f>13.2886 * CHOOSE(CONTROL!$C$22, $C$13, 100%, $E$13)</f>
        <v>13.288600000000001</v>
      </c>
      <c r="K672" s="61">
        <f>13.2906 * CHOOSE(CONTROL!$C$22, $C$13, 100%, $E$13)</f>
        <v>13.2906</v>
      </c>
    </row>
    <row r="673" spans="1:11" ht="15">
      <c r="A673" s="13">
        <v>62337</v>
      </c>
      <c r="B673" s="60">
        <f>11.3579 * CHOOSE(CONTROL!$C$22, $C$13, 100%, $E$13)</f>
        <v>11.357900000000001</v>
      </c>
      <c r="C673" s="60">
        <f>11.3579 * CHOOSE(CONTROL!$C$22, $C$13, 100%, $E$13)</f>
        <v>11.357900000000001</v>
      </c>
      <c r="D673" s="60">
        <f>11.3905 * CHOOSE(CONTROL!$C$22, $C$13, 100%, $E$13)</f>
        <v>11.390499999999999</v>
      </c>
      <c r="E673" s="61">
        <f>13.2713 * CHOOSE(CONTROL!$C$22, $C$13, 100%, $E$13)</f>
        <v>13.2713</v>
      </c>
      <c r="F673" s="61">
        <f>13.2713 * CHOOSE(CONTROL!$C$22, $C$13, 100%, $E$13)</f>
        <v>13.2713</v>
      </c>
      <c r="G673" s="61">
        <f>13.2734 * CHOOSE(CONTROL!$C$22, $C$13, 100%, $E$13)</f>
        <v>13.273400000000001</v>
      </c>
      <c r="H673" s="61">
        <f>22.0086* CHOOSE(CONTROL!$C$22, $C$13, 100%, $E$13)</f>
        <v>22.008600000000001</v>
      </c>
      <c r="I673" s="61">
        <f>22.0106 * CHOOSE(CONTROL!$C$22, $C$13, 100%, $E$13)</f>
        <v>22.0106</v>
      </c>
      <c r="J673" s="61">
        <f>13.2713 * CHOOSE(CONTROL!$C$22, $C$13, 100%, $E$13)</f>
        <v>13.2713</v>
      </c>
      <c r="K673" s="61">
        <f>13.2734 * CHOOSE(CONTROL!$C$22, $C$13, 100%, $E$13)</f>
        <v>13.273400000000001</v>
      </c>
    </row>
    <row r="674" spans="1:11" ht="15">
      <c r="A674" s="13">
        <v>62367</v>
      </c>
      <c r="B674" s="60">
        <f>11.3773 * CHOOSE(CONTROL!$C$22, $C$13, 100%, $E$13)</f>
        <v>11.3773</v>
      </c>
      <c r="C674" s="60">
        <f>11.3773 * CHOOSE(CONTROL!$C$22, $C$13, 100%, $E$13)</f>
        <v>11.3773</v>
      </c>
      <c r="D674" s="60">
        <f>11.3936 * CHOOSE(CONTROL!$C$22, $C$13, 100%, $E$13)</f>
        <v>11.393599999999999</v>
      </c>
      <c r="E674" s="61">
        <f>13.3185 * CHOOSE(CONTROL!$C$22, $C$13, 100%, $E$13)</f>
        <v>13.3185</v>
      </c>
      <c r="F674" s="61">
        <f>13.3185 * CHOOSE(CONTROL!$C$22, $C$13, 100%, $E$13)</f>
        <v>13.3185</v>
      </c>
      <c r="G674" s="61">
        <f>13.3187 * CHOOSE(CONTROL!$C$22, $C$13, 100%, $E$13)</f>
        <v>13.3187</v>
      </c>
      <c r="H674" s="61">
        <f>22.0545* CHOOSE(CONTROL!$C$22, $C$13, 100%, $E$13)</f>
        <v>22.054500000000001</v>
      </c>
      <c r="I674" s="61">
        <f>22.0546 * CHOOSE(CONTROL!$C$22, $C$13, 100%, $E$13)</f>
        <v>22.054600000000001</v>
      </c>
      <c r="J674" s="61">
        <f>13.3185 * CHOOSE(CONTROL!$C$22, $C$13, 100%, $E$13)</f>
        <v>13.3185</v>
      </c>
      <c r="K674" s="61">
        <f>13.3187 * CHOOSE(CONTROL!$C$22, $C$13, 100%, $E$13)</f>
        <v>13.3187</v>
      </c>
    </row>
    <row r="675" spans="1:11" ht="15">
      <c r="A675" s="13">
        <v>62398</v>
      </c>
      <c r="B675" s="60">
        <f>11.3803 * CHOOSE(CONTROL!$C$22, $C$13, 100%, $E$13)</f>
        <v>11.3803</v>
      </c>
      <c r="C675" s="60">
        <f>11.3803 * CHOOSE(CONTROL!$C$22, $C$13, 100%, $E$13)</f>
        <v>11.3803</v>
      </c>
      <c r="D675" s="60">
        <f>11.3966 * CHOOSE(CONTROL!$C$22, $C$13, 100%, $E$13)</f>
        <v>11.396599999999999</v>
      </c>
      <c r="E675" s="61">
        <f>13.3509 * CHOOSE(CONTROL!$C$22, $C$13, 100%, $E$13)</f>
        <v>13.350899999999999</v>
      </c>
      <c r="F675" s="61">
        <f>13.3509 * CHOOSE(CONTROL!$C$22, $C$13, 100%, $E$13)</f>
        <v>13.350899999999999</v>
      </c>
      <c r="G675" s="61">
        <f>13.3511 * CHOOSE(CONTROL!$C$22, $C$13, 100%, $E$13)</f>
        <v>13.351100000000001</v>
      </c>
      <c r="H675" s="61">
        <f>22.1004* CHOOSE(CONTROL!$C$22, $C$13, 100%, $E$13)</f>
        <v>22.1004</v>
      </c>
      <c r="I675" s="61">
        <f>22.1006 * CHOOSE(CONTROL!$C$22, $C$13, 100%, $E$13)</f>
        <v>22.1006</v>
      </c>
      <c r="J675" s="61">
        <f>13.3509 * CHOOSE(CONTROL!$C$22, $C$13, 100%, $E$13)</f>
        <v>13.350899999999999</v>
      </c>
      <c r="K675" s="61">
        <f>13.3511 * CHOOSE(CONTROL!$C$22, $C$13, 100%, $E$13)</f>
        <v>13.351100000000001</v>
      </c>
    </row>
    <row r="676" spans="1:11" ht="15">
      <c r="A676" s="13">
        <v>62428</v>
      </c>
      <c r="B676" s="60">
        <f>11.3803 * CHOOSE(CONTROL!$C$22, $C$13, 100%, $E$13)</f>
        <v>11.3803</v>
      </c>
      <c r="C676" s="60">
        <f>11.3803 * CHOOSE(CONTROL!$C$22, $C$13, 100%, $E$13)</f>
        <v>11.3803</v>
      </c>
      <c r="D676" s="60">
        <f>11.3966 * CHOOSE(CONTROL!$C$22, $C$13, 100%, $E$13)</f>
        <v>11.396599999999999</v>
      </c>
      <c r="E676" s="61">
        <f>13.2752 * CHOOSE(CONTROL!$C$22, $C$13, 100%, $E$13)</f>
        <v>13.2752</v>
      </c>
      <c r="F676" s="61">
        <f>13.2752 * CHOOSE(CONTROL!$C$22, $C$13, 100%, $E$13)</f>
        <v>13.2752</v>
      </c>
      <c r="G676" s="61">
        <f>13.2754 * CHOOSE(CONTROL!$C$22, $C$13, 100%, $E$13)</f>
        <v>13.275399999999999</v>
      </c>
      <c r="H676" s="61">
        <f>22.1465* CHOOSE(CONTROL!$C$22, $C$13, 100%, $E$13)</f>
        <v>22.1465</v>
      </c>
      <c r="I676" s="61">
        <f>22.1466 * CHOOSE(CONTROL!$C$22, $C$13, 100%, $E$13)</f>
        <v>22.146599999999999</v>
      </c>
      <c r="J676" s="61">
        <f>13.2752 * CHOOSE(CONTROL!$C$22, $C$13, 100%, $E$13)</f>
        <v>13.2752</v>
      </c>
      <c r="K676" s="61">
        <f>13.2754 * CHOOSE(CONTROL!$C$22, $C$13, 100%, $E$13)</f>
        <v>13.275399999999999</v>
      </c>
    </row>
    <row r="677" spans="1:11" ht="15">
      <c r="A677" s="13">
        <v>62459</v>
      </c>
      <c r="B677" s="60">
        <f>11.4183 * CHOOSE(CONTROL!$C$22, $C$13, 100%, $E$13)</f>
        <v>11.4183</v>
      </c>
      <c r="C677" s="60">
        <f>11.4183 * CHOOSE(CONTROL!$C$22, $C$13, 100%, $E$13)</f>
        <v>11.4183</v>
      </c>
      <c r="D677" s="60">
        <f>11.4346 * CHOOSE(CONTROL!$C$22, $C$13, 100%, $E$13)</f>
        <v>11.4346</v>
      </c>
      <c r="E677" s="61">
        <f>13.3731 * CHOOSE(CONTROL!$C$22, $C$13, 100%, $E$13)</f>
        <v>13.373100000000001</v>
      </c>
      <c r="F677" s="61">
        <f>13.3731 * CHOOSE(CONTROL!$C$22, $C$13, 100%, $E$13)</f>
        <v>13.373100000000001</v>
      </c>
      <c r="G677" s="61">
        <f>13.3733 * CHOOSE(CONTROL!$C$22, $C$13, 100%, $E$13)</f>
        <v>13.3733</v>
      </c>
      <c r="H677" s="61">
        <f>22.0911* CHOOSE(CONTROL!$C$22, $C$13, 100%, $E$13)</f>
        <v>22.091100000000001</v>
      </c>
      <c r="I677" s="61">
        <f>22.0913 * CHOOSE(CONTROL!$C$22, $C$13, 100%, $E$13)</f>
        <v>22.0913</v>
      </c>
      <c r="J677" s="61">
        <f>13.3731 * CHOOSE(CONTROL!$C$22, $C$13, 100%, $E$13)</f>
        <v>13.373100000000001</v>
      </c>
      <c r="K677" s="61">
        <f>13.3733 * CHOOSE(CONTROL!$C$22, $C$13, 100%, $E$13)</f>
        <v>13.3733</v>
      </c>
    </row>
    <row r="678" spans="1:11" ht="15">
      <c r="A678" s="13">
        <v>62490</v>
      </c>
      <c r="B678" s="60">
        <f>11.4153 * CHOOSE(CONTROL!$C$22, $C$13, 100%, $E$13)</f>
        <v>11.4153</v>
      </c>
      <c r="C678" s="60">
        <f>11.4153 * CHOOSE(CONTROL!$C$22, $C$13, 100%, $E$13)</f>
        <v>11.4153</v>
      </c>
      <c r="D678" s="60">
        <f>11.4316 * CHOOSE(CONTROL!$C$22, $C$13, 100%, $E$13)</f>
        <v>11.4316</v>
      </c>
      <c r="E678" s="61">
        <f>13.2247 * CHOOSE(CONTROL!$C$22, $C$13, 100%, $E$13)</f>
        <v>13.2247</v>
      </c>
      <c r="F678" s="61">
        <f>13.2247 * CHOOSE(CONTROL!$C$22, $C$13, 100%, $E$13)</f>
        <v>13.2247</v>
      </c>
      <c r="G678" s="61">
        <f>13.2249 * CHOOSE(CONTROL!$C$22, $C$13, 100%, $E$13)</f>
        <v>13.2249</v>
      </c>
      <c r="H678" s="61">
        <f>22.1371* CHOOSE(CONTROL!$C$22, $C$13, 100%, $E$13)</f>
        <v>22.1371</v>
      </c>
      <c r="I678" s="61">
        <f>22.1373 * CHOOSE(CONTROL!$C$22, $C$13, 100%, $E$13)</f>
        <v>22.1373</v>
      </c>
      <c r="J678" s="61">
        <f>13.2247 * CHOOSE(CONTROL!$C$22, $C$13, 100%, $E$13)</f>
        <v>13.2247</v>
      </c>
      <c r="K678" s="61">
        <f>13.2249 * CHOOSE(CONTROL!$C$22, $C$13, 100%, $E$13)</f>
        <v>13.2249</v>
      </c>
    </row>
    <row r="679" spans="1:11" ht="15">
      <c r="A679" s="13">
        <v>62518</v>
      </c>
      <c r="B679" s="60">
        <f>11.4122 * CHOOSE(CONTROL!$C$22, $C$13, 100%, $E$13)</f>
        <v>11.4122</v>
      </c>
      <c r="C679" s="60">
        <f>11.4122 * CHOOSE(CONTROL!$C$22, $C$13, 100%, $E$13)</f>
        <v>11.4122</v>
      </c>
      <c r="D679" s="60">
        <f>11.4286 * CHOOSE(CONTROL!$C$22, $C$13, 100%, $E$13)</f>
        <v>11.428599999999999</v>
      </c>
      <c r="E679" s="61">
        <f>13.3379 * CHOOSE(CONTROL!$C$22, $C$13, 100%, $E$13)</f>
        <v>13.337899999999999</v>
      </c>
      <c r="F679" s="61">
        <f>13.3379 * CHOOSE(CONTROL!$C$22, $C$13, 100%, $E$13)</f>
        <v>13.337899999999999</v>
      </c>
      <c r="G679" s="61">
        <f>13.3381 * CHOOSE(CONTROL!$C$22, $C$13, 100%, $E$13)</f>
        <v>13.338100000000001</v>
      </c>
      <c r="H679" s="61">
        <f>22.1833* CHOOSE(CONTROL!$C$22, $C$13, 100%, $E$13)</f>
        <v>22.183299999999999</v>
      </c>
      <c r="I679" s="61">
        <f>22.1834 * CHOOSE(CONTROL!$C$22, $C$13, 100%, $E$13)</f>
        <v>22.183399999999999</v>
      </c>
      <c r="J679" s="61">
        <f>13.3379 * CHOOSE(CONTROL!$C$22, $C$13, 100%, $E$13)</f>
        <v>13.337899999999999</v>
      </c>
      <c r="K679" s="61">
        <f>13.3381 * CHOOSE(CONTROL!$C$22, $C$13, 100%, $E$13)</f>
        <v>13.338100000000001</v>
      </c>
    </row>
    <row r="680" spans="1:11" ht="15">
      <c r="A680" s="13">
        <v>62549</v>
      </c>
      <c r="B680" s="60">
        <f>11.4162 * CHOOSE(CONTROL!$C$22, $C$13, 100%, $E$13)</f>
        <v>11.4162</v>
      </c>
      <c r="C680" s="60">
        <f>11.4162 * CHOOSE(CONTROL!$C$22, $C$13, 100%, $E$13)</f>
        <v>11.4162</v>
      </c>
      <c r="D680" s="60">
        <f>11.4326 * CHOOSE(CONTROL!$C$22, $C$13, 100%, $E$13)</f>
        <v>11.432600000000001</v>
      </c>
      <c r="E680" s="61">
        <f>13.4575 * CHOOSE(CONTROL!$C$22, $C$13, 100%, $E$13)</f>
        <v>13.4575</v>
      </c>
      <c r="F680" s="61">
        <f>13.4575 * CHOOSE(CONTROL!$C$22, $C$13, 100%, $E$13)</f>
        <v>13.4575</v>
      </c>
      <c r="G680" s="61">
        <f>13.4577 * CHOOSE(CONTROL!$C$22, $C$13, 100%, $E$13)</f>
        <v>13.457700000000001</v>
      </c>
      <c r="H680" s="61">
        <f>22.2295* CHOOSE(CONTROL!$C$22, $C$13, 100%, $E$13)</f>
        <v>22.229500000000002</v>
      </c>
      <c r="I680" s="61">
        <f>22.2296 * CHOOSE(CONTROL!$C$22, $C$13, 100%, $E$13)</f>
        <v>22.229600000000001</v>
      </c>
      <c r="J680" s="61">
        <f>13.4575 * CHOOSE(CONTROL!$C$22, $C$13, 100%, $E$13)</f>
        <v>13.4575</v>
      </c>
      <c r="K680" s="61">
        <f>13.4577 * CHOOSE(CONTROL!$C$22, $C$13, 100%, $E$13)</f>
        <v>13.457700000000001</v>
      </c>
    </row>
    <row r="681" spans="1:11" ht="15">
      <c r="A681" s="13">
        <v>62579</v>
      </c>
      <c r="B681" s="60">
        <f>11.4162 * CHOOSE(CONTROL!$C$22, $C$13, 100%, $E$13)</f>
        <v>11.4162</v>
      </c>
      <c r="C681" s="60">
        <f>11.4162 * CHOOSE(CONTROL!$C$22, $C$13, 100%, $E$13)</f>
        <v>11.4162</v>
      </c>
      <c r="D681" s="60">
        <f>11.4489 * CHOOSE(CONTROL!$C$22, $C$13, 100%, $E$13)</f>
        <v>11.4489</v>
      </c>
      <c r="E681" s="61">
        <f>13.504 * CHOOSE(CONTROL!$C$22, $C$13, 100%, $E$13)</f>
        <v>13.504</v>
      </c>
      <c r="F681" s="61">
        <f>13.504 * CHOOSE(CONTROL!$C$22, $C$13, 100%, $E$13)</f>
        <v>13.504</v>
      </c>
      <c r="G681" s="61">
        <f>13.506 * CHOOSE(CONTROL!$C$22, $C$13, 100%, $E$13)</f>
        <v>13.506</v>
      </c>
      <c r="H681" s="61">
        <f>22.2758* CHOOSE(CONTROL!$C$22, $C$13, 100%, $E$13)</f>
        <v>22.2758</v>
      </c>
      <c r="I681" s="61">
        <f>22.2778 * CHOOSE(CONTROL!$C$22, $C$13, 100%, $E$13)</f>
        <v>22.277799999999999</v>
      </c>
      <c r="J681" s="61">
        <f>13.504 * CHOOSE(CONTROL!$C$22, $C$13, 100%, $E$13)</f>
        <v>13.504</v>
      </c>
      <c r="K681" s="61">
        <f>13.506 * CHOOSE(CONTROL!$C$22, $C$13, 100%, $E$13)</f>
        <v>13.506</v>
      </c>
    </row>
    <row r="682" spans="1:11" ht="15">
      <c r="A682" s="13">
        <v>62610</v>
      </c>
      <c r="B682" s="60">
        <f>11.4223 * CHOOSE(CONTROL!$C$22, $C$13, 100%, $E$13)</f>
        <v>11.4223</v>
      </c>
      <c r="C682" s="60">
        <f>11.4223 * CHOOSE(CONTROL!$C$22, $C$13, 100%, $E$13)</f>
        <v>11.4223</v>
      </c>
      <c r="D682" s="60">
        <f>11.455 * CHOOSE(CONTROL!$C$22, $C$13, 100%, $E$13)</f>
        <v>11.455</v>
      </c>
      <c r="E682" s="61">
        <f>13.4618 * CHOOSE(CONTROL!$C$22, $C$13, 100%, $E$13)</f>
        <v>13.4618</v>
      </c>
      <c r="F682" s="61">
        <f>13.4618 * CHOOSE(CONTROL!$C$22, $C$13, 100%, $E$13)</f>
        <v>13.4618</v>
      </c>
      <c r="G682" s="61">
        <f>13.4638 * CHOOSE(CONTROL!$C$22, $C$13, 100%, $E$13)</f>
        <v>13.463800000000001</v>
      </c>
      <c r="H682" s="61">
        <f>22.3222* CHOOSE(CONTROL!$C$22, $C$13, 100%, $E$13)</f>
        <v>22.322199999999999</v>
      </c>
      <c r="I682" s="61">
        <f>22.3242 * CHOOSE(CONTROL!$C$22, $C$13, 100%, $E$13)</f>
        <v>22.324200000000001</v>
      </c>
      <c r="J682" s="61">
        <f>13.4618 * CHOOSE(CONTROL!$C$22, $C$13, 100%, $E$13)</f>
        <v>13.4618</v>
      </c>
      <c r="K682" s="61">
        <f>13.4638 * CHOOSE(CONTROL!$C$22, $C$13, 100%, $E$13)</f>
        <v>13.463800000000001</v>
      </c>
    </row>
    <row r="683" spans="1:11" ht="15">
      <c r="A683" s="13">
        <v>62640</v>
      </c>
      <c r="B683" s="60">
        <f>11.6034 * CHOOSE(CONTROL!$C$22, $C$13, 100%, $E$13)</f>
        <v>11.603400000000001</v>
      </c>
      <c r="C683" s="60">
        <f>11.6034 * CHOOSE(CONTROL!$C$22, $C$13, 100%, $E$13)</f>
        <v>11.603400000000001</v>
      </c>
      <c r="D683" s="60">
        <f>11.6361 * CHOOSE(CONTROL!$C$22, $C$13, 100%, $E$13)</f>
        <v>11.636100000000001</v>
      </c>
      <c r="E683" s="61">
        <f>13.7201 * CHOOSE(CONTROL!$C$22, $C$13, 100%, $E$13)</f>
        <v>13.7201</v>
      </c>
      <c r="F683" s="61">
        <f>13.7201 * CHOOSE(CONTROL!$C$22, $C$13, 100%, $E$13)</f>
        <v>13.7201</v>
      </c>
      <c r="G683" s="61">
        <f>13.7221 * CHOOSE(CONTROL!$C$22, $C$13, 100%, $E$13)</f>
        <v>13.722099999999999</v>
      </c>
      <c r="H683" s="61">
        <f>22.3687* CHOOSE(CONTROL!$C$22, $C$13, 100%, $E$13)</f>
        <v>22.3687</v>
      </c>
      <c r="I683" s="61">
        <f>22.3707 * CHOOSE(CONTROL!$C$22, $C$13, 100%, $E$13)</f>
        <v>22.370699999999999</v>
      </c>
      <c r="J683" s="61">
        <f>13.7201 * CHOOSE(CONTROL!$C$22, $C$13, 100%, $E$13)</f>
        <v>13.7201</v>
      </c>
      <c r="K683" s="61">
        <f>13.7221 * CHOOSE(CONTROL!$C$22, $C$13, 100%, $E$13)</f>
        <v>13.722099999999999</v>
      </c>
    </row>
    <row r="684" spans="1:11" ht="15">
      <c r="A684" s="13">
        <v>62671</v>
      </c>
      <c r="B684" s="60">
        <f>11.6101 * CHOOSE(CONTROL!$C$22, $C$13, 100%, $E$13)</f>
        <v>11.610099999999999</v>
      </c>
      <c r="C684" s="60">
        <f>11.6101 * CHOOSE(CONTROL!$C$22, $C$13, 100%, $E$13)</f>
        <v>11.610099999999999</v>
      </c>
      <c r="D684" s="60">
        <f>11.6428 * CHOOSE(CONTROL!$C$22, $C$13, 100%, $E$13)</f>
        <v>11.642799999999999</v>
      </c>
      <c r="E684" s="61">
        <f>13.5854 * CHOOSE(CONTROL!$C$22, $C$13, 100%, $E$13)</f>
        <v>13.5854</v>
      </c>
      <c r="F684" s="61">
        <f>13.5854 * CHOOSE(CONTROL!$C$22, $C$13, 100%, $E$13)</f>
        <v>13.5854</v>
      </c>
      <c r="G684" s="61">
        <f>13.5875 * CHOOSE(CONTROL!$C$22, $C$13, 100%, $E$13)</f>
        <v>13.5875</v>
      </c>
      <c r="H684" s="61">
        <f>22.4153* CHOOSE(CONTROL!$C$22, $C$13, 100%, $E$13)</f>
        <v>22.415299999999998</v>
      </c>
      <c r="I684" s="61">
        <f>22.4173 * CHOOSE(CONTROL!$C$22, $C$13, 100%, $E$13)</f>
        <v>22.417300000000001</v>
      </c>
      <c r="J684" s="61">
        <f>13.5854 * CHOOSE(CONTROL!$C$22, $C$13, 100%, $E$13)</f>
        <v>13.5854</v>
      </c>
      <c r="K684" s="61">
        <f>13.5875 * CHOOSE(CONTROL!$C$22, $C$13, 100%, $E$13)</f>
        <v>13.5875</v>
      </c>
    </row>
    <row r="685" spans="1:11" ht="15">
      <c r="A685" s="13">
        <v>62702</v>
      </c>
      <c r="B685" s="60">
        <f>11.6071 * CHOOSE(CONTROL!$C$22, $C$13, 100%, $E$13)</f>
        <v>11.607100000000001</v>
      </c>
      <c r="C685" s="60">
        <f>11.6071 * CHOOSE(CONTROL!$C$22, $C$13, 100%, $E$13)</f>
        <v>11.607100000000001</v>
      </c>
      <c r="D685" s="60">
        <f>11.6398 * CHOOSE(CONTROL!$C$22, $C$13, 100%, $E$13)</f>
        <v>11.639799999999999</v>
      </c>
      <c r="E685" s="61">
        <f>13.5678 * CHOOSE(CONTROL!$C$22, $C$13, 100%, $E$13)</f>
        <v>13.5678</v>
      </c>
      <c r="F685" s="61">
        <f>13.5678 * CHOOSE(CONTROL!$C$22, $C$13, 100%, $E$13)</f>
        <v>13.5678</v>
      </c>
      <c r="G685" s="61">
        <f>13.5699 * CHOOSE(CONTROL!$C$22, $C$13, 100%, $E$13)</f>
        <v>13.569900000000001</v>
      </c>
      <c r="H685" s="61">
        <f>22.462* CHOOSE(CONTROL!$C$22, $C$13, 100%, $E$13)</f>
        <v>22.462</v>
      </c>
      <c r="I685" s="61">
        <f>22.464 * CHOOSE(CONTROL!$C$22, $C$13, 100%, $E$13)</f>
        <v>22.463999999999999</v>
      </c>
      <c r="J685" s="61">
        <f>13.5678 * CHOOSE(CONTROL!$C$22, $C$13, 100%, $E$13)</f>
        <v>13.5678</v>
      </c>
      <c r="K685" s="61">
        <f>13.5699 * CHOOSE(CONTROL!$C$22, $C$13, 100%, $E$13)</f>
        <v>13.569900000000001</v>
      </c>
    </row>
    <row r="686" spans="1:11" ht="15">
      <c r="A686" s="13">
        <v>62732</v>
      </c>
      <c r="B686" s="60">
        <f>11.6273 * CHOOSE(CONTROL!$C$22, $C$13, 100%, $E$13)</f>
        <v>11.6273</v>
      </c>
      <c r="C686" s="60">
        <f>11.6273 * CHOOSE(CONTROL!$C$22, $C$13, 100%, $E$13)</f>
        <v>11.6273</v>
      </c>
      <c r="D686" s="60">
        <f>11.6436 * CHOOSE(CONTROL!$C$22, $C$13, 100%, $E$13)</f>
        <v>11.643599999999999</v>
      </c>
      <c r="E686" s="61">
        <f>13.6163 * CHOOSE(CONTROL!$C$22, $C$13, 100%, $E$13)</f>
        <v>13.616300000000001</v>
      </c>
      <c r="F686" s="61">
        <f>13.6163 * CHOOSE(CONTROL!$C$22, $C$13, 100%, $E$13)</f>
        <v>13.616300000000001</v>
      </c>
      <c r="G686" s="61">
        <f>13.6165 * CHOOSE(CONTROL!$C$22, $C$13, 100%, $E$13)</f>
        <v>13.6165</v>
      </c>
      <c r="H686" s="61">
        <f>22.5088* CHOOSE(CONTROL!$C$22, $C$13, 100%, $E$13)</f>
        <v>22.508800000000001</v>
      </c>
      <c r="I686" s="61">
        <f>22.509 * CHOOSE(CONTROL!$C$22, $C$13, 100%, $E$13)</f>
        <v>22.509</v>
      </c>
      <c r="J686" s="61">
        <f>13.6163 * CHOOSE(CONTROL!$C$22, $C$13, 100%, $E$13)</f>
        <v>13.616300000000001</v>
      </c>
      <c r="K686" s="61">
        <f>13.6165 * CHOOSE(CONTROL!$C$22, $C$13, 100%, $E$13)</f>
        <v>13.6165</v>
      </c>
    </row>
    <row r="687" spans="1:11" ht="15">
      <c r="A687" s="13">
        <v>62763</v>
      </c>
      <c r="B687" s="60">
        <f>11.6303 * CHOOSE(CONTROL!$C$22, $C$13, 100%, $E$13)</f>
        <v>11.6303</v>
      </c>
      <c r="C687" s="60">
        <f>11.6303 * CHOOSE(CONTROL!$C$22, $C$13, 100%, $E$13)</f>
        <v>11.6303</v>
      </c>
      <c r="D687" s="60">
        <f>11.6467 * CHOOSE(CONTROL!$C$22, $C$13, 100%, $E$13)</f>
        <v>11.646699999999999</v>
      </c>
      <c r="E687" s="61">
        <f>13.6494 * CHOOSE(CONTROL!$C$22, $C$13, 100%, $E$13)</f>
        <v>13.6494</v>
      </c>
      <c r="F687" s="61">
        <f>13.6494 * CHOOSE(CONTROL!$C$22, $C$13, 100%, $E$13)</f>
        <v>13.6494</v>
      </c>
      <c r="G687" s="61">
        <f>13.6496 * CHOOSE(CONTROL!$C$22, $C$13, 100%, $E$13)</f>
        <v>13.6496</v>
      </c>
      <c r="H687" s="61">
        <f>22.5557* CHOOSE(CONTROL!$C$22, $C$13, 100%, $E$13)</f>
        <v>22.555700000000002</v>
      </c>
      <c r="I687" s="61">
        <f>22.5559 * CHOOSE(CONTROL!$C$22, $C$13, 100%, $E$13)</f>
        <v>22.555900000000001</v>
      </c>
      <c r="J687" s="61">
        <f>13.6494 * CHOOSE(CONTROL!$C$22, $C$13, 100%, $E$13)</f>
        <v>13.6494</v>
      </c>
      <c r="K687" s="61">
        <f>13.6496 * CHOOSE(CONTROL!$C$22, $C$13, 100%, $E$13)</f>
        <v>13.6496</v>
      </c>
    </row>
    <row r="688" spans="1:11" ht="15">
      <c r="A688" s="13">
        <v>62793</v>
      </c>
      <c r="B688" s="60">
        <f>11.6303 * CHOOSE(CONTROL!$C$22, $C$13, 100%, $E$13)</f>
        <v>11.6303</v>
      </c>
      <c r="C688" s="60">
        <f>11.6303 * CHOOSE(CONTROL!$C$22, $C$13, 100%, $E$13)</f>
        <v>11.6303</v>
      </c>
      <c r="D688" s="60">
        <f>11.6467 * CHOOSE(CONTROL!$C$22, $C$13, 100%, $E$13)</f>
        <v>11.646699999999999</v>
      </c>
      <c r="E688" s="61">
        <f>13.572 * CHOOSE(CONTROL!$C$22, $C$13, 100%, $E$13)</f>
        <v>13.571999999999999</v>
      </c>
      <c r="F688" s="61">
        <f>13.572 * CHOOSE(CONTROL!$C$22, $C$13, 100%, $E$13)</f>
        <v>13.571999999999999</v>
      </c>
      <c r="G688" s="61">
        <f>13.5722 * CHOOSE(CONTROL!$C$22, $C$13, 100%, $E$13)</f>
        <v>13.5722</v>
      </c>
      <c r="H688" s="61">
        <f>22.6027* CHOOSE(CONTROL!$C$22, $C$13, 100%, $E$13)</f>
        <v>22.602699999999999</v>
      </c>
      <c r="I688" s="61">
        <f>22.6028 * CHOOSE(CONTROL!$C$22, $C$13, 100%, $E$13)</f>
        <v>22.602799999999998</v>
      </c>
      <c r="J688" s="61">
        <f>13.572 * CHOOSE(CONTROL!$C$22, $C$13, 100%, $E$13)</f>
        <v>13.571999999999999</v>
      </c>
      <c r="K688" s="61">
        <f>13.5722 * CHOOSE(CONTROL!$C$22, $C$13, 100%, $E$13)</f>
        <v>13.5722</v>
      </c>
    </row>
    <row r="689" spans="1:11" ht="15">
      <c r="A689" s="13">
        <v>62824</v>
      </c>
      <c r="B689" s="60">
        <f>11.6636 * CHOOSE(CONTROL!$C$22, $C$13, 100%, $E$13)</f>
        <v>11.663600000000001</v>
      </c>
      <c r="C689" s="60">
        <f>11.6636 * CHOOSE(CONTROL!$C$22, $C$13, 100%, $E$13)</f>
        <v>11.663600000000001</v>
      </c>
      <c r="D689" s="60">
        <f>11.68 * CHOOSE(CONTROL!$C$22, $C$13, 100%, $E$13)</f>
        <v>11.68</v>
      </c>
      <c r="E689" s="61">
        <f>13.6655 * CHOOSE(CONTROL!$C$22, $C$13, 100%, $E$13)</f>
        <v>13.6655</v>
      </c>
      <c r="F689" s="61">
        <f>13.6655 * CHOOSE(CONTROL!$C$22, $C$13, 100%, $E$13)</f>
        <v>13.6655</v>
      </c>
      <c r="G689" s="61">
        <f>13.6657 * CHOOSE(CONTROL!$C$22, $C$13, 100%, $E$13)</f>
        <v>13.665699999999999</v>
      </c>
      <c r="H689" s="61">
        <f>22.537* CHOOSE(CONTROL!$C$22, $C$13, 100%, $E$13)</f>
        <v>22.536999999999999</v>
      </c>
      <c r="I689" s="61">
        <f>22.5372 * CHOOSE(CONTROL!$C$22, $C$13, 100%, $E$13)</f>
        <v>22.537199999999999</v>
      </c>
      <c r="J689" s="61">
        <f>13.6655 * CHOOSE(CONTROL!$C$22, $C$13, 100%, $E$13)</f>
        <v>13.6655</v>
      </c>
      <c r="K689" s="61">
        <f>13.6657 * CHOOSE(CONTROL!$C$22, $C$13, 100%, $E$13)</f>
        <v>13.665699999999999</v>
      </c>
    </row>
    <row r="690" spans="1:11" ht="15">
      <c r="A690" s="13">
        <v>62855</v>
      </c>
      <c r="B690" s="60">
        <f>11.6606 * CHOOSE(CONTROL!$C$22, $C$13, 100%, $E$13)</f>
        <v>11.660600000000001</v>
      </c>
      <c r="C690" s="60">
        <f>11.6606 * CHOOSE(CONTROL!$C$22, $C$13, 100%, $E$13)</f>
        <v>11.660600000000001</v>
      </c>
      <c r="D690" s="60">
        <f>11.6769 * CHOOSE(CONTROL!$C$22, $C$13, 100%, $E$13)</f>
        <v>11.6769</v>
      </c>
      <c r="E690" s="61">
        <f>13.5139 * CHOOSE(CONTROL!$C$22, $C$13, 100%, $E$13)</f>
        <v>13.5139</v>
      </c>
      <c r="F690" s="61">
        <f>13.5139 * CHOOSE(CONTROL!$C$22, $C$13, 100%, $E$13)</f>
        <v>13.5139</v>
      </c>
      <c r="G690" s="61">
        <f>13.5141 * CHOOSE(CONTROL!$C$22, $C$13, 100%, $E$13)</f>
        <v>13.514099999999999</v>
      </c>
      <c r="H690" s="61">
        <f>22.584* CHOOSE(CONTROL!$C$22, $C$13, 100%, $E$13)</f>
        <v>22.584</v>
      </c>
      <c r="I690" s="61">
        <f>22.5841 * CHOOSE(CONTROL!$C$22, $C$13, 100%, $E$13)</f>
        <v>22.584099999999999</v>
      </c>
      <c r="J690" s="61">
        <f>13.5139 * CHOOSE(CONTROL!$C$22, $C$13, 100%, $E$13)</f>
        <v>13.5139</v>
      </c>
      <c r="K690" s="61">
        <f>13.5141 * CHOOSE(CONTROL!$C$22, $C$13, 100%, $E$13)</f>
        <v>13.514099999999999</v>
      </c>
    </row>
    <row r="691" spans="1:11" ht="15">
      <c r="A691" s="13">
        <v>62884</v>
      </c>
      <c r="B691" s="60">
        <f>11.6575 * CHOOSE(CONTROL!$C$22, $C$13, 100%, $E$13)</f>
        <v>11.657500000000001</v>
      </c>
      <c r="C691" s="60">
        <f>11.6575 * CHOOSE(CONTROL!$C$22, $C$13, 100%, $E$13)</f>
        <v>11.657500000000001</v>
      </c>
      <c r="D691" s="60">
        <f>11.6739 * CHOOSE(CONTROL!$C$22, $C$13, 100%, $E$13)</f>
        <v>11.6739</v>
      </c>
      <c r="E691" s="61">
        <f>13.6297 * CHOOSE(CONTROL!$C$22, $C$13, 100%, $E$13)</f>
        <v>13.6297</v>
      </c>
      <c r="F691" s="61">
        <f>13.6297 * CHOOSE(CONTROL!$C$22, $C$13, 100%, $E$13)</f>
        <v>13.6297</v>
      </c>
      <c r="G691" s="61">
        <f>13.6298 * CHOOSE(CONTROL!$C$22, $C$13, 100%, $E$13)</f>
        <v>13.629799999999999</v>
      </c>
      <c r="H691" s="61">
        <f>22.631* CHOOSE(CONTROL!$C$22, $C$13, 100%, $E$13)</f>
        <v>22.631</v>
      </c>
      <c r="I691" s="61">
        <f>22.6312 * CHOOSE(CONTROL!$C$22, $C$13, 100%, $E$13)</f>
        <v>22.6312</v>
      </c>
      <c r="J691" s="61">
        <f>13.6297 * CHOOSE(CONTROL!$C$22, $C$13, 100%, $E$13)</f>
        <v>13.6297</v>
      </c>
      <c r="K691" s="61">
        <f>13.6298 * CHOOSE(CONTROL!$C$22, $C$13, 100%, $E$13)</f>
        <v>13.629799999999999</v>
      </c>
    </row>
    <row r="692" spans="1:11" ht="15">
      <c r="A692" s="13">
        <v>62915</v>
      </c>
      <c r="B692" s="60">
        <f>11.6618 * CHOOSE(CONTROL!$C$22, $C$13, 100%, $E$13)</f>
        <v>11.661799999999999</v>
      </c>
      <c r="C692" s="60">
        <f>11.6618 * CHOOSE(CONTROL!$C$22, $C$13, 100%, $E$13)</f>
        <v>11.661799999999999</v>
      </c>
      <c r="D692" s="60">
        <f>11.6781 * CHOOSE(CONTROL!$C$22, $C$13, 100%, $E$13)</f>
        <v>11.678100000000001</v>
      </c>
      <c r="E692" s="61">
        <f>13.752 * CHOOSE(CONTROL!$C$22, $C$13, 100%, $E$13)</f>
        <v>13.752000000000001</v>
      </c>
      <c r="F692" s="61">
        <f>13.752 * CHOOSE(CONTROL!$C$22, $C$13, 100%, $E$13)</f>
        <v>13.752000000000001</v>
      </c>
      <c r="G692" s="61">
        <f>13.7522 * CHOOSE(CONTROL!$C$22, $C$13, 100%, $E$13)</f>
        <v>13.7522</v>
      </c>
      <c r="H692" s="61">
        <f>22.6782* CHOOSE(CONTROL!$C$22, $C$13, 100%, $E$13)</f>
        <v>22.6782</v>
      </c>
      <c r="I692" s="61">
        <f>22.6783 * CHOOSE(CONTROL!$C$22, $C$13, 100%, $E$13)</f>
        <v>22.6783</v>
      </c>
      <c r="J692" s="61">
        <f>13.752 * CHOOSE(CONTROL!$C$22, $C$13, 100%, $E$13)</f>
        <v>13.752000000000001</v>
      </c>
      <c r="K692" s="61">
        <f>13.7522 * CHOOSE(CONTROL!$C$22, $C$13, 100%, $E$13)</f>
        <v>13.7522</v>
      </c>
    </row>
    <row r="693" spans="1:11" ht="15">
      <c r="A693" s="13">
        <v>62945</v>
      </c>
      <c r="B693" s="60">
        <f>11.6618 * CHOOSE(CONTROL!$C$22, $C$13, 100%, $E$13)</f>
        <v>11.661799999999999</v>
      </c>
      <c r="C693" s="60">
        <f>11.6618 * CHOOSE(CONTROL!$C$22, $C$13, 100%, $E$13)</f>
        <v>11.661799999999999</v>
      </c>
      <c r="D693" s="60">
        <f>11.6944 * CHOOSE(CONTROL!$C$22, $C$13, 100%, $E$13)</f>
        <v>11.6944</v>
      </c>
      <c r="E693" s="61">
        <f>13.7995 * CHOOSE(CONTROL!$C$22, $C$13, 100%, $E$13)</f>
        <v>13.7995</v>
      </c>
      <c r="F693" s="61">
        <f>13.7995 * CHOOSE(CONTROL!$C$22, $C$13, 100%, $E$13)</f>
        <v>13.7995</v>
      </c>
      <c r="G693" s="61">
        <f>13.8015 * CHOOSE(CONTROL!$C$22, $C$13, 100%, $E$13)</f>
        <v>13.801500000000001</v>
      </c>
      <c r="H693" s="61">
        <f>22.7254* CHOOSE(CONTROL!$C$22, $C$13, 100%, $E$13)</f>
        <v>22.7254</v>
      </c>
      <c r="I693" s="61">
        <f>22.7274 * CHOOSE(CONTROL!$C$22, $C$13, 100%, $E$13)</f>
        <v>22.727399999999999</v>
      </c>
      <c r="J693" s="61">
        <f>13.7995 * CHOOSE(CONTROL!$C$22, $C$13, 100%, $E$13)</f>
        <v>13.7995</v>
      </c>
      <c r="K693" s="61">
        <f>13.8015 * CHOOSE(CONTROL!$C$22, $C$13, 100%, $E$13)</f>
        <v>13.801500000000001</v>
      </c>
    </row>
    <row r="694" spans="1:11" ht="15">
      <c r="A694" s="13">
        <v>62976</v>
      </c>
      <c r="B694" s="60">
        <f>11.6679 * CHOOSE(CONTROL!$C$22, $C$13, 100%, $E$13)</f>
        <v>11.667899999999999</v>
      </c>
      <c r="C694" s="60">
        <f>11.6679 * CHOOSE(CONTROL!$C$22, $C$13, 100%, $E$13)</f>
        <v>11.667899999999999</v>
      </c>
      <c r="D694" s="60">
        <f>11.7005 * CHOOSE(CONTROL!$C$22, $C$13, 100%, $E$13)</f>
        <v>11.7005</v>
      </c>
      <c r="E694" s="61">
        <f>13.7562 * CHOOSE(CONTROL!$C$22, $C$13, 100%, $E$13)</f>
        <v>13.7562</v>
      </c>
      <c r="F694" s="61">
        <f>13.7562 * CHOOSE(CONTROL!$C$22, $C$13, 100%, $E$13)</f>
        <v>13.7562</v>
      </c>
      <c r="G694" s="61">
        <f>13.7583 * CHOOSE(CONTROL!$C$22, $C$13, 100%, $E$13)</f>
        <v>13.7583</v>
      </c>
      <c r="H694" s="61">
        <f>22.7727* CHOOSE(CONTROL!$C$22, $C$13, 100%, $E$13)</f>
        <v>22.7727</v>
      </c>
      <c r="I694" s="61">
        <f>22.7748 * CHOOSE(CONTROL!$C$22, $C$13, 100%, $E$13)</f>
        <v>22.774799999999999</v>
      </c>
      <c r="J694" s="61">
        <f>13.7562 * CHOOSE(CONTROL!$C$22, $C$13, 100%, $E$13)</f>
        <v>13.7562</v>
      </c>
      <c r="K694" s="61">
        <f>13.7583 * CHOOSE(CONTROL!$C$22, $C$13, 100%, $E$13)</f>
        <v>13.7583</v>
      </c>
    </row>
    <row r="695" spans="1:11" ht="15">
      <c r="A695" s="13">
        <v>63006</v>
      </c>
      <c r="B695" s="60">
        <f>11.8526 * CHOOSE(CONTROL!$C$22, $C$13, 100%, $E$13)</f>
        <v>11.852600000000001</v>
      </c>
      <c r="C695" s="60">
        <f>11.8526 * CHOOSE(CONTROL!$C$22, $C$13, 100%, $E$13)</f>
        <v>11.852600000000001</v>
      </c>
      <c r="D695" s="60">
        <f>11.8853 * CHOOSE(CONTROL!$C$22, $C$13, 100%, $E$13)</f>
        <v>11.885300000000001</v>
      </c>
      <c r="E695" s="61">
        <f>14.02 * CHOOSE(CONTROL!$C$22, $C$13, 100%, $E$13)</f>
        <v>14.02</v>
      </c>
      <c r="F695" s="61">
        <f>14.02 * CHOOSE(CONTROL!$C$22, $C$13, 100%, $E$13)</f>
        <v>14.02</v>
      </c>
      <c r="G695" s="61">
        <f>14.022 * CHOOSE(CONTROL!$C$22, $C$13, 100%, $E$13)</f>
        <v>14.022</v>
      </c>
      <c r="H695" s="61">
        <f>22.8202* CHOOSE(CONTROL!$C$22, $C$13, 100%, $E$13)</f>
        <v>22.8202</v>
      </c>
      <c r="I695" s="61">
        <f>22.8222 * CHOOSE(CONTROL!$C$22, $C$13, 100%, $E$13)</f>
        <v>22.822199999999999</v>
      </c>
      <c r="J695" s="61">
        <f>14.02 * CHOOSE(CONTROL!$C$22, $C$13, 100%, $E$13)</f>
        <v>14.02</v>
      </c>
      <c r="K695" s="61">
        <f>14.022 * CHOOSE(CONTROL!$C$22, $C$13, 100%, $E$13)</f>
        <v>14.022</v>
      </c>
    </row>
    <row r="696" spans="1:11" ht="15">
      <c r="A696" s="13">
        <v>63037</v>
      </c>
      <c r="B696" s="60">
        <f>11.8593 * CHOOSE(CONTROL!$C$22, $C$13, 100%, $E$13)</f>
        <v>11.859299999999999</v>
      </c>
      <c r="C696" s="60">
        <f>11.8593 * CHOOSE(CONTROL!$C$22, $C$13, 100%, $E$13)</f>
        <v>11.859299999999999</v>
      </c>
      <c r="D696" s="60">
        <f>11.892 * CHOOSE(CONTROL!$C$22, $C$13, 100%, $E$13)</f>
        <v>11.891999999999999</v>
      </c>
      <c r="E696" s="61">
        <f>13.8823 * CHOOSE(CONTROL!$C$22, $C$13, 100%, $E$13)</f>
        <v>13.882300000000001</v>
      </c>
      <c r="F696" s="61">
        <f>13.8823 * CHOOSE(CONTROL!$C$22, $C$13, 100%, $E$13)</f>
        <v>13.882300000000001</v>
      </c>
      <c r="G696" s="61">
        <f>13.8843 * CHOOSE(CONTROL!$C$22, $C$13, 100%, $E$13)</f>
        <v>13.8843</v>
      </c>
      <c r="H696" s="61">
        <f>22.8677* CHOOSE(CONTROL!$C$22, $C$13, 100%, $E$13)</f>
        <v>22.867699999999999</v>
      </c>
      <c r="I696" s="61">
        <f>22.8698 * CHOOSE(CONTROL!$C$22, $C$13, 100%, $E$13)</f>
        <v>22.869800000000001</v>
      </c>
      <c r="J696" s="61">
        <f>13.8823 * CHOOSE(CONTROL!$C$22, $C$13, 100%, $E$13)</f>
        <v>13.882300000000001</v>
      </c>
      <c r="K696" s="61">
        <f>13.8843 * CHOOSE(CONTROL!$C$22, $C$13, 100%, $E$13)</f>
        <v>13.8843</v>
      </c>
    </row>
    <row r="697" spans="1:11" ht="15">
      <c r="A697" s="13">
        <v>63068</v>
      </c>
      <c r="B697" s="60">
        <f>11.8563 * CHOOSE(CONTROL!$C$22, $C$13, 100%, $E$13)</f>
        <v>11.856299999999999</v>
      </c>
      <c r="C697" s="60">
        <f>11.8563 * CHOOSE(CONTROL!$C$22, $C$13, 100%, $E$13)</f>
        <v>11.856299999999999</v>
      </c>
      <c r="D697" s="60">
        <f>11.889 * CHOOSE(CONTROL!$C$22, $C$13, 100%, $E$13)</f>
        <v>11.888999999999999</v>
      </c>
      <c r="E697" s="61">
        <f>13.8643 * CHOOSE(CONTROL!$C$22, $C$13, 100%, $E$13)</f>
        <v>13.8643</v>
      </c>
      <c r="F697" s="61">
        <f>13.8643 * CHOOSE(CONTROL!$C$22, $C$13, 100%, $E$13)</f>
        <v>13.8643</v>
      </c>
      <c r="G697" s="61">
        <f>13.8664 * CHOOSE(CONTROL!$C$22, $C$13, 100%, $E$13)</f>
        <v>13.866400000000001</v>
      </c>
      <c r="H697" s="61">
        <f>22.9154* CHOOSE(CONTROL!$C$22, $C$13, 100%, $E$13)</f>
        <v>22.915400000000002</v>
      </c>
      <c r="I697" s="61">
        <f>22.9174 * CHOOSE(CONTROL!$C$22, $C$13, 100%, $E$13)</f>
        <v>22.917400000000001</v>
      </c>
      <c r="J697" s="61">
        <f>13.8643 * CHOOSE(CONTROL!$C$22, $C$13, 100%, $E$13)</f>
        <v>13.8643</v>
      </c>
      <c r="K697" s="61">
        <f>13.8664 * CHOOSE(CONTROL!$C$22, $C$13, 100%, $E$13)</f>
        <v>13.866400000000001</v>
      </c>
    </row>
    <row r="698" spans="1:11" ht="15">
      <c r="A698" s="13">
        <v>63098</v>
      </c>
      <c r="B698" s="60">
        <f>11.8773 * CHOOSE(CONTROL!$C$22, $C$13, 100%, $E$13)</f>
        <v>11.8773</v>
      </c>
      <c r="C698" s="60">
        <f>11.8773 * CHOOSE(CONTROL!$C$22, $C$13, 100%, $E$13)</f>
        <v>11.8773</v>
      </c>
      <c r="D698" s="60">
        <f>11.8936 * CHOOSE(CONTROL!$C$22, $C$13, 100%, $E$13)</f>
        <v>11.893599999999999</v>
      </c>
      <c r="E698" s="61">
        <f>13.9142 * CHOOSE(CONTROL!$C$22, $C$13, 100%, $E$13)</f>
        <v>13.914199999999999</v>
      </c>
      <c r="F698" s="61">
        <f>13.9142 * CHOOSE(CONTROL!$C$22, $C$13, 100%, $E$13)</f>
        <v>13.914199999999999</v>
      </c>
      <c r="G698" s="61">
        <f>13.9144 * CHOOSE(CONTROL!$C$22, $C$13, 100%, $E$13)</f>
        <v>13.914400000000001</v>
      </c>
      <c r="H698" s="61">
        <f>22.9631* CHOOSE(CONTROL!$C$22, $C$13, 100%, $E$13)</f>
        <v>22.963100000000001</v>
      </c>
      <c r="I698" s="61">
        <f>22.9633 * CHOOSE(CONTROL!$C$22, $C$13, 100%, $E$13)</f>
        <v>22.9633</v>
      </c>
      <c r="J698" s="61">
        <f>13.9142 * CHOOSE(CONTROL!$C$22, $C$13, 100%, $E$13)</f>
        <v>13.914199999999999</v>
      </c>
      <c r="K698" s="61">
        <f>13.9144 * CHOOSE(CONTROL!$C$22, $C$13, 100%, $E$13)</f>
        <v>13.914400000000001</v>
      </c>
    </row>
    <row r="699" spans="1:11" ht="15">
      <c r="A699" s="13">
        <v>63129</v>
      </c>
      <c r="B699" s="60">
        <f>11.8803 * CHOOSE(CONTROL!$C$22, $C$13, 100%, $E$13)</f>
        <v>11.8803</v>
      </c>
      <c r="C699" s="60">
        <f>11.8803 * CHOOSE(CONTROL!$C$22, $C$13, 100%, $E$13)</f>
        <v>11.8803</v>
      </c>
      <c r="D699" s="60">
        <f>11.8967 * CHOOSE(CONTROL!$C$22, $C$13, 100%, $E$13)</f>
        <v>11.896699999999999</v>
      </c>
      <c r="E699" s="61">
        <f>13.9479 * CHOOSE(CONTROL!$C$22, $C$13, 100%, $E$13)</f>
        <v>13.947900000000001</v>
      </c>
      <c r="F699" s="61">
        <f>13.9479 * CHOOSE(CONTROL!$C$22, $C$13, 100%, $E$13)</f>
        <v>13.947900000000001</v>
      </c>
      <c r="G699" s="61">
        <f>13.9481 * CHOOSE(CONTROL!$C$22, $C$13, 100%, $E$13)</f>
        <v>13.9481</v>
      </c>
      <c r="H699" s="61">
        <f>23.0109* CHOOSE(CONTROL!$C$22, $C$13, 100%, $E$13)</f>
        <v>23.010899999999999</v>
      </c>
      <c r="I699" s="61">
        <f>23.0111 * CHOOSE(CONTROL!$C$22, $C$13, 100%, $E$13)</f>
        <v>23.011099999999999</v>
      </c>
      <c r="J699" s="61">
        <f>13.9479 * CHOOSE(CONTROL!$C$22, $C$13, 100%, $E$13)</f>
        <v>13.947900000000001</v>
      </c>
      <c r="K699" s="61">
        <f>13.9481 * CHOOSE(CONTROL!$C$22, $C$13, 100%, $E$13)</f>
        <v>13.9481</v>
      </c>
    </row>
    <row r="700" spans="1:11" ht="15">
      <c r="A700" s="13">
        <v>63159</v>
      </c>
      <c r="B700" s="60">
        <f>11.8803 * CHOOSE(CONTROL!$C$22, $C$13, 100%, $E$13)</f>
        <v>11.8803</v>
      </c>
      <c r="C700" s="60">
        <f>11.8803 * CHOOSE(CONTROL!$C$22, $C$13, 100%, $E$13)</f>
        <v>11.8803</v>
      </c>
      <c r="D700" s="60">
        <f>11.8967 * CHOOSE(CONTROL!$C$22, $C$13, 100%, $E$13)</f>
        <v>11.896699999999999</v>
      </c>
      <c r="E700" s="61">
        <f>13.8688 * CHOOSE(CONTROL!$C$22, $C$13, 100%, $E$13)</f>
        <v>13.8688</v>
      </c>
      <c r="F700" s="61">
        <f>13.8688 * CHOOSE(CONTROL!$C$22, $C$13, 100%, $E$13)</f>
        <v>13.8688</v>
      </c>
      <c r="G700" s="61">
        <f>13.869 * CHOOSE(CONTROL!$C$22, $C$13, 100%, $E$13)</f>
        <v>13.869</v>
      </c>
      <c r="H700" s="61">
        <f>23.0589* CHOOSE(CONTROL!$C$22, $C$13, 100%, $E$13)</f>
        <v>23.058900000000001</v>
      </c>
      <c r="I700" s="61">
        <f>23.0591 * CHOOSE(CONTROL!$C$22, $C$13, 100%, $E$13)</f>
        <v>23.059100000000001</v>
      </c>
      <c r="J700" s="61">
        <f>13.8688 * CHOOSE(CONTROL!$C$22, $C$13, 100%, $E$13)</f>
        <v>13.8688</v>
      </c>
      <c r="K700" s="61">
        <f>13.869 * CHOOSE(CONTROL!$C$22, $C$13, 100%, $E$13)</f>
        <v>13.869</v>
      </c>
    </row>
    <row r="701" spans="1:11" ht="15">
      <c r="A701" s="13">
        <v>63190</v>
      </c>
      <c r="B701" s="60">
        <f>11.9089 * CHOOSE(CONTROL!$C$22, $C$13, 100%, $E$13)</f>
        <v>11.908899999999999</v>
      </c>
      <c r="C701" s="60">
        <f>11.9089 * CHOOSE(CONTROL!$C$22, $C$13, 100%, $E$13)</f>
        <v>11.908899999999999</v>
      </c>
      <c r="D701" s="60">
        <f>11.9253 * CHOOSE(CONTROL!$C$22, $C$13, 100%, $E$13)</f>
        <v>11.9253</v>
      </c>
      <c r="E701" s="61">
        <f>13.958 * CHOOSE(CONTROL!$C$22, $C$13, 100%, $E$13)</f>
        <v>13.958</v>
      </c>
      <c r="F701" s="61">
        <f>13.958 * CHOOSE(CONTROL!$C$22, $C$13, 100%, $E$13)</f>
        <v>13.958</v>
      </c>
      <c r="G701" s="61">
        <f>13.9581 * CHOOSE(CONTROL!$C$22, $C$13, 100%, $E$13)</f>
        <v>13.9581</v>
      </c>
      <c r="H701" s="61">
        <f>22.9829* CHOOSE(CONTROL!$C$22, $C$13, 100%, $E$13)</f>
        <v>22.982900000000001</v>
      </c>
      <c r="I701" s="61">
        <f>22.9831 * CHOOSE(CONTROL!$C$22, $C$13, 100%, $E$13)</f>
        <v>22.9831</v>
      </c>
      <c r="J701" s="61">
        <f>13.958 * CHOOSE(CONTROL!$C$22, $C$13, 100%, $E$13)</f>
        <v>13.958</v>
      </c>
      <c r="K701" s="61">
        <f>13.9581 * CHOOSE(CONTROL!$C$22, $C$13, 100%, $E$13)</f>
        <v>13.9581</v>
      </c>
    </row>
    <row r="702" spans="1:11" ht="15">
      <c r="A702" s="13">
        <v>63221</v>
      </c>
      <c r="B702" s="60">
        <f>11.9059 * CHOOSE(CONTROL!$C$22, $C$13, 100%, $E$13)</f>
        <v>11.905900000000001</v>
      </c>
      <c r="C702" s="60">
        <f>11.9059 * CHOOSE(CONTROL!$C$22, $C$13, 100%, $E$13)</f>
        <v>11.905900000000001</v>
      </c>
      <c r="D702" s="60">
        <f>11.9222 * CHOOSE(CONTROL!$C$22, $C$13, 100%, $E$13)</f>
        <v>11.9222</v>
      </c>
      <c r="E702" s="61">
        <f>13.8031 * CHOOSE(CONTROL!$C$22, $C$13, 100%, $E$13)</f>
        <v>13.803100000000001</v>
      </c>
      <c r="F702" s="61">
        <f>13.8031 * CHOOSE(CONTROL!$C$22, $C$13, 100%, $E$13)</f>
        <v>13.803100000000001</v>
      </c>
      <c r="G702" s="61">
        <f>13.8033 * CHOOSE(CONTROL!$C$22, $C$13, 100%, $E$13)</f>
        <v>13.8033</v>
      </c>
      <c r="H702" s="61">
        <f>23.0308* CHOOSE(CONTROL!$C$22, $C$13, 100%, $E$13)</f>
        <v>23.030799999999999</v>
      </c>
      <c r="I702" s="61">
        <f>23.031 * CHOOSE(CONTROL!$C$22, $C$13, 100%, $E$13)</f>
        <v>23.030999999999999</v>
      </c>
      <c r="J702" s="61">
        <f>13.8031 * CHOOSE(CONTROL!$C$22, $C$13, 100%, $E$13)</f>
        <v>13.803100000000001</v>
      </c>
      <c r="K702" s="61">
        <f>13.8033 * CHOOSE(CONTROL!$C$22, $C$13, 100%, $E$13)</f>
        <v>13.8033</v>
      </c>
    </row>
    <row r="703" spans="1:11" ht="15">
      <c r="A703" s="13">
        <v>63249</v>
      </c>
      <c r="B703" s="60">
        <f>11.9029 * CHOOSE(CONTROL!$C$22, $C$13, 100%, $E$13)</f>
        <v>11.902900000000001</v>
      </c>
      <c r="C703" s="60">
        <f>11.9029 * CHOOSE(CONTROL!$C$22, $C$13, 100%, $E$13)</f>
        <v>11.902900000000001</v>
      </c>
      <c r="D703" s="60">
        <f>11.9192 * CHOOSE(CONTROL!$C$22, $C$13, 100%, $E$13)</f>
        <v>11.9192</v>
      </c>
      <c r="E703" s="61">
        <f>13.9214 * CHOOSE(CONTROL!$C$22, $C$13, 100%, $E$13)</f>
        <v>13.9214</v>
      </c>
      <c r="F703" s="61">
        <f>13.9214 * CHOOSE(CONTROL!$C$22, $C$13, 100%, $E$13)</f>
        <v>13.9214</v>
      </c>
      <c r="G703" s="61">
        <f>13.9216 * CHOOSE(CONTROL!$C$22, $C$13, 100%, $E$13)</f>
        <v>13.9216</v>
      </c>
      <c r="H703" s="61">
        <f>23.0788* CHOOSE(CONTROL!$C$22, $C$13, 100%, $E$13)</f>
        <v>23.078800000000001</v>
      </c>
      <c r="I703" s="61">
        <f>23.0789 * CHOOSE(CONTROL!$C$22, $C$13, 100%, $E$13)</f>
        <v>23.078900000000001</v>
      </c>
      <c r="J703" s="61">
        <f>13.9214 * CHOOSE(CONTROL!$C$22, $C$13, 100%, $E$13)</f>
        <v>13.9214</v>
      </c>
      <c r="K703" s="61">
        <f>13.9216 * CHOOSE(CONTROL!$C$22, $C$13, 100%, $E$13)</f>
        <v>13.9216</v>
      </c>
    </row>
    <row r="704" spans="1:11" ht="15">
      <c r="A704" s="13">
        <v>63280</v>
      </c>
      <c r="B704" s="60">
        <f>11.9073 * CHOOSE(CONTROL!$C$22, $C$13, 100%, $E$13)</f>
        <v>11.907299999999999</v>
      </c>
      <c r="C704" s="60">
        <f>11.9073 * CHOOSE(CONTROL!$C$22, $C$13, 100%, $E$13)</f>
        <v>11.907299999999999</v>
      </c>
      <c r="D704" s="60">
        <f>11.9236 * CHOOSE(CONTROL!$C$22, $C$13, 100%, $E$13)</f>
        <v>11.9236</v>
      </c>
      <c r="E704" s="61">
        <f>14.0464 * CHOOSE(CONTROL!$C$22, $C$13, 100%, $E$13)</f>
        <v>14.0464</v>
      </c>
      <c r="F704" s="61">
        <f>14.0464 * CHOOSE(CONTROL!$C$22, $C$13, 100%, $E$13)</f>
        <v>14.0464</v>
      </c>
      <c r="G704" s="61">
        <f>14.0466 * CHOOSE(CONTROL!$C$22, $C$13, 100%, $E$13)</f>
        <v>14.0466</v>
      </c>
      <c r="H704" s="61">
        <f>23.1268* CHOOSE(CONTROL!$C$22, $C$13, 100%, $E$13)</f>
        <v>23.126799999999999</v>
      </c>
      <c r="I704" s="61">
        <f>23.127 * CHOOSE(CONTROL!$C$22, $C$13, 100%, $E$13)</f>
        <v>23.126999999999999</v>
      </c>
      <c r="J704" s="61">
        <f>14.0464 * CHOOSE(CONTROL!$C$22, $C$13, 100%, $E$13)</f>
        <v>14.0464</v>
      </c>
      <c r="K704" s="61">
        <f>14.0466 * CHOOSE(CONTROL!$C$22, $C$13, 100%, $E$13)</f>
        <v>14.0466</v>
      </c>
    </row>
    <row r="705" spans="1:11" ht="15">
      <c r="A705" s="13">
        <v>63310</v>
      </c>
      <c r="B705" s="60">
        <f>11.9073 * CHOOSE(CONTROL!$C$22, $C$13, 100%, $E$13)</f>
        <v>11.907299999999999</v>
      </c>
      <c r="C705" s="60">
        <f>11.9073 * CHOOSE(CONTROL!$C$22, $C$13, 100%, $E$13)</f>
        <v>11.907299999999999</v>
      </c>
      <c r="D705" s="60">
        <f>11.94 * CHOOSE(CONTROL!$C$22, $C$13, 100%, $E$13)</f>
        <v>11.94</v>
      </c>
      <c r="E705" s="61">
        <f>14.0949 * CHOOSE(CONTROL!$C$22, $C$13, 100%, $E$13)</f>
        <v>14.094900000000001</v>
      </c>
      <c r="F705" s="61">
        <f>14.0949 * CHOOSE(CONTROL!$C$22, $C$13, 100%, $E$13)</f>
        <v>14.094900000000001</v>
      </c>
      <c r="G705" s="61">
        <f>14.097 * CHOOSE(CONTROL!$C$22, $C$13, 100%, $E$13)</f>
        <v>14.097</v>
      </c>
      <c r="H705" s="61">
        <f>23.175* CHOOSE(CONTROL!$C$22, $C$13, 100%, $E$13)</f>
        <v>23.175000000000001</v>
      </c>
      <c r="I705" s="61">
        <f>23.177 * CHOOSE(CONTROL!$C$22, $C$13, 100%, $E$13)</f>
        <v>23.177</v>
      </c>
      <c r="J705" s="61">
        <f>14.0949 * CHOOSE(CONTROL!$C$22, $C$13, 100%, $E$13)</f>
        <v>14.094900000000001</v>
      </c>
      <c r="K705" s="61">
        <f>14.097 * CHOOSE(CONTROL!$C$22, $C$13, 100%, $E$13)</f>
        <v>14.097</v>
      </c>
    </row>
    <row r="706" spans="1:11" ht="15">
      <c r="A706" s="13">
        <v>63341</v>
      </c>
      <c r="B706" s="60">
        <f>11.9134 * CHOOSE(CONTROL!$C$22, $C$13, 100%, $E$13)</f>
        <v>11.913399999999999</v>
      </c>
      <c r="C706" s="60">
        <f>11.9134 * CHOOSE(CONTROL!$C$22, $C$13, 100%, $E$13)</f>
        <v>11.913399999999999</v>
      </c>
      <c r="D706" s="60">
        <f>11.9461 * CHOOSE(CONTROL!$C$22, $C$13, 100%, $E$13)</f>
        <v>11.946099999999999</v>
      </c>
      <c r="E706" s="61">
        <f>14.0507 * CHOOSE(CONTROL!$C$22, $C$13, 100%, $E$13)</f>
        <v>14.050700000000001</v>
      </c>
      <c r="F706" s="61">
        <f>14.0507 * CHOOSE(CONTROL!$C$22, $C$13, 100%, $E$13)</f>
        <v>14.050700000000001</v>
      </c>
      <c r="G706" s="61">
        <f>14.0527 * CHOOSE(CONTROL!$C$22, $C$13, 100%, $E$13)</f>
        <v>14.0527</v>
      </c>
      <c r="H706" s="61">
        <f>23.2233* CHOOSE(CONTROL!$C$22, $C$13, 100%, $E$13)</f>
        <v>23.223299999999998</v>
      </c>
      <c r="I706" s="61">
        <f>23.2253 * CHOOSE(CONTROL!$C$22, $C$13, 100%, $E$13)</f>
        <v>23.225300000000001</v>
      </c>
      <c r="J706" s="61">
        <f>14.0507 * CHOOSE(CONTROL!$C$22, $C$13, 100%, $E$13)</f>
        <v>14.050700000000001</v>
      </c>
      <c r="K706" s="61">
        <f>14.0527 * CHOOSE(CONTROL!$C$22, $C$13, 100%, $E$13)</f>
        <v>14.0527</v>
      </c>
    </row>
    <row r="707" spans="1:11" ht="15">
      <c r="A707" s="13">
        <v>63371</v>
      </c>
      <c r="B707" s="60">
        <f>12.1019 * CHOOSE(CONTROL!$C$22, $C$13, 100%, $E$13)</f>
        <v>12.101900000000001</v>
      </c>
      <c r="C707" s="60">
        <f>12.1019 * CHOOSE(CONTROL!$C$22, $C$13, 100%, $E$13)</f>
        <v>12.101900000000001</v>
      </c>
      <c r="D707" s="60">
        <f>12.1345 * CHOOSE(CONTROL!$C$22, $C$13, 100%, $E$13)</f>
        <v>12.134499999999999</v>
      </c>
      <c r="E707" s="61">
        <f>14.3199 * CHOOSE(CONTROL!$C$22, $C$13, 100%, $E$13)</f>
        <v>14.319900000000001</v>
      </c>
      <c r="F707" s="61">
        <f>14.3199 * CHOOSE(CONTROL!$C$22, $C$13, 100%, $E$13)</f>
        <v>14.319900000000001</v>
      </c>
      <c r="G707" s="61">
        <f>14.3219 * CHOOSE(CONTROL!$C$22, $C$13, 100%, $E$13)</f>
        <v>14.321899999999999</v>
      </c>
      <c r="H707" s="61">
        <f>23.2717* CHOOSE(CONTROL!$C$22, $C$13, 100%, $E$13)</f>
        <v>23.271699999999999</v>
      </c>
      <c r="I707" s="61">
        <f>23.2737 * CHOOSE(CONTROL!$C$22, $C$13, 100%, $E$13)</f>
        <v>23.273700000000002</v>
      </c>
      <c r="J707" s="61">
        <f>14.3199 * CHOOSE(CONTROL!$C$22, $C$13, 100%, $E$13)</f>
        <v>14.319900000000001</v>
      </c>
      <c r="K707" s="61">
        <f>14.3219 * CHOOSE(CONTROL!$C$22, $C$13, 100%, $E$13)</f>
        <v>14.321899999999999</v>
      </c>
    </row>
    <row r="708" spans="1:11" ht="15">
      <c r="A708" s="13">
        <v>63402</v>
      </c>
      <c r="B708" s="60">
        <f>12.1086 * CHOOSE(CONTROL!$C$22, $C$13, 100%, $E$13)</f>
        <v>12.108599999999999</v>
      </c>
      <c r="C708" s="60">
        <f>12.1086 * CHOOSE(CONTROL!$C$22, $C$13, 100%, $E$13)</f>
        <v>12.108599999999999</v>
      </c>
      <c r="D708" s="60">
        <f>12.1412 * CHOOSE(CONTROL!$C$22, $C$13, 100%, $E$13)</f>
        <v>12.1412</v>
      </c>
      <c r="E708" s="61">
        <f>14.1791 * CHOOSE(CONTROL!$C$22, $C$13, 100%, $E$13)</f>
        <v>14.1791</v>
      </c>
      <c r="F708" s="61">
        <f>14.1791 * CHOOSE(CONTROL!$C$22, $C$13, 100%, $E$13)</f>
        <v>14.1791</v>
      </c>
      <c r="G708" s="61">
        <f>14.1811 * CHOOSE(CONTROL!$C$22, $C$13, 100%, $E$13)</f>
        <v>14.181100000000001</v>
      </c>
      <c r="H708" s="61">
        <f>23.3202* CHOOSE(CONTROL!$C$22, $C$13, 100%, $E$13)</f>
        <v>23.3202</v>
      </c>
      <c r="I708" s="61">
        <f>23.3222 * CHOOSE(CONTROL!$C$22, $C$13, 100%, $E$13)</f>
        <v>23.322199999999999</v>
      </c>
      <c r="J708" s="61">
        <f>14.1791 * CHOOSE(CONTROL!$C$22, $C$13, 100%, $E$13)</f>
        <v>14.1791</v>
      </c>
      <c r="K708" s="61">
        <f>14.1811 * CHOOSE(CONTROL!$C$22, $C$13, 100%, $E$13)</f>
        <v>14.181100000000001</v>
      </c>
    </row>
    <row r="709" spans="1:11" ht="15">
      <c r="A709" s="13">
        <v>63433</v>
      </c>
      <c r="B709" s="60">
        <f>12.1055 * CHOOSE(CONTROL!$C$22, $C$13, 100%, $E$13)</f>
        <v>12.105499999999999</v>
      </c>
      <c r="C709" s="60">
        <f>12.1055 * CHOOSE(CONTROL!$C$22, $C$13, 100%, $E$13)</f>
        <v>12.105499999999999</v>
      </c>
      <c r="D709" s="60">
        <f>12.1382 * CHOOSE(CONTROL!$C$22, $C$13, 100%, $E$13)</f>
        <v>12.138199999999999</v>
      </c>
      <c r="E709" s="61">
        <f>14.1608 * CHOOSE(CONTROL!$C$22, $C$13, 100%, $E$13)</f>
        <v>14.1608</v>
      </c>
      <c r="F709" s="61">
        <f>14.1608 * CHOOSE(CONTROL!$C$22, $C$13, 100%, $E$13)</f>
        <v>14.1608</v>
      </c>
      <c r="G709" s="61">
        <f>14.1628 * CHOOSE(CONTROL!$C$22, $C$13, 100%, $E$13)</f>
        <v>14.162800000000001</v>
      </c>
      <c r="H709" s="61">
        <f>23.3687* CHOOSE(CONTROL!$C$22, $C$13, 100%, $E$13)</f>
        <v>23.3687</v>
      </c>
      <c r="I709" s="61">
        <f>23.3708 * CHOOSE(CONTROL!$C$22, $C$13, 100%, $E$13)</f>
        <v>23.370799999999999</v>
      </c>
      <c r="J709" s="61">
        <f>14.1608 * CHOOSE(CONTROL!$C$22, $C$13, 100%, $E$13)</f>
        <v>14.1608</v>
      </c>
      <c r="K709" s="61">
        <f>14.1628 * CHOOSE(CONTROL!$C$22, $C$13, 100%, $E$13)</f>
        <v>14.162800000000001</v>
      </c>
    </row>
    <row r="710" spans="1:11" ht="15">
      <c r="A710" s="13">
        <v>63463</v>
      </c>
      <c r="B710" s="60">
        <f>12.1273 * CHOOSE(CONTROL!$C$22, $C$13, 100%, $E$13)</f>
        <v>12.1273</v>
      </c>
      <c r="C710" s="60">
        <f>12.1273 * CHOOSE(CONTROL!$C$22, $C$13, 100%, $E$13)</f>
        <v>12.1273</v>
      </c>
      <c r="D710" s="60">
        <f>12.1437 * CHOOSE(CONTROL!$C$22, $C$13, 100%, $E$13)</f>
        <v>12.143700000000001</v>
      </c>
      <c r="E710" s="61">
        <f>14.212 * CHOOSE(CONTROL!$C$22, $C$13, 100%, $E$13)</f>
        <v>14.212</v>
      </c>
      <c r="F710" s="61">
        <f>14.212 * CHOOSE(CONTROL!$C$22, $C$13, 100%, $E$13)</f>
        <v>14.212</v>
      </c>
      <c r="G710" s="61">
        <f>14.2122 * CHOOSE(CONTROL!$C$22, $C$13, 100%, $E$13)</f>
        <v>14.212199999999999</v>
      </c>
      <c r="H710" s="61">
        <f>23.4174* CHOOSE(CONTROL!$C$22, $C$13, 100%, $E$13)</f>
        <v>23.417400000000001</v>
      </c>
      <c r="I710" s="61">
        <f>23.4176 * CHOOSE(CONTROL!$C$22, $C$13, 100%, $E$13)</f>
        <v>23.4176</v>
      </c>
      <c r="J710" s="61">
        <f>14.212 * CHOOSE(CONTROL!$C$22, $C$13, 100%, $E$13)</f>
        <v>14.212</v>
      </c>
      <c r="K710" s="61">
        <f>14.2122 * CHOOSE(CONTROL!$C$22, $C$13, 100%, $E$13)</f>
        <v>14.212199999999999</v>
      </c>
    </row>
    <row r="711" spans="1:11" ht="15">
      <c r="A711" s="13">
        <v>63494</v>
      </c>
      <c r="B711" s="60">
        <f>12.1304 * CHOOSE(CONTROL!$C$22, $C$13, 100%, $E$13)</f>
        <v>12.1304</v>
      </c>
      <c r="C711" s="60">
        <f>12.1304 * CHOOSE(CONTROL!$C$22, $C$13, 100%, $E$13)</f>
        <v>12.1304</v>
      </c>
      <c r="D711" s="60">
        <f>12.1467 * CHOOSE(CONTROL!$C$22, $C$13, 100%, $E$13)</f>
        <v>12.146699999999999</v>
      </c>
      <c r="E711" s="61">
        <f>14.2465 * CHOOSE(CONTROL!$C$22, $C$13, 100%, $E$13)</f>
        <v>14.246499999999999</v>
      </c>
      <c r="F711" s="61">
        <f>14.2465 * CHOOSE(CONTROL!$C$22, $C$13, 100%, $E$13)</f>
        <v>14.246499999999999</v>
      </c>
      <c r="G711" s="61">
        <f>14.2467 * CHOOSE(CONTROL!$C$22, $C$13, 100%, $E$13)</f>
        <v>14.246700000000001</v>
      </c>
      <c r="H711" s="61">
        <f>23.4662* CHOOSE(CONTROL!$C$22, $C$13, 100%, $E$13)</f>
        <v>23.466200000000001</v>
      </c>
      <c r="I711" s="61">
        <f>23.4664 * CHOOSE(CONTROL!$C$22, $C$13, 100%, $E$13)</f>
        <v>23.4664</v>
      </c>
      <c r="J711" s="61">
        <f>14.2465 * CHOOSE(CONTROL!$C$22, $C$13, 100%, $E$13)</f>
        <v>14.246499999999999</v>
      </c>
      <c r="K711" s="61">
        <f>14.2467 * CHOOSE(CONTROL!$C$22, $C$13, 100%, $E$13)</f>
        <v>14.246700000000001</v>
      </c>
    </row>
    <row r="712" spans="1:11" ht="15">
      <c r="A712" s="13">
        <v>63524</v>
      </c>
      <c r="B712" s="60">
        <f>12.1304 * CHOOSE(CONTROL!$C$22, $C$13, 100%, $E$13)</f>
        <v>12.1304</v>
      </c>
      <c r="C712" s="60">
        <f>12.1304 * CHOOSE(CONTROL!$C$22, $C$13, 100%, $E$13)</f>
        <v>12.1304</v>
      </c>
      <c r="D712" s="60">
        <f>12.1467 * CHOOSE(CONTROL!$C$22, $C$13, 100%, $E$13)</f>
        <v>12.146699999999999</v>
      </c>
      <c r="E712" s="61">
        <f>14.1657 * CHOOSE(CONTROL!$C$22, $C$13, 100%, $E$13)</f>
        <v>14.165699999999999</v>
      </c>
      <c r="F712" s="61">
        <f>14.1657 * CHOOSE(CONTROL!$C$22, $C$13, 100%, $E$13)</f>
        <v>14.165699999999999</v>
      </c>
      <c r="G712" s="61">
        <f>14.1659 * CHOOSE(CONTROL!$C$22, $C$13, 100%, $E$13)</f>
        <v>14.165900000000001</v>
      </c>
      <c r="H712" s="61">
        <f>23.5151* CHOOSE(CONTROL!$C$22, $C$13, 100%, $E$13)</f>
        <v>23.5151</v>
      </c>
      <c r="I712" s="61">
        <f>23.5153 * CHOOSE(CONTROL!$C$22, $C$13, 100%, $E$13)</f>
        <v>23.5153</v>
      </c>
      <c r="J712" s="61">
        <f>14.1657 * CHOOSE(CONTROL!$C$22, $C$13, 100%, $E$13)</f>
        <v>14.165699999999999</v>
      </c>
      <c r="K712" s="61">
        <f>14.1659 * CHOOSE(CONTROL!$C$22, $C$13, 100%, $E$13)</f>
        <v>14.165900000000001</v>
      </c>
    </row>
    <row r="713" spans="1:11" ht="15">
      <c r="A713" s="13">
        <v>63555</v>
      </c>
      <c r="B713" s="60">
        <f>12.1543 * CHOOSE(CONTROL!$C$22, $C$13, 100%, $E$13)</f>
        <v>12.154299999999999</v>
      </c>
      <c r="C713" s="60">
        <f>12.1543 * CHOOSE(CONTROL!$C$22, $C$13, 100%, $E$13)</f>
        <v>12.154299999999999</v>
      </c>
      <c r="D713" s="60">
        <f>12.1706 * CHOOSE(CONTROL!$C$22, $C$13, 100%, $E$13)</f>
        <v>12.1706</v>
      </c>
      <c r="E713" s="61">
        <f>14.2504 * CHOOSE(CONTROL!$C$22, $C$13, 100%, $E$13)</f>
        <v>14.250400000000001</v>
      </c>
      <c r="F713" s="61">
        <f>14.2504 * CHOOSE(CONTROL!$C$22, $C$13, 100%, $E$13)</f>
        <v>14.250400000000001</v>
      </c>
      <c r="G713" s="61">
        <f>14.2505 * CHOOSE(CONTROL!$C$22, $C$13, 100%, $E$13)</f>
        <v>14.250500000000001</v>
      </c>
      <c r="H713" s="61">
        <f>23.4288* CHOOSE(CONTROL!$C$22, $C$13, 100%, $E$13)</f>
        <v>23.428799999999999</v>
      </c>
      <c r="I713" s="61">
        <f>23.429 * CHOOSE(CONTROL!$C$22, $C$13, 100%, $E$13)</f>
        <v>23.428999999999998</v>
      </c>
      <c r="J713" s="61">
        <f>14.2504 * CHOOSE(CONTROL!$C$22, $C$13, 100%, $E$13)</f>
        <v>14.250400000000001</v>
      </c>
      <c r="K713" s="61">
        <f>14.2505 * CHOOSE(CONTROL!$C$22, $C$13, 100%, $E$13)</f>
        <v>14.250500000000001</v>
      </c>
    </row>
    <row r="714" spans="1:11" ht="15">
      <c r="A714" s="13">
        <v>63586</v>
      </c>
      <c r="B714" s="60">
        <f>12.1512 * CHOOSE(CONTROL!$C$22, $C$13, 100%, $E$13)</f>
        <v>12.151199999999999</v>
      </c>
      <c r="C714" s="60">
        <f>12.1512 * CHOOSE(CONTROL!$C$22, $C$13, 100%, $E$13)</f>
        <v>12.151199999999999</v>
      </c>
      <c r="D714" s="60">
        <f>12.1676 * CHOOSE(CONTROL!$C$22, $C$13, 100%, $E$13)</f>
        <v>12.1676</v>
      </c>
      <c r="E714" s="61">
        <f>14.0923 * CHOOSE(CONTROL!$C$22, $C$13, 100%, $E$13)</f>
        <v>14.0923</v>
      </c>
      <c r="F714" s="61">
        <f>14.0923 * CHOOSE(CONTROL!$C$22, $C$13, 100%, $E$13)</f>
        <v>14.0923</v>
      </c>
      <c r="G714" s="61">
        <f>14.0925 * CHOOSE(CONTROL!$C$22, $C$13, 100%, $E$13)</f>
        <v>14.092499999999999</v>
      </c>
      <c r="H714" s="61">
        <f>23.4776* CHOOSE(CONTROL!$C$22, $C$13, 100%, $E$13)</f>
        <v>23.477599999999999</v>
      </c>
      <c r="I714" s="61">
        <f>23.4778 * CHOOSE(CONTROL!$C$22, $C$13, 100%, $E$13)</f>
        <v>23.477799999999998</v>
      </c>
      <c r="J714" s="61">
        <f>14.0923 * CHOOSE(CONTROL!$C$22, $C$13, 100%, $E$13)</f>
        <v>14.0923</v>
      </c>
      <c r="K714" s="61">
        <f>14.0925 * CHOOSE(CONTROL!$C$22, $C$13, 100%, $E$13)</f>
        <v>14.092499999999999</v>
      </c>
    </row>
    <row r="715" spans="1:11" ht="15">
      <c r="A715" s="13">
        <v>63614</v>
      </c>
      <c r="B715" s="60">
        <f>12.1482 * CHOOSE(CONTROL!$C$22, $C$13, 100%, $E$13)</f>
        <v>12.148199999999999</v>
      </c>
      <c r="C715" s="60">
        <f>12.1482 * CHOOSE(CONTROL!$C$22, $C$13, 100%, $E$13)</f>
        <v>12.148199999999999</v>
      </c>
      <c r="D715" s="60">
        <f>12.1645 * CHOOSE(CONTROL!$C$22, $C$13, 100%, $E$13)</f>
        <v>12.1645</v>
      </c>
      <c r="E715" s="61">
        <f>14.2131 * CHOOSE(CONTROL!$C$22, $C$13, 100%, $E$13)</f>
        <v>14.213100000000001</v>
      </c>
      <c r="F715" s="61">
        <f>14.2131 * CHOOSE(CONTROL!$C$22, $C$13, 100%, $E$13)</f>
        <v>14.213100000000001</v>
      </c>
      <c r="G715" s="61">
        <f>14.2133 * CHOOSE(CONTROL!$C$22, $C$13, 100%, $E$13)</f>
        <v>14.2133</v>
      </c>
      <c r="H715" s="61">
        <f>23.5265* CHOOSE(CONTROL!$C$22, $C$13, 100%, $E$13)</f>
        <v>23.526499999999999</v>
      </c>
      <c r="I715" s="61">
        <f>23.5267 * CHOOSE(CONTROL!$C$22, $C$13, 100%, $E$13)</f>
        <v>23.526700000000002</v>
      </c>
      <c r="J715" s="61">
        <f>14.2131 * CHOOSE(CONTROL!$C$22, $C$13, 100%, $E$13)</f>
        <v>14.213100000000001</v>
      </c>
      <c r="K715" s="61">
        <f>14.2133 * CHOOSE(CONTROL!$C$22, $C$13, 100%, $E$13)</f>
        <v>14.2133</v>
      </c>
    </row>
    <row r="716" spans="1:11" ht="15">
      <c r="A716" s="13">
        <v>63645</v>
      </c>
      <c r="B716" s="60">
        <f>12.1528 * CHOOSE(CONTROL!$C$22, $C$13, 100%, $E$13)</f>
        <v>12.152799999999999</v>
      </c>
      <c r="C716" s="60">
        <f>12.1528 * CHOOSE(CONTROL!$C$22, $C$13, 100%, $E$13)</f>
        <v>12.152799999999999</v>
      </c>
      <c r="D716" s="60">
        <f>12.1692 * CHOOSE(CONTROL!$C$22, $C$13, 100%, $E$13)</f>
        <v>12.1692</v>
      </c>
      <c r="E716" s="61">
        <f>14.3409 * CHOOSE(CONTROL!$C$22, $C$13, 100%, $E$13)</f>
        <v>14.3409</v>
      </c>
      <c r="F716" s="61">
        <f>14.3409 * CHOOSE(CONTROL!$C$22, $C$13, 100%, $E$13)</f>
        <v>14.3409</v>
      </c>
      <c r="G716" s="61">
        <f>14.3411 * CHOOSE(CONTROL!$C$22, $C$13, 100%, $E$13)</f>
        <v>14.341100000000001</v>
      </c>
      <c r="H716" s="61">
        <f>23.5755* CHOOSE(CONTROL!$C$22, $C$13, 100%, $E$13)</f>
        <v>23.575500000000002</v>
      </c>
      <c r="I716" s="61">
        <f>23.5757 * CHOOSE(CONTROL!$C$22, $C$13, 100%, $E$13)</f>
        <v>23.575700000000001</v>
      </c>
      <c r="J716" s="61">
        <f>14.3409 * CHOOSE(CONTROL!$C$22, $C$13, 100%, $E$13)</f>
        <v>14.3409</v>
      </c>
      <c r="K716" s="61">
        <f>14.3411 * CHOOSE(CONTROL!$C$22, $C$13, 100%, $E$13)</f>
        <v>14.341100000000001</v>
      </c>
    </row>
    <row r="717" spans="1:11" ht="15">
      <c r="A717" s="13">
        <v>63675</v>
      </c>
      <c r="B717" s="60">
        <f>12.1528 * CHOOSE(CONTROL!$C$22, $C$13, 100%, $E$13)</f>
        <v>12.152799999999999</v>
      </c>
      <c r="C717" s="60">
        <f>12.1528 * CHOOSE(CONTROL!$C$22, $C$13, 100%, $E$13)</f>
        <v>12.152799999999999</v>
      </c>
      <c r="D717" s="60">
        <f>12.1855 * CHOOSE(CONTROL!$C$22, $C$13, 100%, $E$13)</f>
        <v>12.185499999999999</v>
      </c>
      <c r="E717" s="61">
        <f>14.3904 * CHOOSE(CONTROL!$C$22, $C$13, 100%, $E$13)</f>
        <v>14.3904</v>
      </c>
      <c r="F717" s="61">
        <f>14.3904 * CHOOSE(CONTROL!$C$22, $C$13, 100%, $E$13)</f>
        <v>14.3904</v>
      </c>
      <c r="G717" s="61">
        <f>14.3924 * CHOOSE(CONTROL!$C$22, $C$13, 100%, $E$13)</f>
        <v>14.3924</v>
      </c>
      <c r="H717" s="61">
        <f>23.6246* CHOOSE(CONTROL!$C$22, $C$13, 100%, $E$13)</f>
        <v>23.624600000000001</v>
      </c>
      <c r="I717" s="61">
        <f>23.6267 * CHOOSE(CONTROL!$C$22, $C$13, 100%, $E$13)</f>
        <v>23.6267</v>
      </c>
      <c r="J717" s="61">
        <f>14.3904 * CHOOSE(CONTROL!$C$22, $C$13, 100%, $E$13)</f>
        <v>14.3904</v>
      </c>
      <c r="K717" s="61">
        <f>14.3924 * CHOOSE(CONTROL!$C$22, $C$13, 100%, $E$13)</f>
        <v>14.3924</v>
      </c>
    </row>
    <row r="718" spans="1:11" ht="15">
      <c r="A718" s="13">
        <v>63706</v>
      </c>
      <c r="B718" s="60">
        <f>12.1589 * CHOOSE(CONTROL!$C$22, $C$13, 100%, $E$13)</f>
        <v>12.158899999999999</v>
      </c>
      <c r="C718" s="60">
        <f>12.1589 * CHOOSE(CONTROL!$C$22, $C$13, 100%, $E$13)</f>
        <v>12.158899999999999</v>
      </c>
      <c r="D718" s="60">
        <f>12.1916 * CHOOSE(CONTROL!$C$22, $C$13, 100%, $E$13)</f>
        <v>12.191599999999999</v>
      </c>
      <c r="E718" s="61">
        <f>14.3451 * CHOOSE(CONTROL!$C$22, $C$13, 100%, $E$13)</f>
        <v>14.3451</v>
      </c>
      <c r="F718" s="61">
        <f>14.3451 * CHOOSE(CONTROL!$C$22, $C$13, 100%, $E$13)</f>
        <v>14.3451</v>
      </c>
      <c r="G718" s="61">
        <f>14.3472 * CHOOSE(CONTROL!$C$22, $C$13, 100%, $E$13)</f>
        <v>14.347200000000001</v>
      </c>
      <c r="H718" s="61">
        <f>23.6739* CHOOSE(CONTROL!$C$22, $C$13, 100%, $E$13)</f>
        <v>23.6739</v>
      </c>
      <c r="I718" s="61">
        <f>23.6759 * CHOOSE(CONTROL!$C$22, $C$13, 100%, $E$13)</f>
        <v>23.675899999999999</v>
      </c>
      <c r="J718" s="61">
        <f>14.3451 * CHOOSE(CONTROL!$C$22, $C$13, 100%, $E$13)</f>
        <v>14.3451</v>
      </c>
      <c r="K718" s="61">
        <f>14.3472 * CHOOSE(CONTROL!$C$22, $C$13, 100%, $E$13)</f>
        <v>14.347200000000001</v>
      </c>
    </row>
    <row r="719" spans="1:11" ht="15">
      <c r="A719" s="13">
        <v>63736</v>
      </c>
      <c r="B719" s="60">
        <f>12.3511 * CHOOSE(CONTROL!$C$22, $C$13, 100%, $E$13)</f>
        <v>12.351100000000001</v>
      </c>
      <c r="C719" s="60">
        <f>12.3511 * CHOOSE(CONTROL!$C$22, $C$13, 100%, $E$13)</f>
        <v>12.351100000000001</v>
      </c>
      <c r="D719" s="60">
        <f>12.3838 * CHOOSE(CONTROL!$C$22, $C$13, 100%, $E$13)</f>
        <v>12.383800000000001</v>
      </c>
      <c r="E719" s="61">
        <f>14.6198 * CHOOSE(CONTROL!$C$22, $C$13, 100%, $E$13)</f>
        <v>14.6198</v>
      </c>
      <c r="F719" s="61">
        <f>14.6198 * CHOOSE(CONTROL!$C$22, $C$13, 100%, $E$13)</f>
        <v>14.6198</v>
      </c>
      <c r="G719" s="61">
        <f>14.6218 * CHOOSE(CONTROL!$C$22, $C$13, 100%, $E$13)</f>
        <v>14.6218</v>
      </c>
      <c r="H719" s="61">
        <f>23.7232* CHOOSE(CONTROL!$C$22, $C$13, 100%, $E$13)</f>
        <v>23.723199999999999</v>
      </c>
      <c r="I719" s="61">
        <f>23.7252 * CHOOSE(CONTROL!$C$22, $C$13, 100%, $E$13)</f>
        <v>23.725200000000001</v>
      </c>
      <c r="J719" s="61">
        <f>14.6198 * CHOOSE(CONTROL!$C$22, $C$13, 100%, $E$13)</f>
        <v>14.6198</v>
      </c>
      <c r="K719" s="61">
        <f>14.6218 * CHOOSE(CONTROL!$C$22, $C$13, 100%, $E$13)</f>
        <v>14.6218</v>
      </c>
    </row>
    <row r="720" spans="1:11" ht="15">
      <c r="A720" s="13">
        <v>63767</v>
      </c>
      <c r="B720" s="60">
        <f>12.3578 * CHOOSE(CONTROL!$C$22, $C$13, 100%, $E$13)</f>
        <v>12.357799999999999</v>
      </c>
      <c r="C720" s="60">
        <f>12.3578 * CHOOSE(CONTROL!$C$22, $C$13, 100%, $E$13)</f>
        <v>12.357799999999999</v>
      </c>
      <c r="D720" s="60">
        <f>12.3904 * CHOOSE(CONTROL!$C$22, $C$13, 100%, $E$13)</f>
        <v>12.3904</v>
      </c>
      <c r="E720" s="61">
        <f>14.4759 * CHOOSE(CONTROL!$C$22, $C$13, 100%, $E$13)</f>
        <v>14.475899999999999</v>
      </c>
      <c r="F720" s="61">
        <f>14.4759 * CHOOSE(CONTROL!$C$22, $C$13, 100%, $E$13)</f>
        <v>14.475899999999999</v>
      </c>
      <c r="G720" s="61">
        <f>14.478 * CHOOSE(CONTROL!$C$22, $C$13, 100%, $E$13)</f>
        <v>14.478</v>
      </c>
      <c r="H720" s="61">
        <f>23.7726* CHOOSE(CONTROL!$C$22, $C$13, 100%, $E$13)</f>
        <v>23.772600000000001</v>
      </c>
      <c r="I720" s="61">
        <f>23.7746 * CHOOSE(CONTROL!$C$22, $C$13, 100%, $E$13)</f>
        <v>23.7746</v>
      </c>
      <c r="J720" s="61">
        <f>14.4759 * CHOOSE(CONTROL!$C$22, $C$13, 100%, $E$13)</f>
        <v>14.475899999999999</v>
      </c>
      <c r="K720" s="61">
        <f>14.478 * CHOOSE(CONTROL!$C$22, $C$13, 100%, $E$13)</f>
        <v>14.478</v>
      </c>
    </row>
    <row r="721" spans="1:11" ht="15">
      <c r="A721" s="13">
        <v>63798</v>
      </c>
      <c r="B721" s="60">
        <f>12.3547 * CHOOSE(CONTROL!$C$22, $C$13, 100%, $E$13)</f>
        <v>12.354699999999999</v>
      </c>
      <c r="C721" s="60">
        <f>12.3547 * CHOOSE(CONTROL!$C$22, $C$13, 100%, $E$13)</f>
        <v>12.354699999999999</v>
      </c>
      <c r="D721" s="60">
        <f>12.3874 * CHOOSE(CONTROL!$C$22, $C$13, 100%, $E$13)</f>
        <v>12.3874</v>
      </c>
      <c r="E721" s="61">
        <f>14.4573 * CHOOSE(CONTROL!$C$22, $C$13, 100%, $E$13)</f>
        <v>14.4573</v>
      </c>
      <c r="F721" s="61">
        <f>14.4573 * CHOOSE(CONTROL!$C$22, $C$13, 100%, $E$13)</f>
        <v>14.4573</v>
      </c>
      <c r="G721" s="61">
        <f>14.4593 * CHOOSE(CONTROL!$C$22, $C$13, 100%, $E$13)</f>
        <v>14.459300000000001</v>
      </c>
      <c r="H721" s="61">
        <f>23.8221* CHOOSE(CONTROL!$C$22, $C$13, 100%, $E$13)</f>
        <v>23.822099999999999</v>
      </c>
      <c r="I721" s="61">
        <f>23.8242 * CHOOSE(CONTROL!$C$22, $C$13, 100%, $E$13)</f>
        <v>23.824200000000001</v>
      </c>
      <c r="J721" s="61">
        <f>14.4573 * CHOOSE(CONTROL!$C$22, $C$13, 100%, $E$13)</f>
        <v>14.4573</v>
      </c>
      <c r="K721" s="61">
        <f>14.4593 * CHOOSE(CONTROL!$C$22, $C$13, 100%, $E$13)</f>
        <v>14.459300000000001</v>
      </c>
    </row>
    <row r="722" spans="1:11" ht="15">
      <c r="A722" s="13">
        <v>63828</v>
      </c>
      <c r="B722" s="60">
        <f>12.3773 * CHOOSE(CONTROL!$C$22, $C$13, 100%, $E$13)</f>
        <v>12.3773</v>
      </c>
      <c r="C722" s="60">
        <f>12.3773 * CHOOSE(CONTROL!$C$22, $C$13, 100%, $E$13)</f>
        <v>12.3773</v>
      </c>
      <c r="D722" s="60">
        <f>12.3937 * CHOOSE(CONTROL!$C$22, $C$13, 100%, $E$13)</f>
        <v>12.393700000000001</v>
      </c>
      <c r="E722" s="61">
        <f>14.5099 * CHOOSE(CONTROL!$C$22, $C$13, 100%, $E$13)</f>
        <v>14.5099</v>
      </c>
      <c r="F722" s="61">
        <f>14.5099 * CHOOSE(CONTROL!$C$22, $C$13, 100%, $E$13)</f>
        <v>14.5099</v>
      </c>
      <c r="G722" s="61">
        <f>14.5101 * CHOOSE(CONTROL!$C$22, $C$13, 100%, $E$13)</f>
        <v>14.5101</v>
      </c>
      <c r="H722" s="61">
        <f>23.8718* CHOOSE(CONTROL!$C$22, $C$13, 100%, $E$13)</f>
        <v>23.8718</v>
      </c>
      <c r="I722" s="61">
        <f>23.8719 * CHOOSE(CONTROL!$C$22, $C$13, 100%, $E$13)</f>
        <v>23.8719</v>
      </c>
      <c r="J722" s="61">
        <f>14.5099 * CHOOSE(CONTROL!$C$22, $C$13, 100%, $E$13)</f>
        <v>14.5099</v>
      </c>
      <c r="K722" s="61">
        <f>14.5101 * CHOOSE(CONTROL!$C$22, $C$13, 100%, $E$13)</f>
        <v>14.5101</v>
      </c>
    </row>
    <row r="723" spans="1:11" ht="15">
      <c r="A723" s="13">
        <v>63859</v>
      </c>
      <c r="B723" s="60">
        <f>12.3804 * CHOOSE(CONTROL!$C$22, $C$13, 100%, $E$13)</f>
        <v>12.3804</v>
      </c>
      <c r="C723" s="60">
        <f>12.3804 * CHOOSE(CONTROL!$C$22, $C$13, 100%, $E$13)</f>
        <v>12.3804</v>
      </c>
      <c r="D723" s="60">
        <f>12.3967 * CHOOSE(CONTROL!$C$22, $C$13, 100%, $E$13)</f>
        <v>12.396699999999999</v>
      </c>
      <c r="E723" s="61">
        <f>14.545 * CHOOSE(CONTROL!$C$22, $C$13, 100%, $E$13)</f>
        <v>14.545</v>
      </c>
      <c r="F723" s="61">
        <f>14.545 * CHOOSE(CONTROL!$C$22, $C$13, 100%, $E$13)</f>
        <v>14.545</v>
      </c>
      <c r="G723" s="61">
        <f>14.5452 * CHOOSE(CONTROL!$C$22, $C$13, 100%, $E$13)</f>
        <v>14.545199999999999</v>
      </c>
      <c r="H723" s="61">
        <f>23.9215* CHOOSE(CONTROL!$C$22, $C$13, 100%, $E$13)</f>
        <v>23.921500000000002</v>
      </c>
      <c r="I723" s="61">
        <f>23.9217 * CHOOSE(CONTROL!$C$22, $C$13, 100%, $E$13)</f>
        <v>23.921700000000001</v>
      </c>
      <c r="J723" s="61">
        <f>14.545 * CHOOSE(CONTROL!$C$22, $C$13, 100%, $E$13)</f>
        <v>14.545</v>
      </c>
      <c r="K723" s="61">
        <f>14.5452 * CHOOSE(CONTROL!$C$22, $C$13, 100%, $E$13)</f>
        <v>14.545199999999999</v>
      </c>
    </row>
    <row r="724" spans="1:11" ht="15">
      <c r="A724" s="13">
        <v>63889</v>
      </c>
      <c r="B724" s="60">
        <f>12.3804 * CHOOSE(CONTROL!$C$22, $C$13, 100%, $E$13)</f>
        <v>12.3804</v>
      </c>
      <c r="C724" s="60">
        <f>12.3804 * CHOOSE(CONTROL!$C$22, $C$13, 100%, $E$13)</f>
        <v>12.3804</v>
      </c>
      <c r="D724" s="60">
        <f>12.3967 * CHOOSE(CONTROL!$C$22, $C$13, 100%, $E$13)</f>
        <v>12.396699999999999</v>
      </c>
      <c r="E724" s="61">
        <f>14.4625 * CHOOSE(CONTROL!$C$22, $C$13, 100%, $E$13)</f>
        <v>14.4625</v>
      </c>
      <c r="F724" s="61">
        <f>14.4625 * CHOOSE(CONTROL!$C$22, $C$13, 100%, $E$13)</f>
        <v>14.4625</v>
      </c>
      <c r="G724" s="61">
        <f>14.4627 * CHOOSE(CONTROL!$C$22, $C$13, 100%, $E$13)</f>
        <v>14.4627</v>
      </c>
      <c r="H724" s="61">
        <f>23.9713* CHOOSE(CONTROL!$C$22, $C$13, 100%, $E$13)</f>
        <v>23.971299999999999</v>
      </c>
      <c r="I724" s="61">
        <f>23.9715 * CHOOSE(CONTROL!$C$22, $C$13, 100%, $E$13)</f>
        <v>23.971499999999999</v>
      </c>
      <c r="J724" s="61">
        <f>14.4625 * CHOOSE(CONTROL!$C$22, $C$13, 100%, $E$13)</f>
        <v>14.4625</v>
      </c>
      <c r="K724" s="61">
        <f>14.4627 * CHOOSE(CONTROL!$C$22, $C$13, 100%, $E$13)</f>
        <v>14.4627</v>
      </c>
    </row>
    <row r="725" spans="1:11" ht="15">
      <c r="A725" s="13">
        <v>63920</v>
      </c>
      <c r="B725" s="60">
        <f>12.3996 * CHOOSE(CONTROL!$C$22, $C$13, 100%, $E$13)</f>
        <v>12.3996</v>
      </c>
      <c r="C725" s="60">
        <f>12.3996 * CHOOSE(CONTROL!$C$22, $C$13, 100%, $E$13)</f>
        <v>12.3996</v>
      </c>
      <c r="D725" s="60">
        <f>12.4159 * CHOOSE(CONTROL!$C$22, $C$13, 100%, $E$13)</f>
        <v>12.415900000000001</v>
      </c>
      <c r="E725" s="61">
        <f>14.5428 * CHOOSE(CONTROL!$C$22, $C$13, 100%, $E$13)</f>
        <v>14.5428</v>
      </c>
      <c r="F725" s="61">
        <f>14.5428 * CHOOSE(CONTROL!$C$22, $C$13, 100%, $E$13)</f>
        <v>14.5428</v>
      </c>
      <c r="G725" s="61">
        <f>14.543 * CHOOSE(CONTROL!$C$22, $C$13, 100%, $E$13)</f>
        <v>14.542999999999999</v>
      </c>
      <c r="H725" s="61">
        <f>23.8747* CHOOSE(CONTROL!$C$22, $C$13, 100%, $E$13)</f>
        <v>23.874700000000001</v>
      </c>
      <c r="I725" s="61">
        <f>23.8749 * CHOOSE(CONTROL!$C$22, $C$13, 100%, $E$13)</f>
        <v>23.8749</v>
      </c>
      <c r="J725" s="61">
        <f>14.5428 * CHOOSE(CONTROL!$C$22, $C$13, 100%, $E$13)</f>
        <v>14.5428</v>
      </c>
      <c r="K725" s="61">
        <f>14.543 * CHOOSE(CONTROL!$C$22, $C$13, 100%, $E$13)</f>
        <v>14.542999999999999</v>
      </c>
    </row>
    <row r="726" spans="1:11" ht="15">
      <c r="A726" s="13">
        <v>63951</v>
      </c>
      <c r="B726" s="60">
        <f>12.3965 * CHOOSE(CONTROL!$C$22, $C$13, 100%, $E$13)</f>
        <v>12.3965</v>
      </c>
      <c r="C726" s="60">
        <f>12.3965 * CHOOSE(CONTROL!$C$22, $C$13, 100%, $E$13)</f>
        <v>12.3965</v>
      </c>
      <c r="D726" s="60">
        <f>12.4129 * CHOOSE(CONTROL!$C$22, $C$13, 100%, $E$13)</f>
        <v>12.4129</v>
      </c>
      <c r="E726" s="61">
        <f>14.3815 * CHOOSE(CONTROL!$C$22, $C$13, 100%, $E$13)</f>
        <v>14.381500000000001</v>
      </c>
      <c r="F726" s="61">
        <f>14.3815 * CHOOSE(CONTROL!$C$22, $C$13, 100%, $E$13)</f>
        <v>14.381500000000001</v>
      </c>
      <c r="G726" s="61">
        <f>14.3817 * CHOOSE(CONTROL!$C$22, $C$13, 100%, $E$13)</f>
        <v>14.3817</v>
      </c>
      <c r="H726" s="61">
        <f>23.9244* CHOOSE(CONTROL!$C$22, $C$13, 100%, $E$13)</f>
        <v>23.924399999999999</v>
      </c>
      <c r="I726" s="61">
        <f>23.9246 * CHOOSE(CONTROL!$C$22, $C$13, 100%, $E$13)</f>
        <v>23.924600000000002</v>
      </c>
      <c r="J726" s="61">
        <f>14.3815 * CHOOSE(CONTROL!$C$22, $C$13, 100%, $E$13)</f>
        <v>14.381500000000001</v>
      </c>
      <c r="K726" s="61">
        <f>14.3817 * CHOOSE(CONTROL!$C$22, $C$13, 100%, $E$13)</f>
        <v>14.3817</v>
      </c>
    </row>
    <row r="727" spans="1:11" ht="15">
      <c r="A727" s="13">
        <v>63979</v>
      </c>
      <c r="B727" s="60">
        <f>12.3935 * CHOOSE(CONTROL!$C$22, $C$13, 100%, $E$13)</f>
        <v>12.3935</v>
      </c>
      <c r="C727" s="60">
        <f>12.3935 * CHOOSE(CONTROL!$C$22, $C$13, 100%, $E$13)</f>
        <v>12.3935</v>
      </c>
      <c r="D727" s="60">
        <f>12.4098 * CHOOSE(CONTROL!$C$22, $C$13, 100%, $E$13)</f>
        <v>12.409800000000001</v>
      </c>
      <c r="E727" s="61">
        <f>14.5049 * CHOOSE(CONTROL!$C$22, $C$13, 100%, $E$13)</f>
        <v>14.504899999999999</v>
      </c>
      <c r="F727" s="61">
        <f>14.5049 * CHOOSE(CONTROL!$C$22, $C$13, 100%, $E$13)</f>
        <v>14.504899999999999</v>
      </c>
      <c r="G727" s="61">
        <f>14.505 * CHOOSE(CONTROL!$C$22, $C$13, 100%, $E$13)</f>
        <v>14.505000000000001</v>
      </c>
      <c r="H727" s="61">
        <f>23.9743* CHOOSE(CONTROL!$C$22, $C$13, 100%, $E$13)</f>
        <v>23.974299999999999</v>
      </c>
      <c r="I727" s="61">
        <f>23.9744 * CHOOSE(CONTROL!$C$22, $C$13, 100%, $E$13)</f>
        <v>23.974399999999999</v>
      </c>
      <c r="J727" s="61">
        <f>14.5049 * CHOOSE(CONTROL!$C$22, $C$13, 100%, $E$13)</f>
        <v>14.504899999999999</v>
      </c>
      <c r="K727" s="61">
        <f>14.505 * CHOOSE(CONTROL!$C$22, $C$13, 100%, $E$13)</f>
        <v>14.505000000000001</v>
      </c>
    </row>
    <row r="728" spans="1:11" ht="15">
      <c r="A728" s="13">
        <v>64010</v>
      </c>
      <c r="B728" s="60">
        <f>12.3983 * CHOOSE(CONTROL!$C$22, $C$13, 100%, $E$13)</f>
        <v>12.398300000000001</v>
      </c>
      <c r="C728" s="60">
        <f>12.3983 * CHOOSE(CONTROL!$C$22, $C$13, 100%, $E$13)</f>
        <v>12.398300000000001</v>
      </c>
      <c r="D728" s="60">
        <f>12.4147 * CHOOSE(CONTROL!$C$22, $C$13, 100%, $E$13)</f>
        <v>12.4147</v>
      </c>
      <c r="E728" s="61">
        <f>14.6353 * CHOOSE(CONTROL!$C$22, $C$13, 100%, $E$13)</f>
        <v>14.635300000000001</v>
      </c>
      <c r="F728" s="61">
        <f>14.6353 * CHOOSE(CONTROL!$C$22, $C$13, 100%, $E$13)</f>
        <v>14.635300000000001</v>
      </c>
      <c r="G728" s="61">
        <f>14.6355 * CHOOSE(CONTROL!$C$22, $C$13, 100%, $E$13)</f>
        <v>14.6355</v>
      </c>
      <c r="H728" s="61">
        <f>24.0242* CHOOSE(CONTROL!$C$22, $C$13, 100%, $E$13)</f>
        <v>24.0242</v>
      </c>
      <c r="I728" s="61">
        <f>24.0244 * CHOOSE(CONTROL!$C$22, $C$13, 100%, $E$13)</f>
        <v>24.0244</v>
      </c>
      <c r="J728" s="61">
        <f>14.6353 * CHOOSE(CONTROL!$C$22, $C$13, 100%, $E$13)</f>
        <v>14.635300000000001</v>
      </c>
      <c r="K728" s="61">
        <f>14.6355 * CHOOSE(CONTROL!$C$22, $C$13, 100%, $E$13)</f>
        <v>14.6355</v>
      </c>
    </row>
    <row r="729" spans="1:11" ht="15">
      <c r="A729" s="13">
        <v>64040</v>
      </c>
      <c r="B729" s="60">
        <f>12.3983 * CHOOSE(CONTROL!$C$22, $C$13, 100%, $E$13)</f>
        <v>12.398300000000001</v>
      </c>
      <c r="C729" s="60">
        <f>12.3983 * CHOOSE(CONTROL!$C$22, $C$13, 100%, $E$13)</f>
        <v>12.398300000000001</v>
      </c>
      <c r="D729" s="60">
        <f>12.431 * CHOOSE(CONTROL!$C$22, $C$13, 100%, $E$13)</f>
        <v>12.430999999999999</v>
      </c>
      <c r="E729" s="61">
        <f>14.6859 * CHOOSE(CONTROL!$C$22, $C$13, 100%, $E$13)</f>
        <v>14.6859</v>
      </c>
      <c r="F729" s="61">
        <f>14.6859 * CHOOSE(CONTROL!$C$22, $C$13, 100%, $E$13)</f>
        <v>14.6859</v>
      </c>
      <c r="G729" s="61">
        <f>14.6879 * CHOOSE(CONTROL!$C$22, $C$13, 100%, $E$13)</f>
        <v>14.687900000000001</v>
      </c>
      <c r="H729" s="61">
        <f>24.0743* CHOOSE(CONTROL!$C$22, $C$13, 100%, $E$13)</f>
        <v>24.074300000000001</v>
      </c>
      <c r="I729" s="61">
        <f>24.0763 * CHOOSE(CONTROL!$C$22, $C$13, 100%, $E$13)</f>
        <v>24.0763</v>
      </c>
      <c r="J729" s="61">
        <f>14.6859 * CHOOSE(CONTROL!$C$22, $C$13, 100%, $E$13)</f>
        <v>14.6859</v>
      </c>
      <c r="K729" s="61">
        <f>14.6879 * CHOOSE(CONTROL!$C$22, $C$13, 100%, $E$13)</f>
        <v>14.687900000000001</v>
      </c>
    </row>
    <row r="730" spans="1:11" ht="15">
      <c r="A730" s="13">
        <v>64071</v>
      </c>
      <c r="B730" s="60">
        <f>12.4044 * CHOOSE(CONTROL!$C$22, $C$13, 100%, $E$13)</f>
        <v>12.404400000000001</v>
      </c>
      <c r="C730" s="60">
        <f>12.4044 * CHOOSE(CONTROL!$C$22, $C$13, 100%, $E$13)</f>
        <v>12.404400000000001</v>
      </c>
      <c r="D730" s="60">
        <f>12.4371 * CHOOSE(CONTROL!$C$22, $C$13, 100%, $E$13)</f>
        <v>12.437099999999999</v>
      </c>
      <c r="E730" s="61">
        <f>14.6396 * CHOOSE(CONTROL!$C$22, $C$13, 100%, $E$13)</f>
        <v>14.6396</v>
      </c>
      <c r="F730" s="61">
        <f>14.6396 * CHOOSE(CONTROL!$C$22, $C$13, 100%, $E$13)</f>
        <v>14.6396</v>
      </c>
      <c r="G730" s="61">
        <f>14.6416 * CHOOSE(CONTROL!$C$22, $C$13, 100%, $E$13)</f>
        <v>14.6416</v>
      </c>
      <c r="H730" s="61">
        <f>24.1244* CHOOSE(CONTROL!$C$22, $C$13, 100%, $E$13)</f>
        <v>24.124400000000001</v>
      </c>
      <c r="I730" s="61">
        <f>24.1264 * CHOOSE(CONTROL!$C$22, $C$13, 100%, $E$13)</f>
        <v>24.1264</v>
      </c>
      <c r="J730" s="61">
        <f>14.6396 * CHOOSE(CONTROL!$C$22, $C$13, 100%, $E$13)</f>
        <v>14.6396</v>
      </c>
      <c r="K730" s="61">
        <f>14.6416 * CHOOSE(CONTROL!$C$22, $C$13, 100%, $E$13)</f>
        <v>14.6416</v>
      </c>
    </row>
    <row r="731" spans="1:11" ht="15">
      <c r="A731" s="13">
        <v>64101</v>
      </c>
      <c r="B731" s="60">
        <f>12.6003 * CHOOSE(CONTROL!$C$22, $C$13, 100%, $E$13)</f>
        <v>12.600300000000001</v>
      </c>
      <c r="C731" s="60">
        <f>12.6003 * CHOOSE(CONTROL!$C$22, $C$13, 100%, $E$13)</f>
        <v>12.600300000000001</v>
      </c>
      <c r="D731" s="60">
        <f>12.633 * CHOOSE(CONTROL!$C$22, $C$13, 100%, $E$13)</f>
        <v>12.632999999999999</v>
      </c>
      <c r="E731" s="61">
        <f>14.9196 * CHOOSE(CONTROL!$C$22, $C$13, 100%, $E$13)</f>
        <v>14.919600000000001</v>
      </c>
      <c r="F731" s="61">
        <f>14.9196 * CHOOSE(CONTROL!$C$22, $C$13, 100%, $E$13)</f>
        <v>14.919600000000001</v>
      </c>
      <c r="G731" s="61">
        <f>14.9217 * CHOOSE(CONTROL!$C$22, $C$13, 100%, $E$13)</f>
        <v>14.9217</v>
      </c>
      <c r="H731" s="61">
        <f>24.1747* CHOOSE(CONTROL!$C$22, $C$13, 100%, $E$13)</f>
        <v>24.174700000000001</v>
      </c>
      <c r="I731" s="61">
        <f>24.1767 * CHOOSE(CONTROL!$C$22, $C$13, 100%, $E$13)</f>
        <v>24.1767</v>
      </c>
      <c r="J731" s="61">
        <f>14.9196 * CHOOSE(CONTROL!$C$22, $C$13, 100%, $E$13)</f>
        <v>14.919600000000001</v>
      </c>
      <c r="K731" s="61">
        <f>14.9217 * CHOOSE(CONTROL!$C$22, $C$13, 100%, $E$13)</f>
        <v>14.9217</v>
      </c>
    </row>
    <row r="732" spans="1:11" ht="15">
      <c r="A732" s="13">
        <v>64132</v>
      </c>
      <c r="B732" s="60">
        <f>12.607 * CHOOSE(CONTROL!$C$22, $C$13, 100%, $E$13)</f>
        <v>12.606999999999999</v>
      </c>
      <c r="C732" s="60">
        <f>12.607 * CHOOSE(CONTROL!$C$22, $C$13, 100%, $E$13)</f>
        <v>12.606999999999999</v>
      </c>
      <c r="D732" s="60">
        <f>12.6397 * CHOOSE(CONTROL!$C$22, $C$13, 100%, $E$13)</f>
        <v>12.639699999999999</v>
      </c>
      <c r="E732" s="61">
        <f>14.7728 * CHOOSE(CONTROL!$C$22, $C$13, 100%, $E$13)</f>
        <v>14.7728</v>
      </c>
      <c r="F732" s="61">
        <f>14.7728 * CHOOSE(CONTROL!$C$22, $C$13, 100%, $E$13)</f>
        <v>14.7728</v>
      </c>
      <c r="G732" s="61">
        <f>14.7748 * CHOOSE(CONTROL!$C$22, $C$13, 100%, $E$13)</f>
        <v>14.774800000000001</v>
      </c>
      <c r="H732" s="61">
        <f>24.225* CHOOSE(CONTROL!$C$22, $C$13, 100%, $E$13)</f>
        <v>24.225000000000001</v>
      </c>
      <c r="I732" s="61">
        <f>24.2271 * CHOOSE(CONTROL!$C$22, $C$13, 100%, $E$13)</f>
        <v>24.2271</v>
      </c>
      <c r="J732" s="61">
        <f>14.7728 * CHOOSE(CONTROL!$C$22, $C$13, 100%, $E$13)</f>
        <v>14.7728</v>
      </c>
      <c r="K732" s="61">
        <f>14.7748 * CHOOSE(CONTROL!$C$22, $C$13, 100%, $E$13)</f>
        <v>14.774800000000001</v>
      </c>
    </row>
    <row r="733" spans="1:11" ht="15">
      <c r="A733" s="13">
        <v>64163</v>
      </c>
      <c r="B733" s="60">
        <f>12.6039 * CHOOSE(CONTROL!$C$22, $C$13, 100%, $E$13)</f>
        <v>12.603899999999999</v>
      </c>
      <c r="C733" s="60">
        <f>12.6039 * CHOOSE(CONTROL!$C$22, $C$13, 100%, $E$13)</f>
        <v>12.603899999999999</v>
      </c>
      <c r="D733" s="60">
        <f>12.6366 * CHOOSE(CONTROL!$C$22, $C$13, 100%, $E$13)</f>
        <v>12.6366</v>
      </c>
      <c r="E733" s="61">
        <f>14.7538 * CHOOSE(CONTROL!$C$22, $C$13, 100%, $E$13)</f>
        <v>14.7538</v>
      </c>
      <c r="F733" s="61">
        <f>14.7538 * CHOOSE(CONTROL!$C$22, $C$13, 100%, $E$13)</f>
        <v>14.7538</v>
      </c>
      <c r="G733" s="61">
        <f>14.7558 * CHOOSE(CONTROL!$C$22, $C$13, 100%, $E$13)</f>
        <v>14.755800000000001</v>
      </c>
      <c r="H733" s="61">
        <f>24.2755* CHOOSE(CONTROL!$C$22, $C$13, 100%, $E$13)</f>
        <v>24.275500000000001</v>
      </c>
      <c r="I733" s="61">
        <f>24.2775 * CHOOSE(CONTROL!$C$22, $C$13, 100%, $E$13)</f>
        <v>24.2775</v>
      </c>
      <c r="J733" s="61">
        <f>14.7538 * CHOOSE(CONTROL!$C$22, $C$13, 100%, $E$13)</f>
        <v>14.7538</v>
      </c>
      <c r="K733" s="61">
        <f>14.7558 * CHOOSE(CONTROL!$C$22, $C$13, 100%, $E$13)</f>
        <v>14.755800000000001</v>
      </c>
    </row>
    <row r="734" spans="1:11" ht="15">
      <c r="A734" s="13">
        <v>64193</v>
      </c>
      <c r="B734" s="60">
        <f>12.6274 * CHOOSE(CONTROL!$C$22, $C$13, 100%, $E$13)</f>
        <v>12.6274</v>
      </c>
      <c r="C734" s="60">
        <f>12.6274 * CHOOSE(CONTROL!$C$22, $C$13, 100%, $E$13)</f>
        <v>12.6274</v>
      </c>
      <c r="D734" s="60">
        <f>12.6437 * CHOOSE(CONTROL!$C$22, $C$13, 100%, $E$13)</f>
        <v>12.643700000000001</v>
      </c>
      <c r="E734" s="61">
        <f>14.8077 * CHOOSE(CONTROL!$C$22, $C$13, 100%, $E$13)</f>
        <v>14.807700000000001</v>
      </c>
      <c r="F734" s="61">
        <f>14.8077 * CHOOSE(CONTROL!$C$22, $C$13, 100%, $E$13)</f>
        <v>14.807700000000001</v>
      </c>
      <c r="G734" s="61">
        <f>14.8079 * CHOOSE(CONTROL!$C$22, $C$13, 100%, $E$13)</f>
        <v>14.8079</v>
      </c>
      <c r="H734" s="61">
        <f>24.3261* CHOOSE(CONTROL!$C$22, $C$13, 100%, $E$13)</f>
        <v>24.3261</v>
      </c>
      <c r="I734" s="61">
        <f>24.3263 * CHOOSE(CONTROL!$C$22, $C$13, 100%, $E$13)</f>
        <v>24.3263</v>
      </c>
      <c r="J734" s="61">
        <f>14.8077 * CHOOSE(CONTROL!$C$22, $C$13, 100%, $E$13)</f>
        <v>14.807700000000001</v>
      </c>
      <c r="K734" s="61">
        <f>14.8079 * CHOOSE(CONTROL!$C$22, $C$13, 100%, $E$13)</f>
        <v>14.8079</v>
      </c>
    </row>
    <row r="735" spans="1:11" ht="15">
      <c r="A735" s="13">
        <v>64224</v>
      </c>
      <c r="B735" s="60">
        <f>12.6304 * CHOOSE(CONTROL!$C$22, $C$13, 100%, $E$13)</f>
        <v>12.6304</v>
      </c>
      <c r="C735" s="60">
        <f>12.6304 * CHOOSE(CONTROL!$C$22, $C$13, 100%, $E$13)</f>
        <v>12.6304</v>
      </c>
      <c r="D735" s="60">
        <f>12.6467 * CHOOSE(CONTROL!$C$22, $C$13, 100%, $E$13)</f>
        <v>12.646699999999999</v>
      </c>
      <c r="E735" s="61">
        <f>14.8435 * CHOOSE(CONTROL!$C$22, $C$13, 100%, $E$13)</f>
        <v>14.843500000000001</v>
      </c>
      <c r="F735" s="61">
        <f>14.8435 * CHOOSE(CONTROL!$C$22, $C$13, 100%, $E$13)</f>
        <v>14.843500000000001</v>
      </c>
      <c r="G735" s="61">
        <f>14.8437 * CHOOSE(CONTROL!$C$22, $C$13, 100%, $E$13)</f>
        <v>14.8437</v>
      </c>
      <c r="H735" s="61">
        <f>24.3768* CHOOSE(CONTROL!$C$22, $C$13, 100%, $E$13)</f>
        <v>24.376799999999999</v>
      </c>
      <c r="I735" s="61">
        <f>24.3769 * CHOOSE(CONTROL!$C$22, $C$13, 100%, $E$13)</f>
        <v>24.376899999999999</v>
      </c>
      <c r="J735" s="61">
        <f>14.8435 * CHOOSE(CONTROL!$C$22, $C$13, 100%, $E$13)</f>
        <v>14.843500000000001</v>
      </c>
      <c r="K735" s="61">
        <f>14.8437 * CHOOSE(CONTROL!$C$22, $C$13, 100%, $E$13)</f>
        <v>14.8437</v>
      </c>
    </row>
    <row r="736" spans="1:11" ht="15">
      <c r="A736" s="13">
        <v>64254</v>
      </c>
      <c r="B736" s="60">
        <f>12.6304 * CHOOSE(CONTROL!$C$22, $C$13, 100%, $E$13)</f>
        <v>12.6304</v>
      </c>
      <c r="C736" s="60">
        <f>12.6304 * CHOOSE(CONTROL!$C$22, $C$13, 100%, $E$13)</f>
        <v>12.6304</v>
      </c>
      <c r="D736" s="60">
        <f>12.6467 * CHOOSE(CONTROL!$C$22, $C$13, 100%, $E$13)</f>
        <v>12.646699999999999</v>
      </c>
      <c r="E736" s="61">
        <f>14.7593 * CHOOSE(CONTROL!$C$22, $C$13, 100%, $E$13)</f>
        <v>14.7593</v>
      </c>
      <c r="F736" s="61">
        <f>14.7593 * CHOOSE(CONTROL!$C$22, $C$13, 100%, $E$13)</f>
        <v>14.7593</v>
      </c>
      <c r="G736" s="61">
        <f>14.7595 * CHOOSE(CONTROL!$C$22, $C$13, 100%, $E$13)</f>
        <v>14.759499999999999</v>
      </c>
      <c r="H736" s="61">
        <f>24.4275* CHOOSE(CONTROL!$C$22, $C$13, 100%, $E$13)</f>
        <v>24.427499999999998</v>
      </c>
      <c r="I736" s="61">
        <f>24.4277 * CHOOSE(CONTROL!$C$22, $C$13, 100%, $E$13)</f>
        <v>24.427700000000002</v>
      </c>
      <c r="J736" s="61">
        <f>14.7593 * CHOOSE(CONTROL!$C$22, $C$13, 100%, $E$13)</f>
        <v>14.7593</v>
      </c>
      <c r="K736" s="61">
        <f>14.7595 * CHOOSE(CONTROL!$C$22, $C$13, 100%, $E$13)</f>
        <v>14.759499999999999</v>
      </c>
    </row>
    <row r="737" spans="1:11" ht="15">
      <c r="A737" s="13">
        <v>64285</v>
      </c>
      <c r="B737" s="60">
        <f>12.6449 * CHOOSE(CONTROL!$C$22, $C$13, 100%, $E$13)</f>
        <v>12.6449</v>
      </c>
      <c r="C737" s="60">
        <f>12.6449 * CHOOSE(CONTROL!$C$22, $C$13, 100%, $E$13)</f>
        <v>12.6449</v>
      </c>
      <c r="D737" s="60">
        <f>12.6612 * CHOOSE(CONTROL!$C$22, $C$13, 100%, $E$13)</f>
        <v>12.661199999999999</v>
      </c>
      <c r="E737" s="61">
        <f>14.8352 * CHOOSE(CONTROL!$C$22, $C$13, 100%, $E$13)</f>
        <v>14.8352</v>
      </c>
      <c r="F737" s="61">
        <f>14.8352 * CHOOSE(CONTROL!$C$22, $C$13, 100%, $E$13)</f>
        <v>14.8352</v>
      </c>
      <c r="G737" s="61">
        <f>14.8354 * CHOOSE(CONTROL!$C$22, $C$13, 100%, $E$13)</f>
        <v>14.8354</v>
      </c>
      <c r="H737" s="61">
        <f>24.3206* CHOOSE(CONTROL!$C$22, $C$13, 100%, $E$13)</f>
        <v>24.320599999999999</v>
      </c>
      <c r="I737" s="61">
        <f>24.3207 * CHOOSE(CONTROL!$C$22, $C$13, 100%, $E$13)</f>
        <v>24.320699999999999</v>
      </c>
      <c r="J737" s="61">
        <f>14.8352 * CHOOSE(CONTROL!$C$22, $C$13, 100%, $E$13)</f>
        <v>14.8352</v>
      </c>
      <c r="K737" s="61">
        <f>14.8354 * CHOOSE(CONTROL!$C$22, $C$13, 100%, $E$13)</f>
        <v>14.8354</v>
      </c>
    </row>
    <row r="738" spans="1:11" ht="15">
      <c r="A738" s="13">
        <v>64316</v>
      </c>
      <c r="B738" s="60">
        <f>12.6419 * CHOOSE(CONTROL!$C$22, $C$13, 100%, $E$13)</f>
        <v>12.6419</v>
      </c>
      <c r="C738" s="60">
        <f>12.6419 * CHOOSE(CONTROL!$C$22, $C$13, 100%, $E$13)</f>
        <v>12.6419</v>
      </c>
      <c r="D738" s="60">
        <f>12.6582 * CHOOSE(CONTROL!$C$22, $C$13, 100%, $E$13)</f>
        <v>12.658200000000001</v>
      </c>
      <c r="E738" s="61">
        <f>14.6708 * CHOOSE(CONTROL!$C$22, $C$13, 100%, $E$13)</f>
        <v>14.6708</v>
      </c>
      <c r="F738" s="61">
        <f>14.6708 * CHOOSE(CONTROL!$C$22, $C$13, 100%, $E$13)</f>
        <v>14.6708</v>
      </c>
      <c r="G738" s="61">
        <f>14.6709 * CHOOSE(CONTROL!$C$22, $C$13, 100%, $E$13)</f>
        <v>14.6709</v>
      </c>
      <c r="H738" s="61">
        <f>24.3712* CHOOSE(CONTROL!$C$22, $C$13, 100%, $E$13)</f>
        <v>24.371200000000002</v>
      </c>
      <c r="I738" s="61">
        <f>24.3714 * CHOOSE(CONTROL!$C$22, $C$13, 100%, $E$13)</f>
        <v>24.371400000000001</v>
      </c>
      <c r="J738" s="61">
        <f>14.6708 * CHOOSE(CONTROL!$C$22, $C$13, 100%, $E$13)</f>
        <v>14.6708</v>
      </c>
      <c r="K738" s="61">
        <f>14.6709 * CHOOSE(CONTROL!$C$22, $C$13, 100%, $E$13)</f>
        <v>14.6709</v>
      </c>
    </row>
    <row r="739" spans="1:11" ht="15">
      <c r="A739" s="13">
        <v>64345</v>
      </c>
      <c r="B739" s="60">
        <f>12.6388 * CHOOSE(CONTROL!$C$22, $C$13, 100%, $E$13)</f>
        <v>12.6388</v>
      </c>
      <c r="C739" s="60">
        <f>12.6388 * CHOOSE(CONTROL!$C$22, $C$13, 100%, $E$13)</f>
        <v>12.6388</v>
      </c>
      <c r="D739" s="60">
        <f>12.6552 * CHOOSE(CONTROL!$C$22, $C$13, 100%, $E$13)</f>
        <v>12.655200000000001</v>
      </c>
      <c r="E739" s="61">
        <f>14.7966 * CHOOSE(CONTROL!$C$22, $C$13, 100%, $E$13)</f>
        <v>14.7966</v>
      </c>
      <c r="F739" s="61">
        <f>14.7966 * CHOOSE(CONTROL!$C$22, $C$13, 100%, $E$13)</f>
        <v>14.7966</v>
      </c>
      <c r="G739" s="61">
        <f>14.7968 * CHOOSE(CONTROL!$C$22, $C$13, 100%, $E$13)</f>
        <v>14.796799999999999</v>
      </c>
      <c r="H739" s="61">
        <f>24.422* CHOOSE(CONTROL!$C$22, $C$13, 100%, $E$13)</f>
        <v>24.422000000000001</v>
      </c>
      <c r="I739" s="61">
        <f>24.4222 * CHOOSE(CONTROL!$C$22, $C$13, 100%, $E$13)</f>
        <v>24.4222</v>
      </c>
      <c r="J739" s="61">
        <f>14.7966 * CHOOSE(CONTROL!$C$22, $C$13, 100%, $E$13)</f>
        <v>14.7966</v>
      </c>
      <c r="K739" s="61">
        <f>14.7968 * CHOOSE(CONTROL!$C$22, $C$13, 100%, $E$13)</f>
        <v>14.796799999999999</v>
      </c>
    </row>
    <row r="740" spans="1:11" ht="15">
      <c r="A740" s="13">
        <v>64376</v>
      </c>
      <c r="B740" s="60">
        <f>12.6439 * CHOOSE(CONTROL!$C$22, $C$13, 100%, $E$13)</f>
        <v>12.6439</v>
      </c>
      <c r="C740" s="60">
        <f>12.6439 * CHOOSE(CONTROL!$C$22, $C$13, 100%, $E$13)</f>
        <v>12.6439</v>
      </c>
      <c r="D740" s="60">
        <f>12.6602 * CHOOSE(CONTROL!$C$22, $C$13, 100%, $E$13)</f>
        <v>12.6602</v>
      </c>
      <c r="E740" s="61">
        <f>14.9298 * CHOOSE(CONTROL!$C$22, $C$13, 100%, $E$13)</f>
        <v>14.9298</v>
      </c>
      <c r="F740" s="61">
        <f>14.9298 * CHOOSE(CONTROL!$C$22, $C$13, 100%, $E$13)</f>
        <v>14.9298</v>
      </c>
      <c r="G740" s="61">
        <f>14.93 * CHOOSE(CONTROL!$C$22, $C$13, 100%, $E$13)</f>
        <v>14.93</v>
      </c>
      <c r="H740" s="61">
        <f>24.4729* CHOOSE(CONTROL!$C$22, $C$13, 100%, $E$13)</f>
        <v>24.472899999999999</v>
      </c>
      <c r="I740" s="61">
        <f>24.4731 * CHOOSE(CONTROL!$C$22, $C$13, 100%, $E$13)</f>
        <v>24.473099999999999</v>
      </c>
      <c r="J740" s="61">
        <f>14.9298 * CHOOSE(CONTROL!$C$22, $C$13, 100%, $E$13)</f>
        <v>14.9298</v>
      </c>
      <c r="K740" s="61">
        <f>14.93 * CHOOSE(CONTROL!$C$22, $C$13, 100%, $E$13)</f>
        <v>14.93</v>
      </c>
    </row>
    <row r="741" spans="1:11" ht="15">
      <c r="A741" s="13">
        <v>64406</v>
      </c>
      <c r="B741" s="60">
        <f>12.6439 * CHOOSE(CONTROL!$C$22, $C$13, 100%, $E$13)</f>
        <v>12.6439</v>
      </c>
      <c r="C741" s="60">
        <f>12.6439 * CHOOSE(CONTROL!$C$22, $C$13, 100%, $E$13)</f>
        <v>12.6439</v>
      </c>
      <c r="D741" s="60">
        <f>12.6765 * CHOOSE(CONTROL!$C$22, $C$13, 100%, $E$13)</f>
        <v>12.676500000000001</v>
      </c>
      <c r="E741" s="61">
        <f>14.9813 * CHOOSE(CONTROL!$C$22, $C$13, 100%, $E$13)</f>
        <v>14.981299999999999</v>
      </c>
      <c r="F741" s="61">
        <f>14.9813 * CHOOSE(CONTROL!$C$22, $C$13, 100%, $E$13)</f>
        <v>14.981299999999999</v>
      </c>
      <c r="G741" s="61">
        <f>14.9833 * CHOOSE(CONTROL!$C$22, $C$13, 100%, $E$13)</f>
        <v>14.9833</v>
      </c>
      <c r="H741" s="61">
        <f>24.5239* CHOOSE(CONTROL!$C$22, $C$13, 100%, $E$13)</f>
        <v>24.523900000000001</v>
      </c>
      <c r="I741" s="61">
        <f>24.5259 * CHOOSE(CONTROL!$C$22, $C$13, 100%, $E$13)</f>
        <v>24.5259</v>
      </c>
      <c r="J741" s="61">
        <f>14.9813 * CHOOSE(CONTROL!$C$22, $C$13, 100%, $E$13)</f>
        <v>14.981299999999999</v>
      </c>
      <c r="K741" s="61">
        <f>14.9833 * CHOOSE(CONTROL!$C$22, $C$13, 100%, $E$13)</f>
        <v>14.9833</v>
      </c>
    </row>
    <row r="742" spans="1:11" ht="15">
      <c r="A742" s="13">
        <v>64437</v>
      </c>
      <c r="B742" s="60">
        <f>12.65 * CHOOSE(CONTROL!$C$22, $C$13, 100%, $E$13)</f>
        <v>12.65</v>
      </c>
      <c r="C742" s="60">
        <f>12.65 * CHOOSE(CONTROL!$C$22, $C$13, 100%, $E$13)</f>
        <v>12.65</v>
      </c>
      <c r="D742" s="60">
        <f>12.6826 * CHOOSE(CONTROL!$C$22, $C$13, 100%, $E$13)</f>
        <v>12.682600000000001</v>
      </c>
      <c r="E742" s="61">
        <f>14.934 * CHOOSE(CONTROL!$C$22, $C$13, 100%, $E$13)</f>
        <v>14.933999999999999</v>
      </c>
      <c r="F742" s="61">
        <f>14.934 * CHOOSE(CONTROL!$C$22, $C$13, 100%, $E$13)</f>
        <v>14.933999999999999</v>
      </c>
      <c r="G742" s="61">
        <f>14.9361 * CHOOSE(CONTROL!$C$22, $C$13, 100%, $E$13)</f>
        <v>14.9361</v>
      </c>
      <c r="H742" s="61">
        <f>24.575* CHOOSE(CONTROL!$C$22, $C$13, 100%, $E$13)</f>
        <v>24.574999999999999</v>
      </c>
      <c r="I742" s="61">
        <f>24.577 * CHOOSE(CONTROL!$C$22, $C$13, 100%, $E$13)</f>
        <v>24.577000000000002</v>
      </c>
      <c r="J742" s="61">
        <f>14.934 * CHOOSE(CONTROL!$C$22, $C$13, 100%, $E$13)</f>
        <v>14.933999999999999</v>
      </c>
      <c r="K742" s="61">
        <f>14.9361 * CHOOSE(CONTROL!$C$22, $C$13, 100%, $E$13)</f>
        <v>14.9361</v>
      </c>
    </row>
    <row r="743" spans="1:11" ht="15">
      <c r="A743" s="13">
        <v>64467</v>
      </c>
      <c r="B743" s="60">
        <f>12.8495 * CHOOSE(CONTROL!$C$22, $C$13, 100%, $E$13)</f>
        <v>12.849500000000001</v>
      </c>
      <c r="C743" s="60">
        <f>12.8495 * CHOOSE(CONTROL!$C$22, $C$13, 100%, $E$13)</f>
        <v>12.849500000000001</v>
      </c>
      <c r="D743" s="60">
        <f>12.8822 * CHOOSE(CONTROL!$C$22, $C$13, 100%, $E$13)</f>
        <v>12.882199999999999</v>
      </c>
      <c r="E743" s="61">
        <f>15.2195 * CHOOSE(CONTROL!$C$22, $C$13, 100%, $E$13)</f>
        <v>15.2195</v>
      </c>
      <c r="F743" s="61">
        <f>15.2195 * CHOOSE(CONTROL!$C$22, $C$13, 100%, $E$13)</f>
        <v>15.2195</v>
      </c>
      <c r="G743" s="61">
        <f>15.2216 * CHOOSE(CONTROL!$C$22, $C$13, 100%, $E$13)</f>
        <v>15.2216</v>
      </c>
      <c r="H743" s="61">
        <f>24.6262* CHOOSE(CONTROL!$C$22, $C$13, 100%, $E$13)</f>
        <v>24.626200000000001</v>
      </c>
      <c r="I743" s="61">
        <f>24.6282 * CHOOSE(CONTROL!$C$22, $C$13, 100%, $E$13)</f>
        <v>24.6282</v>
      </c>
      <c r="J743" s="61">
        <f>15.2195 * CHOOSE(CONTROL!$C$22, $C$13, 100%, $E$13)</f>
        <v>15.2195</v>
      </c>
      <c r="K743" s="61">
        <f>15.2216 * CHOOSE(CONTROL!$C$22, $C$13, 100%, $E$13)</f>
        <v>15.2216</v>
      </c>
    </row>
    <row r="744" spans="1:11" ht="15">
      <c r="A744" s="13">
        <v>64498</v>
      </c>
      <c r="B744" s="60">
        <f>12.8562 * CHOOSE(CONTROL!$C$22, $C$13, 100%, $E$13)</f>
        <v>12.856199999999999</v>
      </c>
      <c r="C744" s="60">
        <f>12.8562 * CHOOSE(CONTROL!$C$22, $C$13, 100%, $E$13)</f>
        <v>12.856199999999999</v>
      </c>
      <c r="D744" s="60">
        <f>12.8889 * CHOOSE(CONTROL!$C$22, $C$13, 100%, $E$13)</f>
        <v>12.8889</v>
      </c>
      <c r="E744" s="61">
        <f>15.0696 * CHOOSE(CONTROL!$C$22, $C$13, 100%, $E$13)</f>
        <v>15.069599999999999</v>
      </c>
      <c r="F744" s="61">
        <f>15.0696 * CHOOSE(CONTROL!$C$22, $C$13, 100%, $E$13)</f>
        <v>15.069599999999999</v>
      </c>
      <c r="G744" s="61">
        <f>15.0716 * CHOOSE(CONTROL!$C$22, $C$13, 100%, $E$13)</f>
        <v>15.0716</v>
      </c>
      <c r="H744" s="61">
        <f>24.6775* CHOOSE(CONTROL!$C$22, $C$13, 100%, $E$13)</f>
        <v>24.677499999999998</v>
      </c>
      <c r="I744" s="61">
        <f>24.6795 * CHOOSE(CONTROL!$C$22, $C$13, 100%, $E$13)</f>
        <v>24.679500000000001</v>
      </c>
      <c r="J744" s="61">
        <f>15.0696 * CHOOSE(CONTROL!$C$22, $C$13, 100%, $E$13)</f>
        <v>15.069599999999999</v>
      </c>
      <c r="K744" s="61">
        <f>15.0716 * CHOOSE(CONTROL!$C$22, $C$13, 100%, $E$13)</f>
        <v>15.0716</v>
      </c>
    </row>
    <row r="745" spans="1:11" ht="15">
      <c r="A745" s="13">
        <v>64529</v>
      </c>
      <c r="B745" s="60">
        <f>12.8532 * CHOOSE(CONTROL!$C$22, $C$13, 100%, $E$13)</f>
        <v>12.853199999999999</v>
      </c>
      <c r="C745" s="60">
        <f>12.8532 * CHOOSE(CONTROL!$C$22, $C$13, 100%, $E$13)</f>
        <v>12.853199999999999</v>
      </c>
      <c r="D745" s="60">
        <f>12.8858 * CHOOSE(CONTROL!$C$22, $C$13, 100%, $E$13)</f>
        <v>12.8858</v>
      </c>
      <c r="E745" s="61">
        <f>15.0503 * CHOOSE(CONTROL!$C$22, $C$13, 100%, $E$13)</f>
        <v>15.0503</v>
      </c>
      <c r="F745" s="61">
        <f>15.0503 * CHOOSE(CONTROL!$C$22, $C$13, 100%, $E$13)</f>
        <v>15.0503</v>
      </c>
      <c r="G745" s="61">
        <f>15.0523 * CHOOSE(CONTROL!$C$22, $C$13, 100%, $E$13)</f>
        <v>15.052300000000001</v>
      </c>
      <c r="H745" s="61">
        <f>24.7289* CHOOSE(CONTROL!$C$22, $C$13, 100%, $E$13)</f>
        <v>24.728899999999999</v>
      </c>
      <c r="I745" s="61">
        <f>24.7309 * CHOOSE(CONTROL!$C$22, $C$13, 100%, $E$13)</f>
        <v>24.730899999999998</v>
      </c>
      <c r="J745" s="61">
        <f>15.0503 * CHOOSE(CONTROL!$C$22, $C$13, 100%, $E$13)</f>
        <v>15.0503</v>
      </c>
      <c r="K745" s="61">
        <f>15.0523 * CHOOSE(CONTROL!$C$22, $C$13, 100%, $E$13)</f>
        <v>15.052300000000001</v>
      </c>
    </row>
    <row r="746" spans="1:11" ht="15">
      <c r="A746" s="13">
        <v>64559</v>
      </c>
      <c r="B746" s="60">
        <f>12.8774 * CHOOSE(CONTROL!$C$22, $C$13, 100%, $E$13)</f>
        <v>12.8774</v>
      </c>
      <c r="C746" s="60">
        <f>12.8774 * CHOOSE(CONTROL!$C$22, $C$13, 100%, $E$13)</f>
        <v>12.8774</v>
      </c>
      <c r="D746" s="60">
        <f>12.8937 * CHOOSE(CONTROL!$C$22, $C$13, 100%, $E$13)</f>
        <v>12.893700000000001</v>
      </c>
      <c r="E746" s="61">
        <f>15.1056 * CHOOSE(CONTROL!$C$22, $C$13, 100%, $E$13)</f>
        <v>15.105600000000001</v>
      </c>
      <c r="F746" s="61">
        <f>15.1056 * CHOOSE(CONTROL!$C$22, $C$13, 100%, $E$13)</f>
        <v>15.105600000000001</v>
      </c>
      <c r="G746" s="61">
        <f>15.1058 * CHOOSE(CONTROL!$C$22, $C$13, 100%, $E$13)</f>
        <v>15.1058</v>
      </c>
      <c r="H746" s="61">
        <f>24.7804* CHOOSE(CONTROL!$C$22, $C$13, 100%, $E$13)</f>
        <v>24.7804</v>
      </c>
      <c r="I746" s="61">
        <f>24.7806 * CHOOSE(CONTROL!$C$22, $C$13, 100%, $E$13)</f>
        <v>24.7806</v>
      </c>
      <c r="J746" s="61">
        <f>15.1056 * CHOOSE(CONTROL!$C$22, $C$13, 100%, $E$13)</f>
        <v>15.105600000000001</v>
      </c>
      <c r="K746" s="61">
        <f>15.1058 * CHOOSE(CONTROL!$C$22, $C$13, 100%, $E$13)</f>
        <v>15.1058</v>
      </c>
    </row>
    <row r="747" spans="1:11" ht="15">
      <c r="A747" s="13">
        <v>64590</v>
      </c>
      <c r="B747" s="60">
        <f>12.8804 * CHOOSE(CONTROL!$C$22, $C$13, 100%, $E$13)</f>
        <v>12.8804</v>
      </c>
      <c r="C747" s="60">
        <f>12.8804 * CHOOSE(CONTROL!$C$22, $C$13, 100%, $E$13)</f>
        <v>12.8804</v>
      </c>
      <c r="D747" s="60">
        <f>12.8967 * CHOOSE(CONTROL!$C$22, $C$13, 100%, $E$13)</f>
        <v>12.896699999999999</v>
      </c>
      <c r="E747" s="61">
        <f>15.1421 * CHOOSE(CONTROL!$C$22, $C$13, 100%, $E$13)</f>
        <v>15.142099999999999</v>
      </c>
      <c r="F747" s="61">
        <f>15.1421 * CHOOSE(CONTROL!$C$22, $C$13, 100%, $E$13)</f>
        <v>15.142099999999999</v>
      </c>
      <c r="G747" s="61">
        <f>15.1422 * CHOOSE(CONTROL!$C$22, $C$13, 100%, $E$13)</f>
        <v>15.142200000000001</v>
      </c>
      <c r="H747" s="61">
        <f>24.832* CHOOSE(CONTROL!$C$22, $C$13, 100%, $E$13)</f>
        <v>24.832000000000001</v>
      </c>
      <c r="I747" s="61">
        <f>24.8322 * CHOOSE(CONTROL!$C$22, $C$13, 100%, $E$13)</f>
        <v>24.8322</v>
      </c>
      <c r="J747" s="61">
        <f>15.1421 * CHOOSE(CONTROL!$C$22, $C$13, 100%, $E$13)</f>
        <v>15.142099999999999</v>
      </c>
      <c r="K747" s="61">
        <f>15.1422 * CHOOSE(CONTROL!$C$22, $C$13, 100%, $E$13)</f>
        <v>15.142200000000001</v>
      </c>
    </row>
    <row r="748" spans="1:11" ht="15">
      <c r="A748" s="13">
        <v>64620</v>
      </c>
      <c r="B748" s="60">
        <f>12.8804 * CHOOSE(CONTROL!$C$22, $C$13, 100%, $E$13)</f>
        <v>12.8804</v>
      </c>
      <c r="C748" s="60">
        <f>12.8804 * CHOOSE(CONTROL!$C$22, $C$13, 100%, $E$13)</f>
        <v>12.8804</v>
      </c>
      <c r="D748" s="60">
        <f>12.8967 * CHOOSE(CONTROL!$C$22, $C$13, 100%, $E$13)</f>
        <v>12.896699999999999</v>
      </c>
      <c r="E748" s="61">
        <f>15.0562 * CHOOSE(CONTROL!$C$22, $C$13, 100%, $E$13)</f>
        <v>15.0562</v>
      </c>
      <c r="F748" s="61">
        <f>15.0562 * CHOOSE(CONTROL!$C$22, $C$13, 100%, $E$13)</f>
        <v>15.0562</v>
      </c>
      <c r="G748" s="61">
        <f>15.0563 * CHOOSE(CONTROL!$C$22, $C$13, 100%, $E$13)</f>
        <v>15.0563</v>
      </c>
      <c r="H748" s="61">
        <f>24.8838* CHOOSE(CONTROL!$C$22, $C$13, 100%, $E$13)</f>
        <v>24.883800000000001</v>
      </c>
      <c r="I748" s="61">
        <f>24.8839 * CHOOSE(CONTROL!$C$22, $C$13, 100%, $E$13)</f>
        <v>24.883900000000001</v>
      </c>
      <c r="J748" s="61">
        <f>15.0562 * CHOOSE(CONTROL!$C$22, $C$13, 100%, $E$13)</f>
        <v>15.0562</v>
      </c>
      <c r="K748" s="61">
        <f>15.0563 * CHOOSE(CONTROL!$C$22, $C$13, 100%, $E$13)</f>
        <v>15.0563</v>
      </c>
    </row>
    <row r="749" spans="1:11" ht="15">
      <c r="A749" s="13">
        <v>64651</v>
      </c>
      <c r="B749" s="60">
        <f>12.8902 * CHOOSE(CONTROL!$C$22, $C$13, 100%, $E$13)</f>
        <v>12.8902</v>
      </c>
      <c r="C749" s="60">
        <f>12.8902 * CHOOSE(CONTROL!$C$22, $C$13, 100%, $E$13)</f>
        <v>12.8902</v>
      </c>
      <c r="D749" s="60">
        <f>12.9066 * CHOOSE(CONTROL!$C$22, $C$13, 100%, $E$13)</f>
        <v>12.906599999999999</v>
      </c>
      <c r="E749" s="61">
        <f>15.1276 * CHOOSE(CONTROL!$C$22, $C$13, 100%, $E$13)</f>
        <v>15.127599999999999</v>
      </c>
      <c r="F749" s="61">
        <f>15.1276 * CHOOSE(CONTROL!$C$22, $C$13, 100%, $E$13)</f>
        <v>15.127599999999999</v>
      </c>
      <c r="G749" s="61">
        <f>15.1278 * CHOOSE(CONTROL!$C$22, $C$13, 100%, $E$13)</f>
        <v>15.127800000000001</v>
      </c>
      <c r="H749" s="61">
        <f>24.7665* CHOOSE(CONTROL!$C$22, $C$13, 100%, $E$13)</f>
        <v>24.766500000000001</v>
      </c>
      <c r="I749" s="61">
        <f>24.7666 * CHOOSE(CONTROL!$C$22, $C$13, 100%, $E$13)</f>
        <v>24.7666</v>
      </c>
      <c r="J749" s="61">
        <f>15.1276 * CHOOSE(CONTROL!$C$22, $C$13, 100%, $E$13)</f>
        <v>15.127599999999999</v>
      </c>
      <c r="K749" s="61">
        <f>15.1278 * CHOOSE(CONTROL!$C$22, $C$13, 100%, $E$13)</f>
        <v>15.127800000000001</v>
      </c>
    </row>
    <row r="750" spans="1:11" ht="15">
      <c r="A750" s="13">
        <v>64682</v>
      </c>
      <c r="B750" s="60">
        <f>12.8872 * CHOOSE(CONTROL!$C$22, $C$13, 100%, $E$13)</f>
        <v>12.8872</v>
      </c>
      <c r="C750" s="60">
        <f>12.8872 * CHOOSE(CONTROL!$C$22, $C$13, 100%, $E$13)</f>
        <v>12.8872</v>
      </c>
      <c r="D750" s="60">
        <f>12.9035 * CHOOSE(CONTROL!$C$22, $C$13, 100%, $E$13)</f>
        <v>12.903499999999999</v>
      </c>
      <c r="E750" s="61">
        <f>14.96 * CHOOSE(CONTROL!$C$22, $C$13, 100%, $E$13)</f>
        <v>14.96</v>
      </c>
      <c r="F750" s="61">
        <f>14.96 * CHOOSE(CONTROL!$C$22, $C$13, 100%, $E$13)</f>
        <v>14.96</v>
      </c>
      <c r="G750" s="61">
        <f>14.9601 * CHOOSE(CONTROL!$C$22, $C$13, 100%, $E$13)</f>
        <v>14.960100000000001</v>
      </c>
      <c r="H750" s="61">
        <f>24.8181* CHOOSE(CONTROL!$C$22, $C$13, 100%, $E$13)</f>
        <v>24.818100000000001</v>
      </c>
      <c r="I750" s="61">
        <f>24.8182 * CHOOSE(CONTROL!$C$22, $C$13, 100%, $E$13)</f>
        <v>24.818200000000001</v>
      </c>
      <c r="J750" s="61">
        <f>14.96 * CHOOSE(CONTROL!$C$22, $C$13, 100%, $E$13)</f>
        <v>14.96</v>
      </c>
      <c r="K750" s="61">
        <f>14.9601 * CHOOSE(CONTROL!$C$22, $C$13, 100%, $E$13)</f>
        <v>14.960100000000001</v>
      </c>
    </row>
    <row r="751" spans="1:11" ht="15">
      <c r="A751" s="13">
        <v>64710</v>
      </c>
      <c r="B751" s="60">
        <f>12.8841 * CHOOSE(CONTROL!$C$22, $C$13, 100%, $E$13)</f>
        <v>12.8841</v>
      </c>
      <c r="C751" s="60">
        <f>12.8841 * CHOOSE(CONTROL!$C$22, $C$13, 100%, $E$13)</f>
        <v>12.8841</v>
      </c>
      <c r="D751" s="60">
        <f>12.9005 * CHOOSE(CONTROL!$C$22, $C$13, 100%, $E$13)</f>
        <v>12.900499999999999</v>
      </c>
      <c r="E751" s="61">
        <f>15.0883 * CHOOSE(CONTROL!$C$22, $C$13, 100%, $E$13)</f>
        <v>15.0883</v>
      </c>
      <c r="F751" s="61">
        <f>15.0883 * CHOOSE(CONTROL!$C$22, $C$13, 100%, $E$13)</f>
        <v>15.0883</v>
      </c>
      <c r="G751" s="61">
        <f>15.0885 * CHOOSE(CONTROL!$C$22, $C$13, 100%, $E$13)</f>
        <v>15.0885</v>
      </c>
      <c r="H751" s="61">
        <f>24.8698* CHOOSE(CONTROL!$C$22, $C$13, 100%, $E$13)</f>
        <v>24.869800000000001</v>
      </c>
      <c r="I751" s="61">
        <f>24.8699 * CHOOSE(CONTROL!$C$22, $C$13, 100%, $E$13)</f>
        <v>24.869900000000001</v>
      </c>
      <c r="J751" s="61">
        <f>15.0883 * CHOOSE(CONTROL!$C$22, $C$13, 100%, $E$13)</f>
        <v>15.0883</v>
      </c>
      <c r="K751" s="61">
        <f>15.0885 * CHOOSE(CONTROL!$C$22, $C$13, 100%, $E$13)</f>
        <v>15.0885</v>
      </c>
    </row>
    <row r="752" spans="1:11" ht="15">
      <c r="A752" s="13">
        <v>64741</v>
      </c>
      <c r="B752" s="60">
        <f>12.8894 * CHOOSE(CONTROL!$C$22, $C$13, 100%, $E$13)</f>
        <v>12.8894</v>
      </c>
      <c r="C752" s="60">
        <f>12.8894 * CHOOSE(CONTROL!$C$22, $C$13, 100%, $E$13)</f>
        <v>12.8894</v>
      </c>
      <c r="D752" s="60">
        <f>12.9057 * CHOOSE(CONTROL!$C$22, $C$13, 100%, $E$13)</f>
        <v>12.9057</v>
      </c>
      <c r="E752" s="61">
        <f>15.2242 * CHOOSE(CONTROL!$C$22, $C$13, 100%, $E$13)</f>
        <v>15.2242</v>
      </c>
      <c r="F752" s="61">
        <f>15.2242 * CHOOSE(CONTROL!$C$22, $C$13, 100%, $E$13)</f>
        <v>15.2242</v>
      </c>
      <c r="G752" s="61">
        <f>15.2244 * CHOOSE(CONTROL!$C$22, $C$13, 100%, $E$13)</f>
        <v>15.224399999999999</v>
      </c>
      <c r="H752" s="61">
        <f>24.9216* CHOOSE(CONTROL!$C$22, $C$13, 100%, $E$13)</f>
        <v>24.921600000000002</v>
      </c>
      <c r="I752" s="61">
        <f>24.9217 * CHOOSE(CONTROL!$C$22, $C$13, 100%, $E$13)</f>
        <v>24.921700000000001</v>
      </c>
      <c r="J752" s="61">
        <f>15.2242 * CHOOSE(CONTROL!$C$22, $C$13, 100%, $E$13)</f>
        <v>15.2242</v>
      </c>
      <c r="K752" s="61">
        <f>15.2244 * CHOOSE(CONTROL!$C$22, $C$13, 100%, $E$13)</f>
        <v>15.224399999999999</v>
      </c>
    </row>
    <row r="753" spans="1:11" ht="15">
      <c r="A753" s="13">
        <v>64771</v>
      </c>
      <c r="B753" s="60">
        <f>12.8894 * CHOOSE(CONTROL!$C$22, $C$13, 100%, $E$13)</f>
        <v>12.8894</v>
      </c>
      <c r="C753" s="60">
        <f>12.8894 * CHOOSE(CONTROL!$C$22, $C$13, 100%, $E$13)</f>
        <v>12.8894</v>
      </c>
      <c r="D753" s="60">
        <f>12.9221 * CHOOSE(CONTROL!$C$22, $C$13, 100%, $E$13)</f>
        <v>12.9221</v>
      </c>
      <c r="E753" s="61">
        <f>15.2768 * CHOOSE(CONTROL!$C$22, $C$13, 100%, $E$13)</f>
        <v>15.2768</v>
      </c>
      <c r="F753" s="61">
        <f>15.2768 * CHOOSE(CONTROL!$C$22, $C$13, 100%, $E$13)</f>
        <v>15.2768</v>
      </c>
      <c r="G753" s="61">
        <f>15.2788 * CHOOSE(CONTROL!$C$22, $C$13, 100%, $E$13)</f>
        <v>15.2788</v>
      </c>
      <c r="H753" s="61">
        <f>24.9735* CHOOSE(CONTROL!$C$22, $C$13, 100%, $E$13)</f>
        <v>24.973500000000001</v>
      </c>
      <c r="I753" s="61">
        <f>24.9755 * CHOOSE(CONTROL!$C$22, $C$13, 100%, $E$13)</f>
        <v>24.9755</v>
      </c>
      <c r="J753" s="61">
        <f>15.2768 * CHOOSE(CONTROL!$C$22, $C$13, 100%, $E$13)</f>
        <v>15.2768</v>
      </c>
      <c r="K753" s="61">
        <f>15.2788 * CHOOSE(CONTROL!$C$22, $C$13, 100%, $E$13)</f>
        <v>15.2788</v>
      </c>
    </row>
    <row r="754" spans="1:11" ht="15">
      <c r="A754" s="13">
        <v>64802</v>
      </c>
      <c r="B754" s="60">
        <f>12.8955 * CHOOSE(CONTROL!$C$22, $C$13, 100%, $E$13)</f>
        <v>12.8955</v>
      </c>
      <c r="C754" s="60">
        <f>12.8955 * CHOOSE(CONTROL!$C$22, $C$13, 100%, $E$13)</f>
        <v>12.8955</v>
      </c>
      <c r="D754" s="60">
        <f>12.9282 * CHOOSE(CONTROL!$C$22, $C$13, 100%, $E$13)</f>
        <v>12.9282</v>
      </c>
      <c r="E754" s="61">
        <f>15.2285 * CHOOSE(CONTROL!$C$22, $C$13, 100%, $E$13)</f>
        <v>15.2285</v>
      </c>
      <c r="F754" s="61">
        <f>15.2285 * CHOOSE(CONTROL!$C$22, $C$13, 100%, $E$13)</f>
        <v>15.2285</v>
      </c>
      <c r="G754" s="61">
        <f>15.2305 * CHOOSE(CONTROL!$C$22, $C$13, 100%, $E$13)</f>
        <v>15.230499999999999</v>
      </c>
      <c r="H754" s="61">
        <f>25.0255* CHOOSE(CONTROL!$C$22, $C$13, 100%, $E$13)</f>
        <v>25.025500000000001</v>
      </c>
      <c r="I754" s="61">
        <f>25.0276 * CHOOSE(CONTROL!$C$22, $C$13, 100%, $E$13)</f>
        <v>25.0276</v>
      </c>
      <c r="J754" s="61">
        <f>15.2285 * CHOOSE(CONTROL!$C$22, $C$13, 100%, $E$13)</f>
        <v>15.2285</v>
      </c>
      <c r="K754" s="61">
        <f>15.2305 * CHOOSE(CONTROL!$C$22, $C$13, 100%, $E$13)</f>
        <v>15.230499999999999</v>
      </c>
    </row>
    <row r="755" spans="1:11" ht="15">
      <c r="A755" s="13">
        <v>64832</v>
      </c>
      <c r="B755" s="60">
        <f>13.0987 * CHOOSE(CONTROL!$C$22, $C$13, 100%, $E$13)</f>
        <v>13.098699999999999</v>
      </c>
      <c r="C755" s="60">
        <f>13.0987 * CHOOSE(CONTROL!$C$22, $C$13, 100%, $E$13)</f>
        <v>13.098699999999999</v>
      </c>
      <c r="D755" s="60">
        <f>13.1314 * CHOOSE(CONTROL!$C$22, $C$13, 100%, $E$13)</f>
        <v>13.131399999999999</v>
      </c>
      <c r="E755" s="61">
        <f>15.5194 * CHOOSE(CONTROL!$C$22, $C$13, 100%, $E$13)</f>
        <v>15.519399999999999</v>
      </c>
      <c r="F755" s="61">
        <f>15.5194 * CHOOSE(CONTROL!$C$22, $C$13, 100%, $E$13)</f>
        <v>15.519399999999999</v>
      </c>
      <c r="G755" s="61">
        <f>15.5214 * CHOOSE(CONTROL!$C$22, $C$13, 100%, $E$13)</f>
        <v>15.5214</v>
      </c>
      <c r="H755" s="61">
        <f>25.0777* CHOOSE(CONTROL!$C$22, $C$13, 100%, $E$13)</f>
        <v>25.0777</v>
      </c>
      <c r="I755" s="61">
        <f>25.0797 * CHOOSE(CONTROL!$C$22, $C$13, 100%, $E$13)</f>
        <v>25.079699999999999</v>
      </c>
      <c r="J755" s="61">
        <f>15.5194 * CHOOSE(CONTROL!$C$22, $C$13, 100%, $E$13)</f>
        <v>15.519399999999999</v>
      </c>
      <c r="K755" s="61">
        <f>15.5214 * CHOOSE(CONTROL!$C$22, $C$13, 100%, $E$13)</f>
        <v>15.5214</v>
      </c>
    </row>
    <row r="756" spans="1:11" ht="15">
      <c r="A756" s="13">
        <v>64863</v>
      </c>
      <c r="B756" s="60">
        <f>13.1054 * CHOOSE(CONTROL!$C$22, $C$13, 100%, $E$13)</f>
        <v>13.105399999999999</v>
      </c>
      <c r="C756" s="60">
        <f>13.1054 * CHOOSE(CONTROL!$C$22, $C$13, 100%, $E$13)</f>
        <v>13.105399999999999</v>
      </c>
      <c r="D756" s="60">
        <f>13.1381 * CHOOSE(CONTROL!$C$22, $C$13, 100%, $E$13)</f>
        <v>13.1381</v>
      </c>
      <c r="E756" s="61">
        <f>15.3664 * CHOOSE(CONTROL!$C$22, $C$13, 100%, $E$13)</f>
        <v>15.366400000000001</v>
      </c>
      <c r="F756" s="61">
        <f>15.3664 * CHOOSE(CONTROL!$C$22, $C$13, 100%, $E$13)</f>
        <v>15.366400000000001</v>
      </c>
      <c r="G756" s="61">
        <f>15.3684 * CHOOSE(CONTROL!$C$22, $C$13, 100%, $E$13)</f>
        <v>15.368399999999999</v>
      </c>
      <c r="H756" s="61">
        <f>25.1299* CHOOSE(CONTROL!$C$22, $C$13, 100%, $E$13)</f>
        <v>25.129899999999999</v>
      </c>
      <c r="I756" s="61">
        <f>25.1319 * CHOOSE(CONTROL!$C$22, $C$13, 100%, $E$13)</f>
        <v>25.131900000000002</v>
      </c>
      <c r="J756" s="61">
        <f>15.3664 * CHOOSE(CONTROL!$C$22, $C$13, 100%, $E$13)</f>
        <v>15.366400000000001</v>
      </c>
      <c r="K756" s="61">
        <f>15.3684 * CHOOSE(CONTROL!$C$22, $C$13, 100%, $E$13)</f>
        <v>15.368399999999999</v>
      </c>
    </row>
    <row r="757" spans="1:11" ht="15">
      <c r="A757" s="13">
        <v>64894</v>
      </c>
      <c r="B757" s="60">
        <f>13.1024 * CHOOSE(CONTROL!$C$22, $C$13, 100%, $E$13)</f>
        <v>13.102399999999999</v>
      </c>
      <c r="C757" s="60">
        <f>13.1024 * CHOOSE(CONTROL!$C$22, $C$13, 100%, $E$13)</f>
        <v>13.102399999999999</v>
      </c>
      <c r="D757" s="60">
        <f>13.135 * CHOOSE(CONTROL!$C$22, $C$13, 100%, $E$13)</f>
        <v>13.135</v>
      </c>
      <c r="E757" s="61">
        <f>15.3468 * CHOOSE(CONTROL!$C$22, $C$13, 100%, $E$13)</f>
        <v>15.3468</v>
      </c>
      <c r="F757" s="61">
        <f>15.3468 * CHOOSE(CONTROL!$C$22, $C$13, 100%, $E$13)</f>
        <v>15.3468</v>
      </c>
      <c r="G757" s="61">
        <f>15.3488 * CHOOSE(CONTROL!$C$22, $C$13, 100%, $E$13)</f>
        <v>15.348800000000001</v>
      </c>
      <c r="H757" s="61">
        <f>25.1823* CHOOSE(CONTROL!$C$22, $C$13, 100%, $E$13)</f>
        <v>25.182300000000001</v>
      </c>
      <c r="I757" s="61">
        <f>25.1843 * CHOOSE(CONTROL!$C$22, $C$13, 100%, $E$13)</f>
        <v>25.1843</v>
      </c>
      <c r="J757" s="61">
        <f>15.3468 * CHOOSE(CONTROL!$C$22, $C$13, 100%, $E$13)</f>
        <v>15.3468</v>
      </c>
      <c r="K757" s="61">
        <f>15.3488 * CHOOSE(CONTROL!$C$22, $C$13, 100%, $E$13)</f>
        <v>15.348800000000001</v>
      </c>
    </row>
    <row r="758" spans="1:11" ht="15">
      <c r="A758" s="13">
        <v>64924</v>
      </c>
      <c r="B758" s="60">
        <f>13.1274 * CHOOSE(CONTROL!$C$22, $C$13, 100%, $E$13)</f>
        <v>13.1274</v>
      </c>
      <c r="C758" s="60">
        <f>13.1274 * CHOOSE(CONTROL!$C$22, $C$13, 100%, $E$13)</f>
        <v>13.1274</v>
      </c>
      <c r="D758" s="60">
        <f>13.1437 * CHOOSE(CONTROL!$C$22, $C$13, 100%, $E$13)</f>
        <v>13.143700000000001</v>
      </c>
      <c r="E758" s="61">
        <f>15.4034 * CHOOSE(CONTROL!$C$22, $C$13, 100%, $E$13)</f>
        <v>15.4034</v>
      </c>
      <c r="F758" s="61">
        <f>15.4034 * CHOOSE(CONTROL!$C$22, $C$13, 100%, $E$13)</f>
        <v>15.4034</v>
      </c>
      <c r="G758" s="61">
        <f>15.4036 * CHOOSE(CONTROL!$C$22, $C$13, 100%, $E$13)</f>
        <v>15.403600000000001</v>
      </c>
      <c r="H758" s="61">
        <f>25.2347* CHOOSE(CONTROL!$C$22, $C$13, 100%, $E$13)</f>
        <v>25.2347</v>
      </c>
      <c r="I758" s="61">
        <f>25.2349 * CHOOSE(CONTROL!$C$22, $C$13, 100%, $E$13)</f>
        <v>25.2349</v>
      </c>
      <c r="J758" s="61">
        <f>15.4034 * CHOOSE(CONTROL!$C$22, $C$13, 100%, $E$13)</f>
        <v>15.4034</v>
      </c>
      <c r="K758" s="61">
        <f>15.4036 * CHOOSE(CONTROL!$C$22, $C$13, 100%, $E$13)</f>
        <v>15.403600000000001</v>
      </c>
    </row>
    <row r="759" spans="1:11" ht="15">
      <c r="A759" s="13">
        <v>64955</v>
      </c>
      <c r="B759" s="60">
        <f>13.1304 * CHOOSE(CONTROL!$C$22, $C$13, 100%, $E$13)</f>
        <v>13.1304</v>
      </c>
      <c r="C759" s="60">
        <f>13.1304 * CHOOSE(CONTROL!$C$22, $C$13, 100%, $E$13)</f>
        <v>13.1304</v>
      </c>
      <c r="D759" s="60">
        <f>13.1468 * CHOOSE(CONTROL!$C$22, $C$13, 100%, $E$13)</f>
        <v>13.146800000000001</v>
      </c>
      <c r="E759" s="61">
        <f>15.4406 * CHOOSE(CONTROL!$C$22, $C$13, 100%, $E$13)</f>
        <v>15.4406</v>
      </c>
      <c r="F759" s="61">
        <f>15.4406 * CHOOSE(CONTROL!$C$22, $C$13, 100%, $E$13)</f>
        <v>15.4406</v>
      </c>
      <c r="G759" s="61">
        <f>15.4408 * CHOOSE(CONTROL!$C$22, $C$13, 100%, $E$13)</f>
        <v>15.440799999999999</v>
      </c>
      <c r="H759" s="61">
        <f>25.2873* CHOOSE(CONTROL!$C$22, $C$13, 100%, $E$13)</f>
        <v>25.287299999999998</v>
      </c>
      <c r="I759" s="61">
        <f>25.2875 * CHOOSE(CONTROL!$C$22, $C$13, 100%, $E$13)</f>
        <v>25.287500000000001</v>
      </c>
      <c r="J759" s="61">
        <f>15.4406 * CHOOSE(CONTROL!$C$22, $C$13, 100%, $E$13)</f>
        <v>15.4406</v>
      </c>
      <c r="K759" s="61">
        <f>15.4408 * CHOOSE(CONTROL!$C$22, $C$13, 100%, $E$13)</f>
        <v>15.440799999999999</v>
      </c>
    </row>
    <row r="760" spans="1:11" ht="15">
      <c r="A760" s="13">
        <v>64985</v>
      </c>
      <c r="B760" s="60">
        <f>13.1304 * CHOOSE(CONTROL!$C$22, $C$13, 100%, $E$13)</f>
        <v>13.1304</v>
      </c>
      <c r="C760" s="60">
        <f>13.1304 * CHOOSE(CONTROL!$C$22, $C$13, 100%, $E$13)</f>
        <v>13.1304</v>
      </c>
      <c r="D760" s="60">
        <f>13.1468 * CHOOSE(CONTROL!$C$22, $C$13, 100%, $E$13)</f>
        <v>13.146800000000001</v>
      </c>
      <c r="E760" s="61">
        <f>15.353 * CHOOSE(CONTROL!$C$22, $C$13, 100%, $E$13)</f>
        <v>15.353</v>
      </c>
      <c r="F760" s="61">
        <f>15.353 * CHOOSE(CONTROL!$C$22, $C$13, 100%, $E$13)</f>
        <v>15.353</v>
      </c>
      <c r="G760" s="61">
        <f>15.3532 * CHOOSE(CONTROL!$C$22, $C$13, 100%, $E$13)</f>
        <v>15.353199999999999</v>
      </c>
      <c r="H760" s="61">
        <f>25.34* CHOOSE(CONTROL!$C$22, $C$13, 100%, $E$13)</f>
        <v>25.34</v>
      </c>
      <c r="I760" s="61">
        <f>25.3401 * CHOOSE(CONTROL!$C$22, $C$13, 100%, $E$13)</f>
        <v>25.3401</v>
      </c>
      <c r="J760" s="61">
        <f>15.353 * CHOOSE(CONTROL!$C$22, $C$13, 100%, $E$13)</f>
        <v>15.353</v>
      </c>
      <c r="K760" s="61">
        <f>15.3532 * CHOOSE(CONTROL!$C$22, $C$13, 100%, $E$13)</f>
        <v>15.353199999999999</v>
      </c>
    </row>
    <row r="761" spans="1:11" ht="15">
      <c r="A761" s="13">
        <v>65016</v>
      </c>
      <c r="B761" s="60">
        <f>13.1355 * CHOOSE(CONTROL!$C$22, $C$13, 100%, $E$13)</f>
        <v>13.1355</v>
      </c>
      <c r="C761" s="60">
        <f>13.1355 * CHOOSE(CONTROL!$C$22, $C$13, 100%, $E$13)</f>
        <v>13.1355</v>
      </c>
      <c r="D761" s="60">
        <f>13.1519 * CHOOSE(CONTROL!$C$22, $C$13, 100%, $E$13)</f>
        <v>13.151899999999999</v>
      </c>
      <c r="E761" s="61">
        <f>15.42 * CHOOSE(CONTROL!$C$22, $C$13, 100%, $E$13)</f>
        <v>15.42</v>
      </c>
      <c r="F761" s="61">
        <f>15.42 * CHOOSE(CONTROL!$C$22, $C$13, 100%, $E$13)</f>
        <v>15.42</v>
      </c>
      <c r="G761" s="61">
        <f>15.4202 * CHOOSE(CONTROL!$C$22, $C$13, 100%, $E$13)</f>
        <v>15.420199999999999</v>
      </c>
      <c r="H761" s="61">
        <f>25.2123* CHOOSE(CONTROL!$C$22, $C$13, 100%, $E$13)</f>
        <v>25.212299999999999</v>
      </c>
      <c r="I761" s="61">
        <f>25.2125 * CHOOSE(CONTROL!$C$22, $C$13, 100%, $E$13)</f>
        <v>25.212499999999999</v>
      </c>
      <c r="J761" s="61">
        <f>15.42 * CHOOSE(CONTROL!$C$22, $C$13, 100%, $E$13)</f>
        <v>15.42</v>
      </c>
      <c r="K761" s="61">
        <f>15.4202 * CHOOSE(CONTROL!$C$22, $C$13, 100%, $E$13)</f>
        <v>15.420199999999999</v>
      </c>
    </row>
    <row r="762" spans="1:11" ht="15">
      <c r="A762" s="13">
        <v>65047</v>
      </c>
      <c r="B762" s="60">
        <f>13.1325 * CHOOSE(CONTROL!$C$22, $C$13, 100%, $E$13)</f>
        <v>13.1325</v>
      </c>
      <c r="C762" s="60">
        <f>13.1325 * CHOOSE(CONTROL!$C$22, $C$13, 100%, $E$13)</f>
        <v>13.1325</v>
      </c>
      <c r="D762" s="60">
        <f>13.1488 * CHOOSE(CONTROL!$C$22, $C$13, 100%, $E$13)</f>
        <v>13.1488</v>
      </c>
      <c r="E762" s="61">
        <f>15.2492 * CHOOSE(CONTROL!$C$22, $C$13, 100%, $E$13)</f>
        <v>15.2492</v>
      </c>
      <c r="F762" s="61">
        <f>15.2492 * CHOOSE(CONTROL!$C$22, $C$13, 100%, $E$13)</f>
        <v>15.2492</v>
      </c>
      <c r="G762" s="61">
        <f>15.2493 * CHOOSE(CONTROL!$C$22, $C$13, 100%, $E$13)</f>
        <v>15.2493</v>
      </c>
      <c r="H762" s="61">
        <f>25.2649* CHOOSE(CONTROL!$C$22, $C$13, 100%, $E$13)</f>
        <v>25.264900000000001</v>
      </c>
      <c r="I762" s="61">
        <f>25.2651 * CHOOSE(CONTROL!$C$22, $C$13, 100%, $E$13)</f>
        <v>25.2651</v>
      </c>
      <c r="J762" s="61">
        <f>15.2492 * CHOOSE(CONTROL!$C$22, $C$13, 100%, $E$13)</f>
        <v>15.2492</v>
      </c>
      <c r="K762" s="61">
        <f>15.2493 * CHOOSE(CONTROL!$C$22, $C$13, 100%, $E$13)</f>
        <v>15.2493</v>
      </c>
    </row>
    <row r="763" spans="1:11" ht="15">
      <c r="A763" s="13">
        <v>65075</v>
      </c>
      <c r="B763" s="60">
        <f>13.1295 * CHOOSE(CONTROL!$C$22, $C$13, 100%, $E$13)</f>
        <v>13.1295</v>
      </c>
      <c r="C763" s="60">
        <f>13.1295 * CHOOSE(CONTROL!$C$22, $C$13, 100%, $E$13)</f>
        <v>13.1295</v>
      </c>
      <c r="D763" s="60">
        <f>13.1458 * CHOOSE(CONTROL!$C$22, $C$13, 100%, $E$13)</f>
        <v>13.145799999999999</v>
      </c>
      <c r="E763" s="61">
        <f>15.3801 * CHOOSE(CONTROL!$C$22, $C$13, 100%, $E$13)</f>
        <v>15.380100000000001</v>
      </c>
      <c r="F763" s="61">
        <f>15.3801 * CHOOSE(CONTROL!$C$22, $C$13, 100%, $E$13)</f>
        <v>15.380100000000001</v>
      </c>
      <c r="G763" s="61">
        <f>15.3802 * CHOOSE(CONTROL!$C$22, $C$13, 100%, $E$13)</f>
        <v>15.3802</v>
      </c>
      <c r="H763" s="61">
        <f>25.3175* CHOOSE(CONTROL!$C$22, $C$13, 100%, $E$13)</f>
        <v>25.317499999999999</v>
      </c>
      <c r="I763" s="61">
        <f>25.3177 * CHOOSE(CONTROL!$C$22, $C$13, 100%, $E$13)</f>
        <v>25.317699999999999</v>
      </c>
      <c r="J763" s="61">
        <f>15.3801 * CHOOSE(CONTROL!$C$22, $C$13, 100%, $E$13)</f>
        <v>15.380100000000001</v>
      </c>
      <c r="K763" s="61">
        <f>15.3802 * CHOOSE(CONTROL!$C$22, $C$13, 100%, $E$13)</f>
        <v>15.3802</v>
      </c>
    </row>
    <row r="764" spans="1:11" ht="15">
      <c r="A764" s="13">
        <v>65106</v>
      </c>
      <c r="B764" s="60">
        <f>13.1349 * CHOOSE(CONTROL!$C$22, $C$13, 100%, $E$13)</f>
        <v>13.1349</v>
      </c>
      <c r="C764" s="60">
        <f>13.1349 * CHOOSE(CONTROL!$C$22, $C$13, 100%, $E$13)</f>
        <v>13.1349</v>
      </c>
      <c r="D764" s="60">
        <f>13.1513 * CHOOSE(CONTROL!$C$22, $C$13, 100%, $E$13)</f>
        <v>13.151300000000001</v>
      </c>
      <c r="E764" s="61">
        <f>15.5187 * CHOOSE(CONTROL!$C$22, $C$13, 100%, $E$13)</f>
        <v>15.518700000000001</v>
      </c>
      <c r="F764" s="61">
        <f>15.5187 * CHOOSE(CONTROL!$C$22, $C$13, 100%, $E$13)</f>
        <v>15.518700000000001</v>
      </c>
      <c r="G764" s="61">
        <f>15.5189 * CHOOSE(CONTROL!$C$22, $C$13, 100%, $E$13)</f>
        <v>15.5189</v>
      </c>
      <c r="H764" s="61">
        <f>25.3703* CHOOSE(CONTROL!$C$22, $C$13, 100%, $E$13)</f>
        <v>25.3703</v>
      </c>
      <c r="I764" s="61">
        <f>25.3704 * CHOOSE(CONTROL!$C$22, $C$13, 100%, $E$13)</f>
        <v>25.3704</v>
      </c>
      <c r="J764" s="61">
        <f>15.5187 * CHOOSE(CONTROL!$C$22, $C$13, 100%, $E$13)</f>
        <v>15.518700000000001</v>
      </c>
      <c r="K764" s="61">
        <f>15.5189 * CHOOSE(CONTROL!$C$22, $C$13, 100%, $E$13)</f>
        <v>15.5189</v>
      </c>
    </row>
    <row r="765" spans="1:11" ht="15">
      <c r="A765" s="13">
        <v>65136</v>
      </c>
      <c r="B765" s="60">
        <f>13.1349 * CHOOSE(CONTROL!$C$22, $C$13, 100%, $E$13)</f>
        <v>13.1349</v>
      </c>
      <c r="C765" s="60">
        <f>13.1349 * CHOOSE(CONTROL!$C$22, $C$13, 100%, $E$13)</f>
        <v>13.1349</v>
      </c>
      <c r="D765" s="60">
        <f>13.1676 * CHOOSE(CONTROL!$C$22, $C$13, 100%, $E$13)</f>
        <v>13.1676</v>
      </c>
      <c r="E765" s="61">
        <f>15.5722 * CHOOSE(CONTROL!$C$22, $C$13, 100%, $E$13)</f>
        <v>15.5722</v>
      </c>
      <c r="F765" s="61">
        <f>15.5722 * CHOOSE(CONTROL!$C$22, $C$13, 100%, $E$13)</f>
        <v>15.5722</v>
      </c>
      <c r="G765" s="61">
        <f>15.5743 * CHOOSE(CONTROL!$C$22, $C$13, 100%, $E$13)</f>
        <v>15.574299999999999</v>
      </c>
      <c r="H765" s="61">
        <f>25.4231* CHOOSE(CONTROL!$C$22, $C$13, 100%, $E$13)</f>
        <v>25.423100000000002</v>
      </c>
      <c r="I765" s="61">
        <f>25.4251 * CHOOSE(CONTROL!$C$22, $C$13, 100%, $E$13)</f>
        <v>25.4251</v>
      </c>
      <c r="J765" s="61">
        <f>15.5722 * CHOOSE(CONTROL!$C$22, $C$13, 100%, $E$13)</f>
        <v>15.5722</v>
      </c>
      <c r="K765" s="61">
        <f>15.5743 * CHOOSE(CONTROL!$C$22, $C$13, 100%, $E$13)</f>
        <v>15.574299999999999</v>
      </c>
    </row>
    <row r="766" spans="1:11" ht="15">
      <c r="A766" s="13">
        <v>65167</v>
      </c>
      <c r="B766" s="60">
        <f>13.141 * CHOOSE(CONTROL!$C$22, $C$13, 100%, $E$13)</f>
        <v>13.141</v>
      </c>
      <c r="C766" s="60">
        <f>13.141 * CHOOSE(CONTROL!$C$22, $C$13, 100%, $E$13)</f>
        <v>13.141</v>
      </c>
      <c r="D766" s="60">
        <f>13.1737 * CHOOSE(CONTROL!$C$22, $C$13, 100%, $E$13)</f>
        <v>13.1737</v>
      </c>
      <c r="E766" s="61">
        <f>15.5229 * CHOOSE(CONTROL!$C$22, $C$13, 100%, $E$13)</f>
        <v>15.5229</v>
      </c>
      <c r="F766" s="61">
        <f>15.5229 * CHOOSE(CONTROL!$C$22, $C$13, 100%, $E$13)</f>
        <v>15.5229</v>
      </c>
      <c r="G766" s="61">
        <f>15.5249 * CHOOSE(CONTROL!$C$22, $C$13, 100%, $E$13)</f>
        <v>15.524900000000001</v>
      </c>
      <c r="H766" s="61">
        <f>25.4761* CHOOSE(CONTROL!$C$22, $C$13, 100%, $E$13)</f>
        <v>25.476099999999999</v>
      </c>
      <c r="I766" s="61">
        <f>25.4781 * CHOOSE(CONTROL!$C$22, $C$13, 100%, $E$13)</f>
        <v>25.478100000000001</v>
      </c>
      <c r="J766" s="61">
        <f>15.5229 * CHOOSE(CONTROL!$C$22, $C$13, 100%, $E$13)</f>
        <v>15.5229</v>
      </c>
      <c r="K766" s="61">
        <f>15.5249 * CHOOSE(CONTROL!$C$22, $C$13, 100%, $E$13)</f>
        <v>15.524900000000001</v>
      </c>
    </row>
    <row r="767" spans="1:11" ht="15">
      <c r="A767" s="13">
        <v>65197</v>
      </c>
      <c r="B767" s="60">
        <f>13.3479 * CHOOSE(CONTROL!$C$22, $C$13, 100%, $E$13)</f>
        <v>13.347899999999999</v>
      </c>
      <c r="C767" s="60">
        <f>13.3479 * CHOOSE(CONTROL!$C$22, $C$13, 100%, $E$13)</f>
        <v>13.347899999999999</v>
      </c>
      <c r="D767" s="60">
        <f>13.3806 * CHOOSE(CONTROL!$C$22, $C$13, 100%, $E$13)</f>
        <v>13.380599999999999</v>
      </c>
      <c r="E767" s="61">
        <f>15.8193 * CHOOSE(CONTROL!$C$22, $C$13, 100%, $E$13)</f>
        <v>15.8193</v>
      </c>
      <c r="F767" s="61">
        <f>15.8193 * CHOOSE(CONTROL!$C$22, $C$13, 100%, $E$13)</f>
        <v>15.8193</v>
      </c>
      <c r="G767" s="61">
        <f>15.8213 * CHOOSE(CONTROL!$C$22, $C$13, 100%, $E$13)</f>
        <v>15.821300000000001</v>
      </c>
      <c r="H767" s="61">
        <f>25.5291* CHOOSE(CONTROL!$C$22, $C$13, 100%, $E$13)</f>
        <v>25.5291</v>
      </c>
      <c r="I767" s="61">
        <f>25.5312 * CHOOSE(CONTROL!$C$22, $C$13, 100%, $E$13)</f>
        <v>25.531199999999998</v>
      </c>
      <c r="J767" s="61">
        <f>15.8193 * CHOOSE(CONTROL!$C$22, $C$13, 100%, $E$13)</f>
        <v>15.8193</v>
      </c>
      <c r="K767" s="61">
        <f>15.8213 * CHOOSE(CONTROL!$C$22, $C$13, 100%, $E$13)</f>
        <v>15.821300000000001</v>
      </c>
    </row>
    <row r="768" spans="1:11" ht="15">
      <c r="A768" s="13">
        <v>65228</v>
      </c>
      <c r="B768" s="60">
        <f>13.3546 * CHOOSE(CONTROL!$C$22, $C$13, 100%, $E$13)</f>
        <v>13.3546</v>
      </c>
      <c r="C768" s="60">
        <f>13.3546 * CHOOSE(CONTROL!$C$22, $C$13, 100%, $E$13)</f>
        <v>13.3546</v>
      </c>
      <c r="D768" s="60">
        <f>13.3873 * CHOOSE(CONTROL!$C$22, $C$13, 100%, $E$13)</f>
        <v>13.3873</v>
      </c>
      <c r="E768" s="61">
        <f>15.6632 * CHOOSE(CONTROL!$C$22, $C$13, 100%, $E$13)</f>
        <v>15.6632</v>
      </c>
      <c r="F768" s="61">
        <f>15.6632 * CHOOSE(CONTROL!$C$22, $C$13, 100%, $E$13)</f>
        <v>15.6632</v>
      </c>
      <c r="G768" s="61">
        <f>15.6653 * CHOOSE(CONTROL!$C$22, $C$13, 100%, $E$13)</f>
        <v>15.6653</v>
      </c>
      <c r="H768" s="61">
        <f>25.5823* CHOOSE(CONTROL!$C$22, $C$13, 100%, $E$13)</f>
        <v>25.5823</v>
      </c>
      <c r="I768" s="61">
        <f>25.5844 * CHOOSE(CONTROL!$C$22, $C$13, 100%, $E$13)</f>
        <v>25.584399999999999</v>
      </c>
      <c r="J768" s="61">
        <f>15.6632 * CHOOSE(CONTROL!$C$22, $C$13, 100%, $E$13)</f>
        <v>15.6632</v>
      </c>
      <c r="K768" s="61">
        <f>15.6653 * CHOOSE(CONTROL!$C$22, $C$13, 100%, $E$13)</f>
        <v>15.6653</v>
      </c>
    </row>
    <row r="769" spans="1:11" ht="15">
      <c r="A769" s="13">
        <v>65259</v>
      </c>
      <c r="B769" s="60">
        <f>13.3516 * CHOOSE(CONTROL!$C$22, $C$13, 100%, $E$13)</f>
        <v>13.351599999999999</v>
      </c>
      <c r="C769" s="60">
        <f>13.3516 * CHOOSE(CONTROL!$C$22, $C$13, 100%, $E$13)</f>
        <v>13.351599999999999</v>
      </c>
      <c r="D769" s="60">
        <f>13.3843 * CHOOSE(CONTROL!$C$22, $C$13, 100%, $E$13)</f>
        <v>13.3843</v>
      </c>
      <c r="E769" s="61">
        <f>15.6433 * CHOOSE(CONTROL!$C$22, $C$13, 100%, $E$13)</f>
        <v>15.6433</v>
      </c>
      <c r="F769" s="61">
        <f>15.6433 * CHOOSE(CONTROL!$C$22, $C$13, 100%, $E$13)</f>
        <v>15.6433</v>
      </c>
      <c r="G769" s="61">
        <f>15.6453 * CHOOSE(CONTROL!$C$22, $C$13, 100%, $E$13)</f>
        <v>15.645300000000001</v>
      </c>
      <c r="H769" s="61">
        <f>25.6356* CHOOSE(CONTROL!$C$22, $C$13, 100%, $E$13)</f>
        <v>25.6356</v>
      </c>
      <c r="I769" s="61">
        <f>25.6377 * CHOOSE(CONTROL!$C$22, $C$13, 100%, $E$13)</f>
        <v>25.637699999999999</v>
      </c>
      <c r="J769" s="61">
        <f>15.6433 * CHOOSE(CONTROL!$C$22, $C$13, 100%, $E$13)</f>
        <v>15.6433</v>
      </c>
      <c r="K769" s="61">
        <f>15.6453 * CHOOSE(CONTROL!$C$22, $C$13, 100%, $E$13)</f>
        <v>15.645300000000001</v>
      </c>
    </row>
    <row r="770" spans="1:11" ht="15">
      <c r="A770" s="13">
        <v>65289</v>
      </c>
      <c r="B770" s="60">
        <f>13.3774 * CHOOSE(CONTROL!$C$22, $C$13, 100%, $E$13)</f>
        <v>13.3774</v>
      </c>
      <c r="C770" s="60">
        <f>13.3774 * CHOOSE(CONTROL!$C$22, $C$13, 100%, $E$13)</f>
        <v>13.3774</v>
      </c>
      <c r="D770" s="60">
        <f>13.3937 * CHOOSE(CONTROL!$C$22, $C$13, 100%, $E$13)</f>
        <v>13.393700000000001</v>
      </c>
      <c r="E770" s="61">
        <f>15.7013 * CHOOSE(CONTROL!$C$22, $C$13, 100%, $E$13)</f>
        <v>15.7013</v>
      </c>
      <c r="F770" s="61">
        <f>15.7013 * CHOOSE(CONTROL!$C$22, $C$13, 100%, $E$13)</f>
        <v>15.7013</v>
      </c>
      <c r="G770" s="61">
        <f>15.7015 * CHOOSE(CONTROL!$C$22, $C$13, 100%, $E$13)</f>
        <v>15.701499999999999</v>
      </c>
      <c r="H770" s="61">
        <f>25.689* CHOOSE(CONTROL!$C$22, $C$13, 100%, $E$13)</f>
        <v>25.689</v>
      </c>
      <c r="I770" s="61">
        <f>25.6892 * CHOOSE(CONTROL!$C$22, $C$13, 100%, $E$13)</f>
        <v>25.6892</v>
      </c>
      <c r="J770" s="61">
        <f>15.7013 * CHOOSE(CONTROL!$C$22, $C$13, 100%, $E$13)</f>
        <v>15.7013</v>
      </c>
      <c r="K770" s="61">
        <f>15.7015 * CHOOSE(CONTROL!$C$22, $C$13, 100%, $E$13)</f>
        <v>15.701499999999999</v>
      </c>
    </row>
    <row r="771" spans="1:11" ht="15">
      <c r="A771" s="13">
        <v>65320</v>
      </c>
      <c r="B771" s="60">
        <f>13.3804 * CHOOSE(CONTROL!$C$22, $C$13, 100%, $E$13)</f>
        <v>13.3804</v>
      </c>
      <c r="C771" s="60">
        <f>13.3804 * CHOOSE(CONTROL!$C$22, $C$13, 100%, $E$13)</f>
        <v>13.3804</v>
      </c>
      <c r="D771" s="60">
        <f>13.3968 * CHOOSE(CONTROL!$C$22, $C$13, 100%, $E$13)</f>
        <v>13.396800000000001</v>
      </c>
      <c r="E771" s="61">
        <f>15.7391 * CHOOSE(CONTROL!$C$22, $C$13, 100%, $E$13)</f>
        <v>15.739100000000001</v>
      </c>
      <c r="F771" s="61">
        <f>15.7391 * CHOOSE(CONTROL!$C$22, $C$13, 100%, $E$13)</f>
        <v>15.739100000000001</v>
      </c>
      <c r="G771" s="61">
        <f>15.7393 * CHOOSE(CONTROL!$C$22, $C$13, 100%, $E$13)</f>
        <v>15.7393</v>
      </c>
      <c r="H771" s="61">
        <f>25.7426* CHOOSE(CONTROL!$C$22, $C$13, 100%, $E$13)</f>
        <v>25.742599999999999</v>
      </c>
      <c r="I771" s="61">
        <f>25.7427 * CHOOSE(CONTROL!$C$22, $C$13, 100%, $E$13)</f>
        <v>25.742699999999999</v>
      </c>
      <c r="J771" s="61">
        <f>15.7391 * CHOOSE(CONTROL!$C$22, $C$13, 100%, $E$13)</f>
        <v>15.739100000000001</v>
      </c>
      <c r="K771" s="61">
        <f>15.7393 * CHOOSE(CONTROL!$C$22, $C$13, 100%, $E$13)</f>
        <v>15.7393</v>
      </c>
    </row>
    <row r="772" spans="1:11" ht="15">
      <c r="A772" s="13">
        <v>65350</v>
      </c>
      <c r="B772" s="60">
        <f>13.3804 * CHOOSE(CONTROL!$C$22, $C$13, 100%, $E$13)</f>
        <v>13.3804</v>
      </c>
      <c r="C772" s="60">
        <f>13.3804 * CHOOSE(CONTROL!$C$22, $C$13, 100%, $E$13)</f>
        <v>13.3804</v>
      </c>
      <c r="D772" s="60">
        <f>13.3968 * CHOOSE(CONTROL!$C$22, $C$13, 100%, $E$13)</f>
        <v>13.396800000000001</v>
      </c>
      <c r="E772" s="61">
        <f>15.6498 * CHOOSE(CONTROL!$C$22, $C$13, 100%, $E$13)</f>
        <v>15.649800000000001</v>
      </c>
      <c r="F772" s="61">
        <f>15.6498 * CHOOSE(CONTROL!$C$22, $C$13, 100%, $E$13)</f>
        <v>15.649800000000001</v>
      </c>
      <c r="G772" s="61">
        <f>15.65 * CHOOSE(CONTROL!$C$22, $C$13, 100%, $E$13)</f>
        <v>15.65</v>
      </c>
      <c r="H772" s="61">
        <f>25.7962* CHOOSE(CONTROL!$C$22, $C$13, 100%, $E$13)</f>
        <v>25.796199999999999</v>
      </c>
      <c r="I772" s="61">
        <f>25.7964 * CHOOSE(CONTROL!$C$22, $C$13, 100%, $E$13)</f>
        <v>25.796399999999998</v>
      </c>
      <c r="J772" s="61">
        <f>15.6498 * CHOOSE(CONTROL!$C$22, $C$13, 100%, $E$13)</f>
        <v>15.649800000000001</v>
      </c>
      <c r="K772" s="61">
        <f>15.65 * CHOOSE(CONTROL!$C$22, $C$13, 100%, $E$13)</f>
        <v>15.65</v>
      </c>
    </row>
    <row r="773" spans="1:11" ht="15">
      <c r="A773" s="13">
        <v>65381</v>
      </c>
      <c r="B773" s="60">
        <f>13.3809 * CHOOSE(CONTROL!$C$22, $C$13, 100%, $E$13)</f>
        <v>13.3809</v>
      </c>
      <c r="C773" s="60">
        <f>13.3809 * CHOOSE(CONTROL!$C$22, $C$13, 100%, $E$13)</f>
        <v>13.3809</v>
      </c>
      <c r="D773" s="60">
        <f>13.3972 * CHOOSE(CONTROL!$C$22, $C$13, 100%, $E$13)</f>
        <v>13.3972</v>
      </c>
      <c r="E773" s="61">
        <f>15.7124 * CHOOSE(CONTROL!$C$22, $C$13, 100%, $E$13)</f>
        <v>15.712400000000001</v>
      </c>
      <c r="F773" s="61">
        <f>15.7124 * CHOOSE(CONTROL!$C$22, $C$13, 100%, $E$13)</f>
        <v>15.712400000000001</v>
      </c>
      <c r="G773" s="61">
        <f>15.7126 * CHOOSE(CONTROL!$C$22, $C$13, 100%, $E$13)</f>
        <v>15.7126</v>
      </c>
      <c r="H773" s="61">
        <f>25.6582* CHOOSE(CONTROL!$C$22, $C$13, 100%, $E$13)</f>
        <v>25.658200000000001</v>
      </c>
      <c r="I773" s="61">
        <f>25.6584 * CHOOSE(CONTROL!$C$22, $C$13, 100%, $E$13)</f>
        <v>25.6584</v>
      </c>
      <c r="J773" s="61">
        <f>15.7124 * CHOOSE(CONTROL!$C$22, $C$13, 100%, $E$13)</f>
        <v>15.712400000000001</v>
      </c>
      <c r="K773" s="61">
        <f>15.7126 * CHOOSE(CONTROL!$C$22, $C$13, 100%, $E$13)</f>
        <v>15.7126</v>
      </c>
    </row>
    <row r="774" spans="1:11" ht="15">
      <c r="A774" s="13">
        <v>65412</v>
      </c>
      <c r="B774" s="60">
        <f>13.3778 * CHOOSE(CONTROL!$C$22, $C$13, 100%, $E$13)</f>
        <v>13.377800000000001</v>
      </c>
      <c r="C774" s="60">
        <f>13.3778 * CHOOSE(CONTROL!$C$22, $C$13, 100%, $E$13)</f>
        <v>13.377800000000001</v>
      </c>
      <c r="D774" s="60">
        <f>13.3942 * CHOOSE(CONTROL!$C$22, $C$13, 100%, $E$13)</f>
        <v>13.3942</v>
      </c>
      <c r="E774" s="61">
        <f>15.5384 * CHOOSE(CONTROL!$C$22, $C$13, 100%, $E$13)</f>
        <v>15.538399999999999</v>
      </c>
      <c r="F774" s="61">
        <f>15.5384 * CHOOSE(CONTROL!$C$22, $C$13, 100%, $E$13)</f>
        <v>15.538399999999999</v>
      </c>
      <c r="G774" s="61">
        <f>15.5385 * CHOOSE(CONTROL!$C$22, $C$13, 100%, $E$13)</f>
        <v>15.538500000000001</v>
      </c>
      <c r="H774" s="61">
        <f>25.7117* CHOOSE(CONTROL!$C$22, $C$13, 100%, $E$13)</f>
        <v>25.7117</v>
      </c>
      <c r="I774" s="61">
        <f>25.7119 * CHOOSE(CONTROL!$C$22, $C$13, 100%, $E$13)</f>
        <v>25.7119</v>
      </c>
      <c r="J774" s="61">
        <f>15.5384 * CHOOSE(CONTROL!$C$22, $C$13, 100%, $E$13)</f>
        <v>15.538399999999999</v>
      </c>
      <c r="K774" s="61">
        <f>15.5385 * CHOOSE(CONTROL!$C$22, $C$13, 100%, $E$13)</f>
        <v>15.538500000000001</v>
      </c>
    </row>
    <row r="775" spans="1:11" ht="15">
      <c r="A775" s="13">
        <v>65440</v>
      </c>
      <c r="B775" s="60">
        <f>13.3748 * CHOOSE(CONTROL!$C$22, $C$13, 100%, $E$13)</f>
        <v>13.3748</v>
      </c>
      <c r="C775" s="60">
        <f>13.3748 * CHOOSE(CONTROL!$C$22, $C$13, 100%, $E$13)</f>
        <v>13.3748</v>
      </c>
      <c r="D775" s="60">
        <f>13.3911 * CHOOSE(CONTROL!$C$22, $C$13, 100%, $E$13)</f>
        <v>13.3911</v>
      </c>
      <c r="E775" s="61">
        <f>15.6718 * CHOOSE(CONTROL!$C$22, $C$13, 100%, $E$13)</f>
        <v>15.671799999999999</v>
      </c>
      <c r="F775" s="61">
        <f>15.6718 * CHOOSE(CONTROL!$C$22, $C$13, 100%, $E$13)</f>
        <v>15.671799999999999</v>
      </c>
      <c r="G775" s="61">
        <f>15.672 * CHOOSE(CONTROL!$C$22, $C$13, 100%, $E$13)</f>
        <v>15.672000000000001</v>
      </c>
      <c r="H775" s="61">
        <f>25.7653* CHOOSE(CONTROL!$C$22, $C$13, 100%, $E$13)</f>
        <v>25.7653</v>
      </c>
      <c r="I775" s="61">
        <f>25.7654 * CHOOSE(CONTROL!$C$22, $C$13, 100%, $E$13)</f>
        <v>25.7654</v>
      </c>
      <c r="J775" s="61">
        <f>15.6718 * CHOOSE(CONTROL!$C$22, $C$13, 100%, $E$13)</f>
        <v>15.671799999999999</v>
      </c>
      <c r="K775" s="61">
        <f>15.672 * CHOOSE(CONTROL!$C$22, $C$13, 100%, $E$13)</f>
        <v>15.672000000000001</v>
      </c>
    </row>
    <row r="776" spans="1:11" ht="15">
      <c r="A776" s="13">
        <v>65471</v>
      </c>
      <c r="B776" s="60">
        <f>13.3804 * CHOOSE(CONTROL!$C$22, $C$13, 100%, $E$13)</f>
        <v>13.3804</v>
      </c>
      <c r="C776" s="60">
        <f>13.3804 * CHOOSE(CONTROL!$C$22, $C$13, 100%, $E$13)</f>
        <v>13.3804</v>
      </c>
      <c r="D776" s="60">
        <f>13.3968 * CHOOSE(CONTROL!$C$22, $C$13, 100%, $E$13)</f>
        <v>13.396800000000001</v>
      </c>
      <c r="E776" s="61">
        <f>15.8131 * CHOOSE(CONTROL!$C$22, $C$13, 100%, $E$13)</f>
        <v>15.8131</v>
      </c>
      <c r="F776" s="61">
        <f>15.8131 * CHOOSE(CONTROL!$C$22, $C$13, 100%, $E$13)</f>
        <v>15.8131</v>
      </c>
      <c r="G776" s="61">
        <f>15.8133 * CHOOSE(CONTROL!$C$22, $C$13, 100%, $E$13)</f>
        <v>15.8133</v>
      </c>
      <c r="H776" s="61">
        <f>25.8189* CHOOSE(CONTROL!$C$22, $C$13, 100%, $E$13)</f>
        <v>25.818899999999999</v>
      </c>
      <c r="I776" s="61">
        <f>25.8191 * CHOOSE(CONTROL!$C$22, $C$13, 100%, $E$13)</f>
        <v>25.819099999999999</v>
      </c>
      <c r="J776" s="61">
        <f>15.8131 * CHOOSE(CONTROL!$C$22, $C$13, 100%, $E$13)</f>
        <v>15.8131</v>
      </c>
      <c r="K776" s="61">
        <f>15.8133 * CHOOSE(CONTROL!$C$22, $C$13, 100%, $E$13)</f>
        <v>15.8133</v>
      </c>
    </row>
    <row r="777" spans="1:11" ht="15">
      <c r="A777" s="13">
        <v>65501</v>
      </c>
      <c r="B777" s="60">
        <f>13.3804 * CHOOSE(CONTROL!$C$22, $C$13, 100%, $E$13)</f>
        <v>13.3804</v>
      </c>
      <c r="C777" s="60">
        <f>13.3804 * CHOOSE(CONTROL!$C$22, $C$13, 100%, $E$13)</f>
        <v>13.3804</v>
      </c>
      <c r="D777" s="60">
        <f>13.4131 * CHOOSE(CONTROL!$C$22, $C$13, 100%, $E$13)</f>
        <v>13.4131</v>
      </c>
      <c r="E777" s="61">
        <f>15.8677 * CHOOSE(CONTROL!$C$22, $C$13, 100%, $E$13)</f>
        <v>15.867699999999999</v>
      </c>
      <c r="F777" s="61">
        <f>15.8677 * CHOOSE(CONTROL!$C$22, $C$13, 100%, $E$13)</f>
        <v>15.867699999999999</v>
      </c>
      <c r="G777" s="61">
        <f>15.8697 * CHOOSE(CONTROL!$C$22, $C$13, 100%, $E$13)</f>
        <v>15.8697</v>
      </c>
      <c r="H777" s="61">
        <f>25.8727* CHOOSE(CONTROL!$C$22, $C$13, 100%, $E$13)</f>
        <v>25.872699999999998</v>
      </c>
      <c r="I777" s="61">
        <f>25.8748 * CHOOSE(CONTROL!$C$22, $C$13, 100%, $E$13)</f>
        <v>25.8748</v>
      </c>
      <c r="J777" s="61">
        <f>15.8677 * CHOOSE(CONTROL!$C$22, $C$13, 100%, $E$13)</f>
        <v>15.867699999999999</v>
      </c>
      <c r="K777" s="61">
        <f>15.8697 * CHOOSE(CONTROL!$C$22, $C$13, 100%, $E$13)</f>
        <v>15.8697</v>
      </c>
    </row>
    <row r="778" spans="1:11" ht="15">
      <c r="A778" s="13">
        <v>65532</v>
      </c>
      <c r="B778" s="60">
        <f>13.3865 * CHOOSE(CONTROL!$C$22, $C$13, 100%, $E$13)</f>
        <v>13.3865</v>
      </c>
      <c r="C778" s="60">
        <f>13.3865 * CHOOSE(CONTROL!$C$22, $C$13, 100%, $E$13)</f>
        <v>13.3865</v>
      </c>
      <c r="D778" s="60">
        <f>13.4192 * CHOOSE(CONTROL!$C$22, $C$13, 100%, $E$13)</f>
        <v>13.4192</v>
      </c>
      <c r="E778" s="61">
        <f>15.8174 * CHOOSE(CONTROL!$C$22, $C$13, 100%, $E$13)</f>
        <v>15.817399999999999</v>
      </c>
      <c r="F778" s="61">
        <f>15.8174 * CHOOSE(CONTROL!$C$22, $C$13, 100%, $E$13)</f>
        <v>15.817399999999999</v>
      </c>
      <c r="G778" s="61">
        <f>15.8194 * CHOOSE(CONTROL!$C$22, $C$13, 100%, $E$13)</f>
        <v>15.8194</v>
      </c>
      <c r="H778" s="61">
        <f>25.9266* CHOOSE(CONTROL!$C$22, $C$13, 100%, $E$13)</f>
        <v>25.926600000000001</v>
      </c>
      <c r="I778" s="61">
        <f>25.9287 * CHOOSE(CONTROL!$C$22, $C$13, 100%, $E$13)</f>
        <v>25.928699999999999</v>
      </c>
      <c r="J778" s="61">
        <f>15.8174 * CHOOSE(CONTROL!$C$22, $C$13, 100%, $E$13)</f>
        <v>15.817399999999999</v>
      </c>
      <c r="K778" s="61">
        <f>15.8194 * CHOOSE(CONTROL!$C$22, $C$13, 100%, $E$13)</f>
        <v>15.8194</v>
      </c>
    </row>
    <row r="779" spans="1:11" ht="15">
      <c r="A779" s="13">
        <v>65562</v>
      </c>
      <c r="B779" s="60">
        <f>13.5972 * CHOOSE(CONTROL!$C$22, $C$13, 100%, $E$13)</f>
        <v>13.597200000000001</v>
      </c>
      <c r="C779" s="60">
        <f>13.5972 * CHOOSE(CONTROL!$C$22, $C$13, 100%, $E$13)</f>
        <v>13.597200000000001</v>
      </c>
      <c r="D779" s="60">
        <f>13.6298 * CHOOSE(CONTROL!$C$22, $C$13, 100%, $E$13)</f>
        <v>13.629799999999999</v>
      </c>
      <c r="E779" s="61">
        <f>16.1192 * CHOOSE(CONTROL!$C$22, $C$13, 100%, $E$13)</f>
        <v>16.119199999999999</v>
      </c>
      <c r="F779" s="61">
        <f>16.1192 * CHOOSE(CONTROL!$C$22, $C$13, 100%, $E$13)</f>
        <v>16.119199999999999</v>
      </c>
      <c r="G779" s="61">
        <f>16.1212 * CHOOSE(CONTROL!$C$22, $C$13, 100%, $E$13)</f>
        <v>16.121200000000002</v>
      </c>
      <c r="H779" s="61">
        <f>25.9806* CHOOSE(CONTROL!$C$22, $C$13, 100%, $E$13)</f>
        <v>25.980599999999999</v>
      </c>
      <c r="I779" s="61">
        <f>25.9827 * CHOOSE(CONTROL!$C$22, $C$13, 100%, $E$13)</f>
        <v>25.982700000000001</v>
      </c>
      <c r="J779" s="61">
        <f>16.1192 * CHOOSE(CONTROL!$C$22, $C$13, 100%, $E$13)</f>
        <v>16.119199999999999</v>
      </c>
      <c r="K779" s="61">
        <f>16.1212 * CHOOSE(CONTROL!$C$22, $C$13, 100%, $E$13)</f>
        <v>16.121200000000002</v>
      </c>
    </row>
    <row r="780" spans="1:11" ht="15">
      <c r="A780" s="13">
        <v>65593</v>
      </c>
      <c r="B780" s="60">
        <f>13.6038 * CHOOSE(CONTROL!$C$22, $C$13, 100%, $E$13)</f>
        <v>13.6038</v>
      </c>
      <c r="C780" s="60">
        <f>13.6038 * CHOOSE(CONTROL!$C$22, $C$13, 100%, $E$13)</f>
        <v>13.6038</v>
      </c>
      <c r="D780" s="60">
        <f>13.6365 * CHOOSE(CONTROL!$C$22, $C$13, 100%, $E$13)</f>
        <v>13.6365</v>
      </c>
      <c r="E780" s="61">
        <f>15.9601 * CHOOSE(CONTROL!$C$22, $C$13, 100%, $E$13)</f>
        <v>15.960100000000001</v>
      </c>
      <c r="F780" s="61">
        <f>15.9601 * CHOOSE(CONTROL!$C$22, $C$13, 100%, $E$13)</f>
        <v>15.960100000000001</v>
      </c>
      <c r="G780" s="61">
        <f>15.9621 * CHOOSE(CONTROL!$C$22, $C$13, 100%, $E$13)</f>
        <v>15.9621</v>
      </c>
      <c r="H780" s="61">
        <f>26.0348* CHOOSE(CONTROL!$C$22, $C$13, 100%, $E$13)</f>
        <v>26.034800000000001</v>
      </c>
      <c r="I780" s="61">
        <f>26.0368 * CHOOSE(CONTROL!$C$22, $C$13, 100%, $E$13)</f>
        <v>26.036799999999999</v>
      </c>
      <c r="J780" s="61">
        <f>15.9601 * CHOOSE(CONTROL!$C$22, $C$13, 100%, $E$13)</f>
        <v>15.960100000000001</v>
      </c>
      <c r="K780" s="61">
        <f>15.9621 * CHOOSE(CONTROL!$C$22, $C$13, 100%, $E$13)</f>
        <v>15.9621</v>
      </c>
    </row>
    <row r="781" spans="1:11" ht="15">
      <c r="A781" s="13">
        <v>65624</v>
      </c>
      <c r="B781" s="60">
        <f>13.6008 * CHOOSE(CONTROL!$C$22, $C$13, 100%, $E$13)</f>
        <v>13.6008</v>
      </c>
      <c r="C781" s="60">
        <f>13.6008 * CHOOSE(CONTROL!$C$22, $C$13, 100%, $E$13)</f>
        <v>13.6008</v>
      </c>
      <c r="D781" s="60">
        <f>13.6335 * CHOOSE(CONTROL!$C$22, $C$13, 100%, $E$13)</f>
        <v>13.6335</v>
      </c>
      <c r="E781" s="61">
        <f>15.9398 * CHOOSE(CONTROL!$C$22, $C$13, 100%, $E$13)</f>
        <v>15.9398</v>
      </c>
      <c r="F781" s="61">
        <f>15.9398 * CHOOSE(CONTROL!$C$22, $C$13, 100%, $E$13)</f>
        <v>15.9398</v>
      </c>
      <c r="G781" s="61">
        <f>15.9418 * CHOOSE(CONTROL!$C$22, $C$13, 100%, $E$13)</f>
        <v>15.941800000000001</v>
      </c>
      <c r="H781" s="61">
        <f>26.089* CHOOSE(CONTROL!$C$22, $C$13, 100%, $E$13)</f>
        <v>26.088999999999999</v>
      </c>
      <c r="I781" s="61">
        <f>26.091 * CHOOSE(CONTROL!$C$22, $C$13, 100%, $E$13)</f>
        <v>26.091000000000001</v>
      </c>
      <c r="J781" s="61">
        <f>15.9398 * CHOOSE(CONTROL!$C$22, $C$13, 100%, $E$13)</f>
        <v>15.9398</v>
      </c>
      <c r="K781" s="61">
        <f>15.9418 * CHOOSE(CONTROL!$C$22, $C$13, 100%, $E$13)</f>
        <v>15.941800000000001</v>
      </c>
    </row>
    <row r="782" spans="1:11" ht="15">
      <c r="A782" s="13">
        <v>65654</v>
      </c>
      <c r="B782" s="60">
        <f>13.6274 * CHOOSE(CONTROL!$C$22, $C$13, 100%, $E$13)</f>
        <v>13.6274</v>
      </c>
      <c r="C782" s="60">
        <f>13.6274 * CHOOSE(CONTROL!$C$22, $C$13, 100%, $E$13)</f>
        <v>13.6274</v>
      </c>
      <c r="D782" s="60">
        <f>13.6438 * CHOOSE(CONTROL!$C$22, $C$13, 100%, $E$13)</f>
        <v>13.643800000000001</v>
      </c>
      <c r="E782" s="61">
        <f>15.9991 * CHOOSE(CONTROL!$C$22, $C$13, 100%, $E$13)</f>
        <v>15.9991</v>
      </c>
      <c r="F782" s="61">
        <f>15.9991 * CHOOSE(CONTROL!$C$22, $C$13, 100%, $E$13)</f>
        <v>15.9991</v>
      </c>
      <c r="G782" s="61">
        <f>15.9993 * CHOOSE(CONTROL!$C$22, $C$13, 100%, $E$13)</f>
        <v>15.9993</v>
      </c>
      <c r="H782" s="61">
        <f>26.1434* CHOOSE(CONTROL!$C$22, $C$13, 100%, $E$13)</f>
        <v>26.1434</v>
      </c>
      <c r="I782" s="61">
        <f>26.1435 * CHOOSE(CONTROL!$C$22, $C$13, 100%, $E$13)</f>
        <v>26.1435</v>
      </c>
      <c r="J782" s="61">
        <f>15.9991 * CHOOSE(CONTROL!$C$22, $C$13, 100%, $E$13)</f>
        <v>15.9991</v>
      </c>
      <c r="K782" s="61">
        <f>15.9993 * CHOOSE(CONTROL!$C$22, $C$13, 100%, $E$13)</f>
        <v>15.9993</v>
      </c>
    </row>
    <row r="783" spans="1:11" ht="15">
      <c r="A783" s="13">
        <v>65685</v>
      </c>
      <c r="B783" s="60">
        <f>13.6305 * CHOOSE(CONTROL!$C$22, $C$13, 100%, $E$13)</f>
        <v>13.6305</v>
      </c>
      <c r="C783" s="60">
        <f>13.6305 * CHOOSE(CONTROL!$C$22, $C$13, 100%, $E$13)</f>
        <v>13.6305</v>
      </c>
      <c r="D783" s="60">
        <f>13.6468 * CHOOSE(CONTROL!$C$22, $C$13, 100%, $E$13)</f>
        <v>13.646800000000001</v>
      </c>
      <c r="E783" s="61">
        <f>16.0376 * CHOOSE(CONTROL!$C$22, $C$13, 100%, $E$13)</f>
        <v>16.037600000000001</v>
      </c>
      <c r="F783" s="61">
        <f>16.0376 * CHOOSE(CONTROL!$C$22, $C$13, 100%, $E$13)</f>
        <v>16.037600000000001</v>
      </c>
      <c r="G783" s="61">
        <f>16.0378 * CHOOSE(CONTROL!$C$22, $C$13, 100%, $E$13)</f>
        <v>16.037800000000001</v>
      </c>
      <c r="H783" s="61">
        <f>26.1978* CHOOSE(CONTROL!$C$22, $C$13, 100%, $E$13)</f>
        <v>26.197800000000001</v>
      </c>
      <c r="I783" s="61">
        <f>26.198 * CHOOSE(CONTROL!$C$22, $C$13, 100%, $E$13)</f>
        <v>26.198</v>
      </c>
      <c r="J783" s="61">
        <f>16.0376 * CHOOSE(CONTROL!$C$22, $C$13, 100%, $E$13)</f>
        <v>16.037600000000001</v>
      </c>
      <c r="K783" s="61">
        <f>16.0378 * CHOOSE(CONTROL!$C$22, $C$13, 100%, $E$13)</f>
        <v>16.037800000000001</v>
      </c>
    </row>
    <row r="784" spans="1:11" ht="15">
      <c r="A784" s="13">
        <v>65715</v>
      </c>
      <c r="B784" s="60">
        <f>13.6305 * CHOOSE(CONTROL!$C$22, $C$13, 100%, $E$13)</f>
        <v>13.6305</v>
      </c>
      <c r="C784" s="60">
        <f>13.6305 * CHOOSE(CONTROL!$C$22, $C$13, 100%, $E$13)</f>
        <v>13.6305</v>
      </c>
      <c r="D784" s="60">
        <f>13.6468 * CHOOSE(CONTROL!$C$22, $C$13, 100%, $E$13)</f>
        <v>13.646800000000001</v>
      </c>
      <c r="E784" s="61">
        <f>15.9467 * CHOOSE(CONTROL!$C$22, $C$13, 100%, $E$13)</f>
        <v>15.9467</v>
      </c>
      <c r="F784" s="61">
        <f>15.9467 * CHOOSE(CONTROL!$C$22, $C$13, 100%, $E$13)</f>
        <v>15.9467</v>
      </c>
      <c r="G784" s="61">
        <f>15.9468 * CHOOSE(CONTROL!$C$22, $C$13, 100%, $E$13)</f>
        <v>15.9468</v>
      </c>
      <c r="H784" s="61">
        <f>26.2524* CHOOSE(CONTROL!$C$22, $C$13, 100%, $E$13)</f>
        <v>26.252400000000002</v>
      </c>
      <c r="I784" s="61">
        <f>26.2526 * CHOOSE(CONTROL!$C$22, $C$13, 100%, $E$13)</f>
        <v>26.252600000000001</v>
      </c>
      <c r="J784" s="61">
        <f>15.9467 * CHOOSE(CONTROL!$C$22, $C$13, 100%, $E$13)</f>
        <v>15.9467</v>
      </c>
      <c r="K784" s="61">
        <f>15.9468 * CHOOSE(CONTROL!$C$22, $C$13, 100%, $E$13)</f>
        <v>15.9468</v>
      </c>
    </row>
    <row r="785" spans="1:11" ht="15">
      <c r="A785" s="13">
        <v>65746</v>
      </c>
      <c r="B785" s="60">
        <f>13.6262 * CHOOSE(CONTROL!$C$22, $C$13, 100%, $E$13)</f>
        <v>13.626200000000001</v>
      </c>
      <c r="C785" s="60">
        <f>13.6262 * CHOOSE(CONTROL!$C$22, $C$13, 100%, $E$13)</f>
        <v>13.626200000000001</v>
      </c>
      <c r="D785" s="60">
        <f>13.6425 * CHOOSE(CONTROL!$C$22, $C$13, 100%, $E$13)</f>
        <v>13.6425</v>
      </c>
      <c r="E785" s="61">
        <f>16.0048 * CHOOSE(CONTROL!$C$22, $C$13, 100%, $E$13)</f>
        <v>16.004799999999999</v>
      </c>
      <c r="F785" s="61">
        <f>16.0048 * CHOOSE(CONTROL!$C$22, $C$13, 100%, $E$13)</f>
        <v>16.004799999999999</v>
      </c>
      <c r="G785" s="61">
        <f>16.005 * CHOOSE(CONTROL!$C$22, $C$13, 100%, $E$13)</f>
        <v>16.004999999999999</v>
      </c>
      <c r="H785" s="61">
        <f>26.1041* CHOOSE(CONTROL!$C$22, $C$13, 100%, $E$13)</f>
        <v>26.104099999999999</v>
      </c>
      <c r="I785" s="61">
        <f>26.1043 * CHOOSE(CONTROL!$C$22, $C$13, 100%, $E$13)</f>
        <v>26.104299999999999</v>
      </c>
      <c r="J785" s="61">
        <f>16.0048 * CHOOSE(CONTROL!$C$22, $C$13, 100%, $E$13)</f>
        <v>16.004799999999999</v>
      </c>
      <c r="K785" s="61">
        <f>16.005 * CHOOSE(CONTROL!$C$22, $C$13, 100%, $E$13)</f>
        <v>16.004999999999999</v>
      </c>
    </row>
    <row r="786" spans="1:11" ht="15">
      <c r="A786" s="13">
        <v>65777</v>
      </c>
      <c r="B786" s="60">
        <f>13.6231 * CHOOSE(CONTROL!$C$22, $C$13, 100%, $E$13)</f>
        <v>13.623100000000001</v>
      </c>
      <c r="C786" s="60">
        <f>13.6231 * CHOOSE(CONTROL!$C$22, $C$13, 100%, $E$13)</f>
        <v>13.623100000000001</v>
      </c>
      <c r="D786" s="60">
        <f>13.6395 * CHOOSE(CONTROL!$C$22, $C$13, 100%, $E$13)</f>
        <v>13.6395</v>
      </c>
      <c r="E786" s="61">
        <f>15.8276 * CHOOSE(CONTROL!$C$22, $C$13, 100%, $E$13)</f>
        <v>15.8276</v>
      </c>
      <c r="F786" s="61">
        <f>15.8276 * CHOOSE(CONTROL!$C$22, $C$13, 100%, $E$13)</f>
        <v>15.8276</v>
      </c>
      <c r="G786" s="61">
        <f>15.8278 * CHOOSE(CONTROL!$C$22, $C$13, 100%, $E$13)</f>
        <v>15.8278</v>
      </c>
      <c r="H786" s="61">
        <f>26.1585* CHOOSE(CONTROL!$C$22, $C$13, 100%, $E$13)</f>
        <v>26.1585</v>
      </c>
      <c r="I786" s="61">
        <f>26.1587 * CHOOSE(CONTROL!$C$22, $C$13, 100%, $E$13)</f>
        <v>26.1587</v>
      </c>
      <c r="J786" s="61">
        <f>15.8276 * CHOOSE(CONTROL!$C$22, $C$13, 100%, $E$13)</f>
        <v>15.8276</v>
      </c>
      <c r="K786" s="61">
        <f>15.8278 * CHOOSE(CONTROL!$C$22, $C$13, 100%, $E$13)</f>
        <v>15.8278</v>
      </c>
    </row>
    <row r="787" spans="1:11" ht="15">
      <c r="A787" s="13">
        <v>65806</v>
      </c>
      <c r="B787" s="60">
        <f>13.6201 * CHOOSE(CONTROL!$C$22, $C$13, 100%, $E$13)</f>
        <v>13.620100000000001</v>
      </c>
      <c r="C787" s="60">
        <f>13.6201 * CHOOSE(CONTROL!$C$22, $C$13, 100%, $E$13)</f>
        <v>13.620100000000001</v>
      </c>
      <c r="D787" s="60">
        <f>13.6364 * CHOOSE(CONTROL!$C$22, $C$13, 100%, $E$13)</f>
        <v>13.6364</v>
      </c>
      <c r="E787" s="61">
        <f>15.9635 * CHOOSE(CONTROL!$C$22, $C$13, 100%, $E$13)</f>
        <v>15.9635</v>
      </c>
      <c r="F787" s="61">
        <f>15.9635 * CHOOSE(CONTROL!$C$22, $C$13, 100%, $E$13)</f>
        <v>15.9635</v>
      </c>
      <c r="G787" s="61">
        <f>15.9637 * CHOOSE(CONTROL!$C$22, $C$13, 100%, $E$13)</f>
        <v>15.963699999999999</v>
      </c>
      <c r="H787" s="61">
        <f>26.213* CHOOSE(CONTROL!$C$22, $C$13, 100%, $E$13)</f>
        <v>26.213000000000001</v>
      </c>
      <c r="I787" s="61">
        <f>26.2132 * CHOOSE(CONTROL!$C$22, $C$13, 100%, $E$13)</f>
        <v>26.213200000000001</v>
      </c>
      <c r="J787" s="61">
        <f>15.9635 * CHOOSE(CONTROL!$C$22, $C$13, 100%, $E$13)</f>
        <v>15.9635</v>
      </c>
      <c r="K787" s="61">
        <f>15.9637 * CHOOSE(CONTROL!$C$22, $C$13, 100%, $E$13)</f>
        <v>15.963699999999999</v>
      </c>
    </row>
    <row r="788" spans="1:11" ht="15">
      <c r="A788" s="13">
        <v>65837</v>
      </c>
      <c r="B788" s="60">
        <f>13.626 * CHOOSE(CONTROL!$C$22, $C$13, 100%, $E$13)</f>
        <v>13.625999999999999</v>
      </c>
      <c r="C788" s="60">
        <f>13.626 * CHOOSE(CONTROL!$C$22, $C$13, 100%, $E$13)</f>
        <v>13.625999999999999</v>
      </c>
      <c r="D788" s="60">
        <f>13.6423 * CHOOSE(CONTROL!$C$22, $C$13, 100%, $E$13)</f>
        <v>13.642300000000001</v>
      </c>
      <c r="E788" s="61">
        <f>16.1076 * CHOOSE(CONTROL!$C$22, $C$13, 100%, $E$13)</f>
        <v>16.107600000000001</v>
      </c>
      <c r="F788" s="61">
        <f>16.1076 * CHOOSE(CONTROL!$C$22, $C$13, 100%, $E$13)</f>
        <v>16.107600000000001</v>
      </c>
      <c r="G788" s="61">
        <f>16.1077 * CHOOSE(CONTROL!$C$22, $C$13, 100%, $E$13)</f>
        <v>16.107700000000001</v>
      </c>
      <c r="H788" s="61">
        <f>26.2676* CHOOSE(CONTROL!$C$22, $C$13, 100%, $E$13)</f>
        <v>26.267600000000002</v>
      </c>
      <c r="I788" s="61">
        <f>26.2678 * CHOOSE(CONTROL!$C$22, $C$13, 100%, $E$13)</f>
        <v>26.267800000000001</v>
      </c>
      <c r="J788" s="61">
        <f>16.1076 * CHOOSE(CONTROL!$C$22, $C$13, 100%, $E$13)</f>
        <v>16.107600000000001</v>
      </c>
      <c r="K788" s="61">
        <f>16.1077 * CHOOSE(CONTROL!$C$22, $C$13, 100%, $E$13)</f>
        <v>16.107700000000001</v>
      </c>
    </row>
    <row r="789" spans="1:11" ht="15">
      <c r="A789" s="13">
        <v>65867</v>
      </c>
      <c r="B789" s="60">
        <f>13.626 * CHOOSE(CONTROL!$C$22, $C$13, 100%, $E$13)</f>
        <v>13.625999999999999</v>
      </c>
      <c r="C789" s="60">
        <f>13.626 * CHOOSE(CONTROL!$C$22, $C$13, 100%, $E$13)</f>
        <v>13.625999999999999</v>
      </c>
      <c r="D789" s="60">
        <f>13.6586 * CHOOSE(CONTROL!$C$22, $C$13, 100%, $E$13)</f>
        <v>13.6586</v>
      </c>
      <c r="E789" s="61">
        <f>16.1632 * CHOOSE(CONTROL!$C$22, $C$13, 100%, $E$13)</f>
        <v>16.1632</v>
      </c>
      <c r="F789" s="61">
        <f>16.1632 * CHOOSE(CONTROL!$C$22, $C$13, 100%, $E$13)</f>
        <v>16.1632</v>
      </c>
      <c r="G789" s="61">
        <f>16.1652 * CHOOSE(CONTROL!$C$22, $C$13, 100%, $E$13)</f>
        <v>16.165199999999999</v>
      </c>
      <c r="H789" s="61">
        <f>26.3223* CHOOSE(CONTROL!$C$22, $C$13, 100%, $E$13)</f>
        <v>26.322299999999998</v>
      </c>
      <c r="I789" s="61">
        <f>26.3244 * CHOOSE(CONTROL!$C$22, $C$13, 100%, $E$13)</f>
        <v>26.324400000000001</v>
      </c>
      <c r="J789" s="61">
        <f>16.1632 * CHOOSE(CONTROL!$C$22, $C$13, 100%, $E$13)</f>
        <v>16.1632</v>
      </c>
      <c r="K789" s="61">
        <f>16.1652 * CHOOSE(CONTROL!$C$22, $C$13, 100%, $E$13)</f>
        <v>16.165199999999999</v>
      </c>
    </row>
    <row r="790" spans="1:11" ht="15">
      <c r="A790" s="13">
        <v>65898</v>
      </c>
      <c r="B790" s="60">
        <f>13.6321 * CHOOSE(CONTROL!$C$22, $C$13, 100%, $E$13)</f>
        <v>13.632099999999999</v>
      </c>
      <c r="C790" s="60">
        <f>13.6321 * CHOOSE(CONTROL!$C$22, $C$13, 100%, $E$13)</f>
        <v>13.632099999999999</v>
      </c>
      <c r="D790" s="60">
        <f>13.6647 * CHOOSE(CONTROL!$C$22, $C$13, 100%, $E$13)</f>
        <v>13.6647</v>
      </c>
      <c r="E790" s="61">
        <f>16.1118 * CHOOSE(CONTROL!$C$22, $C$13, 100%, $E$13)</f>
        <v>16.111799999999999</v>
      </c>
      <c r="F790" s="61">
        <f>16.1118 * CHOOSE(CONTROL!$C$22, $C$13, 100%, $E$13)</f>
        <v>16.111799999999999</v>
      </c>
      <c r="G790" s="61">
        <f>16.1138 * CHOOSE(CONTROL!$C$22, $C$13, 100%, $E$13)</f>
        <v>16.113800000000001</v>
      </c>
      <c r="H790" s="61">
        <f>26.3772* CHOOSE(CONTROL!$C$22, $C$13, 100%, $E$13)</f>
        <v>26.377199999999998</v>
      </c>
      <c r="I790" s="61">
        <f>26.3792 * CHOOSE(CONTROL!$C$22, $C$13, 100%, $E$13)</f>
        <v>26.379200000000001</v>
      </c>
      <c r="J790" s="61">
        <f>16.1118 * CHOOSE(CONTROL!$C$22, $C$13, 100%, $E$13)</f>
        <v>16.111799999999999</v>
      </c>
      <c r="K790" s="61">
        <f>16.1138 * CHOOSE(CONTROL!$C$22, $C$13, 100%, $E$13)</f>
        <v>16.113800000000001</v>
      </c>
    </row>
    <row r="791" spans="1:11" ht="15">
      <c r="A791" s="13">
        <v>65928</v>
      </c>
      <c r="B791" s="60">
        <f>13.8464 * CHOOSE(CONTROL!$C$22, $C$13, 100%, $E$13)</f>
        <v>13.846399999999999</v>
      </c>
      <c r="C791" s="60">
        <f>13.8464 * CHOOSE(CONTROL!$C$22, $C$13, 100%, $E$13)</f>
        <v>13.846399999999999</v>
      </c>
      <c r="D791" s="60">
        <f>13.879 * CHOOSE(CONTROL!$C$22, $C$13, 100%, $E$13)</f>
        <v>13.879</v>
      </c>
      <c r="E791" s="61">
        <f>16.4191 * CHOOSE(CONTROL!$C$22, $C$13, 100%, $E$13)</f>
        <v>16.4191</v>
      </c>
      <c r="F791" s="61">
        <f>16.4191 * CHOOSE(CONTROL!$C$22, $C$13, 100%, $E$13)</f>
        <v>16.4191</v>
      </c>
      <c r="G791" s="61">
        <f>16.4211 * CHOOSE(CONTROL!$C$22, $C$13, 100%, $E$13)</f>
        <v>16.421099999999999</v>
      </c>
      <c r="H791" s="61">
        <f>26.4321* CHOOSE(CONTROL!$C$22, $C$13, 100%, $E$13)</f>
        <v>26.432099999999998</v>
      </c>
      <c r="I791" s="61">
        <f>26.4342 * CHOOSE(CONTROL!$C$22, $C$13, 100%, $E$13)</f>
        <v>26.434200000000001</v>
      </c>
      <c r="J791" s="61">
        <f>16.4191 * CHOOSE(CONTROL!$C$22, $C$13, 100%, $E$13)</f>
        <v>16.4191</v>
      </c>
      <c r="K791" s="61">
        <f>16.4211 * CHOOSE(CONTROL!$C$22, $C$13, 100%, $E$13)</f>
        <v>16.421099999999999</v>
      </c>
    </row>
    <row r="792" spans="1:11" ht="15">
      <c r="A792" s="13">
        <v>65959</v>
      </c>
      <c r="B792" s="60">
        <f>13.8531 * CHOOSE(CONTROL!$C$22, $C$13, 100%, $E$13)</f>
        <v>13.8531</v>
      </c>
      <c r="C792" s="60">
        <f>13.8531 * CHOOSE(CONTROL!$C$22, $C$13, 100%, $E$13)</f>
        <v>13.8531</v>
      </c>
      <c r="D792" s="60">
        <f>13.8857 * CHOOSE(CONTROL!$C$22, $C$13, 100%, $E$13)</f>
        <v>13.8857</v>
      </c>
      <c r="E792" s="61">
        <f>16.2569 * CHOOSE(CONTROL!$C$22, $C$13, 100%, $E$13)</f>
        <v>16.256900000000002</v>
      </c>
      <c r="F792" s="61">
        <f>16.2569 * CHOOSE(CONTROL!$C$22, $C$13, 100%, $E$13)</f>
        <v>16.256900000000002</v>
      </c>
      <c r="G792" s="61">
        <f>16.2589 * CHOOSE(CONTROL!$C$22, $C$13, 100%, $E$13)</f>
        <v>16.258900000000001</v>
      </c>
      <c r="H792" s="61">
        <f>26.4872* CHOOSE(CONTROL!$C$22, $C$13, 100%, $E$13)</f>
        <v>26.487200000000001</v>
      </c>
      <c r="I792" s="61">
        <f>26.4892 * CHOOSE(CONTROL!$C$22, $C$13, 100%, $E$13)</f>
        <v>26.4892</v>
      </c>
      <c r="J792" s="61">
        <f>16.2569 * CHOOSE(CONTROL!$C$22, $C$13, 100%, $E$13)</f>
        <v>16.256900000000002</v>
      </c>
      <c r="K792" s="61">
        <f>16.2589 * CHOOSE(CONTROL!$C$22, $C$13, 100%, $E$13)</f>
        <v>16.258900000000001</v>
      </c>
    </row>
    <row r="793" spans="1:11" ht="15">
      <c r="A793" s="13">
        <v>65990</v>
      </c>
      <c r="B793" s="60">
        <f>13.85 * CHOOSE(CONTROL!$C$22, $C$13, 100%, $E$13)</f>
        <v>13.85</v>
      </c>
      <c r="C793" s="60">
        <f>13.85 * CHOOSE(CONTROL!$C$22, $C$13, 100%, $E$13)</f>
        <v>13.85</v>
      </c>
      <c r="D793" s="60">
        <f>13.8827 * CHOOSE(CONTROL!$C$22, $C$13, 100%, $E$13)</f>
        <v>13.8827</v>
      </c>
      <c r="E793" s="61">
        <f>16.2362 * CHOOSE(CONTROL!$C$22, $C$13, 100%, $E$13)</f>
        <v>16.2362</v>
      </c>
      <c r="F793" s="61">
        <f>16.2362 * CHOOSE(CONTROL!$C$22, $C$13, 100%, $E$13)</f>
        <v>16.2362</v>
      </c>
      <c r="G793" s="61">
        <f>16.2383 * CHOOSE(CONTROL!$C$22, $C$13, 100%, $E$13)</f>
        <v>16.238299999999999</v>
      </c>
      <c r="H793" s="61">
        <f>26.5424* CHOOSE(CONTROL!$C$22, $C$13, 100%, $E$13)</f>
        <v>26.542400000000001</v>
      </c>
      <c r="I793" s="61">
        <f>26.5444 * CHOOSE(CONTROL!$C$22, $C$13, 100%, $E$13)</f>
        <v>26.5444</v>
      </c>
      <c r="J793" s="61">
        <f>16.2362 * CHOOSE(CONTROL!$C$22, $C$13, 100%, $E$13)</f>
        <v>16.2362</v>
      </c>
      <c r="K793" s="61">
        <f>16.2383 * CHOOSE(CONTROL!$C$22, $C$13, 100%, $E$13)</f>
        <v>16.238299999999999</v>
      </c>
    </row>
    <row r="794" spans="1:11" ht="15">
      <c r="A794" s="13">
        <v>66020</v>
      </c>
      <c r="B794" s="60">
        <f>13.8774 * CHOOSE(CONTROL!$C$22, $C$13, 100%, $E$13)</f>
        <v>13.8774</v>
      </c>
      <c r="C794" s="60">
        <f>13.8774 * CHOOSE(CONTROL!$C$22, $C$13, 100%, $E$13)</f>
        <v>13.8774</v>
      </c>
      <c r="D794" s="60">
        <f>13.8938 * CHOOSE(CONTROL!$C$22, $C$13, 100%, $E$13)</f>
        <v>13.893800000000001</v>
      </c>
      <c r="E794" s="61">
        <f>16.297 * CHOOSE(CONTROL!$C$22, $C$13, 100%, $E$13)</f>
        <v>16.297000000000001</v>
      </c>
      <c r="F794" s="61">
        <f>16.297 * CHOOSE(CONTROL!$C$22, $C$13, 100%, $E$13)</f>
        <v>16.297000000000001</v>
      </c>
      <c r="G794" s="61">
        <f>16.2971 * CHOOSE(CONTROL!$C$22, $C$13, 100%, $E$13)</f>
        <v>16.2971</v>
      </c>
      <c r="H794" s="61">
        <f>26.5977* CHOOSE(CONTROL!$C$22, $C$13, 100%, $E$13)</f>
        <v>26.5977</v>
      </c>
      <c r="I794" s="61">
        <f>26.5979 * CHOOSE(CONTROL!$C$22, $C$13, 100%, $E$13)</f>
        <v>26.597899999999999</v>
      </c>
      <c r="J794" s="61">
        <f>16.297 * CHOOSE(CONTROL!$C$22, $C$13, 100%, $E$13)</f>
        <v>16.297000000000001</v>
      </c>
      <c r="K794" s="61">
        <f>16.2971 * CHOOSE(CONTROL!$C$22, $C$13, 100%, $E$13)</f>
        <v>16.2971</v>
      </c>
    </row>
    <row r="795" spans="1:11" ht="15">
      <c r="A795" s="13">
        <v>66051</v>
      </c>
      <c r="B795" s="60">
        <f>13.8805 * CHOOSE(CONTROL!$C$22, $C$13, 100%, $E$13)</f>
        <v>13.8805</v>
      </c>
      <c r="C795" s="60">
        <f>13.8805 * CHOOSE(CONTROL!$C$22, $C$13, 100%, $E$13)</f>
        <v>13.8805</v>
      </c>
      <c r="D795" s="60">
        <f>13.8968 * CHOOSE(CONTROL!$C$22, $C$13, 100%, $E$13)</f>
        <v>13.896800000000001</v>
      </c>
      <c r="E795" s="61">
        <f>16.3362 * CHOOSE(CONTROL!$C$22, $C$13, 100%, $E$13)</f>
        <v>16.336200000000002</v>
      </c>
      <c r="F795" s="61">
        <f>16.3362 * CHOOSE(CONTROL!$C$22, $C$13, 100%, $E$13)</f>
        <v>16.336200000000002</v>
      </c>
      <c r="G795" s="61">
        <f>16.3363 * CHOOSE(CONTROL!$C$22, $C$13, 100%, $E$13)</f>
        <v>16.336300000000001</v>
      </c>
      <c r="H795" s="61">
        <f>26.6531* CHOOSE(CONTROL!$C$22, $C$13, 100%, $E$13)</f>
        <v>26.653099999999998</v>
      </c>
      <c r="I795" s="61">
        <f>26.6533 * CHOOSE(CONTROL!$C$22, $C$13, 100%, $E$13)</f>
        <v>26.653300000000002</v>
      </c>
      <c r="J795" s="61">
        <f>16.3362 * CHOOSE(CONTROL!$C$22, $C$13, 100%, $E$13)</f>
        <v>16.336200000000002</v>
      </c>
      <c r="K795" s="61">
        <f>16.3363 * CHOOSE(CONTROL!$C$22, $C$13, 100%, $E$13)</f>
        <v>16.336300000000001</v>
      </c>
    </row>
    <row r="796" spans="1:11" ht="15">
      <c r="A796" s="13">
        <v>66081</v>
      </c>
      <c r="B796" s="60">
        <f>13.8805 * CHOOSE(CONTROL!$C$22, $C$13, 100%, $E$13)</f>
        <v>13.8805</v>
      </c>
      <c r="C796" s="60">
        <f>13.8805 * CHOOSE(CONTROL!$C$22, $C$13, 100%, $E$13)</f>
        <v>13.8805</v>
      </c>
      <c r="D796" s="60">
        <f>13.8968 * CHOOSE(CONTROL!$C$22, $C$13, 100%, $E$13)</f>
        <v>13.896800000000001</v>
      </c>
      <c r="E796" s="61">
        <f>16.2435 * CHOOSE(CONTROL!$C$22, $C$13, 100%, $E$13)</f>
        <v>16.243500000000001</v>
      </c>
      <c r="F796" s="61">
        <f>16.2435 * CHOOSE(CONTROL!$C$22, $C$13, 100%, $E$13)</f>
        <v>16.243500000000001</v>
      </c>
      <c r="G796" s="61">
        <f>16.2437 * CHOOSE(CONTROL!$C$22, $C$13, 100%, $E$13)</f>
        <v>16.2437</v>
      </c>
      <c r="H796" s="61">
        <f>26.7086* CHOOSE(CONTROL!$C$22, $C$13, 100%, $E$13)</f>
        <v>26.708600000000001</v>
      </c>
      <c r="I796" s="61">
        <f>26.7088 * CHOOSE(CONTROL!$C$22, $C$13, 100%, $E$13)</f>
        <v>26.7088</v>
      </c>
      <c r="J796" s="61">
        <f>16.2435 * CHOOSE(CONTROL!$C$22, $C$13, 100%, $E$13)</f>
        <v>16.243500000000001</v>
      </c>
      <c r="K796" s="61">
        <f>16.2437 * CHOOSE(CONTROL!$C$22, $C$13, 100%, $E$13)</f>
        <v>16.2437</v>
      </c>
    </row>
    <row r="797" spans="1:11" ht="15">
      <c r="A797" s="13">
        <v>66112</v>
      </c>
      <c r="B797" s="60">
        <f>13.8715 * CHOOSE(CONTROL!$C$22, $C$13, 100%, $E$13)</f>
        <v>13.871499999999999</v>
      </c>
      <c r="C797" s="60">
        <f>13.8715 * CHOOSE(CONTROL!$C$22, $C$13, 100%, $E$13)</f>
        <v>13.871499999999999</v>
      </c>
      <c r="D797" s="60">
        <f>13.8878 * CHOOSE(CONTROL!$C$22, $C$13, 100%, $E$13)</f>
        <v>13.8878</v>
      </c>
      <c r="E797" s="61">
        <f>16.2972 * CHOOSE(CONTROL!$C$22, $C$13, 100%, $E$13)</f>
        <v>16.2972</v>
      </c>
      <c r="F797" s="61">
        <f>16.2972 * CHOOSE(CONTROL!$C$22, $C$13, 100%, $E$13)</f>
        <v>16.2972</v>
      </c>
      <c r="G797" s="61">
        <f>16.2974 * CHOOSE(CONTROL!$C$22, $C$13, 100%, $E$13)</f>
        <v>16.2974</v>
      </c>
      <c r="H797" s="61">
        <f>26.55* CHOOSE(CONTROL!$C$22, $C$13, 100%, $E$13)</f>
        <v>26.55</v>
      </c>
      <c r="I797" s="61">
        <f>26.5502 * CHOOSE(CONTROL!$C$22, $C$13, 100%, $E$13)</f>
        <v>26.5502</v>
      </c>
      <c r="J797" s="61">
        <f>16.2972 * CHOOSE(CONTROL!$C$22, $C$13, 100%, $E$13)</f>
        <v>16.2972</v>
      </c>
      <c r="K797" s="61">
        <f>16.2974 * CHOOSE(CONTROL!$C$22, $C$13, 100%, $E$13)</f>
        <v>16.2974</v>
      </c>
    </row>
    <row r="798" spans="1:11" ht="15">
      <c r="A798" s="13">
        <v>66143</v>
      </c>
      <c r="B798" s="60">
        <f>13.8685 * CHOOSE(CONTROL!$C$22, $C$13, 100%, $E$13)</f>
        <v>13.868499999999999</v>
      </c>
      <c r="C798" s="60">
        <f>13.8685 * CHOOSE(CONTROL!$C$22, $C$13, 100%, $E$13)</f>
        <v>13.868499999999999</v>
      </c>
      <c r="D798" s="60">
        <f>13.8848 * CHOOSE(CONTROL!$C$22, $C$13, 100%, $E$13)</f>
        <v>13.8848</v>
      </c>
      <c r="E798" s="61">
        <f>16.1168 * CHOOSE(CONTROL!$C$22, $C$13, 100%, $E$13)</f>
        <v>16.116800000000001</v>
      </c>
      <c r="F798" s="61">
        <f>16.1168 * CHOOSE(CONTROL!$C$22, $C$13, 100%, $E$13)</f>
        <v>16.116800000000001</v>
      </c>
      <c r="G798" s="61">
        <f>16.117 * CHOOSE(CONTROL!$C$22, $C$13, 100%, $E$13)</f>
        <v>16.117000000000001</v>
      </c>
      <c r="H798" s="61">
        <f>26.6053* CHOOSE(CONTROL!$C$22, $C$13, 100%, $E$13)</f>
        <v>26.6053</v>
      </c>
      <c r="I798" s="61">
        <f>26.6055 * CHOOSE(CONTROL!$C$22, $C$13, 100%, $E$13)</f>
        <v>26.605499999999999</v>
      </c>
      <c r="J798" s="61">
        <f>16.1168 * CHOOSE(CONTROL!$C$22, $C$13, 100%, $E$13)</f>
        <v>16.116800000000001</v>
      </c>
      <c r="K798" s="61">
        <f>16.117 * CHOOSE(CONTROL!$C$22, $C$13, 100%, $E$13)</f>
        <v>16.117000000000001</v>
      </c>
    </row>
    <row r="799" spans="1:11" ht="15">
      <c r="A799" s="13">
        <v>66171</v>
      </c>
      <c r="B799" s="60">
        <f>13.8654 * CHOOSE(CONTROL!$C$22, $C$13, 100%, $E$13)</f>
        <v>13.865399999999999</v>
      </c>
      <c r="C799" s="60">
        <f>13.8654 * CHOOSE(CONTROL!$C$22, $C$13, 100%, $E$13)</f>
        <v>13.865399999999999</v>
      </c>
      <c r="D799" s="60">
        <f>13.8818 * CHOOSE(CONTROL!$C$22, $C$13, 100%, $E$13)</f>
        <v>13.8818</v>
      </c>
      <c r="E799" s="61">
        <f>16.2553 * CHOOSE(CONTROL!$C$22, $C$13, 100%, $E$13)</f>
        <v>16.255299999999998</v>
      </c>
      <c r="F799" s="61">
        <f>16.2553 * CHOOSE(CONTROL!$C$22, $C$13, 100%, $E$13)</f>
        <v>16.255299999999998</v>
      </c>
      <c r="G799" s="61">
        <f>16.2554 * CHOOSE(CONTROL!$C$22, $C$13, 100%, $E$13)</f>
        <v>16.255400000000002</v>
      </c>
      <c r="H799" s="61">
        <f>26.6608* CHOOSE(CONTROL!$C$22, $C$13, 100%, $E$13)</f>
        <v>26.660799999999998</v>
      </c>
      <c r="I799" s="61">
        <f>26.6609 * CHOOSE(CONTROL!$C$22, $C$13, 100%, $E$13)</f>
        <v>26.660900000000002</v>
      </c>
      <c r="J799" s="61">
        <f>16.2553 * CHOOSE(CONTROL!$C$22, $C$13, 100%, $E$13)</f>
        <v>16.255299999999998</v>
      </c>
      <c r="K799" s="61">
        <f>16.2554 * CHOOSE(CONTROL!$C$22, $C$13, 100%, $E$13)</f>
        <v>16.255400000000002</v>
      </c>
    </row>
    <row r="800" spans="1:11" ht="15">
      <c r="A800" s="13">
        <v>66202</v>
      </c>
      <c r="B800" s="60">
        <f>13.8715 * CHOOSE(CONTROL!$C$22, $C$13, 100%, $E$13)</f>
        <v>13.871499999999999</v>
      </c>
      <c r="C800" s="60">
        <f>13.8715 * CHOOSE(CONTROL!$C$22, $C$13, 100%, $E$13)</f>
        <v>13.871499999999999</v>
      </c>
      <c r="D800" s="60">
        <f>13.8878 * CHOOSE(CONTROL!$C$22, $C$13, 100%, $E$13)</f>
        <v>13.8878</v>
      </c>
      <c r="E800" s="61">
        <f>16.402 * CHOOSE(CONTROL!$C$22, $C$13, 100%, $E$13)</f>
        <v>16.402000000000001</v>
      </c>
      <c r="F800" s="61">
        <f>16.402 * CHOOSE(CONTROL!$C$22, $C$13, 100%, $E$13)</f>
        <v>16.402000000000001</v>
      </c>
      <c r="G800" s="61">
        <f>16.4022 * CHOOSE(CONTROL!$C$22, $C$13, 100%, $E$13)</f>
        <v>16.402200000000001</v>
      </c>
      <c r="H800" s="61">
        <f>26.7163* CHOOSE(CONTROL!$C$22, $C$13, 100%, $E$13)</f>
        <v>26.7163</v>
      </c>
      <c r="I800" s="61">
        <f>26.7165 * CHOOSE(CONTROL!$C$22, $C$13, 100%, $E$13)</f>
        <v>26.7165</v>
      </c>
      <c r="J800" s="61">
        <f>16.402 * CHOOSE(CONTROL!$C$22, $C$13, 100%, $E$13)</f>
        <v>16.402000000000001</v>
      </c>
      <c r="K800" s="61">
        <f>16.4022 * CHOOSE(CONTROL!$C$22, $C$13, 100%, $E$13)</f>
        <v>16.402200000000001</v>
      </c>
    </row>
    <row r="801" spans="1:11" ht="15">
      <c r="A801" s="13">
        <v>66232</v>
      </c>
      <c r="B801" s="60">
        <f>13.8715 * CHOOSE(CONTROL!$C$22, $C$13, 100%, $E$13)</f>
        <v>13.871499999999999</v>
      </c>
      <c r="C801" s="60">
        <f>13.8715 * CHOOSE(CONTROL!$C$22, $C$13, 100%, $E$13)</f>
        <v>13.871499999999999</v>
      </c>
      <c r="D801" s="60">
        <f>13.9042 * CHOOSE(CONTROL!$C$22, $C$13, 100%, $E$13)</f>
        <v>13.904199999999999</v>
      </c>
      <c r="E801" s="61">
        <f>16.4586 * CHOOSE(CONTROL!$C$22, $C$13, 100%, $E$13)</f>
        <v>16.458600000000001</v>
      </c>
      <c r="F801" s="61">
        <f>16.4586 * CHOOSE(CONTROL!$C$22, $C$13, 100%, $E$13)</f>
        <v>16.458600000000001</v>
      </c>
      <c r="G801" s="61">
        <f>16.4607 * CHOOSE(CONTROL!$C$22, $C$13, 100%, $E$13)</f>
        <v>16.460699999999999</v>
      </c>
      <c r="H801" s="61">
        <f>26.772* CHOOSE(CONTROL!$C$22, $C$13, 100%, $E$13)</f>
        <v>26.771999999999998</v>
      </c>
      <c r="I801" s="61">
        <f>26.774 * CHOOSE(CONTROL!$C$22, $C$13, 100%, $E$13)</f>
        <v>26.774000000000001</v>
      </c>
      <c r="J801" s="61">
        <f>16.4586 * CHOOSE(CONTROL!$C$22, $C$13, 100%, $E$13)</f>
        <v>16.458600000000001</v>
      </c>
      <c r="K801" s="61">
        <f>16.4607 * CHOOSE(CONTROL!$C$22, $C$13, 100%, $E$13)</f>
        <v>16.460699999999999</v>
      </c>
    </row>
    <row r="802" spans="1:11" ht="15">
      <c r="A802" s="13">
        <v>66263</v>
      </c>
      <c r="B802" s="60">
        <f>13.8776 * CHOOSE(CONTROL!$C$22, $C$13, 100%, $E$13)</f>
        <v>13.877599999999999</v>
      </c>
      <c r="C802" s="60">
        <f>13.8776 * CHOOSE(CONTROL!$C$22, $C$13, 100%, $E$13)</f>
        <v>13.877599999999999</v>
      </c>
      <c r="D802" s="60">
        <f>13.9102 * CHOOSE(CONTROL!$C$22, $C$13, 100%, $E$13)</f>
        <v>13.9102</v>
      </c>
      <c r="E802" s="61">
        <f>16.4063 * CHOOSE(CONTROL!$C$22, $C$13, 100%, $E$13)</f>
        <v>16.406300000000002</v>
      </c>
      <c r="F802" s="61">
        <f>16.4063 * CHOOSE(CONTROL!$C$22, $C$13, 100%, $E$13)</f>
        <v>16.406300000000002</v>
      </c>
      <c r="G802" s="61">
        <f>16.4083 * CHOOSE(CONTROL!$C$22, $C$13, 100%, $E$13)</f>
        <v>16.408300000000001</v>
      </c>
      <c r="H802" s="61">
        <f>26.8277* CHOOSE(CONTROL!$C$22, $C$13, 100%, $E$13)</f>
        <v>26.8277</v>
      </c>
      <c r="I802" s="61">
        <f>26.8298 * CHOOSE(CONTROL!$C$22, $C$13, 100%, $E$13)</f>
        <v>26.829799999999999</v>
      </c>
      <c r="J802" s="61">
        <f>16.4063 * CHOOSE(CONTROL!$C$22, $C$13, 100%, $E$13)</f>
        <v>16.406300000000002</v>
      </c>
      <c r="K802" s="61">
        <f>16.4083 * CHOOSE(CONTROL!$C$22, $C$13, 100%, $E$13)</f>
        <v>16.408300000000001</v>
      </c>
    </row>
    <row r="803" spans="1:11" ht="15">
      <c r="A803" s="13">
        <v>66293</v>
      </c>
      <c r="B803" s="60">
        <f>14.0956 * CHOOSE(CONTROL!$C$22, $C$13, 100%, $E$13)</f>
        <v>14.095599999999999</v>
      </c>
      <c r="C803" s="60">
        <f>14.0956 * CHOOSE(CONTROL!$C$22, $C$13, 100%, $E$13)</f>
        <v>14.095599999999999</v>
      </c>
      <c r="D803" s="60">
        <f>14.1283 * CHOOSE(CONTROL!$C$22, $C$13, 100%, $E$13)</f>
        <v>14.128299999999999</v>
      </c>
      <c r="E803" s="61">
        <f>16.7189 * CHOOSE(CONTROL!$C$22, $C$13, 100%, $E$13)</f>
        <v>16.718900000000001</v>
      </c>
      <c r="F803" s="61">
        <f>16.7189 * CHOOSE(CONTROL!$C$22, $C$13, 100%, $E$13)</f>
        <v>16.718900000000001</v>
      </c>
      <c r="G803" s="61">
        <f>16.721 * CHOOSE(CONTROL!$C$22, $C$13, 100%, $E$13)</f>
        <v>16.721</v>
      </c>
      <c r="H803" s="61">
        <f>26.8836* CHOOSE(CONTROL!$C$22, $C$13, 100%, $E$13)</f>
        <v>26.883600000000001</v>
      </c>
      <c r="I803" s="61">
        <f>26.8857 * CHOOSE(CONTROL!$C$22, $C$13, 100%, $E$13)</f>
        <v>26.8857</v>
      </c>
      <c r="J803" s="61">
        <f>16.7189 * CHOOSE(CONTROL!$C$22, $C$13, 100%, $E$13)</f>
        <v>16.718900000000001</v>
      </c>
      <c r="K803" s="61">
        <f>16.721 * CHOOSE(CONTROL!$C$22, $C$13, 100%, $E$13)</f>
        <v>16.721</v>
      </c>
    </row>
    <row r="804" spans="1:11" ht="15">
      <c r="A804" s="13">
        <v>66324</v>
      </c>
      <c r="B804" s="60">
        <f>14.1023 * CHOOSE(CONTROL!$C$22, $C$13, 100%, $E$13)</f>
        <v>14.1023</v>
      </c>
      <c r="C804" s="60">
        <f>14.1023 * CHOOSE(CONTROL!$C$22, $C$13, 100%, $E$13)</f>
        <v>14.1023</v>
      </c>
      <c r="D804" s="60">
        <f>14.1349 * CHOOSE(CONTROL!$C$22, $C$13, 100%, $E$13)</f>
        <v>14.1349</v>
      </c>
      <c r="E804" s="61">
        <f>16.5537 * CHOOSE(CONTROL!$C$22, $C$13, 100%, $E$13)</f>
        <v>16.553699999999999</v>
      </c>
      <c r="F804" s="61">
        <f>16.5537 * CHOOSE(CONTROL!$C$22, $C$13, 100%, $E$13)</f>
        <v>16.553699999999999</v>
      </c>
      <c r="G804" s="61">
        <f>16.5558 * CHOOSE(CONTROL!$C$22, $C$13, 100%, $E$13)</f>
        <v>16.555800000000001</v>
      </c>
      <c r="H804" s="61">
        <f>26.9396* CHOOSE(CONTROL!$C$22, $C$13, 100%, $E$13)</f>
        <v>26.939599999999999</v>
      </c>
      <c r="I804" s="61">
        <f>26.9417 * CHOOSE(CONTROL!$C$22, $C$13, 100%, $E$13)</f>
        <v>26.941700000000001</v>
      </c>
      <c r="J804" s="61">
        <f>16.5537 * CHOOSE(CONTROL!$C$22, $C$13, 100%, $E$13)</f>
        <v>16.553699999999999</v>
      </c>
      <c r="K804" s="61">
        <f>16.5558 * CHOOSE(CONTROL!$C$22, $C$13, 100%, $E$13)</f>
        <v>16.555800000000001</v>
      </c>
    </row>
    <row r="805" spans="1:11" ht="15">
      <c r="A805" s="13">
        <v>66355</v>
      </c>
      <c r="B805" s="60">
        <f>14.0992 * CHOOSE(CONTROL!$C$22, $C$13, 100%, $E$13)</f>
        <v>14.0992</v>
      </c>
      <c r="C805" s="60">
        <f>14.0992 * CHOOSE(CONTROL!$C$22, $C$13, 100%, $E$13)</f>
        <v>14.0992</v>
      </c>
      <c r="D805" s="60">
        <f>14.1319 * CHOOSE(CONTROL!$C$22, $C$13, 100%, $E$13)</f>
        <v>14.1319</v>
      </c>
      <c r="E805" s="61">
        <f>16.5327 * CHOOSE(CONTROL!$C$22, $C$13, 100%, $E$13)</f>
        <v>16.532699999999998</v>
      </c>
      <c r="F805" s="61">
        <f>16.5327 * CHOOSE(CONTROL!$C$22, $C$13, 100%, $E$13)</f>
        <v>16.532699999999998</v>
      </c>
      <c r="G805" s="61">
        <f>16.5348 * CHOOSE(CONTROL!$C$22, $C$13, 100%, $E$13)</f>
        <v>16.534800000000001</v>
      </c>
      <c r="H805" s="61">
        <f>26.9958* CHOOSE(CONTROL!$C$22, $C$13, 100%, $E$13)</f>
        <v>26.995799999999999</v>
      </c>
      <c r="I805" s="61">
        <f>26.9978 * CHOOSE(CONTROL!$C$22, $C$13, 100%, $E$13)</f>
        <v>26.997800000000002</v>
      </c>
      <c r="J805" s="61">
        <f>16.5327 * CHOOSE(CONTROL!$C$22, $C$13, 100%, $E$13)</f>
        <v>16.532699999999998</v>
      </c>
      <c r="K805" s="61">
        <f>16.5348 * CHOOSE(CONTROL!$C$22, $C$13, 100%, $E$13)</f>
        <v>16.534800000000001</v>
      </c>
    </row>
    <row r="806" spans="1:11" ht="15">
      <c r="A806" s="13">
        <v>66385</v>
      </c>
      <c r="B806" s="60">
        <f>14.1275 * CHOOSE(CONTROL!$C$22, $C$13, 100%, $E$13)</f>
        <v>14.1275</v>
      </c>
      <c r="C806" s="60">
        <f>14.1275 * CHOOSE(CONTROL!$C$22, $C$13, 100%, $E$13)</f>
        <v>14.1275</v>
      </c>
      <c r="D806" s="60">
        <f>14.1438 * CHOOSE(CONTROL!$C$22, $C$13, 100%, $E$13)</f>
        <v>14.143800000000001</v>
      </c>
      <c r="E806" s="61">
        <f>16.5948 * CHOOSE(CONTROL!$C$22, $C$13, 100%, $E$13)</f>
        <v>16.594799999999999</v>
      </c>
      <c r="F806" s="61">
        <f>16.5948 * CHOOSE(CONTROL!$C$22, $C$13, 100%, $E$13)</f>
        <v>16.594799999999999</v>
      </c>
      <c r="G806" s="61">
        <f>16.595 * CHOOSE(CONTROL!$C$22, $C$13, 100%, $E$13)</f>
        <v>16.594999999999999</v>
      </c>
      <c r="H806" s="61">
        <f>27.052* CHOOSE(CONTROL!$C$22, $C$13, 100%, $E$13)</f>
        <v>27.052</v>
      </c>
      <c r="I806" s="61">
        <f>27.0522 * CHOOSE(CONTROL!$C$22, $C$13, 100%, $E$13)</f>
        <v>27.052199999999999</v>
      </c>
      <c r="J806" s="61">
        <f>16.5948 * CHOOSE(CONTROL!$C$22, $C$13, 100%, $E$13)</f>
        <v>16.594799999999999</v>
      </c>
      <c r="K806" s="61">
        <f>16.595 * CHOOSE(CONTROL!$C$22, $C$13, 100%, $E$13)</f>
        <v>16.594999999999999</v>
      </c>
    </row>
    <row r="807" spans="1:11" ht="15">
      <c r="A807" s="13">
        <v>66416</v>
      </c>
      <c r="B807" s="60">
        <f>14.1305 * CHOOSE(CONTROL!$C$22, $C$13, 100%, $E$13)</f>
        <v>14.1305</v>
      </c>
      <c r="C807" s="60">
        <f>14.1305 * CHOOSE(CONTROL!$C$22, $C$13, 100%, $E$13)</f>
        <v>14.1305</v>
      </c>
      <c r="D807" s="60">
        <f>14.1468 * CHOOSE(CONTROL!$C$22, $C$13, 100%, $E$13)</f>
        <v>14.146800000000001</v>
      </c>
      <c r="E807" s="61">
        <f>16.6347 * CHOOSE(CONTROL!$C$22, $C$13, 100%, $E$13)</f>
        <v>16.634699999999999</v>
      </c>
      <c r="F807" s="61">
        <f>16.6347 * CHOOSE(CONTROL!$C$22, $C$13, 100%, $E$13)</f>
        <v>16.634699999999999</v>
      </c>
      <c r="G807" s="61">
        <f>16.6349 * CHOOSE(CONTROL!$C$22, $C$13, 100%, $E$13)</f>
        <v>16.634899999999998</v>
      </c>
      <c r="H807" s="61">
        <f>27.1084* CHOOSE(CONTROL!$C$22, $C$13, 100%, $E$13)</f>
        <v>27.1084</v>
      </c>
      <c r="I807" s="61">
        <f>27.1085 * CHOOSE(CONTROL!$C$22, $C$13, 100%, $E$13)</f>
        <v>27.108499999999999</v>
      </c>
      <c r="J807" s="61">
        <f>16.6347 * CHOOSE(CONTROL!$C$22, $C$13, 100%, $E$13)</f>
        <v>16.634699999999999</v>
      </c>
      <c r="K807" s="61">
        <f>16.6349 * CHOOSE(CONTROL!$C$22, $C$13, 100%, $E$13)</f>
        <v>16.634899999999998</v>
      </c>
    </row>
    <row r="808" spans="1:11" ht="15">
      <c r="A808" s="13">
        <v>66446</v>
      </c>
      <c r="B808" s="60">
        <f>14.1305 * CHOOSE(CONTROL!$C$22, $C$13, 100%, $E$13)</f>
        <v>14.1305</v>
      </c>
      <c r="C808" s="60">
        <f>14.1305 * CHOOSE(CONTROL!$C$22, $C$13, 100%, $E$13)</f>
        <v>14.1305</v>
      </c>
      <c r="D808" s="60">
        <f>14.1468 * CHOOSE(CONTROL!$C$22, $C$13, 100%, $E$13)</f>
        <v>14.146800000000001</v>
      </c>
      <c r="E808" s="61">
        <f>16.5403 * CHOOSE(CONTROL!$C$22, $C$13, 100%, $E$13)</f>
        <v>16.540299999999998</v>
      </c>
      <c r="F808" s="61">
        <f>16.5403 * CHOOSE(CONTROL!$C$22, $C$13, 100%, $E$13)</f>
        <v>16.540299999999998</v>
      </c>
      <c r="G808" s="61">
        <f>16.5405 * CHOOSE(CONTROL!$C$22, $C$13, 100%, $E$13)</f>
        <v>16.540500000000002</v>
      </c>
      <c r="H808" s="61">
        <f>27.1648* CHOOSE(CONTROL!$C$22, $C$13, 100%, $E$13)</f>
        <v>27.1648</v>
      </c>
      <c r="I808" s="61">
        <f>27.165 * CHOOSE(CONTROL!$C$22, $C$13, 100%, $E$13)</f>
        <v>27.164999999999999</v>
      </c>
      <c r="J808" s="61">
        <f>16.5403 * CHOOSE(CONTROL!$C$22, $C$13, 100%, $E$13)</f>
        <v>16.540299999999998</v>
      </c>
      <c r="K808" s="61">
        <f>16.5405 * CHOOSE(CONTROL!$C$22, $C$13, 100%, $E$13)</f>
        <v>16.540500000000002</v>
      </c>
    </row>
    <row r="809" spans="1:11" ht="15">
      <c r="A809" s="13">
        <v>66477</v>
      </c>
      <c r="B809" s="60">
        <f>14.1168 * CHOOSE(CONTROL!$C$22, $C$13, 100%, $E$13)</f>
        <v>14.1168</v>
      </c>
      <c r="C809" s="60">
        <f>14.1168 * CHOOSE(CONTROL!$C$22, $C$13, 100%, $E$13)</f>
        <v>14.1168</v>
      </c>
      <c r="D809" s="60">
        <f>14.1332 * CHOOSE(CONTROL!$C$22, $C$13, 100%, $E$13)</f>
        <v>14.1332</v>
      </c>
      <c r="E809" s="61">
        <f>16.5897 * CHOOSE(CONTROL!$C$22, $C$13, 100%, $E$13)</f>
        <v>16.589700000000001</v>
      </c>
      <c r="F809" s="61">
        <f>16.5897 * CHOOSE(CONTROL!$C$22, $C$13, 100%, $E$13)</f>
        <v>16.589700000000001</v>
      </c>
      <c r="G809" s="61">
        <f>16.5898 * CHOOSE(CONTROL!$C$22, $C$13, 100%, $E$13)</f>
        <v>16.5898</v>
      </c>
      <c r="H809" s="61">
        <f>26.9959* CHOOSE(CONTROL!$C$22, $C$13, 100%, $E$13)</f>
        <v>26.995899999999999</v>
      </c>
      <c r="I809" s="61">
        <f>26.9961 * CHOOSE(CONTROL!$C$22, $C$13, 100%, $E$13)</f>
        <v>26.996099999999998</v>
      </c>
      <c r="J809" s="61">
        <f>16.5897 * CHOOSE(CONTROL!$C$22, $C$13, 100%, $E$13)</f>
        <v>16.589700000000001</v>
      </c>
      <c r="K809" s="61">
        <f>16.5898 * CHOOSE(CONTROL!$C$22, $C$13, 100%, $E$13)</f>
        <v>16.5898</v>
      </c>
    </row>
    <row r="810" spans="1:11" ht="15">
      <c r="A810" s="13">
        <v>66508</v>
      </c>
      <c r="B810" s="60">
        <f>14.1138 * CHOOSE(CONTROL!$C$22, $C$13, 100%, $E$13)</f>
        <v>14.113799999999999</v>
      </c>
      <c r="C810" s="60">
        <f>14.1138 * CHOOSE(CONTROL!$C$22, $C$13, 100%, $E$13)</f>
        <v>14.113799999999999</v>
      </c>
      <c r="D810" s="60">
        <f>14.1301 * CHOOSE(CONTROL!$C$22, $C$13, 100%, $E$13)</f>
        <v>14.130100000000001</v>
      </c>
      <c r="E810" s="61">
        <f>16.406 * CHOOSE(CONTROL!$C$22, $C$13, 100%, $E$13)</f>
        <v>16.405999999999999</v>
      </c>
      <c r="F810" s="61">
        <f>16.406 * CHOOSE(CONTROL!$C$22, $C$13, 100%, $E$13)</f>
        <v>16.405999999999999</v>
      </c>
      <c r="G810" s="61">
        <f>16.4062 * CHOOSE(CONTROL!$C$22, $C$13, 100%, $E$13)</f>
        <v>16.406199999999998</v>
      </c>
      <c r="H810" s="61">
        <f>27.0522* CHOOSE(CONTROL!$C$22, $C$13, 100%, $E$13)</f>
        <v>27.052199999999999</v>
      </c>
      <c r="I810" s="61">
        <f>27.0523 * CHOOSE(CONTROL!$C$22, $C$13, 100%, $E$13)</f>
        <v>27.052299999999999</v>
      </c>
      <c r="J810" s="61">
        <f>16.406 * CHOOSE(CONTROL!$C$22, $C$13, 100%, $E$13)</f>
        <v>16.405999999999999</v>
      </c>
      <c r="K810" s="61">
        <f>16.4062 * CHOOSE(CONTROL!$C$22, $C$13, 100%, $E$13)</f>
        <v>16.406199999999998</v>
      </c>
    </row>
    <row r="811" spans="1:11" ht="15">
      <c r="A811" s="13">
        <v>66536</v>
      </c>
      <c r="B811" s="60">
        <f>14.1107 * CHOOSE(CONTROL!$C$22, $C$13, 100%, $E$13)</f>
        <v>14.1107</v>
      </c>
      <c r="C811" s="60">
        <f>14.1107 * CHOOSE(CONTROL!$C$22, $C$13, 100%, $E$13)</f>
        <v>14.1107</v>
      </c>
      <c r="D811" s="60">
        <f>14.1271 * CHOOSE(CONTROL!$C$22, $C$13, 100%, $E$13)</f>
        <v>14.1271</v>
      </c>
      <c r="E811" s="61">
        <f>16.547 * CHOOSE(CONTROL!$C$22, $C$13, 100%, $E$13)</f>
        <v>16.547000000000001</v>
      </c>
      <c r="F811" s="61">
        <f>16.547 * CHOOSE(CONTROL!$C$22, $C$13, 100%, $E$13)</f>
        <v>16.547000000000001</v>
      </c>
      <c r="G811" s="61">
        <f>16.5472 * CHOOSE(CONTROL!$C$22, $C$13, 100%, $E$13)</f>
        <v>16.5472</v>
      </c>
      <c r="H811" s="61">
        <f>27.1085* CHOOSE(CONTROL!$C$22, $C$13, 100%, $E$13)</f>
        <v>27.108499999999999</v>
      </c>
      <c r="I811" s="61">
        <f>27.1087 * CHOOSE(CONTROL!$C$22, $C$13, 100%, $E$13)</f>
        <v>27.108699999999999</v>
      </c>
      <c r="J811" s="61">
        <f>16.547 * CHOOSE(CONTROL!$C$22, $C$13, 100%, $E$13)</f>
        <v>16.547000000000001</v>
      </c>
      <c r="K811" s="61">
        <f>16.5472 * CHOOSE(CONTROL!$C$22, $C$13, 100%, $E$13)</f>
        <v>16.5472</v>
      </c>
    </row>
    <row r="812" spans="1:11" ht="15">
      <c r="A812" s="13">
        <v>66567</v>
      </c>
      <c r="B812" s="60">
        <f>14.117 * CHOOSE(CONTROL!$C$22, $C$13, 100%, $E$13)</f>
        <v>14.117000000000001</v>
      </c>
      <c r="C812" s="60">
        <f>14.117 * CHOOSE(CONTROL!$C$22, $C$13, 100%, $E$13)</f>
        <v>14.117000000000001</v>
      </c>
      <c r="D812" s="60">
        <f>14.1334 * CHOOSE(CONTROL!$C$22, $C$13, 100%, $E$13)</f>
        <v>14.1334</v>
      </c>
      <c r="E812" s="61">
        <f>16.6965 * CHOOSE(CONTROL!$C$22, $C$13, 100%, $E$13)</f>
        <v>16.6965</v>
      </c>
      <c r="F812" s="61">
        <f>16.6965 * CHOOSE(CONTROL!$C$22, $C$13, 100%, $E$13)</f>
        <v>16.6965</v>
      </c>
      <c r="G812" s="61">
        <f>16.6966 * CHOOSE(CONTROL!$C$22, $C$13, 100%, $E$13)</f>
        <v>16.6966</v>
      </c>
      <c r="H812" s="61">
        <f>27.165* CHOOSE(CONTROL!$C$22, $C$13, 100%, $E$13)</f>
        <v>27.164999999999999</v>
      </c>
      <c r="I812" s="61">
        <f>27.1652 * CHOOSE(CONTROL!$C$22, $C$13, 100%, $E$13)</f>
        <v>27.165199999999999</v>
      </c>
      <c r="J812" s="61">
        <f>16.6965 * CHOOSE(CONTROL!$C$22, $C$13, 100%, $E$13)</f>
        <v>16.6965</v>
      </c>
      <c r="K812" s="61">
        <f>16.6966 * CHOOSE(CONTROL!$C$22, $C$13, 100%, $E$13)</f>
        <v>16.6966</v>
      </c>
    </row>
    <row r="813" spans="1:11" ht="15">
      <c r="A813" s="13">
        <v>66597</v>
      </c>
      <c r="B813" s="60">
        <f>14.117 * CHOOSE(CONTROL!$C$22, $C$13, 100%, $E$13)</f>
        <v>14.117000000000001</v>
      </c>
      <c r="C813" s="60">
        <f>14.117 * CHOOSE(CONTROL!$C$22, $C$13, 100%, $E$13)</f>
        <v>14.117000000000001</v>
      </c>
      <c r="D813" s="60">
        <f>14.1497 * CHOOSE(CONTROL!$C$22, $C$13, 100%, $E$13)</f>
        <v>14.149699999999999</v>
      </c>
      <c r="E813" s="61">
        <f>16.7541 * CHOOSE(CONTROL!$C$22, $C$13, 100%, $E$13)</f>
        <v>16.754100000000001</v>
      </c>
      <c r="F813" s="61">
        <f>16.7541 * CHOOSE(CONTROL!$C$22, $C$13, 100%, $E$13)</f>
        <v>16.754100000000001</v>
      </c>
      <c r="G813" s="61">
        <f>16.7561 * CHOOSE(CONTROL!$C$22, $C$13, 100%, $E$13)</f>
        <v>16.7561</v>
      </c>
      <c r="H813" s="61">
        <f>27.2216* CHOOSE(CONTROL!$C$22, $C$13, 100%, $E$13)</f>
        <v>27.221599999999999</v>
      </c>
      <c r="I813" s="61">
        <f>27.2236 * CHOOSE(CONTROL!$C$22, $C$13, 100%, $E$13)</f>
        <v>27.223600000000001</v>
      </c>
      <c r="J813" s="61">
        <f>16.7541 * CHOOSE(CONTROL!$C$22, $C$13, 100%, $E$13)</f>
        <v>16.754100000000001</v>
      </c>
      <c r="K813" s="61">
        <f>16.7561 * CHOOSE(CONTROL!$C$22, $C$13, 100%, $E$13)</f>
        <v>16.7561</v>
      </c>
    </row>
    <row r="814" spans="1:11" ht="15">
      <c r="A814" s="13">
        <v>66628</v>
      </c>
      <c r="B814" s="60">
        <f>14.1231 * CHOOSE(CONTROL!$C$22, $C$13, 100%, $E$13)</f>
        <v>14.123100000000001</v>
      </c>
      <c r="C814" s="60">
        <f>14.1231 * CHOOSE(CONTROL!$C$22, $C$13, 100%, $E$13)</f>
        <v>14.123100000000001</v>
      </c>
      <c r="D814" s="60">
        <f>14.1558 * CHOOSE(CONTROL!$C$22, $C$13, 100%, $E$13)</f>
        <v>14.155799999999999</v>
      </c>
      <c r="E814" s="61">
        <f>16.7007 * CHOOSE(CONTROL!$C$22, $C$13, 100%, $E$13)</f>
        <v>16.700700000000001</v>
      </c>
      <c r="F814" s="61">
        <f>16.7007 * CHOOSE(CONTROL!$C$22, $C$13, 100%, $E$13)</f>
        <v>16.700700000000001</v>
      </c>
      <c r="G814" s="61">
        <f>16.7027 * CHOOSE(CONTROL!$C$22, $C$13, 100%, $E$13)</f>
        <v>16.7027</v>
      </c>
      <c r="H814" s="61">
        <f>27.2783* CHOOSE(CONTROL!$C$22, $C$13, 100%, $E$13)</f>
        <v>27.278300000000002</v>
      </c>
      <c r="I814" s="61">
        <f>27.2803 * CHOOSE(CONTROL!$C$22, $C$13, 100%, $E$13)</f>
        <v>27.2803</v>
      </c>
      <c r="J814" s="61">
        <f>16.7007 * CHOOSE(CONTROL!$C$22, $C$13, 100%, $E$13)</f>
        <v>16.700700000000001</v>
      </c>
      <c r="K814" s="61">
        <f>16.7027 * CHOOSE(CONTROL!$C$22, $C$13, 100%, $E$13)</f>
        <v>16.7027</v>
      </c>
    </row>
    <row r="815" spans="1:11" ht="15">
      <c r="A815" s="13">
        <v>66658</v>
      </c>
      <c r="B815" s="60">
        <f>14.3448 * CHOOSE(CONTROL!$C$22, $C$13, 100%, $E$13)</f>
        <v>14.344799999999999</v>
      </c>
      <c r="C815" s="60">
        <f>14.3448 * CHOOSE(CONTROL!$C$22, $C$13, 100%, $E$13)</f>
        <v>14.344799999999999</v>
      </c>
      <c r="D815" s="60">
        <f>14.3775 * CHOOSE(CONTROL!$C$22, $C$13, 100%, $E$13)</f>
        <v>14.3775</v>
      </c>
      <c r="E815" s="61">
        <f>17.0188 * CHOOSE(CONTROL!$C$22, $C$13, 100%, $E$13)</f>
        <v>17.018799999999999</v>
      </c>
      <c r="F815" s="61">
        <f>17.0188 * CHOOSE(CONTROL!$C$22, $C$13, 100%, $E$13)</f>
        <v>17.018799999999999</v>
      </c>
      <c r="G815" s="61">
        <f>17.0209 * CHOOSE(CONTROL!$C$22, $C$13, 100%, $E$13)</f>
        <v>17.020900000000001</v>
      </c>
      <c r="H815" s="61">
        <f>27.3351* CHOOSE(CONTROL!$C$22, $C$13, 100%, $E$13)</f>
        <v>27.335100000000001</v>
      </c>
      <c r="I815" s="61">
        <f>27.3372 * CHOOSE(CONTROL!$C$22, $C$13, 100%, $E$13)</f>
        <v>27.337199999999999</v>
      </c>
      <c r="J815" s="61">
        <f>17.0188 * CHOOSE(CONTROL!$C$22, $C$13, 100%, $E$13)</f>
        <v>17.018799999999999</v>
      </c>
      <c r="K815" s="61">
        <f>17.0209 * CHOOSE(CONTROL!$C$22, $C$13, 100%, $E$13)</f>
        <v>17.020900000000001</v>
      </c>
    </row>
    <row r="816" spans="1:11" ht="15">
      <c r="A816" s="13">
        <v>66689</v>
      </c>
      <c r="B816" s="60">
        <f>14.3515 * CHOOSE(CONTROL!$C$22, $C$13, 100%, $E$13)</f>
        <v>14.3515</v>
      </c>
      <c r="C816" s="60">
        <f>14.3515 * CHOOSE(CONTROL!$C$22, $C$13, 100%, $E$13)</f>
        <v>14.3515</v>
      </c>
      <c r="D816" s="60">
        <f>14.3842 * CHOOSE(CONTROL!$C$22, $C$13, 100%, $E$13)</f>
        <v>14.3842</v>
      </c>
      <c r="E816" s="61">
        <f>16.8506 * CHOOSE(CONTROL!$C$22, $C$13, 100%, $E$13)</f>
        <v>16.8506</v>
      </c>
      <c r="F816" s="61">
        <f>16.8506 * CHOOSE(CONTROL!$C$22, $C$13, 100%, $E$13)</f>
        <v>16.8506</v>
      </c>
      <c r="G816" s="61">
        <f>16.8526 * CHOOSE(CONTROL!$C$22, $C$13, 100%, $E$13)</f>
        <v>16.852599999999999</v>
      </c>
      <c r="H816" s="61">
        <f>27.3921* CHOOSE(CONTROL!$C$22, $C$13, 100%, $E$13)</f>
        <v>27.392099999999999</v>
      </c>
      <c r="I816" s="61">
        <f>27.3941 * CHOOSE(CONTROL!$C$22, $C$13, 100%, $E$13)</f>
        <v>27.394100000000002</v>
      </c>
      <c r="J816" s="61">
        <f>16.8506 * CHOOSE(CONTROL!$C$22, $C$13, 100%, $E$13)</f>
        <v>16.8506</v>
      </c>
      <c r="K816" s="61">
        <f>16.8526 * CHOOSE(CONTROL!$C$22, $C$13, 100%, $E$13)</f>
        <v>16.852599999999999</v>
      </c>
    </row>
    <row r="817" spans="1:11" ht="15">
      <c r="A817" s="13">
        <v>66720</v>
      </c>
      <c r="B817" s="60">
        <f>14.3484 * CHOOSE(CONTROL!$C$22, $C$13, 100%, $E$13)</f>
        <v>14.3484</v>
      </c>
      <c r="C817" s="60">
        <f>14.3484 * CHOOSE(CONTROL!$C$22, $C$13, 100%, $E$13)</f>
        <v>14.3484</v>
      </c>
      <c r="D817" s="60">
        <f>14.3811 * CHOOSE(CONTROL!$C$22, $C$13, 100%, $E$13)</f>
        <v>14.3811</v>
      </c>
      <c r="E817" s="61">
        <f>16.8292 * CHOOSE(CONTROL!$C$22, $C$13, 100%, $E$13)</f>
        <v>16.8292</v>
      </c>
      <c r="F817" s="61">
        <f>16.8292 * CHOOSE(CONTROL!$C$22, $C$13, 100%, $E$13)</f>
        <v>16.8292</v>
      </c>
      <c r="G817" s="61">
        <f>16.8313 * CHOOSE(CONTROL!$C$22, $C$13, 100%, $E$13)</f>
        <v>16.831299999999999</v>
      </c>
      <c r="H817" s="61">
        <f>27.4491* CHOOSE(CONTROL!$C$22, $C$13, 100%, $E$13)</f>
        <v>27.449100000000001</v>
      </c>
      <c r="I817" s="61">
        <f>27.4512 * CHOOSE(CONTROL!$C$22, $C$13, 100%, $E$13)</f>
        <v>27.4512</v>
      </c>
      <c r="J817" s="61">
        <f>16.8292 * CHOOSE(CONTROL!$C$22, $C$13, 100%, $E$13)</f>
        <v>16.8292</v>
      </c>
      <c r="K817" s="61">
        <f>16.8313 * CHOOSE(CONTROL!$C$22, $C$13, 100%, $E$13)</f>
        <v>16.831299999999999</v>
      </c>
    </row>
    <row r="818" spans="1:11" ht="15">
      <c r="A818" s="13">
        <v>66750</v>
      </c>
      <c r="B818" s="60">
        <f>14.3775 * CHOOSE(CONTROL!$C$22, $C$13, 100%, $E$13)</f>
        <v>14.3775</v>
      </c>
      <c r="C818" s="60">
        <f>14.3775 * CHOOSE(CONTROL!$C$22, $C$13, 100%, $E$13)</f>
        <v>14.3775</v>
      </c>
      <c r="D818" s="60">
        <f>14.3938 * CHOOSE(CONTROL!$C$22, $C$13, 100%, $E$13)</f>
        <v>14.393800000000001</v>
      </c>
      <c r="E818" s="61">
        <f>16.8927 * CHOOSE(CONTROL!$C$22, $C$13, 100%, $E$13)</f>
        <v>16.892700000000001</v>
      </c>
      <c r="F818" s="61">
        <f>16.8927 * CHOOSE(CONTROL!$C$22, $C$13, 100%, $E$13)</f>
        <v>16.892700000000001</v>
      </c>
      <c r="G818" s="61">
        <f>16.8928 * CHOOSE(CONTROL!$C$22, $C$13, 100%, $E$13)</f>
        <v>16.892800000000001</v>
      </c>
      <c r="H818" s="61">
        <f>27.5063* CHOOSE(CONTROL!$C$22, $C$13, 100%, $E$13)</f>
        <v>27.5063</v>
      </c>
      <c r="I818" s="61">
        <f>27.5065 * CHOOSE(CONTROL!$C$22, $C$13, 100%, $E$13)</f>
        <v>27.506499999999999</v>
      </c>
      <c r="J818" s="61">
        <f>16.8927 * CHOOSE(CONTROL!$C$22, $C$13, 100%, $E$13)</f>
        <v>16.892700000000001</v>
      </c>
      <c r="K818" s="61">
        <f>16.8928 * CHOOSE(CONTROL!$C$22, $C$13, 100%, $E$13)</f>
        <v>16.892800000000001</v>
      </c>
    </row>
    <row r="819" spans="1:11" ht="15">
      <c r="A819" s="13">
        <v>66781</v>
      </c>
      <c r="B819" s="60">
        <f>14.3805 * CHOOSE(CONTROL!$C$22, $C$13, 100%, $E$13)</f>
        <v>14.3805</v>
      </c>
      <c r="C819" s="60">
        <f>14.3805 * CHOOSE(CONTROL!$C$22, $C$13, 100%, $E$13)</f>
        <v>14.3805</v>
      </c>
      <c r="D819" s="60">
        <f>14.3969 * CHOOSE(CONTROL!$C$22, $C$13, 100%, $E$13)</f>
        <v>14.3969</v>
      </c>
      <c r="E819" s="61">
        <f>16.9332 * CHOOSE(CONTROL!$C$22, $C$13, 100%, $E$13)</f>
        <v>16.933199999999999</v>
      </c>
      <c r="F819" s="61">
        <f>16.9332 * CHOOSE(CONTROL!$C$22, $C$13, 100%, $E$13)</f>
        <v>16.933199999999999</v>
      </c>
      <c r="G819" s="61">
        <f>16.9334 * CHOOSE(CONTROL!$C$22, $C$13, 100%, $E$13)</f>
        <v>16.933399999999999</v>
      </c>
      <c r="H819" s="61">
        <f>27.5636* CHOOSE(CONTROL!$C$22, $C$13, 100%, $E$13)</f>
        <v>27.563600000000001</v>
      </c>
      <c r="I819" s="61">
        <f>27.5638 * CHOOSE(CONTROL!$C$22, $C$13, 100%, $E$13)</f>
        <v>27.563800000000001</v>
      </c>
      <c r="J819" s="61">
        <f>16.9332 * CHOOSE(CONTROL!$C$22, $C$13, 100%, $E$13)</f>
        <v>16.933199999999999</v>
      </c>
      <c r="K819" s="61">
        <f>16.9334 * CHOOSE(CONTROL!$C$22, $C$13, 100%, $E$13)</f>
        <v>16.933399999999999</v>
      </c>
    </row>
    <row r="820" spans="1:11" ht="15">
      <c r="A820" s="13">
        <v>66811</v>
      </c>
      <c r="B820" s="60">
        <f>14.3805 * CHOOSE(CONTROL!$C$22, $C$13, 100%, $E$13)</f>
        <v>14.3805</v>
      </c>
      <c r="C820" s="60">
        <f>14.3805 * CHOOSE(CONTROL!$C$22, $C$13, 100%, $E$13)</f>
        <v>14.3805</v>
      </c>
      <c r="D820" s="60">
        <f>14.3969 * CHOOSE(CONTROL!$C$22, $C$13, 100%, $E$13)</f>
        <v>14.3969</v>
      </c>
      <c r="E820" s="61">
        <f>16.8371 * CHOOSE(CONTROL!$C$22, $C$13, 100%, $E$13)</f>
        <v>16.8371</v>
      </c>
      <c r="F820" s="61">
        <f>16.8371 * CHOOSE(CONTROL!$C$22, $C$13, 100%, $E$13)</f>
        <v>16.8371</v>
      </c>
      <c r="G820" s="61">
        <f>16.8373 * CHOOSE(CONTROL!$C$22, $C$13, 100%, $E$13)</f>
        <v>16.837299999999999</v>
      </c>
      <c r="H820" s="61">
        <f>27.6211* CHOOSE(CONTROL!$C$22, $C$13, 100%, $E$13)</f>
        <v>27.621099999999998</v>
      </c>
      <c r="I820" s="61">
        <f>27.6212 * CHOOSE(CONTROL!$C$22, $C$13, 100%, $E$13)</f>
        <v>27.621200000000002</v>
      </c>
      <c r="J820" s="61">
        <f>16.8371 * CHOOSE(CONTROL!$C$22, $C$13, 100%, $E$13)</f>
        <v>16.8371</v>
      </c>
      <c r="K820" s="61">
        <f>16.8373 * CHOOSE(CONTROL!$C$22, $C$13, 100%, $E$13)</f>
        <v>16.837299999999999</v>
      </c>
    </row>
    <row r="821" spans="1:11" ht="15">
      <c r="A821" s="13">
        <v>66842</v>
      </c>
      <c r="B821" s="60">
        <f>14.3621 * CHOOSE(CONTROL!$C$22, $C$13, 100%, $E$13)</f>
        <v>14.3621</v>
      </c>
      <c r="C821" s="60">
        <f>14.3621 * CHOOSE(CONTROL!$C$22, $C$13, 100%, $E$13)</f>
        <v>14.3621</v>
      </c>
      <c r="D821" s="60">
        <f>14.3785 * CHOOSE(CONTROL!$C$22, $C$13, 100%, $E$13)</f>
        <v>14.378500000000001</v>
      </c>
      <c r="E821" s="61">
        <f>16.8821 * CHOOSE(CONTROL!$C$22, $C$13, 100%, $E$13)</f>
        <v>16.882100000000001</v>
      </c>
      <c r="F821" s="61">
        <f>16.8821 * CHOOSE(CONTROL!$C$22, $C$13, 100%, $E$13)</f>
        <v>16.882100000000001</v>
      </c>
      <c r="G821" s="61">
        <f>16.8822 * CHOOSE(CONTROL!$C$22, $C$13, 100%, $E$13)</f>
        <v>16.882200000000001</v>
      </c>
      <c r="H821" s="61">
        <f>27.4418* CHOOSE(CONTROL!$C$22, $C$13, 100%, $E$13)</f>
        <v>27.441800000000001</v>
      </c>
      <c r="I821" s="61">
        <f>27.442 * CHOOSE(CONTROL!$C$22, $C$13, 100%, $E$13)</f>
        <v>27.442</v>
      </c>
      <c r="J821" s="61">
        <f>16.8821 * CHOOSE(CONTROL!$C$22, $C$13, 100%, $E$13)</f>
        <v>16.882100000000001</v>
      </c>
      <c r="K821" s="61">
        <f>16.8822 * CHOOSE(CONTROL!$C$22, $C$13, 100%, $E$13)</f>
        <v>16.882200000000001</v>
      </c>
    </row>
    <row r="822" spans="1:11" ht="15">
      <c r="A822" s="13">
        <v>66873</v>
      </c>
      <c r="B822" s="60">
        <f>14.3591 * CHOOSE(CONTROL!$C$22, $C$13, 100%, $E$13)</f>
        <v>14.3591</v>
      </c>
      <c r="C822" s="60">
        <f>14.3591 * CHOOSE(CONTROL!$C$22, $C$13, 100%, $E$13)</f>
        <v>14.3591</v>
      </c>
      <c r="D822" s="60">
        <f>14.3754 * CHOOSE(CONTROL!$C$22, $C$13, 100%, $E$13)</f>
        <v>14.375400000000001</v>
      </c>
      <c r="E822" s="61">
        <f>16.6952 * CHOOSE(CONTROL!$C$22, $C$13, 100%, $E$13)</f>
        <v>16.6952</v>
      </c>
      <c r="F822" s="61">
        <f>16.6952 * CHOOSE(CONTROL!$C$22, $C$13, 100%, $E$13)</f>
        <v>16.6952</v>
      </c>
      <c r="G822" s="61">
        <f>16.6954 * CHOOSE(CONTROL!$C$22, $C$13, 100%, $E$13)</f>
        <v>16.695399999999999</v>
      </c>
      <c r="H822" s="61">
        <f>27.499* CHOOSE(CONTROL!$C$22, $C$13, 100%, $E$13)</f>
        <v>27.498999999999999</v>
      </c>
      <c r="I822" s="61">
        <f>27.4992 * CHOOSE(CONTROL!$C$22, $C$13, 100%, $E$13)</f>
        <v>27.499199999999998</v>
      </c>
      <c r="J822" s="61">
        <f>16.6952 * CHOOSE(CONTROL!$C$22, $C$13, 100%, $E$13)</f>
        <v>16.6952</v>
      </c>
      <c r="K822" s="61">
        <f>16.6954 * CHOOSE(CONTROL!$C$22, $C$13, 100%, $E$13)</f>
        <v>16.695399999999999</v>
      </c>
    </row>
    <row r="823" spans="1:11" ht="15">
      <c r="A823" s="13">
        <v>66901</v>
      </c>
      <c r="B823" s="60">
        <f>14.3561 * CHOOSE(CONTROL!$C$22, $C$13, 100%, $E$13)</f>
        <v>14.3561</v>
      </c>
      <c r="C823" s="60">
        <f>14.3561 * CHOOSE(CONTROL!$C$22, $C$13, 100%, $E$13)</f>
        <v>14.3561</v>
      </c>
      <c r="D823" s="60">
        <f>14.3724 * CHOOSE(CONTROL!$C$22, $C$13, 100%, $E$13)</f>
        <v>14.372400000000001</v>
      </c>
      <c r="E823" s="61">
        <f>16.8387 * CHOOSE(CONTROL!$C$22, $C$13, 100%, $E$13)</f>
        <v>16.838699999999999</v>
      </c>
      <c r="F823" s="61">
        <f>16.8387 * CHOOSE(CONTROL!$C$22, $C$13, 100%, $E$13)</f>
        <v>16.838699999999999</v>
      </c>
      <c r="G823" s="61">
        <f>16.8389 * CHOOSE(CONTROL!$C$22, $C$13, 100%, $E$13)</f>
        <v>16.838899999999999</v>
      </c>
      <c r="H823" s="61">
        <f>27.5563* CHOOSE(CONTROL!$C$22, $C$13, 100%, $E$13)</f>
        <v>27.5563</v>
      </c>
      <c r="I823" s="61">
        <f>27.5564 * CHOOSE(CONTROL!$C$22, $C$13, 100%, $E$13)</f>
        <v>27.5564</v>
      </c>
      <c r="J823" s="61">
        <f>16.8387 * CHOOSE(CONTROL!$C$22, $C$13, 100%, $E$13)</f>
        <v>16.838699999999999</v>
      </c>
      <c r="K823" s="61">
        <f>16.8389 * CHOOSE(CONTROL!$C$22, $C$13, 100%, $E$13)</f>
        <v>16.838899999999999</v>
      </c>
    </row>
    <row r="824" spans="1:11" ht="15">
      <c r="A824" s="13">
        <v>66932</v>
      </c>
      <c r="B824" s="60">
        <f>14.3625 * CHOOSE(CONTROL!$C$22, $C$13, 100%, $E$13)</f>
        <v>14.362500000000001</v>
      </c>
      <c r="C824" s="60">
        <f>14.3625 * CHOOSE(CONTROL!$C$22, $C$13, 100%, $E$13)</f>
        <v>14.362500000000001</v>
      </c>
      <c r="D824" s="60">
        <f>14.3789 * CHOOSE(CONTROL!$C$22, $C$13, 100%, $E$13)</f>
        <v>14.3789</v>
      </c>
      <c r="E824" s="61">
        <f>16.9909 * CHOOSE(CONTROL!$C$22, $C$13, 100%, $E$13)</f>
        <v>16.9909</v>
      </c>
      <c r="F824" s="61">
        <f>16.9909 * CHOOSE(CONTROL!$C$22, $C$13, 100%, $E$13)</f>
        <v>16.9909</v>
      </c>
      <c r="G824" s="61">
        <f>16.9911 * CHOOSE(CONTROL!$C$22, $C$13, 100%, $E$13)</f>
        <v>16.991099999999999</v>
      </c>
      <c r="H824" s="61">
        <f>27.6137* CHOOSE(CONTROL!$C$22, $C$13, 100%, $E$13)</f>
        <v>27.613700000000001</v>
      </c>
      <c r="I824" s="61">
        <f>27.6138 * CHOOSE(CONTROL!$C$22, $C$13, 100%, $E$13)</f>
        <v>27.613800000000001</v>
      </c>
      <c r="J824" s="61">
        <f>16.9909 * CHOOSE(CONTROL!$C$22, $C$13, 100%, $E$13)</f>
        <v>16.9909</v>
      </c>
      <c r="K824" s="61">
        <f>16.9911 * CHOOSE(CONTROL!$C$22, $C$13, 100%, $E$13)</f>
        <v>16.991099999999999</v>
      </c>
    </row>
    <row r="825" spans="1:11" ht="15">
      <c r="A825" s="13">
        <v>66962</v>
      </c>
      <c r="B825" s="60">
        <f>14.3625 * CHOOSE(CONTROL!$C$22, $C$13, 100%, $E$13)</f>
        <v>14.362500000000001</v>
      </c>
      <c r="C825" s="60">
        <f>14.3625 * CHOOSE(CONTROL!$C$22, $C$13, 100%, $E$13)</f>
        <v>14.362500000000001</v>
      </c>
      <c r="D825" s="60">
        <f>14.3952 * CHOOSE(CONTROL!$C$22, $C$13, 100%, $E$13)</f>
        <v>14.395200000000001</v>
      </c>
      <c r="E825" s="61">
        <f>17.0496 * CHOOSE(CONTROL!$C$22, $C$13, 100%, $E$13)</f>
        <v>17.049600000000002</v>
      </c>
      <c r="F825" s="61">
        <f>17.0496 * CHOOSE(CONTROL!$C$22, $C$13, 100%, $E$13)</f>
        <v>17.049600000000002</v>
      </c>
      <c r="G825" s="61">
        <f>17.0516 * CHOOSE(CONTROL!$C$22, $C$13, 100%, $E$13)</f>
        <v>17.051600000000001</v>
      </c>
      <c r="H825" s="61">
        <f>27.6712* CHOOSE(CONTROL!$C$22, $C$13, 100%, $E$13)</f>
        <v>27.671199999999999</v>
      </c>
      <c r="I825" s="61">
        <f>27.6732 * CHOOSE(CONTROL!$C$22, $C$13, 100%, $E$13)</f>
        <v>27.673200000000001</v>
      </c>
      <c r="J825" s="61">
        <f>17.0496 * CHOOSE(CONTROL!$C$22, $C$13, 100%, $E$13)</f>
        <v>17.049600000000002</v>
      </c>
      <c r="K825" s="61">
        <f>17.0516 * CHOOSE(CONTROL!$C$22, $C$13, 100%, $E$13)</f>
        <v>17.051600000000001</v>
      </c>
    </row>
    <row r="826" spans="1:11" ht="15">
      <c r="A826" s="13">
        <v>66993</v>
      </c>
      <c r="B826" s="60">
        <f>14.3686 * CHOOSE(CONTROL!$C$22, $C$13, 100%, $E$13)</f>
        <v>14.368600000000001</v>
      </c>
      <c r="C826" s="60">
        <f>14.3686 * CHOOSE(CONTROL!$C$22, $C$13, 100%, $E$13)</f>
        <v>14.368600000000001</v>
      </c>
      <c r="D826" s="60">
        <f>14.4013 * CHOOSE(CONTROL!$C$22, $C$13, 100%, $E$13)</f>
        <v>14.401300000000001</v>
      </c>
      <c r="E826" s="61">
        <f>16.9951 * CHOOSE(CONTROL!$C$22, $C$13, 100%, $E$13)</f>
        <v>16.995100000000001</v>
      </c>
      <c r="F826" s="61">
        <f>16.9951 * CHOOSE(CONTROL!$C$22, $C$13, 100%, $E$13)</f>
        <v>16.995100000000001</v>
      </c>
      <c r="G826" s="61">
        <f>16.9972 * CHOOSE(CONTROL!$C$22, $C$13, 100%, $E$13)</f>
        <v>16.997199999999999</v>
      </c>
      <c r="H826" s="61">
        <f>27.7288* CHOOSE(CONTROL!$C$22, $C$13, 100%, $E$13)</f>
        <v>27.7288</v>
      </c>
      <c r="I826" s="61">
        <f>27.7309 * CHOOSE(CONTROL!$C$22, $C$13, 100%, $E$13)</f>
        <v>27.730899999999998</v>
      </c>
      <c r="J826" s="61">
        <f>16.9951 * CHOOSE(CONTROL!$C$22, $C$13, 100%, $E$13)</f>
        <v>16.995100000000001</v>
      </c>
      <c r="K826" s="61">
        <f>16.9972 * CHOOSE(CONTROL!$C$22, $C$13, 100%, $E$13)</f>
        <v>16.997199999999999</v>
      </c>
    </row>
    <row r="827" spans="1:11" ht="15">
      <c r="A827" s="13">
        <v>67023</v>
      </c>
      <c r="B827" s="60">
        <f>14.594 * CHOOSE(CONTROL!$C$22, $C$13, 100%, $E$13)</f>
        <v>14.593999999999999</v>
      </c>
      <c r="C827" s="60">
        <f>14.594 * CHOOSE(CONTROL!$C$22, $C$13, 100%, $E$13)</f>
        <v>14.593999999999999</v>
      </c>
      <c r="D827" s="60">
        <f>14.6267 * CHOOSE(CONTROL!$C$22, $C$13, 100%, $E$13)</f>
        <v>14.6267</v>
      </c>
      <c r="E827" s="61">
        <f>17.3187 * CHOOSE(CONTROL!$C$22, $C$13, 100%, $E$13)</f>
        <v>17.3187</v>
      </c>
      <c r="F827" s="61">
        <f>17.3187 * CHOOSE(CONTROL!$C$22, $C$13, 100%, $E$13)</f>
        <v>17.3187</v>
      </c>
      <c r="G827" s="61">
        <f>17.3207 * CHOOSE(CONTROL!$C$22, $C$13, 100%, $E$13)</f>
        <v>17.320699999999999</v>
      </c>
      <c r="H827" s="61">
        <f>27.7866* CHOOSE(CONTROL!$C$22, $C$13, 100%, $E$13)</f>
        <v>27.7866</v>
      </c>
      <c r="I827" s="61">
        <f>27.7887 * CHOOSE(CONTROL!$C$22, $C$13, 100%, $E$13)</f>
        <v>27.788699999999999</v>
      </c>
      <c r="J827" s="61">
        <f>17.3187 * CHOOSE(CONTROL!$C$22, $C$13, 100%, $E$13)</f>
        <v>17.3187</v>
      </c>
      <c r="K827" s="61">
        <f>17.3207 * CHOOSE(CONTROL!$C$22, $C$13, 100%, $E$13)</f>
        <v>17.320699999999999</v>
      </c>
    </row>
    <row r="828" spans="1:11" ht="15">
      <c r="A828" s="13">
        <v>67054</v>
      </c>
      <c r="B828" s="60">
        <f>14.6007 * CHOOSE(CONTROL!$C$22, $C$13, 100%, $E$13)</f>
        <v>14.6007</v>
      </c>
      <c r="C828" s="60">
        <f>14.6007 * CHOOSE(CONTROL!$C$22, $C$13, 100%, $E$13)</f>
        <v>14.6007</v>
      </c>
      <c r="D828" s="60">
        <f>14.6334 * CHOOSE(CONTROL!$C$22, $C$13, 100%, $E$13)</f>
        <v>14.6334</v>
      </c>
      <c r="E828" s="61">
        <f>17.1474 * CHOOSE(CONTROL!$C$22, $C$13, 100%, $E$13)</f>
        <v>17.147400000000001</v>
      </c>
      <c r="F828" s="61">
        <f>17.1474 * CHOOSE(CONTROL!$C$22, $C$13, 100%, $E$13)</f>
        <v>17.147400000000001</v>
      </c>
      <c r="G828" s="61">
        <f>17.1494 * CHOOSE(CONTROL!$C$22, $C$13, 100%, $E$13)</f>
        <v>17.1494</v>
      </c>
      <c r="H828" s="61">
        <f>27.8445* CHOOSE(CONTROL!$C$22, $C$13, 100%, $E$13)</f>
        <v>27.8445</v>
      </c>
      <c r="I828" s="61">
        <f>27.8465 * CHOOSE(CONTROL!$C$22, $C$13, 100%, $E$13)</f>
        <v>27.846499999999999</v>
      </c>
      <c r="J828" s="61">
        <f>17.1474 * CHOOSE(CONTROL!$C$22, $C$13, 100%, $E$13)</f>
        <v>17.147400000000001</v>
      </c>
      <c r="K828" s="61">
        <f>17.1494 * CHOOSE(CONTROL!$C$22, $C$13, 100%, $E$13)</f>
        <v>17.1494</v>
      </c>
    </row>
    <row r="829" spans="1:11" ht="15">
      <c r="A829" s="13">
        <v>67085</v>
      </c>
      <c r="B829" s="60">
        <f>14.5977 * CHOOSE(CONTROL!$C$22, $C$13, 100%, $E$13)</f>
        <v>14.5977</v>
      </c>
      <c r="C829" s="60">
        <f>14.5977 * CHOOSE(CONTROL!$C$22, $C$13, 100%, $E$13)</f>
        <v>14.5977</v>
      </c>
      <c r="D829" s="60">
        <f>14.6303 * CHOOSE(CONTROL!$C$22, $C$13, 100%, $E$13)</f>
        <v>14.6303</v>
      </c>
      <c r="E829" s="61">
        <f>17.1257 * CHOOSE(CONTROL!$C$22, $C$13, 100%, $E$13)</f>
        <v>17.125699999999998</v>
      </c>
      <c r="F829" s="61">
        <f>17.1257 * CHOOSE(CONTROL!$C$22, $C$13, 100%, $E$13)</f>
        <v>17.125699999999998</v>
      </c>
      <c r="G829" s="61">
        <f>17.1278 * CHOOSE(CONTROL!$C$22, $C$13, 100%, $E$13)</f>
        <v>17.127800000000001</v>
      </c>
      <c r="H829" s="61">
        <f>27.9025* CHOOSE(CONTROL!$C$22, $C$13, 100%, $E$13)</f>
        <v>27.9025</v>
      </c>
      <c r="I829" s="61">
        <f>27.9045 * CHOOSE(CONTROL!$C$22, $C$13, 100%, $E$13)</f>
        <v>27.904499999999999</v>
      </c>
      <c r="J829" s="61">
        <f>17.1257 * CHOOSE(CONTROL!$C$22, $C$13, 100%, $E$13)</f>
        <v>17.125699999999998</v>
      </c>
      <c r="K829" s="61">
        <f>17.1278 * CHOOSE(CONTROL!$C$22, $C$13, 100%, $E$13)</f>
        <v>17.127800000000001</v>
      </c>
    </row>
    <row r="830" spans="1:11" ht="15">
      <c r="A830" s="13">
        <v>67115</v>
      </c>
      <c r="B830" s="60">
        <f>14.6275 * CHOOSE(CONTROL!$C$22, $C$13, 100%, $E$13)</f>
        <v>14.6275</v>
      </c>
      <c r="C830" s="60">
        <f>14.6275 * CHOOSE(CONTROL!$C$22, $C$13, 100%, $E$13)</f>
        <v>14.6275</v>
      </c>
      <c r="D830" s="60">
        <f>14.6438 * CHOOSE(CONTROL!$C$22, $C$13, 100%, $E$13)</f>
        <v>14.643800000000001</v>
      </c>
      <c r="E830" s="61">
        <f>17.1905 * CHOOSE(CONTROL!$C$22, $C$13, 100%, $E$13)</f>
        <v>17.1905</v>
      </c>
      <c r="F830" s="61">
        <f>17.1905 * CHOOSE(CONTROL!$C$22, $C$13, 100%, $E$13)</f>
        <v>17.1905</v>
      </c>
      <c r="G830" s="61">
        <f>17.1907 * CHOOSE(CONTROL!$C$22, $C$13, 100%, $E$13)</f>
        <v>17.1907</v>
      </c>
      <c r="H830" s="61">
        <f>27.9606* CHOOSE(CONTROL!$C$22, $C$13, 100%, $E$13)</f>
        <v>27.960599999999999</v>
      </c>
      <c r="I830" s="61">
        <f>27.9608 * CHOOSE(CONTROL!$C$22, $C$13, 100%, $E$13)</f>
        <v>27.960799999999999</v>
      </c>
      <c r="J830" s="61">
        <f>17.1905 * CHOOSE(CONTROL!$C$22, $C$13, 100%, $E$13)</f>
        <v>17.1905</v>
      </c>
      <c r="K830" s="61">
        <f>17.1907 * CHOOSE(CONTROL!$C$22, $C$13, 100%, $E$13)</f>
        <v>17.1907</v>
      </c>
    </row>
    <row r="831" spans="1:11" ht="15">
      <c r="A831" s="13">
        <v>67146</v>
      </c>
      <c r="B831" s="60">
        <f>14.6305 * CHOOSE(CONTROL!$C$22, $C$13, 100%, $E$13)</f>
        <v>14.6305</v>
      </c>
      <c r="C831" s="60">
        <f>14.6305 * CHOOSE(CONTROL!$C$22, $C$13, 100%, $E$13)</f>
        <v>14.6305</v>
      </c>
      <c r="D831" s="60">
        <f>14.6469 * CHOOSE(CONTROL!$C$22, $C$13, 100%, $E$13)</f>
        <v>14.6469</v>
      </c>
      <c r="E831" s="61">
        <f>17.2317 * CHOOSE(CONTROL!$C$22, $C$13, 100%, $E$13)</f>
        <v>17.2317</v>
      </c>
      <c r="F831" s="61">
        <f>17.2317 * CHOOSE(CONTROL!$C$22, $C$13, 100%, $E$13)</f>
        <v>17.2317</v>
      </c>
      <c r="G831" s="61">
        <f>17.2319 * CHOOSE(CONTROL!$C$22, $C$13, 100%, $E$13)</f>
        <v>17.2319</v>
      </c>
      <c r="H831" s="61">
        <f>28.0189* CHOOSE(CONTROL!$C$22, $C$13, 100%, $E$13)</f>
        <v>28.018899999999999</v>
      </c>
      <c r="I831" s="61">
        <f>28.0191 * CHOOSE(CONTROL!$C$22, $C$13, 100%, $E$13)</f>
        <v>28.019100000000002</v>
      </c>
      <c r="J831" s="61">
        <f>17.2317 * CHOOSE(CONTROL!$C$22, $C$13, 100%, $E$13)</f>
        <v>17.2317</v>
      </c>
      <c r="K831" s="61">
        <f>17.2319 * CHOOSE(CONTROL!$C$22, $C$13, 100%, $E$13)</f>
        <v>17.2319</v>
      </c>
    </row>
    <row r="832" spans="1:11" ht="15">
      <c r="A832" s="13">
        <v>67176</v>
      </c>
      <c r="B832" s="60">
        <f>14.6305 * CHOOSE(CONTROL!$C$22, $C$13, 100%, $E$13)</f>
        <v>14.6305</v>
      </c>
      <c r="C832" s="60">
        <f>14.6305 * CHOOSE(CONTROL!$C$22, $C$13, 100%, $E$13)</f>
        <v>14.6305</v>
      </c>
      <c r="D832" s="60">
        <f>14.6469 * CHOOSE(CONTROL!$C$22, $C$13, 100%, $E$13)</f>
        <v>14.6469</v>
      </c>
      <c r="E832" s="61">
        <f>17.134 * CHOOSE(CONTROL!$C$22, $C$13, 100%, $E$13)</f>
        <v>17.134</v>
      </c>
      <c r="F832" s="61">
        <f>17.134 * CHOOSE(CONTROL!$C$22, $C$13, 100%, $E$13)</f>
        <v>17.134</v>
      </c>
      <c r="G832" s="61">
        <f>17.1342 * CHOOSE(CONTROL!$C$22, $C$13, 100%, $E$13)</f>
        <v>17.1342</v>
      </c>
      <c r="H832" s="61">
        <f>28.0773* CHOOSE(CONTROL!$C$22, $C$13, 100%, $E$13)</f>
        <v>28.077300000000001</v>
      </c>
      <c r="I832" s="61">
        <f>28.0774 * CHOOSE(CONTROL!$C$22, $C$13, 100%, $E$13)</f>
        <v>28.077400000000001</v>
      </c>
      <c r="J832" s="61">
        <f>17.134 * CHOOSE(CONTROL!$C$22, $C$13, 100%, $E$13)</f>
        <v>17.134</v>
      </c>
      <c r="K832" s="61">
        <f>17.1342 * CHOOSE(CONTROL!$C$22, $C$13, 100%, $E$13)</f>
        <v>17.1342</v>
      </c>
    </row>
    <row r="833" spans="1:11" ht="15">
      <c r="A833" s="13">
        <v>67207</v>
      </c>
      <c r="B833" s="60">
        <f>14.6075 * CHOOSE(CONTROL!$C$22, $C$13, 100%, $E$13)</f>
        <v>14.6075</v>
      </c>
      <c r="C833" s="60">
        <f>14.6075 * CHOOSE(CONTROL!$C$22, $C$13, 100%, $E$13)</f>
        <v>14.6075</v>
      </c>
      <c r="D833" s="60">
        <f>14.6238 * CHOOSE(CONTROL!$C$22, $C$13, 100%, $E$13)</f>
        <v>14.623799999999999</v>
      </c>
      <c r="E833" s="61">
        <f>17.1745 * CHOOSE(CONTROL!$C$22, $C$13, 100%, $E$13)</f>
        <v>17.174499999999998</v>
      </c>
      <c r="F833" s="61">
        <f>17.1745 * CHOOSE(CONTROL!$C$22, $C$13, 100%, $E$13)</f>
        <v>17.174499999999998</v>
      </c>
      <c r="G833" s="61">
        <f>17.1747 * CHOOSE(CONTROL!$C$22, $C$13, 100%, $E$13)</f>
        <v>17.174700000000001</v>
      </c>
      <c r="H833" s="61">
        <f>27.8877* CHOOSE(CONTROL!$C$22, $C$13, 100%, $E$13)</f>
        <v>27.887699999999999</v>
      </c>
      <c r="I833" s="61">
        <f>27.8879 * CHOOSE(CONTROL!$C$22, $C$13, 100%, $E$13)</f>
        <v>27.887899999999998</v>
      </c>
      <c r="J833" s="61">
        <f>17.1745 * CHOOSE(CONTROL!$C$22, $C$13, 100%, $E$13)</f>
        <v>17.174499999999998</v>
      </c>
      <c r="K833" s="61">
        <f>17.1747 * CHOOSE(CONTROL!$C$22, $C$13, 100%, $E$13)</f>
        <v>17.174700000000001</v>
      </c>
    </row>
    <row r="834" spans="1:11" ht="15">
      <c r="A834" s="13">
        <v>67238</v>
      </c>
      <c r="B834" s="60">
        <f>14.6044 * CHOOSE(CONTROL!$C$22, $C$13, 100%, $E$13)</f>
        <v>14.6044</v>
      </c>
      <c r="C834" s="60">
        <f>14.6044 * CHOOSE(CONTROL!$C$22, $C$13, 100%, $E$13)</f>
        <v>14.6044</v>
      </c>
      <c r="D834" s="60">
        <f>14.6208 * CHOOSE(CONTROL!$C$22, $C$13, 100%, $E$13)</f>
        <v>14.620799999999999</v>
      </c>
      <c r="E834" s="61">
        <f>16.9844 * CHOOSE(CONTROL!$C$22, $C$13, 100%, $E$13)</f>
        <v>16.984400000000001</v>
      </c>
      <c r="F834" s="61">
        <f>16.9844 * CHOOSE(CONTROL!$C$22, $C$13, 100%, $E$13)</f>
        <v>16.984400000000001</v>
      </c>
      <c r="G834" s="61">
        <f>16.9846 * CHOOSE(CONTROL!$C$22, $C$13, 100%, $E$13)</f>
        <v>16.9846</v>
      </c>
      <c r="H834" s="61">
        <f>27.9458* CHOOSE(CONTROL!$C$22, $C$13, 100%, $E$13)</f>
        <v>27.945799999999998</v>
      </c>
      <c r="I834" s="61">
        <f>27.946 * CHOOSE(CONTROL!$C$22, $C$13, 100%, $E$13)</f>
        <v>27.946000000000002</v>
      </c>
      <c r="J834" s="61">
        <f>16.9844 * CHOOSE(CONTROL!$C$22, $C$13, 100%, $E$13)</f>
        <v>16.984400000000001</v>
      </c>
      <c r="K834" s="61">
        <f>16.9846 * CHOOSE(CONTROL!$C$22, $C$13, 100%, $E$13)</f>
        <v>16.9846</v>
      </c>
    </row>
    <row r="835" spans="1:11" ht="15">
      <c r="A835" s="13">
        <v>67267</v>
      </c>
      <c r="B835" s="60">
        <f>14.6014 * CHOOSE(CONTROL!$C$22, $C$13, 100%, $E$13)</f>
        <v>14.6014</v>
      </c>
      <c r="C835" s="60">
        <f>14.6014 * CHOOSE(CONTROL!$C$22, $C$13, 100%, $E$13)</f>
        <v>14.6014</v>
      </c>
      <c r="D835" s="60">
        <f>14.6177 * CHOOSE(CONTROL!$C$22, $C$13, 100%, $E$13)</f>
        <v>14.617699999999999</v>
      </c>
      <c r="E835" s="61">
        <f>17.1305 * CHOOSE(CONTROL!$C$22, $C$13, 100%, $E$13)</f>
        <v>17.130500000000001</v>
      </c>
      <c r="F835" s="61">
        <f>17.1305 * CHOOSE(CONTROL!$C$22, $C$13, 100%, $E$13)</f>
        <v>17.130500000000001</v>
      </c>
      <c r="G835" s="61">
        <f>17.1306 * CHOOSE(CONTROL!$C$22, $C$13, 100%, $E$13)</f>
        <v>17.130600000000001</v>
      </c>
      <c r="H835" s="61">
        <f>28.004* CHOOSE(CONTROL!$C$22, $C$13, 100%, $E$13)</f>
        <v>28.004000000000001</v>
      </c>
      <c r="I835" s="61">
        <f>28.0042 * CHOOSE(CONTROL!$C$22, $C$13, 100%, $E$13)</f>
        <v>28.004200000000001</v>
      </c>
      <c r="J835" s="61">
        <f>17.1305 * CHOOSE(CONTROL!$C$22, $C$13, 100%, $E$13)</f>
        <v>17.130500000000001</v>
      </c>
      <c r="K835" s="61">
        <f>17.1306 * CHOOSE(CONTROL!$C$22, $C$13, 100%, $E$13)</f>
        <v>17.130600000000001</v>
      </c>
    </row>
    <row r="836" spans="1:11" ht="15">
      <c r="A836" s="13">
        <v>67298</v>
      </c>
      <c r="B836" s="60">
        <f>14.6081 * CHOOSE(CONTROL!$C$22, $C$13, 100%, $E$13)</f>
        <v>14.6081</v>
      </c>
      <c r="C836" s="60">
        <f>14.6081 * CHOOSE(CONTROL!$C$22, $C$13, 100%, $E$13)</f>
        <v>14.6081</v>
      </c>
      <c r="D836" s="60">
        <f>14.6244 * CHOOSE(CONTROL!$C$22, $C$13, 100%, $E$13)</f>
        <v>14.6244</v>
      </c>
      <c r="E836" s="61">
        <f>17.2854 * CHOOSE(CONTROL!$C$22, $C$13, 100%, $E$13)</f>
        <v>17.285399999999999</v>
      </c>
      <c r="F836" s="61">
        <f>17.2854 * CHOOSE(CONTROL!$C$22, $C$13, 100%, $E$13)</f>
        <v>17.285399999999999</v>
      </c>
      <c r="G836" s="61">
        <f>17.2855 * CHOOSE(CONTROL!$C$22, $C$13, 100%, $E$13)</f>
        <v>17.285499999999999</v>
      </c>
      <c r="H836" s="61">
        <f>28.0624* CHOOSE(CONTROL!$C$22, $C$13, 100%, $E$13)</f>
        <v>28.0624</v>
      </c>
      <c r="I836" s="61">
        <f>28.0625 * CHOOSE(CONTROL!$C$22, $C$13, 100%, $E$13)</f>
        <v>28.0625</v>
      </c>
      <c r="J836" s="61">
        <f>17.2854 * CHOOSE(CONTROL!$C$22, $C$13, 100%, $E$13)</f>
        <v>17.285399999999999</v>
      </c>
      <c r="K836" s="61">
        <f>17.2855 * CHOOSE(CONTROL!$C$22, $C$13, 100%, $E$13)</f>
        <v>17.285499999999999</v>
      </c>
    </row>
    <row r="837" spans="1:11" ht="15">
      <c r="A837" s="13">
        <v>67328</v>
      </c>
      <c r="B837" s="60">
        <f>14.6081 * CHOOSE(CONTROL!$C$22, $C$13, 100%, $E$13)</f>
        <v>14.6081</v>
      </c>
      <c r="C837" s="60">
        <f>14.6081 * CHOOSE(CONTROL!$C$22, $C$13, 100%, $E$13)</f>
        <v>14.6081</v>
      </c>
      <c r="D837" s="60">
        <f>14.6407 * CHOOSE(CONTROL!$C$22, $C$13, 100%, $E$13)</f>
        <v>14.640700000000001</v>
      </c>
      <c r="E837" s="61">
        <f>17.345 * CHOOSE(CONTROL!$C$22, $C$13, 100%, $E$13)</f>
        <v>17.344999999999999</v>
      </c>
      <c r="F837" s="61">
        <f>17.345 * CHOOSE(CONTROL!$C$22, $C$13, 100%, $E$13)</f>
        <v>17.344999999999999</v>
      </c>
      <c r="G837" s="61">
        <f>17.3471 * CHOOSE(CONTROL!$C$22, $C$13, 100%, $E$13)</f>
        <v>17.347100000000001</v>
      </c>
      <c r="H837" s="61">
        <f>28.1208* CHOOSE(CONTROL!$C$22, $C$13, 100%, $E$13)</f>
        <v>28.120799999999999</v>
      </c>
      <c r="I837" s="61">
        <f>28.1229 * CHOOSE(CONTROL!$C$22, $C$13, 100%, $E$13)</f>
        <v>28.122900000000001</v>
      </c>
      <c r="J837" s="61">
        <f>17.345 * CHOOSE(CONTROL!$C$22, $C$13, 100%, $E$13)</f>
        <v>17.344999999999999</v>
      </c>
      <c r="K837" s="61">
        <f>17.3471 * CHOOSE(CONTROL!$C$22, $C$13, 100%, $E$13)</f>
        <v>17.347100000000001</v>
      </c>
    </row>
    <row r="838" spans="1:11" ht="15">
      <c r="A838" s="13">
        <v>67359</v>
      </c>
      <c r="B838" s="60">
        <f>14.6142 * CHOOSE(CONTROL!$C$22, $C$13, 100%, $E$13)</f>
        <v>14.6142</v>
      </c>
      <c r="C838" s="60">
        <f>14.6142 * CHOOSE(CONTROL!$C$22, $C$13, 100%, $E$13)</f>
        <v>14.6142</v>
      </c>
      <c r="D838" s="60">
        <f>14.6468 * CHOOSE(CONTROL!$C$22, $C$13, 100%, $E$13)</f>
        <v>14.646800000000001</v>
      </c>
      <c r="E838" s="61">
        <f>17.2896 * CHOOSE(CONTROL!$C$22, $C$13, 100%, $E$13)</f>
        <v>17.2896</v>
      </c>
      <c r="F838" s="61">
        <f>17.2896 * CHOOSE(CONTROL!$C$22, $C$13, 100%, $E$13)</f>
        <v>17.2896</v>
      </c>
      <c r="G838" s="61">
        <f>17.2916 * CHOOSE(CONTROL!$C$22, $C$13, 100%, $E$13)</f>
        <v>17.291599999999999</v>
      </c>
      <c r="H838" s="61">
        <f>28.1794* CHOOSE(CONTROL!$C$22, $C$13, 100%, $E$13)</f>
        <v>28.179400000000001</v>
      </c>
      <c r="I838" s="61">
        <f>28.1814 * CHOOSE(CONTROL!$C$22, $C$13, 100%, $E$13)</f>
        <v>28.1814</v>
      </c>
      <c r="J838" s="61">
        <f>17.2896 * CHOOSE(CONTROL!$C$22, $C$13, 100%, $E$13)</f>
        <v>17.2896</v>
      </c>
      <c r="K838" s="61">
        <f>17.2916 * CHOOSE(CONTROL!$C$22, $C$13, 100%, $E$13)</f>
        <v>17.291599999999999</v>
      </c>
    </row>
    <row r="839" spans="1:11" ht="15">
      <c r="A839" s="13">
        <v>67389</v>
      </c>
      <c r="B839" s="60">
        <f>14.8432 * CHOOSE(CONTROL!$C$22, $C$13, 100%, $E$13)</f>
        <v>14.8432</v>
      </c>
      <c r="C839" s="60">
        <f>14.8432 * CHOOSE(CONTROL!$C$22, $C$13, 100%, $E$13)</f>
        <v>14.8432</v>
      </c>
      <c r="D839" s="60">
        <f>14.8759 * CHOOSE(CONTROL!$C$22, $C$13, 100%, $E$13)</f>
        <v>14.8759</v>
      </c>
      <c r="E839" s="61">
        <f>17.6186 * CHOOSE(CONTROL!$C$22, $C$13, 100%, $E$13)</f>
        <v>17.618600000000001</v>
      </c>
      <c r="F839" s="61">
        <f>17.6186 * CHOOSE(CONTROL!$C$22, $C$13, 100%, $E$13)</f>
        <v>17.618600000000001</v>
      </c>
      <c r="G839" s="61">
        <f>17.6206 * CHOOSE(CONTROL!$C$22, $C$13, 100%, $E$13)</f>
        <v>17.6206</v>
      </c>
      <c r="H839" s="61">
        <f>28.2381* CHOOSE(CONTROL!$C$22, $C$13, 100%, $E$13)</f>
        <v>28.238099999999999</v>
      </c>
      <c r="I839" s="61">
        <f>28.2401 * CHOOSE(CONTROL!$C$22, $C$13, 100%, $E$13)</f>
        <v>28.240100000000002</v>
      </c>
      <c r="J839" s="61">
        <f>17.6186 * CHOOSE(CONTROL!$C$22, $C$13, 100%, $E$13)</f>
        <v>17.618600000000001</v>
      </c>
      <c r="K839" s="61">
        <f>17.6206 * CHOOSE(CONTROL!$C$22, $C$13, 100%, $E$13)</f>
        <v>17.6206</v>
      </c>
    </row>
    <row r="840" spans="1:11" ht="15">
      <c r="A840" s="13">
        <v>67420</v>
      </c>
      <c r="B840" s="60">
        <f>14.8499 * CHOOSE(CONTROL!$C$22, $C$13, 100%, $E$13)</f>
        <v>14.8499</v>
      </c>
      <c r="C840" s="60">
        <f>14.8499 * CHOOSE(CONTROL!$C$22, $C$13, 100%, $E$13)</f>
        <v>14.8499</v>
      </c>
      <c r="D840" s="60">
        <f>14.8826 * CHOOSE(CONTROL!$C$22, $C$13, 100%, $E$13)</f>
        <v>14.8826</v>
      </c>
      <c r="E840" s="61">
        <f>17.4442 * CHOOSE(CONTROL!$C$22, $C$13, 100%, $E$13)</f>
        <v>17.444199999999999</v>
      </c>
      <c r="F840" s="61">
        <f>17.4442 * CHOOSE(CONTROL!$C$22, $C$13, 100%, $E$13)</f>
        <v>17.444199999999999</v>
      </c>
      <c r="G840" s="61">
        <f>17.4463 * CHOOSE(CONTROL!$C$22, $C$13, 100%, $E$13)</f>
        <v>17.446300000000001</v>
      </c>
      <c r="H840" s="61">
        <f>28.2969* CHOOSE(CONTROL!$C$22, $C$13, 100%, $E$13)</f>
        <v>28.296900000000001</v>
      </c>
      <c r="I840" s="61">
        <f>28.299 * CHOOSE(CONTROL!$C$22, $C$13, 100%, $E$13)</f>
        <v>28.298999999999999</v>
      </c>
      <c r="J840" s="61">
        <f>17.4442 * CHOOSE(CONTROL!$C$22, $C$13, 100%, $E$13)</f>
        <v>17.444199999999999</v>
      </c>
      <c r="K840" s="61">
        <f>17.4463 * CHOOSE(CONTROL!$C$22, $C$13, 100%, $E$13)</f>
        <v>17.446300000000001</v>
      </c>
    </row>
    <row r="841" spans="1:11" ht="15">
      <c r="A841" s="13">
        <v>67451</v>
      </c>
      <c r="B841" s="60">
        <f>14.8469 * CHOOSE(CONTROL!$C$22, $C$13, 100%, $E$13)</f>
        <v>14.8469</v>
      </c>
      <c r="C841" s="60">
        <f>14.8469 * CHOOSE(CONTROL!$C$22, $C$13, 100%, $E$13)</f>
        <v>14.8469</v>
      </c>
      <c r="D841" s="60">
        <f>14.8796 * CHOOSE(CONTROL!$C$22, $C$13, 100%, $E$13)</f>
        <v>14.8796</v>
      </c>
      <c r="E841" s="61">
        <f>17.4222 * CHOOSE(CONTROL!$C$22, $C$13, 100%, $E$13)</f>
        <v>17.4222</v>
      </c>
      <c r="F841" s="61">
        <f>17.4222 * CHOOSE(CONTROL!$C$22, $C$13, 100%, $E$13)</f>
        <v>17.4222</v>
      </c>
      <c r="G841" s="61">
        <f>17.4242 * CHOOSE(CONTROL!$C$22, $C$13, 100%, $E$13)</f>
        <v>17.424199999999999</v>
      </c>
      <c r="H841" s="61">
        <f>28.3559* CHOOSE(CONTROL!$C$22, $C$13, 100%, $E$13)</f>
        <v>28.355899999999998</v>
      </c>
      <c r="I841" s="61">
        <f>28.3579 * CHOOSE(CONTROL!$C$22, $C$13, 100%, $E$13)</f>
        <v>28.357900000000001</v>
      </c>
      <c r="J841" s="61">
        <f>17.4222 * CHOOSE(CONTROL!$C$22, $C$13, 100%, $E$13)</f>
        <v>17.4222</v>
      </c>
      <c r="K841" s="61">
        <f>17.4242 * CHOOSE(CONTROL!$C$22, $C$13, 100%, $E$13)</f>
        <v>17.424199999999999</v>
      </c>
    </row>
    <row r="842" spans="1:11" ht="15">
      <c r="A842" s="13">
        <v>67481</v>
      </c>
      <c r="B842" s="60">
        <f>14.8775 * CHOOSE(CONTROL!$C$22, $C$13, 100%, $E$13)</f>
        <v>14.8775</v>
      </c>
      <c r="C842" s="60">
        <f>14.8775 * CHOOSE(CONTROL!$C$22, $C$13, 100%, $E$13)</f>
        <v>14.8775</v>
      </c>
      <c r="D842" s="60">
        <f>14.8939 * CHOOSE(CONTROL!$C$22, $C$13, 100%, $E$13)</f>
        <v>14.8939</v>
      </c>
      <c r="E842" s="61">
        <f>17.4884 * CHOOSE(CONTROL!$C$22, $C$13, 100%, $E$13)</f>
        <v>17.488399999999999</v>
      </c>
      <c r="F842" s="61">
        <f>17.4884 * CHOOSE(CONTROL!$C$22, $C$13, 100%, $E$13)</f>
        <v>17.488399999999999</v>
      </c>
      <c r="G842" s="61">
        <f>17.4885 * CHOOSE(CONTROL!$C$22, $C$13, 100%, $E$13)</f>
        <v>17.488499999999998</v>
      </c>
      <c r="H842" s="61">
        <f>28.415* CHOOSE(CONTROL!$C$22, $C$13, 100%, $E$13)</f>
        <v>28.414999999999999</v>
      </c>
      <c r="I842" s="61">
        <f>28.4151 * CHOOSE(CONTROL!$C$22, $C$13, 100%, $E$13)</f>
        <v>28.415099999999999</v>
      </c>
      <c r="J842" s="61">
        <f>17.4884 * CHOOSE(CONTROL!$C$22, $C$13, 100%, $E$13)</f>
        <v>17.488399999999999</v>
      </c>
      <c r="K842" s="61">
        <f>17.4885 * CHOOSE(CONTROL!$C$22, $C$13, 100%, $E$13)</f>
        <v>17.488499999999998</v>
      </c>
    </row>
    <row r="843" spans="1:11" ht="15">
      <c r="A843" s="13">
        <v>67512</v>
      </c>
      <c r="B843" s="60">
        <f>14.8806 * CHOOSE(CONTROL!$C$22, $C$13, 100%, $E$13)</f>
        <v>14.880599999999999</v>
      </c>
      <c r="C843" s="60">
        <f>14.8806 * CHOOSE(CONTROL!$C$22, $C$13, 100%, $E$13)</f>
        <v>14.880599999999999</v>
      </c>
      <c r="D843" s="60">
        <f>14.8969 * CHOOSE(CONTROL!$C$22, $C$13, 100%, $E$13)</f>
        <v>14.8969</v>
      </c>
      <c r="E843" s="61">
        <f>17.5303 * CHOOSE(CONTROL!$C$22, $C$13, 100%, $E$13)</f>
        <v>17.5303</v>
      </c>
      <c r="F843" s="61">
        <f>17.5303 * CHOOSE(CONTROL!$C$22, $C$13, 100%, $E$13)</f>
        <v>17.5303</v>
      </c>
      <c r="G843" s="61">
        <f>17.5304 * CHOOSE(CONTROL!$C$22, $C$13, 100%, $E$13)</f>
        <v>17.5304</v>
      </c>
      <c r="H843" s="61">
        <f>28.4742* CHOOSE(CONTROL!$C$22, $C$13, 100%, $E$13)</f>
        <v>28.4742</v>
      </c>
      <c r="I843" s="61">
        <f>28.4743 * CHOOSE(CONTROL!$C$22, $C$13, 100%, $E$13)</f>
        <v>28.474299999999999</v>
      </c>
      <c r="J843" s="61">
        <f>17.5303 * CHOOSE(CONTROL!$C$22, $C$13, 100%, $E$13)</f>
        <v>17.5303</v>
      </c>
      <c r="K843" s="61">
        <f>17.5304 * CHOOSE(CONTROL!$C$22, $C$13, 100%, $E$13)</f>
        <v>17.5304</v>
      </c>
    </row>
    <row r="844" spans="1:11" ht="15">
      <c r="A844" s="13">
        <v>67542</v>
      </c>
      <c r="B844" s="60">
        <f>14.8806 * CHOOSE(CONTROL!$C$22, $C$13, 100%, $E$13)</f>
        <v>14.880599999999999</v>
      </c>
      <c r="C844" s="60">
        <f>14.8806 * CHOOSE(CONTROL!$C$22, $C$13, 100%, $E$13)</f>
        <v>14.880599999999999</v>
      </c>
      <c r="D844" s="60">
        <f>14.8969 * CHOOSE(CONTROL!$C$22, $C$13, 100%, $E$13)</f>
        <v>14.8969</v>
      </c>
      <c r="E844" s="61">
        <f>17.4308 * CHOOSE(CONTROL!$C$22, $C$13, 100%, $E$13)</f>
        <v>17.430800000000001</v>
      </c>
      <c r="F844" s="61">
        <f>17.4308 * CHOOSE(CONTROL!$C$22, $C$13, 100%, $E$13)</f>
        <v>17.430800000000001</v>
      </c>
      <c r="G844" s="61">
        <f>17.431 * CHOOSE(CONTROL!$C$22, $C$13, 100%, $E$13)</f>
        <v>17.431000000000001</v>
      </c>
      <c r="H844" s="61">
        <f>28.5335* CHOOSE(CONTROL!$C$22, $C$13, 100%, $E$13)</f>
        <v>28.5335</v>
      </c>
      <c r="I844" s="61">
        <f>28.5337 * CHOOSE(CONTROL!$C$22, $C$13, 100%, $E$13)</f>
        <v>28.5337</v>
      </c>
      <c r="J844" s="61">
        <f>17.4308 * CHOOSE(CONTROL!$C$22, $C$13, 100%, $E$13)</f>
        <v>17.430800000000001</v>
      </c>
      <c r="K844" s="61">
        <f>17.431 * CHOOSE(CONTROL!$C$22, $C$13, 100%, $E$13)</f>
        <v>17.431000000000001</v>
      </c>
    </row>
    <row r="845" spans="1:11" ht="15">
      <c r="A845" s="13">
        <v>67573</v>
      </c>
      <c r="B845" s="60">
        <f>14.8528 * CHOOSE(CONTROL!$C$22, $C$13, 100%, $E$13)</f>
        <v>14.8528</v>
      </c>
      <c r="C845" s="60">
        <f>14.8528 * CHOOSE(CONTROL!$C$22, $C$13, 100%, $E$13)</f>
        <v>14.8528</v>
      </c>
      <c r="D845" s="60">
        <f>14.8691 * CHOOSE(CONTROL!$C$22, $C$13, 100%, $E$13)</f>
        <v>14.8691</v>
      </c>
      <c r="E845" s="61">
        <f>17.4669 * CHOOSE(CONTROL!$C$22, $C$13, 100%, $E$13)</f>
        <v>17.466899999999999</v>
      </c>
      <c r="F845" s="61">
        <f>17.4669 * CHOOSE(CONTROL!$C$22, $C$13, 100%, $E$13)</f>
        <v>17.466899999999999</v>
      </c>
      <c r="G845" s="61">
        <f>17.4671 * CHOOSE(CONTROL!$C$22, $C$13, 100%, $E$13)</f>
        <v>17.467099999999999</v>
      </c>
      <c r="H845" s="61">
        <f>28.3336* CHOOSE(CONTROL!$C$22, $C$13, 100%, $E$13)</f>
        <v>28.333600000000001</v>
      </c>
      <c r="I845" s="61">
        <f>28.3338 * CHOOSE(CONTROL!$C$22, $C$13, 100%, $E$13)</f>
        <v>28.3338</v>
      </c>
      <c r="J845" s="61">
        <f>17.4669 * CHOOSE(CONTROL!$C$22, $C$13, 100%, $E$13)</f>
        <v>17.466899999999999</v>
      </c>
      <c r="K845" s="61">
        <f>17.4671 * CHOOSE(CONTROL!$C$22, $C$13, 100%, $E$13)</f>
        <v>17.467099999999999</v>
      </c>
    </row>
    <row r="846" spans="1:11" ht="15">
      <c r="A846" s="13">
        <v>67604</v>
      </c>
      <c r="B846" s="60">
        <f>14.8497 * CHOOSE(CONTROL!$C$22, $C$13, 100%, $E$13)</f>
        <v>14.8497</v>
      </c>
      <c r="C846" s="60">
        <f>14.8497 * CHOOSE(CONTROL!$C$22, $C$13, 100%, $E$13)</f>
        <v>14.8497</v>
      </c>
      <c r="D846" s="60">
        <f>14.8661 * CHOOSE(CONTROL!$C$22, $C$13, 100%, $E$13)</f>
        <v>14.866099999999999</v>
      </c>
      <c r="E846" s="61">
        <f>17.2736 * CHOOSE(CONTROL!$C$22, $C$13, 100%, $E$13)</f>
        <v>17.273599999999998</v>
      </c>
      <c r="F846" s="61">
        <f>17.2736 * CHOOSE(CONTROL!$C$22, $C$13, 100%, $E$13)</f>
        <v>17.273599999999998</v>
      </c>
      <c r="G846" s="61">
        <f>17.2738 * CHOOSE(CONTROL!$C$22, $C$13, 100%, $E$13)</f>
        <v>17.273800000000001</v>
      </c>
      <c r="H846" s="61">
        <f>28.3926* CHOOSE(CONTROL!$C$22, $C$13, 100%, $E$13)</f>
        <v>28.392600000000002</v>
      </c>
      <c r="I846" s="61">
        <f>28.3928 * CHOOSE(CONTROL!$C$22, $C$13, 100%, $E$13)</f>
        <v>28.392800000000001</v>
      </c>
      <c r="J846" s="61">
        <f>17.2736 * CHOOSE(CONTROL!$C$22, $C$13, 100%, $E$13)</f>
        <v>17.273599999999998</v>
      </c>
      <c r="K846" s="61">
        <f>17.2738 * CHOOSE(CONTROL!$C$22, $C$13, 100%, $E$13)</f>
        <v>17.273800000000001</v>
      </c>
    </row>
    <row r="847" spans="1:11" ht="15">
      <c r="A847" s="13">
        <v>67632</v>
      </c>
      <c r="B847" s="60">
        <f>14.8467 * CHOOSE(CONTROL!$C$22, $C$13, 100%, $E$13)</f>
        <v>14.8467</v>
      </c>
      <c r="C847" s="60">
        <f>14.8467 * CHOOSE(CONTROL!$C$22, $C$13, 100%, $E$13)</f>
        <v>14.8467</v>
      </c>
      <c r="D847" s="60">
        <f>14.863 * CHOOSE(CONTROL!$C$22, $C$13, 100%, $E$13)</f>
        <v>14.863</v>
      </c>
      <c r="E847" s="61">
        <f>17.4222 * CHOOSE(CONTROL!$C$22, $C$13, 100%, $E$13)</f>
        <v>17.4222</v>
      </c>
      <c r="F847" s="61">
        <f>17.4222 * CHOOSE(CONTROL!$C$22, $C$13, 100%, $E$13)</f>
        <v>17.4222</v>
      </c>
      <c r="G847" s="61">
        <f>17.4224 * CHOOSE(CONTROL!$C$22, $C$13, 100%, $E$13)</f>
        <v>17.4224</v>
      </c>
      <c r="H847" s="61">
        <f>28.4518* CHOOSE(CONTROL!$C$22, $C$13, 100%, $E$13)</f>
        <v>28.451799999999999</v>
      </c>
      <c r="I847" s="61">
        <f>28.4519 * CHOOSE(CONTROL!$C$22, $C$13, 100%, $E$13)</f>
        <v>28.451899999999998</v>
      </c>
      <c r="J847" s="61">
        <f>17.4222 * CHOOSE(CONTROL!$C$22, $C$13, 100%, $E$13)</f>
        <v>17.4222</v>
      </c>
      <c r="K847" s="61">
        <f>17.4224 * CHOOSE(CONTROL!$C$22, $C$13, 100%, $E$13)</f>
        <v>17.4224</v>
      </c>
    </row>
    <row r="848" spans="1:11" ht="15">
      <c r="A848" s="13">
        <v>67663</v>
      </c>
      <c r="B848" s="60">
        <f>14.8536 * CHOOSE(CONTROL!$C$22, $C$13, 100%, $E$13)</f>
        <v>14.8536</v>
      </c>
      <c r="C848" s="60">
        <f>14.8536 * CHOOSE(CONTROL!$C$22, $C$13, 100%, $E$13)</f>
        <v>14.8536</v>
      </c>
      <c r="D848" s="60">
        <f>14.8699 * CHOOSE(CONTROL!$C$22, $C$13, 100%, $E$13)</f>
        <v>14.869899999999999</v>
      </c>
      <c r="E848" s="61">
        <f>17.5798 * CHOOSE(CONTROL!$C$22, $C$13, 100%, $E$13)</f>
        <v>17.579799999999999</v>
      </c>
      <c r="F848" s="61">
        <f>17.5798 * CHOOSE(CONTROL!$C$22, $C$13, 100%, $E$13)</f>
        <v>17.579799999999999</v>
      </c>
      <c r="G848" s="61">
        <f>17.58 * CHOOSE(CONTROL!$C$22, $C$13, 100%, $E$13)</f>
        <v>17.579999999999998</v>
      </c>
      <c r="H848" s="61">
        <f>28.511* CHOOSE(CONTROL!$C$22, $C$13, 100%, $E$13)</f>
        <v>28.510999999999999</v>
      </c>
      <c r="I848" s="61">
        <f>28.5112 * CHOOSE(CONTROL!$C$22, $C$13, 100%, $E$13)</f>
        <v>28.511199999999999</v>
      </c>
      <c r="J848" s="61">
        <f>17.5798 * CHOOSE(CONTROL!$C$22, $C$13, 100%, $E$13)</f>
        <v>17.579799999999999</v>
      </c>
      <c r="K848" s="61">
        <f>17.58 * CHOOSE(CONTROL!$C$22, $C$13, 100%, $E$13)</f>
        <v>17.579999999999998</v>
      </c>
    </row>
    <row r="849" spans="1:11" ht="15">
      <c r="A849" s="13">
        <v>67693</v>
      </c>
      <c r="B849" s="60">
        <f>14.8536 * CHOOSE(CONTROL!$C$22, $C$13, 100%, $E$13)</f>
        <v>14.8536</v>
      </c>
      <c r="C849" s="60">
        <f>14.8536 * CHOOSE(CONTROL!$C$22, $C$13, 100%, $E$13)</f>
        <v>14.8536</v>
      </c>
      <c r="D849" s="60">
        <f>14.8863 * CHOOSE(CONTROL!$C$22, $C$13, 100%, $E$13)</f>
        <v>14.8863</v>
      </c>
      <c r="E849" s="61">
        <f>17.6405 * CHOOSE(CONTROL!$C$22, $C$13, 100%, $E$13)</f>
        <v>17.640499999999999</v>
      </c>
      <c r="F849" s="61">
        <f>17.6405 * CHOOSE(CONTROL!$C$22, $C$13, 100%, $E$13)</f>
        <v>17.640499999999999</v>
      </c>
      <c r="G849" s="61">
        <f>17.6425 * CHOOSE(CONTROL!$C$22, $C$13, 100%, $E$13)</f>
        <v>17.642499999999998</v>
      </c>
      <c r="H849" s="61">
        <f>28.5704* CHOOSE(CONTROL!$C$22, $C$13, 100%, $E$13)</f>
        <v>28.570399999999999</v>
      </c>
      <c r="I849" s="61">
        <f>28.5725 * CHOOSE(CONTROL!$C$22, $C$13, 100%, $E$13)</f>
        <v>28.572500000000002</v>
      </c>
      <c r="J849" s="61">
        <f>17.6405 * CHOOSE(CONTROL!$C$22, $C$13, 100%, $E$13)</f>
        <v>17.640499999999999</v>
      </c>
      <c r="K849" s="61">
        <f>17.6425 * CHOOSE(CONTROL!$C$22, $C$13, 100%, $E$13)</f>
        <v>17.642499999999998</v>
      </c>
    </row>
    <row r="850" spans="1:11" ht="15">
      <c r="A850" s="13">
        <v>67724</v>
      </c>
      <c r="B850" s="60">
        <f>14.8597 * CHOOSE(CONTROL!$C$22, $C$13, 100%, $E$13)</f>
        <v>14.8597</v>
      </c>
      <c r="C850" s="60">
        <f>14.8597 * CHOOSE(CONTROL!$C$22, $C$13, 100%, $E$13)</f>
        <v>14.8597</v>
      </c>
      <c r="D850" s="60">
        <f>14.8923 * CHOOSE(CONTROL!$C$22, $C$13, 100%, $E$13)</f>
        <v>14.892300000000001</v>
      </c>
      <c r="E850" s="61">
        <f>17.584 * CHOOSE(CONTROL!$C$22, $C$13, 100%, $E$13)</f>
        <v>17.584</v>
      </c>
      <c r="F850" s="61">
        <f>17.584 * CHOOSE(CONTROL!$C$22, $C$13, 100%, $E$13)</f>
        <v>17.584</v>
      </c>
      <c r="G850" s="61">
        <f>17.5861 * CHOOSE(CONTROL!$C$22, $C$13, 100%, $E$13)</f>
        <v>17.586099999999998</v>
      </c>
      <c r="H850" s="61">
        <f>28.63* CHOOSE(CONTROL!$C$22, $C$13, 100%, $E$13)</f>
        <v>28.63</v>
      </c>
      <c r="I850" s="61">
        <f>28.632 * CHOOSE(CONTROL!$C$22, $C$13, 100%, $E$13)</f>
        <v>28.632000000000001</v>
      </c>
      <c r="J850" s="61">
        <f>17.584 * CHOOSE(CONTROL!$C$22, $C$13, 100%, $E$13)</f>
        <v>17.584</v>
      </c>
      <c r="K850" s="61">
        <f>17.5861 * CHOOSE(CONTROL!$C$22, $C$13, 100%, $E$13)</f>
        <v>17.586099999999998</v>
      </c>
    </row>
    <row r="851" spans="1:11" ht="15">
      <c r="A851" s="13">
        <v>67754</v>
      </c>
      <c r="B851" s="60">
        <f>15.0924 * CHOOSE(CONTROL!$C$22, $C$13, 100%, $E$13)</f>
        <v>15.0924</v>
      </c>
      <c r="C851" s="60">
        <f>15.0924 * CHOOSE(CONTROL!$C$22, $C$13, 100%, $E$13)</f>
        <v>15.0924</v>
      </c>
      <c r="D851" s="60">
        <f>15.1251 * CHOOSE(CONTROL!$C$22, $C$13, 100%, $E$13)</f>
        <v>15.1251</v>
      </c>
      <c r="E851" s="61">
        <f>17.9185 * CHOOSE(CONTROL!$C$22, $C$13, 100%, $E$13)</f>
        <v>17.918500000000002</v>
      </c>
      <c r="F851" s="61">
        <f>17.9185 * CHOOSE(CONTROL!$C$22, $C$13, 100%, $E$13)</f>
        <v>17.918500000000002</v>
      </c>
      <c r="G851" s="61">
        <f>17.9205 * CHOOSE(CONTROL!$C$22, $C$13, 100%, $E$13)</f>
        <v>17.920500000000001</v>
      </c>
      <c r="H851" s="61">
        <f>28.6896* CHOOSE(CONTROL!$C$22, $C$13, 100%, $E$13)</f>
        <v>28.689599999999999</v>
      </c>
      <c r="I851" s="61">
        <f>28.6916 * CHOOSE(CONTROL!$C$22, $C$13, 100%, $E$13)</f>
        <v>28.691600000000001</v>
      </c>
      <c r="J851" s="61">
        <f>17.9185 * CHOOSE(CONTROL!$C$22, $C$13, 100%, $E$13)</f>
        <v>17.918500000000002</v>
      </c>
      <c r="K851" s="61">
        <f>17.9205 * CHOOSE(CONTROL!$C$22, $C$13, 100%, $E$13)</f>
        <v>17.920500000000001</v>
      </c>
    </row>
    <row r="852" spans="1:11" ht="15">
      <c r="A852" s="13">
        <v>67785</v>
      </c>
      <c r="B852" s="60">
        <f>15.0991 * CHOOSE(CONTROL!$C$22, $C$13, 100%, $E$13)</f>
        <v>15.0991</v>
      </c>
      <c r="C852" s="60">
        <f>15.0991 * CHOOSE(CONTROL!$C$22, $C$13, 100%, $E$13)</f>
        <v>15.0991</v>
      </c>
      <c r="D852" s="60">
        <f>15.1318 * CHOOSE(CONTROL!$C$22, $C$13, 100%, $E$13)</f>
        <v>15.1318</v>
      </c>
      <c r="E852" s="61">
        <f>17.7411 * CHOOSE(CONTROL!$C$22, $C$13, 100%, $E$13)</f>
        <v>17.741099999999999</v>
      </c>
      <c r="F852" s="61">
        <f>17.7411 * CHOOSE(CONTROL!$C$22, $C$13, 100%, $E$13)</f>
        <v>17.741099999999999</v>
      </c>
      <c r="G852" s="61">
        <f>17.7431 * CHOOSE(CONTROL!$C$22, $C$13, 100%, $E$13)</f>
        <v>17.743099999999998</v>
      </c>
      <c r="H852" s="61">
        <f>28.7494* CHOOSE(CONTROL!$C$22, $C$13, 100%, $E$13)</f>
        <v>28.749400000000001</v>
      </c>
      <c r="I852" s="61">
        <f>28.7514 * CHOOSE(CONTROL!$C$22, $C$13, 100%, $E$13)</f>
        <v>28.7514</v>
      </c>
      <c r="J852" s="61">
        <f>17.7411 * CHOOSE(CONTROL!$C$22, $C$13, 100%, $E$13)</f>
        <v>17.741099999999999</v>
      </c>
      <c r="K852" s="61">
        <f>17.7431 * CHOOSE(CONTROL!$C$22, $C$13, 100%, $E$13)</f>
        <v>17.743099999999998</v>
      </c>
    </row>
    <row r="853" spans="1:11" ht="15">
      <c r="A853" s="13">
        <v>67816</v>
      </c>
      <c r="B853" s="60">
        <f>15.0961 * CHOOSE(CONTROL!$C$22, $C$13, 100%, $E$13)</f>
        <v>15.0961</v>
      </c>
      <c r="C853" s="60">
        <f>15.0961 * CHOOSE(CONTROL!$C$22, $C$13, 100%, $E$13)</f>
        <v>15.0961</v>
      </c>
      <c r="D853" s="60">
        <f>15.1288 * CHOOSE(CONTROL!$C$22, $C$13, 100%, $E$13)</f>
        <v>15.1288</v>
      </c>
      <c r="E853" s="61">
        <f>17.7187 * CHOOSE(CONTROL!$C$22, $C$13, 100%, $E$13)</f>
        <v>17.718699999999998</v>
      </c>
      <c r="F853" s="61">
        <f>17.7187 * CHOOSE(CONTROL!$C$22, $C$13, 100%, $E$13)</f>
        <v>17.718699999999998</v>
      </c>
      <c r="G853" s="61">
        <f>17.7207 * CHOOSE(CONTROL!$C$22, $C$13, 100%, $E$13)</f>
        <v>17.720700000000001</v>
      </c>
      <c r="H853" s="61">
        <f>28.8093* CHOOSE(CONTROL!$C$22, $C$13, 100%, $E$13)</f>
        <v>28.8093</v>
      </c>
      <c r="I853" s="61">
        <f>28.8113 * CHOOSE(CONTROL!$C$22, $C$13, 100%, $E$13)</f>
        <v>28.811299999999999</v>
      </c>
      <c r="J853" s="61">
        <f>17.7187 * CHOOSE(CONTROL!$C$22, $C$13, 100%, $E$13)</f>
        <v>17.718699999999998</v>
      </c>
      <c r="K853" s="61">
        <f>17.7207 * CHOOSE(CONTROL!$C$22, $C$13, 100%, $E$13)</f>
        <v>17.720700000000001</v>
      </c>
    </row>
    <row r="854" spans="1:11" ht="15">
      <c r="A854" s="13">
        <v>67846</v>
      </c>
      <c r="B854" s="60">
        <f>15.1275 * CHOOSE(CONTROL!$C$22, $C$13, 100%, $E$13)</f>
        <v>15.1275</v>
      </c>
      <c r="C854" s="60">
        <f>15.1275 * CHOOSE(CONTROL!$C$22, $C$13, 100%, $E$13)</f>
        <v>15.1275</v>
      </c>
      <c r="D854" s="60">
        <f>15.1439 * CHOOSE(CONTROL!$C$22, $C$13, 100%, $E$13)</f>
        <v>15.1439</v>
      </c>
      <c r="E854" s="61">
        <f>17.7862 * CHOOSE(CONTROL!$C$22, $C$13, 100%, $E$13)</f>
        <v>17.786200000000001</v>
      </c>
      <c r="F854" s="61">
        <f>17.7862 * CHOOSE(CONTROL!$C$22, $C$13, 100%, $E$13)</f>
        <v>17.786200000000001</v>
      </c>
      <c r="G854" s="61">
        <f>17.7864 * CHOOSE(CONTROL!$C$22, $C$13, 100%, $E$13)</f>
        <v>17.7864</v>
      </c>
      <c r="H854" s="61">
        <f>28.8693* CHOOSE(CONTROL!$C$22, $C$13, 100%, $E$13)</f>
        <v>28.869299999999999</v>
      </c>
      <c r="I854" s="61">
        <f>28.8695 * CHOOSE(CONTROL!$C$22, $C$13, 100%, $E$13)</f>
        <v>28.869499999999999</v>
      </c>
      <c r="J854" s="61">
        <f>17.7862 * CHOOSE(CONTROL!$C$22, $C$13, 100%, $E$13)</f>
        <v>17.786200000000001</v>
      </c>
      <c r="K854" s="61">
        <f>17.7864 * CHOOSE(CONTROL!$C$22, $C$13, 100%, $E$13)</f>
        <v>17.7864</v>
      </c>
    </row>
    <row r="855" spans="1:11" ht="15">
      <c r="A855" s="13">
        <v>67877</v>
      </c>
      <c r="B855" s="60">
        <f>15.1306 * CHOOSE(CONTROL!$C$22, $C$13, 100%, $E$13)</f>
        <v>15.130599999999999</v>
      </c>
      <c r="C855" s="60">
        <f>15.1306 * CHOOSE(CONTROL!$C$22, $C$13, 100%, $E$13)</f>
        <v>15.130599999999999</v>
      </c>
      <c r="D855" s="60">
        <f>15.1469 * CHOOSE(CONTROL!$C$22, $C$13, 100%, $E$13)</f>
        <v>15.1469</v>
      </c>
      <c r="E855" s="61">
        <f>17.8288 * CHOOSE(CONTROL!$C$22, $C$13, 100%, $E$13)</f>
        <v>17.828800000000001</v>
      </c>
      <c r="F855" s="61">
        <f>17.8288 * CHOOSE(CONTROL!$C$22, $C$13, 100%, $E$13)</f>
        <v>17.828800000000001</v>
      </c>
      <c r="G855" s="61">
        <f>17.829 * CHOOSE(CONTROL!$C$22, $C$13, 100%, $E$13)</f>
        <v>17.829000000000001</v>
      </c>
      <c r="H855" s="61">
        <f>28.9294* CHOOSE(CONTROL!$C$22, $C$13, 100%, $E$13)</f>
        <v>28.929400000000001</v>
      </c>
      <c r="I855" s="61">
        <f>28.9296 * CHOOSE(CONTROL!$C$22, $C$13, 100%, $E$13)</f>
        <v>28.929600000000001</v>
      </c>
      <c r="J855" s="61">
        <f>17.8288 * CHOOSE(CONTROL!$C$22, $C$13, 100%, $E$13)</f>
        <v>17.828800000000001</v>
      </c>
      <c r="K855" s="61">
        <f>17.829 * CHOOSE(CONTROL!$C$22, $C$13, 100%, $E$13)</f>
        <v>17.829000000000001</v>
      </c>
    </row>
    <row r="856" spans="1:11" ht="15">
      <c r="A856" s="13">
        <v>67907</v>
      </c>
      <c r="B856" s="60">
        <f>15.1306 * CHOOSE(CONTROL!$C$22, $C$13, 100%, $E$13)</f>
        <v>15.130599999999999</v>
      </c>
      <c r="C856" s="60">
        <f>15.1306 * CHOOSE(CONTROL!$C$22, $C$13, 100%, $E$13)</f>
        <v>15.130599999999999</v>
      </c>
      <c r="D856" s="60">
        <f>15.1469 * CHOOSE(CONTROL!$C$22, $C$13, 100%, $E$13)</f>
        <v>15.1469</v>
      </c>
      <c r="E856" s="61">
        <f>17.7276 * CHOOSE(CONTROL!$C$22, $C$13, 100%, $E$13)</f>
        <v>17.727599999999999</v>
      </c>
      <c r="F856" s="61">
        <f>17.7276 * CHOOSE(CONTROL!$C$22, $C$13, 100%, $E$13)</f>
        <v>17.727599999999999</v>
      </c>
      <c r="G856" s="61">
        <f>17.7278 * CHOOSE(CONTROL!$C$22, $C$13, 100%, $E$13)</f>
        <v>17.727799999999998</v>
      </c>
      <c r="H856" s="61">
        <f>28.9897* CHOOSE(CONTROL!$C$22, $C$13, 100%, $E$13)</f>
        <v>28.989699999999999</v>
      </c>
      <c r="I856" s="61">
        <f>28.9899 * CHOOSE(CONTROL!$C$22, $C$13, 100%, $E$13)</f>
        <v>28.989899999999999</v>
      </c>
      <c r="J856" s="61">
        <f>17.7276 * CHOOSE(CONTROL!$C$22, $C$13, 100%, $E$13)</f>
        <v>17.727599999999999</v>
      </c>
      <c r="K856" s="61">
        <f>17.7278 * CHOOSE(CONTROL!$C$22, $C$13, 100%, $E$13)</f>
        <v>17.727799999999998</v>
      </c>
    </row>
    <row r="857" spans="1:11" ht="15">
      <c r="A857" s="13">
        <v>67938</v>
      </c>
      <c r="B857" s="60">
        <f>15.0981 * CHOOSE(CONTROL!$C$22, $C$13, 100%, $E$13)</f>
        <v>15.098100000000001</v>
      </c>
      <c r="C857" s="60">
        <f>15.0981 * CHOOSE(CONTROL!$C$22, $C$13, 100%, $E$13)</f>
        <v>15.098100000000001</v>
      </c>
      <c r="D857" s="60">
        <f>15.1144 * CHOOSE(CONTROL!$C$22, $C$13, 100%, $E$13)</f>
        <v>15.1144</v>
      </c>
      <c r="E857" s="61">
        <f>17.7593 * CHOOSE(CONTROL!$C$22, $C$13, 100%, $E$13)</f>
        <v>17.7593</v>
      </c>
      <c r="F857" s="61">
        <f>17.7593 * CHOOSE(CONTROL!$C$22, $C$13, 100%, $E$13)</f>
        <v>17.7593</v>
      </c>
      <c r="G857" s="61">
        <f>17.7595 * CHOOSE(CONTROL!$C$22, $C$13, 100%, $E$13)</f>
        <v>17.759499999999999</v>
      </c>
      <c r="H857" s="61">
        <f>28.7795* CHOOSE(CONTROL!$C$22, $C$13, 100%, $E$13)</f>
        <v>28.779499999999999</v>
      </c>
      <c r="I857" s="61">
        <f>28.7797 * CHOOSE(CONTROL!$C$22, $C$13, 100%, $E$13)</f>
        <v>28.779699999999998</v>
      </c>
      <c r="J857" s="61">
        <f>17.7593 * CHOOSE(CONTROL!$C$22, $C$13, 100%, $E$13)</f>
        <v>17.7593</v>
      </c>
      <c r="K857" s="61">
        <f>17.7595 * CHOOSE(CONTROL!$C$22, $C$13, 100%, $E$13)</f>
        <v>17.759499999999999</v>
      </c>
    </row>
    <row r="858" spans="1:11" ht="15">
      <c r="A858" s="13">
        <v>67969</v>
      </c>
      <c r="B858" s="60">
        <f>15.0951 * CHOOSE(CONTROL!$C$22, $C$13, 100%, $E$13)</f>
        <v>15.0951</v>
      </c>
      <c r="C858" s="60">
        <f>15.0951 * CHOOSE(CONTROL!$C$22, $C$13, 100%, $E$13)</f>
        <v>15.0951</v>
      </c>
      <c r="D858" s="60">
        <f>15.1114 * CHOOSE(CONTROL!$C$22, $C$13, 100%, $E$13)</f>
        <v>15.1114</v>
      </c>
      <c r="E858" s="61">
        <f>17.5628 * CHOOSE(CONTROL!$C$22, $C$13, 100%, $E$13)</f>
        <v>17.562799999999999</v>
      </c>
      <c r="F858" s="61">
        <f>17.5628 * CHOOSE(CONTROL!$C$22, $C$13, 100%, $E$13)</f>
        <v>17.562799999999999</v>
      </c>
      <c r="G858" s="61">
        <f>17.563 * CHOOSE(CONTROL!$C$22, $C$13, 100%, $E$13)</f>
        <v>17.562999999999999</v>
      </c>
      <c r="H858" s="61">
        <f>28.8394* CHOOSE(CONTROL!$C$22, $C$13, 100%, $E$13)</f>
        <v>28.839400000000001</v>
      </c>
      <c r="I858" s="61">
        <f>28.8396 * CHOOSE(CONTROL!$C$22, $C$13, 100%, $E$13)</f>
        <v>28.839600000000001</v>
      </c>
      <c r="J858" s="61">
        <f>17.5628 * CHOOSE(CONTROL!$C$22, $C$13, 100%, $E$13)</f>
        <v>17.562799999999999</v>
      </c>
      <c r="K858" s="61">
        <f>17.563 * CHOOSE(CONTROL!$C$22, $C$13, 100%, $E$13)</f>
        <v>17.562999999999999</v>
      </c>
    </row>
    <row r="859" spans="1:11" ht="15">
      <c r="A859" s="13">
        <v>67997</v>
      </c>
      <c r="B859" s="60">
        <f>15.092 * CHOOSE(CONTROL!$C$22, $C$13, 100%, $E$13)</f>
        <v>15.092000000000001</v>
      </c>
      <c r="C859" s="60">
        <f>15.092 * CHOOSE(CONTROL!$C$22, $C$13, 100%, $E$13)</f>
        <v>15.092000000000001</v>
      </c>
      <c r="D859" s="60">
        <f>15.1083 * CHOOSE(CONTROL!$C$22, $C$13, 100%, $E$13)</f>
        <v>15.1083</v>
      </c>
      <c r="E859" s="61">
        <f>17.7139 * CHOOSE(CONTROL!$C$22, $C$13, 100%, $E$13)</f>
        <v>17.713899999999999</v>
      </c>
      <c r="F859" s="61">
        <f>17.7139 * CHOOSE(CONTROL!$C$22, $C$13, 100%, $E$13)</f>
        <v>17.713899999999999</v>
      </c>
      <c r="G859" s="61">
        <f>17.7141 * CHOOSE(CONTROL!$C$22, $C$13, 100%, $E$13)</f>
        <v>17.714099999999998</v>
      </c>
      <c r="H859" s="61">
        <f>28.8995* CHOOSE(CONTROL!$C$22, $C$13, 100%, $E$13)</f>
        <v>28.8995</v>
      </c>
      <c r="I859" s="61">
        <f>28.8997 * CHOOSE(CONTROL!$C$22, $C$13, 100%, $E$13)</f>
        <v>28.899699999999999</v>
      </c>
      <c r="J859" s="61">
        <f>17.7139 * CHOOSE(CONTROL!$C$22, $C$13, 100%, $E$13)</f>
        <v>17.713899999999999</v>
      </c>
      <c r="K859" s="61">
        <f>17.7141 * CHOOSE(CONTROL!$C$22, $C$13, 100%, $E$13)</f>
        <v>17.714099999999998</v>
      </c>
    </row>
    <row r="860" spans="1:11" ht="15">
      <c r="A860" s="13">
        <v>68028</v>
      </c>
      <c r="B860" s="60">
        <f>15.0991 * CHOOSE(CONTROL!$C$22, $C$13, 100%, $E$13)</f>
        <v>15.0991</v>
      </c>
      <c r="C860" s="60">
        <f>15.0991 * CHOOSE(CONTROL!$C$22, $C$13, 100%, $E$13)</f>
        <v>15.0991</v>
      </c>
      <c r="D860" s="60">
        <f>15.1155 * CHOOSE(CONTROL!$C$22, $C$13, 100%, $E$13)</f>
        <v>15.115500000000001</v>
      </c>
      <c r="E860" s="61">
        <f>17.8742 * CHOOSE(CONTROL!$C$22, $C$13, 100%, $E$13)</f>
        <v>17.874199999999998</v>
      </c>
      <c r="F860" s="61">
        <f>17.8742 * CHOOSE(CONTROL!$C$22, $C$13, 100%, $E$13)</f>
        <v>17.874199999999998</v>
      </c>
      <c r="G860" s="61">
        <f>17.8744 * CHOOSE(CONTROL!$C$22, $C$13, 100%, $E$13)</f>
        <v>17.874400000000001</v>
      </c>
      <c r="H860" s="61">
        <f>28.9597* CHOOSE(CONTROL!$C$22, $C$13, 100%, $E$13)</f>
        <v>28.959700000000002</v>
      </c>
      <c r="I860" s="61">
        <f>28.9599 * CHOOSE(CONTROL!$C$22, $C$13, 100%, $E$13)</f>
        <v>28.959900000000001</v>
      </c>
      <c r="J860" s="61">
        <f>17.8742 * CHOOSE(CONTROL!$C$22, $C$13, 100%, $E$13)</f>
        <v>17.874199999999998</v>
      </c>
      <c r="K860" s="61">
        <f>17.8744 * CHOOSE(CONTROL!$C$22, $C$13, 100%, $E$13)</f>
        <v>17.874400000000001</v>
      </c>
    </row>
    <row r="861" spans="1:11" ht="15">
      <c r="A861" s="13">
        <v>68058</v>
      </c>
      <c r="B861" s="60">
        <f>15.0991 * CHOOSE(CONTROL!$C$22, $C$13, 100%, $E$13)</f>
        <v>15.0991</v>
      </c>
      <c r="C861" s="60">
        <f>15.0991 * CHOOSE(CONTROL!$C$22, $C$13, 100%, $E$13)</f>
        <v>15.0991</v>
      </c>
      <c r="D861" s="60">
        <f>15.1318 * CHOOSE(CONTROL!$C$22, $C$13, 100%, $E$13)</f>
        <v>15.1318</v>
      </c>
      <c r="E861" s="61">
        <f>17.936 * CHOOSE(CONTROL!$C$22, $C$13, 100%, $E$13)</f>
        <v>17.936</v>
      </c>
      <c r="F861" s="61">
        <f>17.936 * CHOOSE(CONTROL!$C$22, $C$13, 100%, $E$13)</f>
        <v>17.936</v>
      </c>
      <c r="G861" s="61">
        <f>17.938 * CHOOSE(CONTROL!$C$22, $C$13, 100%, $E$13)</f>
        <v>17.937999999999999</v>
      </c>
      <c r="H861" s="61">
        <f>29.0201* CHOOSE(CONTROL!$C$22, $C$13, 100%, $E$13)</f>
        <v>29.020099999999999</v>
      </c>
      <c r="I861" s="61">
        <f>29.0221 * CHOOSE(CONTROL!$C$22, $C$13, 100%, $E$13)</f>
        <v>29.022099999999998</v>
      </c>
      <c r="J861" s="61">
        <f>17.936 * CHOOSE(CONTROL!$C$22, $C$13, 100%, $E$13)</f>
        <v>17.936</v>
      </c>
      <c r="K861" s="61">
        <f>17.938 * CHOOSE(CONTROL!$C$22, $C$13, 100%, $E$13)</f>
        <v>17.937999999999999</v>
      </c>
    </row>
    <row r="862" spans="1:11" ht="15">
      <c r="A862" s="13">
        <v>68089</v>
      </c>
      <c r="B862" s="60">
        <f>15.1052 * CHOOSE(CONTROL!$C$22, $C$13, 100%, $E$13)</f>
        <v>15.1052</v>
      </c>
      <c r="C862" s="60">
        <f>15.1052 * CHOOSE(CONTROL!$C$22, $C$13, 100%, $E$13)</f>
        <v>15.1052</v>
      </c>
      <c r="D862" s="60">
        <f>15.1379 * CHOOSE(CONTROL!$C$22, $C$13, 100%, $E$13)</f>
        <v>15.1379</v>
      </c>
      <c r="E862" s="61">
        <f>17.8785 * CHOOSE(CONTROL!$C$22, $C$13, 100%, $E$13)</f>
        <v>17.878499999999999</v>
      </c>
      <c r="F862" s="61">
        <f>17.8785 * CHOOSE(CONTROL!$C$22, $C$13, 100%, $E$13)</f>
        <v>17.878499999999999</v>
      </c>
      <c r="G862" s="61">
        <f>17.8805 * CHOOSE(CONTROL!$C$22, $C$13, 100%, $E$13)</f>
        <v>17.880500000000001</v>
      </c>
      <c r="H862" s="61">
        <f>29.0805* CHOOSE(CONTROL!$C$22, $C$13, 100%, $E$13)</f>
        <v>29.080500000000001</v>
      </c>
      <c r="I862" s="61">
        <f>29.0825 * CHOOSE(CONTROL!$C$22, $C$13, 100%, $E$13)</f>
        <v>29.0825</v>
      </c>
      <c r="J862" s="61">
        <f>17.8785 * CHOOSE(CONTROL!$C$22, $C$13, 100%, $E$13)</f>
        <v>17.878499999999999</v>
      </c>
      <c r="K862" s="61">
        <f>17.8805 * CHOOSE(CONTROL!$C$22, $C$13, 100%, $E$13)</f>
        <v>17.880500000000001</v>
      </c>
    </row>
    <row r="863" spans="1:11" ht="15">
      <c r="A863" s="13">
        <v>68119</v>
      </c>
      <c r="B863" s="60">
        <f>15.3417 * CHOOSE(CONTROL!$C$22, $C$13, 100%, $E$13)</f>
        <v>15.341699999999999</v>
      </c>
      <c r="C863" s="60">
        <f>15.3417 * CHOOSE(CONTROL!$C$22, $C$13, 100%, $E$13)</f>
        <v>15.341699999999999</v>
      </c>
      <c r="D863" s="60">
        <f>15.3743 * CHOOSE(CONTROL!$C$22, $C$13, 100%, $E$13)</f>
        <v>15.3743</v>
      </c>
      <c r="E863" s="61">
        <f>18.2184 * CHOOSE(CONTROL!$C$22, $C$13, 100%, $E$13)</f>
        <v>18.218399999999999</v>
      </c>
      <c r="F863" s="61">
        <f>18.2184 * CHOOSE(CONTROL!$C$22, $C$13, 100%, $E$13)</f>
        <v>18.218399999999999</v>
      </c>
      <c r="G863" s="61">
        <f>18.2204 * CHOOSE(CONTROL!$C$22, $C$13, 100%, $E$13)</f>
        <v>18.220400000000001</v>
      </c>
      <c r="H863" s="61">
        <f>29.1411* CHOOSE(CONTROL!$C$22, $C$13, 100%, $E$13)</f>
        <v>29.141100000000002</v>
      </c>
      <c r="I863" s="61">
        <f>29.1431 * CHOOSE(CONTROL!$C$22, $C$13, 100%, $E$13)</f>
        <v>29.1431</v>
      </c>
      <c r="J863" s="61">
        <f>18.2184 * CHOOSE(CONTROL!$C$22, $C$13, 100%, $E$13)</f>
        <v>18.218399999999999</v>
      </c>
      <c r="K863" s="61">
        <f>18.2204 * CHOOSE(CONTROL!$C$22, $C$13, 100%, $E$13)</f>
        <v>18.220400000000001</v>
      </c>
    </row>
    <row r="864" spans="1:11" ht="15">
      <c r="A864" s="13">
        <v>68150</v>
      </c>
      <c r="B864" s="60">
        <f>15.3483 * CHOOSE(CONTROL!$C$22, $C$13, 100%, $E$13)</f>
        <v>15.3483</v>
      </c>
      <c r="C864" s="60">
        <f>15.3483 * CHOOSE(CONTROL!$C$22, $C$13, 100%, $E$13)</f>
        <v>15.3483</v>
      </c>
      <c r="D864" s="60">
        <f>15.381 * CHOOSE(CONTROL!$C$22, $C$13, 100%, $E$13)</f>
        <v>15.381</v>
      </c>
      <c r="E864" s="61">
        <f>18.0379 * CHOOSE(CONTROL!$C$22, $C$13, 100%, $E$13)</f>
        <v>18.0379</v>
      </c>
      <c r="F864" s="61">
        <f>18.0379 * CHOOSE(CONTROL!$C$22, $C$13, 100%, $E$13)</f>
        <v>18.0379</v>
      </c>
      <c r="G864" s="61">
        <f>18.0399 * CHOOSE(CONTROL!$C$22, $C$13, 100%, $E$13)</f>
        <v>18.039899999999999</v>
      </c>
      <c r="H864" s="61">
        <f>29.2018* CHOOSE(CONTROL!$C$22, $C$13, 100%, $E$13)</f>
        <v>29.201799999999999</v>
      </c>
      <c r="I864" s="61">
        <f>29.2038 * CHOOSE(CONTROL!$C$22, $C$13, 100%, $E$13)</f>
        <v>29.203800000000001</v>
      </c>
      <c r="J864" s="61">
        <f>18.0379 * CHOOSE(CONTROL!$C$22, $C$13, 100%, $E$13)</f>
        <v>18.0379</v>
      </c>
      <c r="K864" s="61">
        <f>18.0399 * CHOOSE(CONTROL!$C$22, $C$13, 100%, $E$13)</f>
        <v>18.039899999999999</v>
      </c>
    </row>
    <row r="865" spans="1:11" ht="15">
      <c r="A865" s="13">
        <v>68181</v>
      </c>
      <c r="B865" s="60">
        <f>15.3453 * CHOOSE(CONTROL!$C$22, $C$13, 100%, $E$13)</f>
        <v>15.3453</v>
      </c>
      <c r="C865" s="60">
        <f>15.3453 * CHOOSE(CONTROL!$C$22, $C$13, 100%, $E$13)</f>
        <v>15.3453</v>
      </c>
      <c r="D865" s="60">
        <f>15.378 * CHOOSE(CONTROL!$C$22, $C$13, 100%, $E$13)</f>
        <v>15.378</v>
      </c>
      <c r="E865" s="61">
        <f>18.0152 * CHOOSE(CONTROL!$C$22, $C$13, 100%, $E$13)</f>
        <v>18.0152</v>
      </c>
      <c r="F865" s="61">
        <f>18.0152 * CHOOSE(CONTROL!$C$22, $C$13, 100%, $E$13)</f>
        <v>18.0152</v>
      </c>
      <c r="G865" s="61">
        <f>18.0172 * CHOOSE(CONTROL!$C$22, $C$13, 100%, $E$13)</f>
        <v>18.017199999999999</v>
      </c>
      <c r="H865" s="61">
        <f>29.2626* CHOOSE(CONTROL!$C$22, $C$13, 100%, $E$13)</f>
        <v>29.262599999999999</v>
      </c>
      <c r="I865" s="61">
        <f>29.2647 * CHOOSE(CONTROL!$C$22, $C$13, 100%, $E$13)</f>
        <v>29.264700000000001</v>
      </c>
      <c r="J865" s="61">
        <f>18.0152 * CHOOSE(CONTROL!$C$22, $C$13, 100%, $E$13)</f>
        <v>18.0152</v>
      </c>
      <c r="K865" s="61">
        <f>18.0172 * CHOOSE(CONTROL!$C$22, $C$13, 100%, $E$13)</f>
        <v>18.017199999999999</v>
      </c>
    </row>
    <row r="866" spans="1:11" ht="15">
      <c r="A866" s="13">
        <v>68211</v>
      </c>
      <c r="B866" s="60">
        <f>15.3775 * CHOOSE(CONTROL!$C$22, $C$13, 100%, $E$13)</f>
        <v>15.3775</v>
      </c>
      <c r="C866" s="60">
        <f>15.3775 * CHOOSE(CONTROL!$C$22, $C$13, 100%, $E$13)</f>
        <v>15.3775</v>
      </c>
      <c r="D866" s="60">
        <f>15.3939 * CHOOSE(CONTROL!$C$22, $C$13, 100%, $E$13)</f>
        <v>15.3939</v>
      </c>
      <c r="E866" s="61">
        <f>18.0841 * CHOOSE(CONTROL!$C$22, $C$13, 100%, $E$13)</f>
        <v>18.084099999999999</v>
      </c>
      <c r="F866" s="61">
        <f>18.0841 * CHOOSE(CONTROL!$C$22, $C$13, 100%, $E$13)</f>
        <v>18.084099999999999</v>
      </c>
      <c r="G866" s="61">
        <f>18.0842 * CHOOSE(CONTROL!$C$22, $C$13, 100%, $E$13)</f>
        <v>18.084199999999999</v>
      </c>
      <c r="H866" s="61">
        <f>29.3236* CHOOSE(CONTROL!$C$22, $C$13, 100%, $E$13)</f>
        <v>29.323599999999999</v>
      </c>
      <c r="I866" s="61">
        <f>29.3238 * CHOOSE(CONTROL!$C$22, $C$13, 100%, $E$13)</f>
        <v>29.323799999999999</v>
      </c>
      <c r="J866" s="61">
        <f>18.0841 * CHOOSE(CONTROL!$C$22, $C$13, 100%, $E$13)</f>
        <v>18.084099999999999</v>
      </c>
      <c r="K866" s="61">
        <f>18.0842 * CHOOSE(CONTROL!$C$22, $C$13, 100%, $E$13)</f>
        <v>18.084199999999999</v>
      </c>
    </row>
    <row r="867" spans="1:11" ht="15">
      <c r="A867" s="13">
        <v>68242</v>
      </c>
      <c r="B867" s="60">
        <f>15.3806 * CHOOSE(CONTROL!$C$22, $C$13, 100%, $E$13)</f>
        <v>15.380599999999999</v>
      </c>
      <c r="C867" s="60">
        <f>15.3806 * CHOOSE(CONTROL!$C$22, $C$13, 100%, $E$13)</f>
        <v>15.380599999999999</v>
      </c>
      <c r="D867" s="60">
        <f>15.3969 * CHOOSE(CONTROL!$C$22, $C$13, 100%, $E$13)</f>
        <v>15.3969</v>
      </c>
      <c r="E867" s="61">
        <f>18.1273 * CHOOSE(CONTROL!$C$22, $C$13, 100%, $E$13)</f>
        <v>18.127300000000002</v>
      </c>
      <c r="F867" s="61">
        <f>18.1273 * CHOOSE(CONTROL!$C$22, $C$13, 100%, $E$13)</f>
        <v>18.127300000000002</v>
      </c>
      <c r="G867" s="61">
        <f>18.1275 * CHOOSE(CONTROL!$C$22, $C$13, 100%, $E$13)</f>
        <v>18.127500000000001</v>
      </c>
      <c r="H867" s="61">
        <f>29.3847* CHOOSE(CONTROL!$C$22, $C$13, 100%, $E$13)</f>
        <v>29.384699999999999</v>
      </c>
      <c r="I867" s="61">
        <f>29.3849 * CHOOSE(CONTROL!$C$22, $C$13, 100%, $E$13)</f>
        <v>29.384899999999998</v>
      </c>
      <c r="J867" s="61">
        <f>18.1273 * CHOOSE(CONTROL!$C$22, $C$13, 100%, $E$13)</f>
        <v>18.127300000000002</v>
      </c>
      <c r="K867" s="61">
        <f>18.1275 * CHOOSE(CONTROL!$C$22, $C$13, 100%, $E$13)</f>
        <v>18.127500000000001</v>
      </c>
    </row>
    <row r="868" spans="1:11" ht="15">
      <c r="A868" s="13">
        <v>68272</v>
      </c>
      <c r="B868" s="60">
        <f>15.3806 * CHOOSE(CONTROL!$C$22, $C$13, 100%, $E$13)</f>
        <v>15.380599999999999</v>
      </c>
      <c r="C868" s="60">
        <f>15.3806 * CHOOSE(CONTROL!$C$22, $C$13, 100%, $E$13)</f>
        <v>15.380599999999999</v>
      </c>
      <c r="D868" s="60">
        <f>15.3969 * CHOOSE(CONTROL!$C$22, $C$13, 100%, $E$13)</f>
        <v>15.3969</v>
      </c>
      <c r="E868" s="61">
        <f>18.0245 * CHOOSE(CONTROL!$C$22, $C$13, 100%, $E$13)</f>
        <v>18.0245</v>
      </c>
      <c r="F868" s="61">
        <f>18.0245 * CHOOSE(CONTROL!$C$22, $C$13, 100%, $E$13)</f>
        <v>18.0245</v>
      </c>
      <c r="G868" s="61">
        <f>18.0246 * CHOOSE(CONTROL!$C$22, $C$13, 100%, $E$13)</f>
        <v>18.0246</v>
      </c>
      <c r="H868" s="61">
        <f>29.4459* CHOOSE(CONTROL!$C$22, $C$13, 100%, $E$13)</f>
        <v>29.445900000000002</v>
      </c>
      <c r="I868" s="61">
        <f>29.4461 * CHOOSE(CONTROL!$C$22, $C$13, 100%, $E$13)</f>
        <v>29.446100000000001</v>
      </c>
      <c r="J868" s="61">
        <f>18.0245 * CHOOSE(CONTROL!$C$22, $C$13, 100%, $E$13)</f>
        <v>18.0245</v>
      </c>
      <c r="K868" s="61">
        <f>18.0246 * CHOOSE(CONTROL!$C$22, $C$13, 100%, $E$13)</f>
        <v>18.0246</v>
      </c>
    </row>
    <row r="869" spans="1:11" ht="15">
      <c r="A869" s="13">
        <v>68303</v>
      </c>
      <c r="B869" s="60">
        <f>15.3434 * CHOOSE(CONTROL!$C$22, $C$13, 100%, $E$13)</f>
        <v>15.343400000000001</v>
      </c>
      <c r="C869" s="60">
        <f>15.3434 * CHOOSE(CONTROL!$C$22, $C$13, 100%, $E$13)</f>
        <v>15.343400000000001</v>
      </c>
      <c r="D869" s="60">
        <f>15.3597 * CHOOSE(CONTROL!$C$22, $C$13, 100%, $E$13)</f>
        <v>15.3597</v>
      </c>
      <c r="E869" s="61">
        <f>18.0517 * CHOOSE(CONTROL!$C$22, $C$13, 100%, $E$13)</f>
        <v>18.0517</v>
      </c>
      <c r="F869" s="61">
        <f>18.0517 * CHOOSE(CONTROL!$C$22, $C$13, 100%, $E$13)</f>
        <v>18.0517</v>
      </c>
      <c r="G869" s="61">
        <f>18.0519 * CHOOSE(CONTROL!$C$22, $C$13, 100%, $E$13)</f>
        <v>18.0519</v>
      </c>
      <c r="H869" s="61">
        <f>29.2254* CHOOSE(CONTROL!$C$22, $C$13, 100%, $E$13)</f>
        <v>29.2254</v>
      </c>
      <c r="I869" s="61">
        <f>29.2255 * CHOOSE(CONTROL!$C$22, $C$13, 100%, $E$13)</f>
        <v>29.2255</v>
      </c>
      <c r="J869" s="61">
        <f>18.0517 * CHOOSE(CONTROL!$C$22, $C$13, 100%, $E$13)</f>
        <v>18.0517</v>
      </c>
      <c r="K869" s="61">
        <f>18.0519 * CHOOSE(CONTROL!$C$22, $C$13, 100%, $E$13)</f>
        <v>18.0519</v>
      </c>
    </row>
    <row r="870" spans="1:11" ht="15">
      <c r="A870" s="13">
        <v>68334</v>
      </c>
      <c r="B870" s="60">
        <f>15.3404 * CHOOSE(CONTROL!$C$22, $C$13, 100%, $E$13)</f>
        <v>15.340400000000001</v>
      </c>
      <c r="C870" s="60">
        <f>15.3404 * CHOOSE(CONTROL!$C$22, $C$13, 100%, $E$13)</f>
        <v>15.340400000000001</v>
      </c>
      <c r="D870" s="60">
        <f>15.3567 * CHOOSE(CONTROL!$C$22, $C$13, 100%, $E$13)</f>
        <v>15.3567</v>
      </c>
      <c r="E870" s="61">
        <f>17.852 * CHOOSE(CONTROL!$C$22, $C$13, 100%, $E$13)</f>
        <v>17.852</v>
      </c>
      <c r="F870" s="61">
        <f>17.852 * CHOOSE(CONTROL!$C$22, $C$13, 100%, $E$13)</f>
        <v>17.852</v>
      </c>
      <c r="G870" s="61">
        <f>17.8522 * CHOOSE(CONTROL!$C$22, $C$13, 100%, $E$13)</f>
        <v>17.8522</v>
      </c>
      <c r="H870" s="61">
        <f>29.2863* CHOOSE(CONTROL!$C$22, $C$13, 100%, $E$13)</f>
        <v>29.286300000000001</v>
      </c>
      <c r="I870" s="61">
        <f>29.2864 * CHOOSE(CONTROL!$C$22, $C$13, 100%, $E$13)</f>
        <v>29.2864</v>
      </c>
      <c r="J870" s="61">
        <f>17.852 * CHOOSE(CONTROL!$C$22, $C$13, 100%, $E$13)</f>
        <v>17.852</v>
      </c>
      <c r="K870" s="61">
        <f>17.8522 * CHOOSE(CONTROL!$C$22, $C$13, 100%, $E$13)</f>
        <v>17.8522</v>
      </c>
    </row>
    <row r="871" spans="1:11" ht="15">
      <c r="A871" s="13">
        <v>68362</v>
      </c>
      <c r="B871" s="60">
        <f>15.3373 * CHOOSE(CONTROL!$C$22, $C$13, 100%, $E$13)</f>
        <v>15.337300000000001</v>
      </c>
      <c r="C871" s="60">
        <f>15.3373 * CHOOSE(CONTROL!$C$22, $C$13, 100%, $E$13)</f>
        <v>15.337300000000001</v>
      </c>
      <c r="D871" s="60">
        <f>15.3537 * CHOOSE(CONTROL!$C$22, $C$13, 100%, $E$13)</f>
        <v>15.3537</v>
      </c>
      <c r="E871" s="61">
        <f>18.0057 * CHOOSE(CONTROL!$C$22, $C$13, 100%, $E$13)</f>
        <v>18.005700000000001</v>
      </c>
      <c r="F871" s="61">
        <f>18.0057 * CHOOSE(CONTROL!$C$22, $C$13, 100%, $E$13)</f>
        <v>18.005700000000001</v>
      </c>
      <c r="G871" s="61">
        <f>18.0058 * CHOOSE(CONTROL!$C$22, $C$13, 100%, $E$13)</f>
        <v>18.005800000000001</v>
      </c>
      <c r="H871" s="61">
        <f>29.3473* CHOOSE(CONTROL!$C$22, $C$13, 100%, $E$13)</f>
        <v>29.347300000000001</v>
      </c>
      <c r="I871" s="61">
        <f>29.3474 * CHOOSE(CONTROL!$C$22, $C$13, 100%, $E$13)</f>
        <v>29.3474</v>
      </c>
      <c r="J871" s="61">
        <f>18.0057 * CHOOSE(CONTROL!$C$22, $C$13, 100%, $E$13)</f>
        <v>18.005700000000001</v>
      </c>
      <c r="K871" s="61">
        <f>18.0058 * CHOOSE(CONTROL!$C$22, $C$13, 100%, $E$13)</f>
        <v>18.005800000000001</v>
      </c>
    </row>
    <row r="872" spans="1:11" ht="15">
      <c r="A872" s="13">
        <v>68393</v>
      </c>
      <c r="B872" s="60">
        <f>15.3446 * CHOOSE(CONTROL!$C$22, $C$13, 100%, $E$13)</f>
        <v>15.3446</v>
      </c>
      <c r="C872" s="60">
        <f>15.3446 * CHOOSE(CONTROL!$C$22, $C$13, 100%, $E$13)</f>
        <v>15.3446</v>
      </c>
      <c r="D872" s="60">
        <f>15.361 * CHOOSE(CONTROL!$C$22, $C$13, 100%, $E$13)</f>
        <v>15.361000000000001</v>
      </c>
      <c r="E872" s="61">
        <f>18.1687 * CHOOSE(CONTROL!$C$22, $C$13, 100%, $E$13)</f>
        <v>18.168700000000001</v>
      </c>
      <c r="F872" s="61">
        <f>18.1687 * CHOOSE(CONTROL!$C$22, $C$13, 100%, $E$13)</f>
        <v>18.168700000000001</v>
      </c>
      <c r="G872" s="61">
        <f>18.1689 * CHOOSE(CONTROL!$C$22, $C$13, 100%, $E$13)</f>
        <v>18.168900000000001</v>
      </c>
      <c r="H872" s="61">
        <f>29.4084* CHOOSE(CONTROL!$C$22, $C$13, 100%, $E$13)</f>
        <v>29.4084</v>
      </c>
      <c r="I872" s="61">
        <f>29.4086 * CHOOSE(CONTROL!$C$22, $C$13, 100%, $E$13)</f>
        <v>29.4086</v>
      </c>
      <c r="J872" s="61">
        <f>18.1687 * CHOOSE(CONTROL!$C$22, $C$13, 100%, $E$13)</f>
        <v>18.168700000000001</v>
      </c>
      <c r="K872" s="61">
        <f>18.1689 * CHOOSE(CONTROL!$C$22, $C$13, 100%, $E$13)</f>
        <v>18.168900000000001</v>
      </c>
    </row>
    <row r="873" spans="1:11" ht="15">
      <c r="A873" s="13">
        <v>68423</v>
      </c>
      <c r="B873" s="60">
        <f>15.3446 * CHOOSE(CONTROL!$C$22, $C$13, 100%, $E$13)</f>
        <v>15.3446</v>
      </c>
      <c r="C873" s="60">
        <f>15.3446 * CHOOSE(CONTROL!$C$22, $C$13, 100%, $E$13)</f>
        <v>15.3446</v>
      </c>
      <c r="D873" s="60">
        <f>15.3773 * CHOOSE(CONTROL!$C$22, $C$13, 100%, $E$13)</f>
        <v>15.3773</v>
      </c>
      <c r="E873" s="61">
        <f>18.2314 * CHOOSE(CONTROL!$C$22, $C$13, 100%, $E$13)</f>
        <v>18.231400000000001</v>
      </c>
      <c r="F873" s="61">
        <f>18.2314 * CHOOSE(CONTROL!$C$22, $C$13, 100%, $E$13)</f>
        <v>18.231400000000001</v>
      </c>
      <c r="G873" s="61">
        <f>18.2335 * CHOOSE(CONTROL!$C$22, $C$13, 100%, $E$13)</f>
        <v>18.233499999999999</v>
      </c>
      <c r="H873" s="61">
        <f>29.4697* CHOOSE(CONTROL!$C$22, $C$13, 100%, $E$13)</f>
        <v>29.4697</v>
      </c>
      <c r="I873" s="61">
        <f>29.4717 * CHOOSE(CONTROL!$C$22, $C$13, 100%, $E$13)</f>
        <v>29.471699999999998</v>
      </c>
      <c r="J873" s="61">
        <f>18.2314 * CHOOSE(CONTROL!$C$22, $C$13, 100%, $E$13)</f>
        <v>18.231400000000001</v>
      </c>
      <c r="K873" s="61">
        <f>18.2335 * CHOOSE(CONTROL!$C$22, $C$13, 100%, $E$13)</f>
        <v>18.233499999999999</v>
      </c>
    </row>
    <row r="874" spans="1:11" ht="15">
      <c r="A874" s="13">
        <v>68454</v>
      </c>
      <c r="B874" s="60">
        <f>15.3507 * CHOOSE(CONTROL!$C$22, $C$13, 100%, $E$13)</f>
        <v>15.3507</v>
      </c>
      <c r="C874" s="60">
        <f>15.3507 * CHOOSE(CONTROL!$C$22, $C$13, 100%, $E$13)</f>
        <v>15.3507</v>
      </c>
      <c r="D874" s="60">
        <f>15.3834 * CHOOSE(CONTROL!$C$22, $C$13, 100%, $E$13)</f>
        <v>15.3834</v>
      </c>
      <c r="E874" s="61">
        <f>18.1729 * CHOOSE(CONTROL!$C$22, $C$13, 100%, $E$13)</f>
        <v>18.172899999999998</v>
      </c>
      <c r="F874" s="61">
        <f>18.1729 * CHOOSE(CONTROL!$C$22, $C$13, 100%, $E$13)</f>
        <v>18.172899999999998</v>
      </c>
      <c r="G874" s="61">
        <f>18.175 * CHOOSE(CONTROL!$C$22, $C$13, 100%, $E$13)</f>
        <v>18.175000000000001</v>
      </c>
      <c r="H874" s="61">
        <f>29.5311* CHOOSE(CONTROL!$C$22, $C$13, 100%, $E$13)</f>
        <v>29.531099999999999</v>
      </c>
      <c r="I874" s="61">
        <f>29.5331 * CHOOSE(CONTROL!$C$22, $C$13, 100%, $E$13)</f>
        <v>29.533100000000001</v>
      </c>
      <c r="J874" s="61">
        <f>18.1729 * CHOOSE(CONTROL!$C$22, $C$13, 100%, $E$13)</f>
        <v>18.172899999999998</v>
      </c>
      <c r="K874" s="61">
        <f>18.175 * CHOOSE(CONTROL!$C$22, $C$13, 100%, $E$13)</f>
        <v>18.175000000000001</v>
      </c>
    </row>
    <row r="875" spans="1:11" ht="15">
      <c r="A875" s="13">
        <v>68484</v>
      </c>
      <c r="B875" s="60">
        <f>15.5909 * CHOOSE(CONTROL!$C$22, $C$13, 100%, $E$13)</f>
        <v>15.5909</v>
      </c>
      <c r="C875" s="60">
        <f>15.5909 * CHOOSE(CONTROL!$C$22, $C$13, 100%, $E$13)</f>
        <v>15.5909</v>
      </c>
      <c r="D875" s="60">
        <f>15.6236 * CHOOSE(CONTROL!$C$22, $C$13, 100%, $E$13)</f>
        <v>15.6236</v>
      </c>
      <c r="E875" s="61">
        <f>18.5182 * CHOOSE(CONTROL!$C$22, $C$13, 100%, $E$13)</f>
        <v>18.5182</v>
      </c>
      <c r="F875" s="61">
        <f>18.5182 * CHOOSE(CONTROL!$C$22, $C$13, 100%, $E$13)</f>
        <v>18.5182</v>
      </c>
      <c r="G875" s="61">
        <f>18.5203 * CHOOSE(CONTROL!$C$22, $C$13, 100%, $E$13)</f>
        <v>18.520299999999999</v>
      </c>
      <c r="H875" s="61">
        <f>29.5926* CHOOSE(CONTROL!$C$22, $C$13, 100%, $E$13)</f>
        <v>29.592600000000001</v>
      </c>
      <c r="I875" s="61">
        <f>29.5946 * CHOOSE(CONTROL!$C$22, $C$13, 100%, $E$13)</f>
        <v>29.5946</v>
      </c>
      <c r="J875" s="61">
        <f>18.5182 * CHOOSE(CONTROL!$C$22, $C$13, 100%, $E$13)</f>
        <v>18.5182</v>
      </c>
      <c r="K875" s="61">
        <f>18.5203 * CHOOSE(CONTROL!$C$22, $C$13, 100%, $E$13)</f>
        <v>18.520299999999999</v>
      </c>
    </row>
    <row r="876" spans="1:11" ht="15">
      <c r="A876" s="13">
        <v>68515</v>
      </c>
      <c r="B876" s="60">
        <f>15.5976 * CHOOSE(CONTROL!$C$22, $C$13, 100%, $E$13)</f>
        <v>15.5976</v>
      </c>
      <c r="C876" s="60">
        <f>15.5976 * CHOOSE(CONTROL!$C$22, $C$13, 100%, $E$13)</f>
        <v>15.5976</v>
      </c>
      <c r="D876" s="60">
        <f>15.6302 * CHOOSE(CONTROL!$C$22, $C$13, 100%, $E$13)</f>
        <v>15.6302</v>
      </c>
      <c r="E876" s="61">
        <f>18.3347 * CHOOSE(CONTROL!$C$22, $C$13, 100%, $E$13)</f>
        <v>18.334700000000002</v>
      </c>
      <c r="F876" s="61">
        <f>18.3347 * CHOOSE(CONTROL!$C$22, $C$13, 100%, $E$13)</f>
        <v>18.334700000000002</v>
      </c>
      <c r="G876" s="61">
        <f>18.3367 * CHOOSE(CONTROL!$C$22, $C$13, 100%, $E$13)</f>
        <v>18.3367</v>
      </c>
      <c r="H876" s="61">
        <f>29.6542* CHOOSE(CONTROL!$C$22, $C$13, 100%, $E$13)</f>
        <v>29.654199999999999</v>
      </c>
      <c r="I876" s="61">
        <f>29.6563 * CHOOSE(CONTROL!$C$22, $C$13, 100%, $E$13)</f>
        <v>29.656300000000002</v>
      </c>
      <c r="J876" s="61">
        <f>18.3347 * CHOOSE(CONTROL!$C$22, $C$13, 100%, $E$13)</f>
        <v>18.334700000000002</v>
      </c>
      <c r="K876" s="61">
        <f>18.3367 * CHOOSE(CONTROL!$C$22, $C$13, 100%, $E$13)</f>
        <v>18.3367</v>
      </c>
    </row>
    <row r="877" spans="1:11" ht="15">
      <c r="A877" s="13">
        <v>68546</v>
      </c>
      <c r="B877" s="60">
        <f>15.5945 * CHOOSE(CONTROL!$C$22, $C$13, 100%, $E$13)</f>
        <v>15.5945</v>
      </c>
      <c r="C877" s="60">
        <f>15.5945 * CHOOSE(CONTROL!$C$22, $C$13, 100%, $E$13)</f>
        <v>15.5945</v>
      </c>
      <c r="D877" s="60">
        <f>15.6272 * CHOOSE(CONTROL!$C$22, $C$13, 100%, $E$13)</f>
        <v>15.6272</v>
      </c>
      <c r="E877" s="61">
        <f>18.3117 * CHOOSE(CONTROL!$C$22, $C$13, 100%, $E$13)</f>
        <v>18.311699999999998</v>
      </c>
      <c r="F877" s="61">
        <f>18.3117 * CHOOSE(CONTROL!$C$22, $C$13, 100%, $E$13)</f>
        <v>18.311699999999998</v>
      </c>
      <c r="G877" s="61">
        <f>18.3137 * CHOOSE(CONTROL!$C$22, $C$13, 100%, $E$13)</f>
        <v>18.313700000000001</v>
      </c>
      <c r="H877" s="61">
        <f>29.716* CHOOSE(CONTROL!$C$22, $C$13, 100%, $E$13)</f>
        <v>29.716000000000001</v>
      </c>
      <c r="I877" s="61">
        <f>29.7181 * CHOOSE(CONTROL!$C$22, $C$13, 100%, $E$13)</f>
        <v>29.7181</v>
      </c>
      <c r="J877" s="61">
        <f>18.3117 * CHOOSE(CONTROL!$C$22, $C$13, 100%, $E$13)</f>
        <v>18.311699999999998</v>
      </c>
      <c r="K877" s="61">
        <f>18.3137 * CHOOSE(CONTROL!$C$22, $C$13, 100%, $E$13)</f>
        <v>18.313700000000001</v>
      </c>
    </row>
    <row r="878" spans="1:11" ht="15">
      <c r="A878" s="13">
        <v>68576</v>
      </c>
      <c r="B878" s="60">
        <f>15.6276 * CHOOSE(CONTROL!$C$22, $C$13, 100%, $E$13)</f>
        <v>15.627599999999999</v>
      </c>
      <c r="C878" s="60">
        <f>15.6276 * CHOOSE(CONTROL!$C$22, $C$13, 100%, $E$13)</f>
        <v>15.627599999999999</v>
      </c>
      <c r="D878" s="60">
        <f>15.6439 * CHOOSE(CONTROL!$C$22, $C$13, 100%, $E$13)</f>
        <v>15.6439</v>
      </c>
      <c r="E878" s="61">
        <f>18.3819 * CHOOSE(CONTROL!$C$22, $C$13, 100%, $E$13)</f>
        <v>18.381900000000002</v>
      </c>
      <c r="F878" s="61">
        <f>18.3819 * CHOOSE(CONTROL!$C$22, $C$13, 100%, $E$13)</f>
        <v>18.381900000000002</v>
      </c>
      <c r="G878" s="61">
        <f>18.3821 * CHOOSE(CONTROL!$C$22, $C$13, 100%, $E$13)</f>
        <v>18.382100000000001</v>
      </c>
      <c r="H878" s="61">
        <f>29.7779* CHOOSE(CONTROL!$C$22, $C$13, 100%, $E$13)</f>
        <v>29.777899999999999</v>
      </c>
      <c r="I878" s="61">
        <f>29.7781 * CHOOSE(CONTROL!$C$22, $C$13, 100%, $E$13)</f>
        <v>29.778099999999998</v>
      </c>
      <c r="J878" s="61">
        <f>18.3819 * CHOOSE(CONTROL!$C$22, $C$13, 100%, $E$13)</f>
        <v>18.381900000000002</v>
      </c>
      <c r="K878" s="61">
        <f>18.3821 * CHOOSE(CONTROL!$C$22, $C$13, 100%, $E$13)</f>
        <v>18.382100000000001</v>
      </c>
    </row>
    <row r="879" spans="1:11" ht="15">
      <c r="A879" s="13">
        <v>68607</v>
      </c>
      <c r="B879" s="60">
        <f>15.6306 * CHOOSE(CONTROL!$C$22, $C$13, 100%, $E$13)</f>
        <v>15.630599999999999</v>
      </c>
      <c r="C879" s="60">
        <f>15.6306 * CHOOSE(CONTROL!$C$22, $C$13, 100%, $E$13)</f>
        <v>15.630599999999999</v>
      </c>
      <c r="D879" s="60">
        <f>15.6469 * CHOOSE(CONTROL!$C$22, $C$13, 100%, $E$13)</f>
        <v>15.6469</v>
      </c>
      <c r="E879" s="61">
        <f>18.4258 * CHOOSE(CONTROL!$C$22, $C$13, 100%, $E$13)</f>
        <v>18.425799999999999</v>
      </c>
      <c r="F879" s="61">
        <f>18.4258 * CHOOSE(CONTROL!$C$22, $C$13, 100%, $E$13)</f>
        <v>18.425799999999999</v>
      </c>
      <c r="G879" s="61">
        <f>18.426 * CHOOSE(CONTROL!$C$22, $C$13, 100%, $E$13)</f>
        <v>18.425999999999998</v>
      </c>
      <c r="H879" s="61">
        <f>29.84* CHOOSE(CONTROL!$C$22, $C$13, 100%, $E$13)</f>
        <v>29.84</v>
      </c>
      <c r="I879" s="61">
        <f>29.8401 * CHOOSE(CONTROL!$C$22, $C$13, 100%, $E$13)</f>
        <v>29.8401</v>
      </c>
      <c r="J879" s="61">
        <f>18.4258 * CHOOSE(CONTROL!$C$22, $C$13, 100%, $E$13)</f>
        <v>18.425799999999999</v>
      </c>
      <c r="K879" s="61">
        <f>18.426 * CHOOSE(CONTROL!$C$22, $C$13, 100%, $E$13)</f>
        <v>18.425999999999998</v>
      </c>
    </row>
    <row r="880" spans="1:11" ht="15">
      <c r="A880" s="13">
        <v>68637</v>
      </c>
      <c r="B880" s="60">
        <f>15.6306 * CHOOSE(CONTROL!$C$22, $C$13, 100%, $E$13)</f>
        <v>15.630599999999999</v>
      </c>
      <c r="C880" s="60">
        <f>15.6306 * CHOOSE(CONTROL!$C$22, $C$13, 100%, $E$13)</f>
        <v>15.630599999999999</v>
      </c>
      <c r="D880" s="60">
        <f>15.6469 * CHOOSE(CONTROL!$C$22, $C$13, 100%, $E$13)</f>
        <v>15.6469</v>
      </c>
      <c r="E880" s="61">
        <f>18.3213 * CHOOSE(CONTROL!$C$22, $C$13, 100%, $E$13)</f>
        <v>18.321300000000001</v>
      </c>
      <c r="F880" s="61">
        <f>18.3213 * CHOOSE(CONTROL!$C$22, $C$13, 100%, $E$13)</f>
        <v>18.321300000000001</v>
      </c>
      <c r="G880" s="61">
        <f>18.3215 * CHOOSE(CONTROL!$C$22, $C$13, 100%, $E$13)</f>
        <v>18.3215</v>
      </c>
      <c r="H880" s="61">
        <f>29.9021* CHOOSE(CONTROL!$C$22, $C$13, 100%, $E$13)</f>
        <v>29.902100000000001</v>
      </c>
      <c r="I880" s="61">
        <f>29.9023 * CHOOSE(CONTROL!$C$22, $C$13, 100%, $E$13)</f>
        <v>29.9023</v>
      </c>
      <c r="J880" s="61">
        <f>18.3213 * CHOOSE(CONTROL!$C$22, $C$13, 100%, $E$13)</f>
        <v>18.321300000000001</v>
      </c>
      <c r="K880" s="61">
        <f>18.3215 * CHOOSE(CONTROL!$C$22, $C$13, 100%, $E$13)</f>
        <v>18.3215</v>
      </c>
    </row>
    <row r="881" spans="1:11" ht="15">
      <c r="A881" s="13">
        <v>68668</v>
      </c>
      <c r="B881" s="60">
        <f>15.5887 * CHOOSE(CONTROL!$C$22, $C$13, 100%, $E$13)</f>
        <v>15.588699999999999</v>
      </c>
      <c r="C881" s="60">
        <f>15.5887 * CHOOSE(CONTROL!$C$22, $C$13, 100%, $E$13)</f>
        <v>15.588699999999999</v>
      </c>
      <c r="D881" s="60">
        <f>15.6051 * CHOOSE(CONTROL!$C$22, $C$13, 100%, $E$13)</f>
        <v>15.6051</v>
      </c>
      <c r="E881" s="61">
        <f>18.3441 * CHOOSE(CONTROL!$C$22, $C$13, 100%, $E$13)</f>
        <v>18.344100000000001</v>
      </c>
      <c r="F881" s="61">
        <f>18.3441 * CHOOSE(CONTROL!$C$22, $C$13, 100%, $E$13)</f>
        <v>18.344100000000001</v>
      </c>
      <c r="G881" s="61">
        <f>18.3443 * CHOOSE(CONTROL!$C$22, $C$13, 100%, $E$13)</f>
        <v>18.3443</v>
      </c>
      <c r="H881" s="61">
        <f>29.6713* CHOOSE(CONTROL!$C$22, $C$13, 100%, $E$13)</f>
        <v>29.671299999999999</v>
      </c>
      <c r="I881" s="61">
        <f>29.6714 * CHOOSE(CONTROL!$C$22, $C$13, 100%, $E$13)</f>
        <v>29.671399999999998</v>
      </c>
      <c r="J881" s="61">
        <f>18.3441 * CHOOSE(CONTROL!$C$22, $C$13, 100%, $E$13)</f>
        <v>18.344100000000001</v>
      </c>
      <c r="K881" s="61">
        <f>18.3443 * CHOOSE(CONTROL!$C$22, $C$13, 100%, $E$13)</f>
        <v>18.3443</v>
      </c>
    </row>
    <row r="882" spans="1:11" ht="15">
      <c r="A882" s="13">
        <v>68699</v>
      </c>
      <c r="B882" s="60">
        <f>15.5857 * CHOOSE(CONTROL!$C$22, $C$13, 100%, $E$13)</f>
        <v>15.585699999999999</v>
      </c>
      <c r="C882" s="60">
        <f>15.5857 * CHOOSE(CONTROL!$C$22, $C$13, 100%, $E$13)</f>
        <v>15.585699999999999</v>
      </c>
      <c r="D882" s="60">
        <f>15.602 * CHOOSE(CONTROL!$C$22, $C$13, 100%, $E$13)</f>
        <v>15.602</v>
      </c>
      <c r="E882" s="61">
        <f>18.1412 * CHOOSE(CONTROL!$C$22, $C$13, 100%, $E$13)</f>
        <v>18.141200000000001</v>
      </c>
      <c r="F882" s="61">
        <f>18.1412 * CHOOSE(CONTROL!$C$22, $C$13, 100%, $E$13)</f>
        <v>18.141200000000001</v>
      </c>
      <c r="G882" s="61">
        <f>18.1414 * CHOOSE(CONTROL!$C$22, $C$13, 100%, $E$13)</f>
        <v>18.141400000000001</v>
      </c>
      <c r="H882" s="61">
        <f>29.7331* CHOOSE(CONTROL!$C$22, $C$13, 100%, $E$13)</f>
        <v>29.7331</v>
      </c>
      <c r="I882" s="61">
        <f>29.7333 * CHOOSE(CONTROL!$C$22, $C$13, 100%, $E$13)</f>
        <v>29.7333</v>
      </c>
      <c r="J882" s="61">
        <f>18.1412 * CHOOSE(CONTROL!$C$22, $C$13, 100%, $E$13)</f>
        <v>18.141200000000001</v>
      </c>
      <c r="K882" s="61">
        <f>18.1414 * CHOOSE(CONTROL!$C$22, $C$13, 100%, $E$13)</f>
        <v>18.141400000000001</v>
      </c>
    </row>
    <row r="883" spans="1:11" ht="15">
      <c r="A883" s="13">
        <v>68728</v>
      </c>
      <c r="B883" s="60">
        <f>15.5826 * CHOOSE(CONTROL!$C$22, $C$13, 100%, $E$13)</f>
        <v>15.582599999999999</v>
      </c>
      <c r="C883" s="60">
        <f>15.5826 * CHOOSE(CONTROL!$C$22, $C$13, 100%, $E$13)</f>
        <v>15.582599999999999</v>
      </c>
      <c r="D883" s="60">
        <f>15.599 * CHOOSE(CONTROL!$C$22, $C$13, 100%, $E$13)</f>
        <v>15.599</v>
      </c>
      <c r="E883" s="61">
        <f>18.2974 * CHOOSE(CONTROL!$C$22, $C$13, 100%, $E$13)</f>
        <v>18.2974</v>
      </c>
      <c r="F883" s="61">
        <f>18.2974 * CHOOSE(CONTROL!$C$22, $C$13, 100%, $E$13)</f>
        <v>18.2974</v>
      </c>
      <c r="G883" s="61">
        <f>18.2976 * CHOOSE(CONTROL!$C$22, $C$13, 100%, $E$13)</f>
        <v>18.297599999999999</v>
      </c>
      <c r="H883" s="61">
        <f>29.795* CHOOSE(CONTROL!$C$22, $C$13, 100%, $E$13)</f>
        <v>29.795000000000002</v>
      </c>
      <c r="I883" s="61">
        <f>29.7952 * CHOOSE(CONTROL!$C$22, $C$13, 100%, $E$13)</f>
        <v>29.795200000000001</v>
      </c>
      <c r="J883" s="61">
        <f>18.2974 * CHOOSE(CONTROL!$C$22, $C$13, 100%, $E$13)</f>
        <v>18.2974</v>
      </c>
      <c r="K883" s="61">
        <f>18.2976 * CHOOSE(CONTROL!$C$22, $C$13, 100%, $E$13)</f>
        <v>18.297599999999999</v>
      </c>
    </row>
    <row r="884" spans="1:11" ht="15">
      <c r="A884" s="13">
        <v>68759</v>
      </c>
      <c r="B884" s="60">
        <f>15.5902 * CHOOSE(CONTROL!$C$22, $C$13, 100%, $E$13)</f>
        <v>15.590199999999999</v>
      </c>
      <c r="C884" s="60">
        <f>15.5902 * CHOOSE(CONTROL!$C$22, $C$13, 100%, $E$13)</f>
        <v>15.590199999999999</v>
      </c>
      <c r="D884" s="60">
        <f>15.6065 * CHOOSE(CONTROL!$C$22, $C$13, 100%, $E$13)</f>
        <v>15.6065</v>
      </c>
      <c r="E884" s="61">
        <f>18.4631 * CHOOSE(CONTROL!$C$22, $C$13, 100%, $E$13)</f>
        <v>18.463100000000001</v>
      </c>
      <c r="F884" s="61">
        <f>18.4631 * CHOOSE(CONTROL!$C$22, $C$13, 100%, $E$13)</f>
        <v>18.463100000000001</v>
      </c>
      <c r="G884" s="61">
        <f>18.4633 * CHOOSE(CONTROL!$C$22, $C$13, 100%, $E$13)</f>
        <v>18.4633</v>
      </c>
      <c r="H884" s="61">
        <f>29.8571* CHOOSE(CONTROL!$C$22, $C$13, 100%, $E$13)</f>
        <v>29.857099999999999</v>
      </c>
      <c r="I884" s="61">
        <f>29.8573 * CHOOSE(CONTROL!$C$22, $C$13, 100%, $E$13)</f>
        <v>29.857299999999999</v>
      </c>
      <c r="J884" s="61">
        <f>18.4631 * CHOOSE(CONTROL!$C$22, $C$13, 100%, $E$13)</f>
        <v>18.463100000000001</v>
      </c>
      <c r="K884" s="61">
        <f>18.4633 * CHOOSE(CONTROL!$C$22, $C$13, 100%, $E$13)</f>
        <v>18.4633</v>
      </c>
    </row>
    <row r="885" spans="1:11" ht="15">
      <c r="A885" s="13">
        <v>68789</v>
      </c>
      <c r="B885" s="60">
        <f>15.5902 * CHOOSE(CONTROL!$C$22, $C$13, 100%, $E$13)</f>
        <v>15.590199999999999</v>
      </c>
      <c r="C885" s="60">
        <f>15.5902 * CHOOSE(CONTROL!$C$22, $C$13, 100%, $E$13)</f>
        <v>15.590199999999999</v>
      </c>
      <c r="D885" s="60">
        <f>15.6228 * CHOOSE(CONTROL!$C$22, $C$13, 100%, $E$13)</f>
        <v>15.6228</v>
      </c>
      <c r="E885" s="61">
        <f>18.5269 * CHOOSE(CONTROL!$C$22, $C$13, 100%, $E$13)</f>
        <v>18.526900000000001</v>
      </c>
      <c r="F885" s="61">
        <f>18.5269 * CHOOSE(CONTROL!$C$22, $C$13, 100%, $E$13)</f>
        <v>18.526900000000001</v>
      </c>
      <c r="G885" s="61">
        <f>18.5289 * CHOOSE(CONTROL!$C$22, $C$13, 100%, $E$13)</f>
        <v>18.5289</v>
      </c>
      <c r="H885" s="61">
        <f>29.9193* CHOOSE(CONTROL!$C$22, $C$13, 100%, $E$13)</f>
        <v>29.9193</v>
      </c>
      <c r="I885" s="61">
        <f>29.9213 * CHOOSE(CONTROL!$C$22, $C$13, 100%, $E$13)</f>
        <v>29.921299999999999</v>
      </c>
      <c r="J885" s="61">
        <f>18.5269 * CHOOSE(CONTROL!$C$22, $C$13, 100%, $E$13)</f>
        <v>18.526900000000001</v>
      </c>
      <c r="K885" s="61">
        <f>18.5289 * CHOOSE(CONTROL!$C$22, $C$13, 100%, $E$13)</f>
        <v>18.5289</v>
      </c>
    </row>
    <row r="886" spans="1:11" ht="15">
      <c r="A886" s="13">
        <v>68820</v>
      </c>
      <c r="B886" s="60">
        <f>15.5963 * CHOOSE(CONTROL!$C$22, $C$13, 100%, $E$13)</f>
        <v>15.596299999999999</v>
      </c>
      <c r="C886" s="60">
        <f>15.5963 * CHOOSE(CONTROL!$C$22, $C$13, 100%, $E$13)</f>
        <v>15.596299999999999</v>
      </c>
      <c r="D886" s="60">
        <f>15.6289 * CHOOSE(CONTROL!$C$22, $C$13, 100%, $E$13)</f>
        <v>15.6289</v>
      </c>
      <c r="E886" s="61">
        <f>18.4674 * CHOOSE(CONTROL!$C$22, $C$13, 100%, $E$13)</f>
        <v>18.467400000000001</v>
      </c>
      <c r="F886" s="61">
        <f>18.4674 * CHOOSE(CONTROL!$C$22, $C$13, 100%, $E$13)</f>
        <v>18.467400000000001</v>
      </c>
      <c r="G886" s="61">
        <f>18.4694 * CHOOSE(CONTROL!$C$22, $C$13, 100%, $E$13)</f>
        <v>18.4694</v>
      </c>
      <c r="H886" s="61">
        <f>29.9816* CHOOSE(CONTROL!$C$22, $C$13, 100%, $E$13)</f>
        <v>29.9816</v>
      </c>
      <c r="I886" s="61">
        <f>29.9837 * CHOOSE(CONTROL!$C$22, $C$13, 100%, $E$13)</f>
        <v>29.983699999999999</v>
      </c>
      <c r="J886" s="61">
        <f>18.4674 * CHOOSE(CONTROL!$C$22, $C$13, 100%, $E$13)</f>
        <v>18.467400000000001</v>
      </c>
      <c r="K886" s="61">
        <f>18.4694 * CHOOSE(CONTROL!$C$22, $C$13, 100%, $E$13)</f>
        <v>18.4694</v>
      </c>
    </row>
    <row r="887" spans="1:11" ht="15">
      <c r="A887" s="13">
        <v>68850</v>
      </c>
      <c r="B887" s="60">
        <f>15.8401 * CHOOSE(CONTROL!$C$22, $C$13, 100%, $E$13)</f>
        <v>15.8401</v>
      </c>
      <c r="C887" s="60">
        <f>15.8401 * CHOOSE(CONTROL!$C$22, $C$13, 100%, $E$13)</f>
        <v>15.8401</v>
      </c>
      <c r="D887" s="60">
        <f>15.8728 * CHOOSE(CONTROL!$C$22, $C$13, 100%, $E$13)</f>
        <v>15.8728</v>
      </c>
      <c r="E887" s="61">
        <f>18.8181 * CHOOSE(CONTROL!$C$22, $C$13, 100%, $E$13)</f>
        <v>18.818100000000001</v>
      </c>
      <c r="F887" s="61">
        <f>18.8181 * CHOOSE(CONTROL!$C$22, $C$13, 100%, $E$13)</f>
        <v>18.818100000000001</v>
      </c>
      <c r="G887" s="61">
        <f>18.8202 * CHOOSE(CONTROL!$C$22, $C$13, 100%, $E$13)</f>
        <v>18.8202</v>
      </c>
      <c r="H887" s="61">
        <f>30.0441* CHOOSE(CONTROL!$C$22, $C$13, 100%, $E$13)</f>
        <v>30.0441</v>
      </c>
      <c r="I887" s="61">
        <f>30.0461 * CHOOSE(CONTROL!$C$22, $C$13, 100%, $E$13)</f>
        <v>30.046099999999999</v>
      </c>
      <c r="J887" s="61">
        <f>18.8181 * CHOOSE(CONTROL!$C$22, $C$13, 100%, $E$13)</f>
        <v>18.818100000000001</v>
      </c>
      <c r="K887" s="61">
        <f>18.8202 * CHOOSE(CONTROL!$C$22, $C$13, 100%, $E$13)</f>
        <v>18.8202</v>
      </c>
    </row>
    <row r="888" spans="1:11" ht="15">
      <c r="A888" s="13">
        <v>68881</v>
      </c>
      <c r="B888" s="60">
        <f>15.8468 * CHOOSE(CONTROL!$C$22, $C$13, 100%, $E$13)</f>
        <v>15.8468</v>
      </c>
      <c r="C888" s="60">
        <f>15.8468 * CHOOSE(CONTROL!$C$22, $C$13, 100%, $E$13)</f>
        <v>15.8468</v>
      </c>
      <c r="D888" s="60">
        <f>15.8795 * CHOOSE(CONTROL!$C$22, $C$13, 100%, $E$13)</f>
        <v>15.8795</v>
      </c>
      <c r="E888" s="61">
        <f>18.6315 * CHOOSE(CONTROL!$C$22, $C$13, 100%, $E$13)</f>
        <v>18.631499999999999</v>
      </c>
      <c r="F888" s="61">
        <f>18.6315 * CHOOSE(CONTROL!$C$22, $C$13, 100%, $E$13)</f>
        <v>18.631499999999999</v>
      </c>
      <c r="G888" s="61">
        <f>18.6336 * CHOOSE(CONTROL!$C$22, $C$13, 100%, $E$13)</f>
        <v>18.633600000000001</v>
      </c>
      <c r="H888" s="61">
        <f>30.1067* CHOOSE(CONTROL!$C$22, $C$13, 100%, $E$13)</f>
        <v>30.1067</v>
      </c>
      <c r="I888" s="61">
        <f>30.1087 * CHOOSE(CONTROL!$C$22, $C$13, 100%, $E$13)</f>
        <v>30.108699999999999</v>
      </c>
      <c r="J888" s="61">
        <f>18.6315 * CHOOSE(CONTROL!$C$22, $C$13, 100%, $E$13)</f>
        <v>18.631499999999999</v>
      </c>
      <c r="K888" s="61">
        <f>18.6336 * CHOOSE(CONTROL!$C$22, $C$13, 100%, $E$13)</f>
        <v>18.633600000000001</v>
      </c>
    </row>
    <row r="889" spans="1:11" ht="15">
      <c r="A889" s="13">
        <v>68912</v>
      </c>
      <c r="B889" s="60">
        <f>15.8437 * CHOOSE(CONTROL!$C$22, $C$13, 100%, $E$13)</f>
        <v>15.8437</v>
      </c>
      <c r="C889" s="60">
        <f>15.8437 * CHOOSE(CONTROL!$C$22, $C$13, 100%, $E$13)</f>
        <v>15.8437</v>
      </c>
      <c r="D889" s="60">
        <f>15.8764 * CHOOSE(CONTROL!$C$22, $C$13, 100%, $E$13)</f>
        <v>15.8764</v>
      </c>
      <c r="E889" s="61">
        <f>18.6082 * CHOOSE(CONTROL!$C$22, $C$13, 100%, $E$13)</f>
        <v>18.6082</v>
      </c>
      <c r="F889" s="61">
        <f>18.6082 * CHOOSE(CONTROL!$C$22, $C$13, 100%, $E$13)</f>
        <v>18.6082</v>
      </c>
      <c r="G889" s="61">
        <f>18.6102 * CHOOSE(CONTROL!$C$22, $C$13, 100%, $E$13)</f>
        <v>18.610199999999999</v>
      </c>
      <c r="H889" s="61">
        <f>30.1694* CHOOSE(CONTROL!$C$22, $C$13, 100%, $E$13)</f>
        <v>30.1694</v>
      </c>
      <c r="I889" s="61">
        <f>30.1714 * CHOOSE(CONTROL!$C$22, $C$13, 100%, $E$13)</f>
        <v>30.171399999999998</v>
      </c>
      <c r="J889" s="61">
        <f>18.6082 * CHOOSE(CONTROL!$C$22, $C$13, 100%, $E$13)</f>
        <v>18.6082</v>
      </c>
      <c r="K889" s="61">
        <f>18.6102 * CHOOSE(CONTROL!$C$22, $C$13, 100%, $E$13)</f>
        <v>18.610199999999999</v>
      </c>
    </row>
    <row r="890" spans="1:11" ht="15">
      <c r="A890" s="13">
        <v>68942</v>
      </c>
      <c r="B890" s="60">
        <f>15.8776 * CHOOSE(CONTROL!$C$22, $C$13, 100%, $E$13)</f>
        <v>15.877599999999999</v>
      </c>
      <c r="C890" s="60">
        <f>15.8776 * CHOOSE(CONTROL!$C$22, $C$13, 100%, $E$13)</f>
        <v>15.877599999999999</v>
      </c>
      <c r="D890" s="60">
        <f>15.8939 * CHOOSE(CONTROL!$C$22, $C$13, 100%, $E$13)</f>
        <v>15.8939</v>
      </c>
      <c r="E890" s="61">
        <f>18.6798 * CHOOSE(CONTROL!$C$22, $C$13, 100%, $E$13)</f>
        <v>18.6798</v>
      </c>
      <c r="F890" s="61">
        <f>18.6798 * CHOOSE(CONTROL!$C$22, $C$13, 100%, $E$13)</f>
        <v>18.6798</v>
      </c>
      <c r="G890" s="61">
        <f>18.6799 * CHOOSE(CONTROL!$C$22, $C$13, 100%, $E$13)</f>
        <v>18.6799</v>
      </c>
      <c r="H890" s="61">
        <f>30.2323* CHOOSE(CONTROL!$C$22, $C$13, 100%, $E$13)</f>
        <v>30.232299999999999</v>
      </c>
      <c r="I890" s="61">
        <f>30.2324 * CHOOSE(CONTROL!$C$22, $C$13, 100%, $E$13)</f>
        <v>30.232399999999998</v>
      </c>
      <c r="J890" s="61">
        <f>18.6798 * CHOOSE(CONTROL!$C$22, $C$13, 100%, $E$13)</f>
        <v>18.6798</v>
      </c>
      <c r="K890" s="61">
        <f>18.6799 * CHOOSE(CONTROL!$C$22, $C$13, 100%, $E$13)</f>
        <v>18.6799</v>
      </c>
    </row>
    <row r="891" spans="1:11" ht="15">
      <c r="A891" s="13">
        <v>68973</v>
      </c>
      <c r="B891" s="60">
        <f>15.8806 * CHOOSE(CONTROL!$C$22, $C$13, 100%, $E$13)</f>
        <v>15.880599999999999</v>
      </c>
      <c r="C891" s="60">
        <f>15.8806 * CHOOSE(CONTROL!$C$22, $C$13, 100%, $E$13)</f>
        <v>15.880599999999999</v>
      </c>
      <c r="D891" s="60">
        <f>15.897 * CHOOSE(CONTROL!$C$22, $C$13, 100%, $E$13)</f>
        <v>15.897</v>
      </c>
      <c r="E891" s="61">
        <f>18.7244 * CHOOSE(CONTROL!$C$22, $C$13, 100%, $E$13)</f>
        <v>18.724399999999999</v>
      </c>
      <c r="F891" s="61">
        <f>18.7244 * CHOOSE(CONTROL!$C$22, $C$13, 100%, $E$13)</f>
        <v>18.724399999999999</v>
      </c>
      <c r="G891" s="61">
        <f>18.7245 * CHOOSE(CONTROL!$C$22, $C$13, 100%, $E$13)</f>
        <v>18.724499999999999</v>
      </c>
      <c r="H891" s="61">
        <f>30.2952* CHOOSE(CONTROL!$C$22, $C$13, 100%, $E$13)</f>
        <v>30.295200000000001</v>
      </c>
      <c r="I891" s="61">
        <f>30.2954 * CHOOSE(CONTROL!$C$22, $C$13, 100%, $E$13)</f>
        <v>30.295400000000001</v>
      </c>
      <c r="J891" s="61">
        <f>18.7244 * CHOOSE(CONTROL!$C$22, $C$13, 100%, $E$13)</f>
        <v>18.724399999999999</v>
      </c>
      <c r="K891" s="61">
        <f>18.7245 * CHOOSE(CONTROL!$C$22, $C$13, 100%, $E$13)</f>
        <v>18.724499999999999</v>
      </c>
    </row>
    <row r="892" spans="1:11" ht="15">
      <c r="A892" s="13">
        <v>69003</v>
      </c>
      <c r="B892" s="60">
        <f>15.8806 * CHOOSE(CONTROL!$C$22, $C$13, 100%, $E$13)</f>
        <v>15.880599999999999</v>
      </c>
      <c r="C892" s="60">
        <f>15.8806 * CHOOSE(CONTROL!$C$22, $C$13, 100%, $E$13)</f>
        <v>15.880599999999999</v>
      </c>
      <c r="D892" s="60">
        <f>15.897 * CHOOSE(CONTROL!$C$22, $C$13, 100%, $E$13)</f>
        <v>15.897</v>
      </c>
      <c r="E892" s="61">
        <f>18.6181 * CHOOSE(CONTROL!$C$22, $C$13, 100%, $E$13)</f>
        <v>18.618099999999998</v>
      </c>
      <c r="F892" s="61">
        <f>18.6181 * CHOOSE(CONTROL!$C$22, $C$13, 100%, $E$13)</f>
        <v>18.618099999999998</v>
      </c>
      <c r="G892" s="61">
        <f>18.6183 * CHOOSE(CONTROL!$C$22, $C$13, 100%, $E$13)</f>
        <v>18.618300000000001</v>
      </c>
      <c r="H892" s="61">
        <f>30.3584* CHOOSE(CONTROL!$C$22, $C$13, 100%, $E$13)</f>
        <v>30.3584</v>
      </c>
      <c r="I892" s="61">
        <f>30.3585 * CHOOSE(CONTROL!$C$22, $C$13, 100%, $E$13)</f>
        <v>30.358499999999999</v>
      </c>
      <c r="J892" s="61">
        <f>18.6181 * CHOOSE(CONTROL!$C$22, $C$13, 100%, $E$13)</f>
        <v>18.618099999999998</v>
      </c>
      <c r="K892" s="61">
        <f>18.6183 * CHOOSE(CONTROL!$C$22, $C$13, 100%, $E$13)</f>
        <v>18.618300000000001</v>
      </c>
    </row>
    <row r="893" spans="1:11" ht="15">
      <c r="A893" s="13">
        <v>69034</v>
      </c>
      <c r="B893" s="60">
        <f>15.834 * CHOOSE(CONTROL!$C$22, $C$13, 100%, $E$13)</f>
        <v>15.834</v>
      </c>
      <c r="C893" s="60">
        <f>15.834 * CHOOSE(CONTROL!$C$22, $C$13, 100%, $E$13)</f>
        <v>15.834</v>
      </c>
      <c r="D893" s="60">
        <f>15.8504 * CHOOSE(CONTROL!$C$22, $C$13, 100%, $E$13)</f>
        <v>15.8504</v>
      </c>
      <c r="E893" s="61">
        <f>18.6365 * CHOOSE(CONTROL!$C$22, $C$13, 100%, $E$13)</f>
        <v>18.636500000000002</v>
      </c>
      <c r="F893" s="61">
        <f>18.6365 * CHOOSE(CONTROL!$C$22, $C$13, 100%, $E$13)</f>
        <v>18.636500000000002</v>
      </c>
      <c r="G893" s="61">
        <f>18.6367 * CHOOSE(CONTROL!$C$22, $C$13, 100%, $E$13)</f>
        <v>18.636700000000001</v>
      </c>
      <c r="H893" s="61">
        <f>30.1172* CHOOSE(CONTROL!$C$22, $C$13, 100%, $E$13)</f>
        <v>30.1172</v>
      </c>
      <c r="I893" s="61">
        <f>30.1173 * CHOOSE(CONTROL!$C$22, $C$13, 100%, $E$13)</f>
        <v>30.1173</v>
      </c>
      <c r="J893" s="61">
        <f>18.6365 * CHOOSE(CONTROL!$C$22, $C$13, 100%, $E$13)</f>
        <v>18.636500000000002</v>
      </c>
      <c r="K893" s="61">
        <f>18.6367 * CHOOSE(CONTROL!$C$22, $C$13, 100%, $E$13)</f>
        <v>18.636700000000001</v>
      </c>
    </row>
    <row r="894" spans="1:11" ht="15">
      <c r="A894" s="13">
        <v>69065</v>
      </c>
      <c r="B894" s="60">
        <f>15.831 * CHOOSE(CONTROL!$C$22, $C$13, 100%, $E$13)</f>
        <v>15.831</v>
      </c>
      <c r="C894" s="60">
        <f>15.831 * CHOOSE(CONTROL!$C$22, $C$13, 100%, $E$13)</f>
        <v>15.831</v>
      </c>
      <c r="D894" s="60">
        <f>15.8473 * CHOOSE(CONTROL!$C$22, $C$13, 100%, $E$13)</f>
        <v>15.847300000000001</v>
      </c>
      <c r="E894" s="61">
        <f>18.4304 * CHOOSE(CONTROL!$C$22, $C$13, 100%, $E$13)</f>
        <v>18.430399999999999</v>
      </c>
      <c r="F894" s="61">
        <f>18.4304 * CHOOSE(CONTROL!$C$22, $C$13, 100%, $E$13)</f>
        <v>18.430399999999999</v>
      </c>
      <c r="G894" s="61">
        <f>18.4306 * CHOOSE(CONTROL!$C$22, $C$13, 100%, $E$13)</f>
        <v>18.430599999999998</v>
      </c>
      <c r="H894" s="61">
        <f>30.1799* CHOOSE(CONTROL!$C$22, $C$13, 100%, $E$13)</f>
        <v>30.1799</v>
      </c>
      <c r="I894" s="61">
        <f>30.1801 * CHOOSE(CONTROL!$C$22, $C$13, 100%, $E$13)</f>
        <v>30.180099999999999</v>
      </c>
      <c r="J894" s="61">
        <f>18.4304 * CHOOSE(CONTROL!$C$22, $C$13, 100%, $E$13)</f>
        <v>18.430399999999999</v>
      </c>
      <c r="K894" s="61">
        <f>18.4306 * CHOOSE(CONTROL!$C$22, $C$13, 100%, $E$13)</f>
        <v>18.430599999999998</v>
      </c>
    </row>
    <row r="895" spans="1:11" ht="15">
      <c r="A895" s="13">
        <v>69093</v>
      </c>
      <c r="B895" s="60">
        <f>15.828 * CHOOSE(CONTROL!$C$22, $C$13, 100%, $E$13)</f>
        <v>15.827999999999999</v>
      </c>
      <c r="C895" s="60">
        <f>15.828 * CHOOSE(CONTROL!$C$22, $C$13, 100%, $E$13)</f>
        <v>15.827999999999999</v>
      </c>
      <c r="D895" s="60">
        <f>15.8443 * CHOOSE(CONTROL!$C$22, $C$13, 100%, $E$13)</f>
        <v>15.8443</v>
      </c>
      <c r="E895" s="61">
        <f>18.5891 * CHOOSE(CONTROL!$C$22, $C$13, 100%, $E$13)</f>
        <v>18.589099999999998</v>
      </c>
      <c r="F895" s="61">
        <f>18.5891 * CHOOSE(CONTROL!$C$22, $C$13, 100%, $E$13)</f>
        <v>18.589099999999998</v>
      </c>
      <c r="G895" s="61">
        <f>18.5893 * CHOOSE(CONTROL!$C$22, $C$13, 100%, $E$13)</f>
        <v>18.589300000000001</v>
      </c>
      <c r="H895" s="61">
        <f>30.2428* CHOOSE(CONTROL!$C$22, $C$13, 100%, $E$13)</f>
        <v>30.242799999999999</v>
      </c>
      <c r="I895" s="61">
        <f>30.2429 * CHOOSE(CONTROL!$C$22, $C$13, 100%, $E$13)</f>
        <v>30.242899999999999</v>
      </c>
      <c r="J895" s="61">
        <f>18.5891 * CHOOSE(CONTROL!$C$22, $C$13, 100%, $E$13)</f>
        <v>18.589099999999998</v>
      </c>
      <c r="K895" s="61">
        <f>18.5893 * CHOOSE(CONTROL!$C$22, $C$13, 100%, $E$13)</f>
        <v>18.589300000000001</v>
      </c>
    </row>
    <row r="896" spans="1:11" ht="15">
      <c r="A896" s="13">
        <v>69124</v>
      </c>
      <c r="B896" s="60">
        <f>15.8357 * CHOOSE(CONTROL!$C$22, $C$13, 100%, $E$13)</f>
        <v>15.835699999999999</v>
      </c>
      <c r="C896" s="60">
        <f>15.8357 * CHOOSE(CONTROL!$C$22, $C$13, 100%, $E$13)</f>
        <v>15.835699999999999</v>
      </c>
      <c r="D896" s="60">
        <f>15.852 * CHOOSE(CONTROL!$C$22, $C$13, 100%, $E$13)</f>
        <v>15.852</v>
      </c>
      <c r="E896" s="61">
        <f>18.7576 * CHOOSE(CONTROL!$C$22, $C$13, 100%, $E$13)</f>
        <v>18.7576</v>
      </c>
      <c r="F896" s="61">
        <f>18.7576 * CHOOSE(CONTROL!$C$22, $C$13, 100%, $E$13)</f>
        <v>18.7576</v>
      </c>
      <c r="G896" s="61">
        <f>18.7578 * CHOOSE(CONTROL!$C$22, $C$13, 100%, $E$13)</f>
        <v>18.7578</v>
      </c>
      <c r="H896" s="61">
        <f>30.3058* CHOOSE(CONTROL!$C$22, $C$13, 100%, $E$13)</f>
        <v>30.305800000000001</v>
      </c>
      <c r="I896" s="61">
        <f>30.306 * CHOOSE(CONTROL!$C$22, $C$13, 100%, $E$13)</f>
        <v>30.306000000000001</v>
      </c>
      <c r="J896" s="61">
        <f>18.7576 * CHOOSE(CONTROL!$C$22, $C$13, 100%, $E$13)</f>
        <v>18.7576</v>
      </c>
      <c r="K896" s="61">
        <f>18.7578 * CHOOSE(CONTROL!$C$22, $C$13, 100%, $E$13)</f>
        <v>18.7578</v>
      </c>
    </row>
    <row r="897" spans="1:11" ht="15">
      <c r="A897" s="13">
        <v>69154</v>
      </c>
      <c r="B897" s="60">
        <f>15.8357 * CHOOSE(CONTROL!$C$22, $C$13, 100%, $E$13)</f>
        <v>15.835699999999999</v>
      </c>
      <c r="C897" s="60">
        <f>15.8357 * CHOOSE(CONTROL!$C$22, $C$13, 100%, $E$13)</f>
        <v>15.835699999999999</v>
      </c>
      <c r="D897" s="60">
        <f>15.8684 * CHOOSE(CONTROL!$C$22, $C$13, 100%, $E$13)</f>
        <v>15.868399999999999</v>
      </c>
      <c r="E897" s="61">
        <f>18.8224 * CHOOSE(CONTROL!$C$22, $C$13, 100%, $E$13)</f>
        <v>18.822399999999998</v>
      </c>
      <c r="F897" s="61">
        <f>18.8224 * CHOOSE(CONTROL!$C$22, $C$13, 100%, $E$13)</f>
        <v>18.822399999999998</v>
      </c>
      <c r="G897" s="61">
        <f>18.8244 * CHOOSE(CONTROL!$C$22, $C$13, 100%, $E$13)</f>
        <v>18.824400000000001</v>
      </c>
      <c r="H897" s="61">
        <f>30.3689* CHOOSE(CONTROL!$C$22, $C$13, 100%, $E$13)</f>
        <v>30.3689</v>
      </c>
      <c r="I897" s="61">
        <f>30.3709 * CHOOSE(CONTROL!$C$22, $C$13, 100%, $E$13)</f>
        <v>30.370899999999999</v>
      </c>
      <c r="J897" s="61">
        <f>18.8224 * CHOOSE(CONTROL!$C$22, $C$13, 100%, $E$13)</f>
        <v>18.822399999999998</v>
      </c>
      <c r="K897" s="61">
        <f>18.8244 * CHOOSE(CONTROL!$C$22, $C$13, 100%, $E$13)</f>
        <v>18.824400000000001</v>
      </c>
    </row>
    <row r="898" spans="1:11" ht="15">
      <c r="A898" s="13">
        <v>69185</v>
      </c>
      <c r="B898" s="60">
        <f>15.8418 * CHOOSE(CONTROL!$C$22, $C$13, 100%, $E$13)</f>
        <v>15.841799999999999</v>
      </c>
      <c r="C898" s="60">
        <f>15.8418 * CHOOSE(CONTROL!$C$22, $C$13, 100%, $E$13)</f>
        <v>15.841799999999999</v>
      </c>
      <c r="D898" s="60">
        <f>15.8744 * CHOOSE(CONTROL!$C$22, $C$13, 100%, $E$13)</f>
        <v>15.8744</v>
      </c>
      <c r="E898" s="61">
        <f>18.7618 * CHOOSE(CONTROL!$C$22, $C$13, 100%, $E$13)</f>
        <v>18.761800000000001</v>
      </c>
      <c r="F898" s="61">
        <f>18.7618 * CHOOSE(CONTROL!$C$22, $C$13, 100%, $E$13)</f>
        <v>18.761800000000001</v>
      </c>
      <c r="G898" s="61">
        <f>18.7639 * CHOOSE(CONTROL!$C$22, $C$13, 100%, $E$13)</f>
        <v>18.7639</v>
      </c>
      <c r="H898" s="61">
        <f>30.4322* CHOOSE(CONTROL!$C$22, $C$13, 100%, $E$13)</f>
        <v>30.432200000000002</v>
      </c>
      <c r="I898" s="61">
        <f>30.4342 * CHOOSE(CONTROL!$C$22, $C$13, 100%, $E$13)</f>
        <v>30.434200000000001</v>
      </c>
      <c r="J898" s="61">
        <f>18.7618 * CHOOSE(CONTROL!$C$22, $C$13, 100%, $E$13)</f>
        <v>18.761800000000001</v>
      </c>
      <c r="K898" s="61">
        <f>18.7639 * CHOOSE(CONTROL!$C$22, $C$13, 100%, $E$13)</f>
        <v>18.7639</v>
      </c>
    </row>
    <row r="899" spans="1:11" ht="15">
      <c r="A899" s="13">
        <v>69215</v>
      </c>
      <c r="B899" s="60">
        <f>16.0893 * CHOOSE(CONTROL!$C$22, $C$13, 100%, $E$13)</f>
        <v>16.089300000000001</v>
      </c>
      <c r="C899" s="60">
        <f>16.0893 * CHOOSE(CONTROL!$C$22, $C$13, 100%, $E$13)</f>
        <v>16.089300000000001</v>
      </c>
      <c r="D899" s="60">
        <f>16.122 * CHOOSE(CONTROL!$C$22, $C$13, 100%, $E$13)</f>
        <v>16.122</v>
      </c>
      <c r="E899" s="61">
        <f>19.118 * CHOOSE(CONTROL!$C$22, $C$13, 100%, $E$13)</f>
        <v>19.117999999999999</v>
      </c>
      <c r="F899" s="61">
        <f>19.118 * CHOOSE(CONTROL!$C$22, $C$13, 100%, $E$13)</f>
        <v>19.117999999999999</v>
      </c>
      <c r="G899" s="61">
        <f>19.12 * CHOOSE(CONTROL!$C$22, $C$13, 100%, $E$13)</f>
        <v>19.12</v>
      </c>
      <c r="H899" s="61">
        <f>30.4956* CHOOSE(CONTROL!$C$22, $C$13, 100%, $E$13)</f>
        <v>30.4956</v>
      </c>
      <c r="I899" s="61">
        <f>30.4976 * CHOOSE(CONTROL!$C$22, $C$13, 100%, $E$13)</f>
        <v>30.497599999999998</v>
      </c>
      <c r="J899" s="61">
        <f>19.118 * CHOOSE(CONTROL!$C$22, $C$13, 100%, $E$13)</f>
        <v>19.117999999999999</v>
      </c>
      <c r="K899" s="61">
        <f>19.12 * CHOOSE(CONTROL!$C$22, $C$13, 100%, $E$13)</f>
        <v>19.12</v>
      </c>
    </row>
    <row r="900" spans="1:11" ht="15">
      <c r="A900" s="13">
        <v>69246</v>
      </c>
      <c r="B900" s="60">
        <f>16.096 * CHOOSE(CONTROL!$C$22, $C$13, 100%, $E$13)</f>
        <v>16.096</v>
      </c>
      <c r="C900" s="60">
        <f>16.096 * CHOOSE(CONTROL!$C$22, $C$13, 100%, $E$13)</f>
        <v>16.096</v>
      </c>
      <c r="D900" s="60">
        <f>16.1287 * CHOOSE(CONTROL!$C$22, $C$13, 100%, $E$13)</f>
        <v>16.128699999999998</v>
      </c>
      <c r="E900" s="61">
        <f>18.9284 * CHOOSE(CONTROL!$C$22, $C$13, 100%, $E$13)</f>
        <v>18.9284</v>
      </c>
      <c r="F900" s="61">
        <f>18.9284 * CHOOSE(CONTROL!$C$22, $C$13, 100%, $E$13)</f>
        <v>18.9284</v>
      </c>
      <c r="G900" s="61">
        <f>18.9304 * CHOOSE(CONTROL!$C$22, $C$13, 100%, $E$13)</f>
        <v>18.930399999999999</v>
      </c>
      <c r="H900" s="61">
        <f>30.5591* CHOOSE(CONTROL!$C$22, $C$13, 100%, $E$13)</f>
        <v>30.559100000000001</v>
      </c>
      <c r="I900" s="61">
        <f>30.5611 * CHOOSE(CONTROL!$C$22, $C$13, 100%, $E$13)</f>
        <v>30.5611</v>
      </c>
      <c r="J900" s="61">
        <f>18.9284 * CHOOSE(CONTROL!$C$22, $C$13, 100%, $E$13)</f>
        <v>18.9284</v>
      </c>
      <c r="K900" s="61">
        <f>18.9304 * CHOOSE(CONTROL!$C$22, $C$13, 100%, $E$13)</f>
        <v>18.930399999999999</v>
      </c>
    </row>
    <row r="901" spans="1:11" ht="15">
      <c r="A901" s="13">
        <v>69277</v>
      </c>
      <c r="B901" s="60">
        <f>16.093 * CHOOSE(CONTROL!$C$22, $C$13, 100%, $E$13)</f>
        <v>16.093</v>
      </c>
      <c r="C901" s="60">
        <f>16.093 * CHOOSE(CONTROL!$C$22, $C$13, 100%, $E$13)</f>
        <v>16.093</v>
      </c>
      <c r="D901" s="60">
        <f>16.1256 * CHOOSE(CONTROL!$C$22, $C$13, 100%, $E$13)</f>
        <v>16.125599999999999</v>
      </c>
      <c r="E901" s="61">
        <f>18.9047 * CHOOSE(CONTROL!$C$22, $C$13, 100%, $E$13)</f>
        <v>18.904699999999998</v>
      </c>
      <c r="F901" s="61">
        <f>18.9047 * CHOOSE(CONTROL!$C$22, $C$13, 100%, $E$13)</f>
        <v>18.904699999999998</v>
      </c>
      <c r="G901" s="61">
        <f>18.9067 * CHOOSE(CONTROL!$C$22, $C$13, 100%, $E$13)</f>
        <v>18.906700000000001</v>
      </c>
      <c r="H901" s="61">
        <f>30.6228* CHOOSE(CONTROL!$C$22, $C$13, 100%, $E$13)</f>
        <v>30.622800000000002</v>
      </c>
      <c r="I901" s="61">
        <f>30.6248 * CHOOSE(CONTROL!$C$22, $C$13, 100%, $E$13)</f>
        <v>30.6248</v>
      </c>
      <c r="J901" s="61">
        <f>18.9047 * CHOOSE(CONTROL!$C$22, $C$13, 100%, $E$13)</f>
        <v>18.904699999999998</v>
      </c>
      <c r="K901" s="61">
        <f>18.9067 * CHOOSE(CONTROL!$C$22, $C$13, 100%, $E$13)</f>
        <v>18.906700000000001</v>
      </c>
    </row>
    <row r="902" spans="1:11" ht="15">
      <c r="A902" s="13">
        <v>69307</v>
      </c>
      <c r="B902" s="60">
        <f>16.1276 * CHOOSE(CONTROL!$C$22, $C$13, 100%, $E$13)</f>
        <v>16.127600000000001</v>
      </c>
      <c r="C902" s="60">
        <f>16.1276 * CHOOSE(CONTROL!$C$22, $C$13, 100%, $E$13)</f>
        <v>16.127600000000001</v>
      </c>
      <c r="D902" s="60">
        <f>16.1439 * CHOOSE(CONTROL!$C$22, $C$13, 100%, $E$13)</f>
        <v>16.143899999999999</v>
      </c>
      <c r="E902" s="61">
        <f>18.9776 * CHOOSE(CONTROL!$C$22, $C$13, 100%, $E$13)</f>
        <v>18.977599999999999</v>
      </c>
      <c r="F902" s="61">
        <f>18.9776 * CHOOSE(CONTROL!$C$22, $C$13, 100%, $E$13)</f>
        <v>18.977599999999999</v>
      </c>
      <c r="G902" s="61">
        <f>18.9778 * CHOOSE(CONTROL!$C$22, $C$13, 100%, $E$13)</f>
        <v>18.977799999999998</v>
      </c>
      <c r="H902" s="61">
        <f>30.6866* CHOOSE(CONTROL!$C$22, $C$13, 100%, $E$13)</f>
        <v>30.686599999999999</v>
      </c>
      <c r="I902" s="61">
        <f>30.6868 * CHOOSE(CONTROL!$C$22, $C$13, 100%, $E$13)</f>
        <v>30.686800000000002</v>
      </c>
      <c r="J902" s="61">
        <f>18.9776 * CHOOSE(CONTROL!$C$22, $C$13, 100%, $E$13)</f>
        <v>18.977599999999999</v>
      </c>
      <c r="K902" s="61">
        <f>18.9778 * CHOOSE(CONTROL!$C$22, $C$13, 100%, $E$13)</f>
        <v>18.977799999999998</v>
      </c>
    </row>
    <row r="903" spans="1:11" ht="15">
      <c r="A903" s="13">
        <v>69338</v>
      </c>
      <c r="B903" s="60">
        <f>16.1306 * CHOOSE(CONTROL!$C$22, $C$13, 100%, $E$13)</f>
        <v>16.130600000000001</v>
      </c>
      <c r="C903" s="60">
        <f>16.1306 * CHOOSE(CONTROL!$C$22, $C$13, 100%, $E$13)</f>
        <v>16.130600000000001</v>
      </c>
      <c r="D903" s="60">
        <f>16.147 * CHOOSE(CONTROL!$C$22, $C$13, 100%, $E$13)</f>
        <v>16.146999999999998</v>
      </c>
      <c r="E903" s="61">
        <f>19.0229 * CHOOSE(CONTROL!$C$22, $C$13, 100%, $E$13)</f>
        <v>19.0229</v>
      </c>
      <c r="F903" s="61">
        <f>19.0229 * CHOOSE(CONTROL!$C$22, $C$13, 100%, $E$13)</f>
        <v>19.0229</v>
      </c>
      <c r="G903" s="61">
        <f>19.0231 * CHOOSE(CONTROL!$C$22, $C$13, 100%, $E$13)</f>
        <v>19.023099999999999</v>
      </c>
      <c r="H903" s="61">
        <f>30.7505* CHOOSE(CONTROL!$C$22, $C$13, 100%, $E$13)</f>
        <v>30.750499999999999</v>
      </c>
      <c r="I903" s="61">
        <f>30.7507 * CHOOSE(CONTROL!$C$22, $C$13, 100%, $E$13)</f>
        <v>30.750699999999998</v>
      </c>
      <c r="J903" s="61">
        <f>19.0229 * CHOOSE(CONTROL!$C$22, $C$13, 100%, $E$13)</f>
        <v>19.0229</v>
      </c>
      <c r="K903" s="61">
        <f>19.0231 * CHOOSE(CONTROL!$C$22, $C$13, 100%, $E$13)</f>
        <v>19.023099999999999</v>
      </c>
    </row>
    <row r="904" spans="1:11" ht="15">
      <c r="A904" s="13">
        <v>69368</v>
      </c>
      <c r="B904" s="60">
        <f>16.1306 * CHOOSE(CONTROL!$C$22, $C$13, 100%, $E$13)</f>
        <v>16.130600000000001</v>
      </c>
      <c r="C904" s="60">
        <f>16.1306 * CHOOSE(CONTROL!$C$22, $C$13, 100%, $E$13)</f>
        <v>16.130600000000001</v>
      </c>
      <c r="D904" s="60">
        <f>16.147 * CHOOSE(CONTROL!$C$22, $C$13, 100%, $E$13)</f>
        <v>16.146999999999998</v>
      </c>
      <c r="E904" s="61">
        <f>18.915 * CHOOSE(CONTROL!$C$22, $C$13, 100%, $E$13)</f>
        <v>18.914999999999999</v>
      </c>
      <c r="F904" s="61">
        <f>18.915 * CHOOSE(CONTROL!$C$22, $C$13, 100%, $E$13)</f>
        <v>18.914999999999999</v>
      </c>
      <c r="G904" s="61">
        <f>18.9151 * CHOOSE(CONTROL!$C$22, $C$13, 100%, $E$13)</f>
        <v>18.915099999999999</v>
      </c>
      <c r="H904" s="61">
        <f>30.8146* CHOOSE(CONTROL!$C$22, $C$13, 100%, $E$13)</f>
        <v>30.814599999999999</v>
      </c>
      <c r="I904" s="61">
        <f>30.8147 * CHOOSE(CONTROL!$C$22, $C$13, 100%, $E$13)</f>
        <v>30.814699999999998</v>
      </c>
      <c r="J904" s="61">
        <f>18.915 * CHOOSE(CONTROL!$C$22, $C$13, 100%, $E$13)</f>
        <v>18.914999999999999</v>
      </c>
      <c r="K904" s="61">
        <f>18.9151 * CHOOSE(CONTROL!$C$22, $C$13, 100%, $E$13)</f>
        <v>18.915099999999999</v>
      </c>
    </row>
    <row r="905" spans="1:11" ht="15">
      <c r="A905" s="13">
        <v>69399</v>
      </c>
      <c r="B905" s="60">
        <f>16.0794 * CHOOSE(CONTROL!$C$22, $C$13, 100%, $E$13)</f>
        <v>16.0794</v>
      </c>
      <c r="C905" s="60">
        <f>16.0794 * CHOOSE(CONTROL!$C$22, $C$13, 100%, $E$13)</f>
        <v>16.0794</v>
      </c>
      <c r="D905" s="60">
        <f>16.0957 * CHOOSE(CONTROL!$C$22, $C$13, 100%, $E$13)</f>
        <v>16.095700000000001</v>
      </c>
      <c r="E905" s="61">
        <f>18.9289 * CHOOSE(CONTROL!$C$22, $C$13, 100%, $E$13)</f>
        <v>18.928899999999999</v>
      </c>
      <c r="F905" s="61">
        <f>18.9289 * CHOOSE(CONTROL!$C$22, $C$13, 100%, $E$13)</f>
        <v>18.928899999999999</v>
      </c>
      <c r="G905" s="61">
        <f>18.9291 * CHOOSE(CONTROL!$C$22, $C$13, 100%, $E$13)</f>
        <v>18.929099999999998</v>
      </c>
      <c r="H905" s="61">
        <f>30.563* CHOOSE(CONTROL!$C$22, $C$13, 100%, $E$13)</f>
        <v>30.562999999999999</v>
      </c>
      <c r="I905" s="61">
        <f>30.5632 * CHOOSE(CONTROL!$C$22, $C$13, 100%, $E$13)</f>
        <v>30.563199999999998</v>
      </c>
      <c r="J905" s="61">
        <f>18.9289 * CHOOSE(CONTROL!$C$22, $C$13, 100%, $E$13)</f>
        <v>18.928899999999999</v>
      </c>
      <c r="K905" s="61">
        <f>18.9291 * CHOOSE(CONTROL!$C$22, $C$13, 100%, $E$13)</f>
        <v>18.929099999999998</v>
      </c>
    </row>
    <row r="906" spans="1:11" ht="15">
      <c r="A906" s="13">
        <v>69430</v>
      </c>
      <c r="B906" s="60">
        <f>16.0763 * CHOOSE(CONTROL!$C$22, $C$13, 100%, $E$13)</f>
        <v>16.0763</v>
      </c>
      <c r="C906" s="60">
        <f>16.0763 * CHOOSE(CONTROL!$C$22, $C$13, 100%, $E$13)</f>
        <v>16.0763</v>
      </c>
      <c r="D906" s="60">
        <f>16.0927 * CHOOSE(CONTROL!$C$22, $C$13, 100%, $E$13)</f>
        <v>16.092700000000001</v>
      </c>
      <c r="E906" s="61">
        <f>18.7196 * CHOOSE(CONTROL!$C$22, $C$13, 100%, $E$13)</f>
        <v>18.7196</v>
      </c>
      <c r="F906" s="61">
        <f>18.7196 * CHOOSE(CONTROL!$C$22, $C$13, 100%, $E$13)</f>
        <v>18.7196</v>
      </c>
      <c r="G906" s="61">
        <f>18.7198 * CHOOSE(CONTROL!$C$22, $C$13, 100%, $E$13)</f>
        <v>18.719799999999999</v>
      </c>
      <c r="H906" s="61">
        <f>30.6267* CHOOSE(CONTROL!$C$22, $C$13, 100%, $E$13)</f>
        <v>30.6267</v>
      </c>
      <c r="I906" s="61">
        <f>30.6269 * CHOOSE(CONTROL!$C$22, $C$13, 100%, $E$13)</f>
        <v>30.626899999999999</v>
      </c>
      <c r="J906" s="61">
        <f>18.7196 * CHOOSE(CONTROL!$C$22, $C$13, 100%, $E$13)</f>
        <v>18.7196</v>
      </c>
      <c r="K906" s="61">
        <f>18.7198 * CHOOSE(CONTROL!$C$22, $C$13, 100%, $E$13)</f>
        <v>18.719799999999999</v>
      </c>
    </row>
    <row r="907" spans="1:11" ht="15">
      <c r="A907" s="13">
        <v>69458</v>
      </c>
      <c r="B907" s="60">
        <f>16.0733 * CHOOSE(CONTROL!$C$22, $C$13, 100%, $E$13)</f>
        <v>16.0733</v>
      </c>
      <c r="C907" s="60">
        <f>16.0733 * CHOOSE(CONTROL!$C$22, $C$13, 100%, $E$13)</f>
        <v>16.0733</v>
      </c>
      <c r="D907" s="60">
        <f>16.0896 * CHOOSE(CONTROL!$C$22, $C$13, 100%, $E$13)</f>
        <v>16.089600000000001</v>
      </c>
      <c r="E907" s="61">
        <f>18.8809 * CHOOSE(CONTROL!$C$22, $C$13, 100%, $E$13)</f>
        <v>18.8809</v>
      </c>
      <c r="F907" s="61">
        <f>18.8809 * CHOOSE(CONTROL!$C$22, $C$13, 100%, $E$13)</f>
        <v>18.8809</v>
      </c>
      <c r="G907" s="61">
        <f>18.881 * CHOOSE(CONTROL!$C$22, $C$13, 100%, $E$13)</f>
        <v>18.881</v>
      </c>
      <c r="H907" s="61">
        <f>30.6905* CHOOSE(CONTROL!$C$22, $C$13, 100%, $E$13)</f>
        <v>30.6905</v>
      </c>
      <c r="I907" s="61">
        <f>30.6907 * CHOOSE(CONTROL!$C$22, $C$13, 100%, $E$13)</f>
        <v>30.6907</v>
      </c>
      <c r="J907" s="61">
        <f>18.8809 * CHOOSE(CONTROL!$C$22, $C$13, 100%, $E$13)</f>
        <v>18.8809</v>
      </c>
      <c r="K907" s="61">
        <f>18.881 * CHOOSE(CONTROL!$C$22, $C$13, 100%, $E$13)</f>
        <v>18.881</v>
      </c>
    </row>
    <row r="908" spans="1:11" ht="15">
      <c r="A908" s="13">
        <v>69489</v>
      </c>
      <c r="B908" s="60">
        <f>16.0812 * CHOOSE(CONTROL!$C$22, $C$13, 100%, $E$13)</f>
        <v>16.081199999999999</v>
      </c>
      <c r="C908" s="60">
        <f>16.0812 * CHOOSE(CONTROL!$C$22, $C$13, 100%, $E$13)</f>
        <v>16.081199999999999</v>
      </c>
      <c r="D908" s="60">
        <f>16.0976 * CHOOSE(CONTROL!$C$22, $C$13, 100%, $E$13)</f>
        <v>16.0976</v>
      </c>
      <c r="E908" s="61">
        <f>19.052 * CHOOSE(CONTROL!$C$22, $C$13, 100%, $E$13)</f>
        <v>19.052</v>
      </c>
      <c r="F908" s="61">
        <f>19.052 * CHOOSE(CONTROL!$C$22, $C$13, 100%, $E$13)</f>
        <v>19.052</v>
      </c>
      <c r="G908" s="61">
        <f>19.0522 * CHOOSE(CONTROL!$C$22, $C$13, 100%, $E$13)</f>
        <v>19.052199999999999</v>
      </c>
      <c r="H908" s="61">
        <f>30.7545* CHOOSE(CONTROL!$C$22, $C$13, 100%, $E$13)</f>
        <v>30.7545</v>
      </c>
      <c r="I908" s="61">
        <f>30.7546 * CHOOSE(CONTROL!$C$22, $C$13, 100%, $E$13)</f>
        <v>30.7546</v>
      </c>
      <c r="J908" s="61">
        <f>19.052 * CHOOSE(CONTROL!$C$22, $C$13, 100%, $E$13)</f>
        <v>19.052</v>
      </c>
      <c r="K908" s="61">
        <f>19.0522 * CHOOSE(CONTROL!$C$22, $C$13, 100%, $E$13)</f>
        <v>19.052199999999999</v>
      </c>
    </row>
    <row r="909" spans="1:11" ht="15">
      <c r="A909" s="13">
        <v>69519</v>
      </c>
      <c r="B909" s="60">
        <f>16.0812 * CHOOSE(CONTROL!$C$22, $C$13, 100%, $E$13)</f>
        <v>16.081199999999999</v>
      </c>
      <c r="C909" s="60">
        <f>16.0812 * CHOOSE(CONTROL!$C$22, $C$13, 100%, $E$13)</f>
        <v>16.081199999999999</v>
      </c>
      <c r="D909" s="60">
        <f>16.1139 * CHOOSE(CONTROL!$C$22, $C$13, 100%, $E$13)</f>
        <v>16.113900000000001</v>
      </c>
      <c r="E909" s="61">
        <f>19.1178 * CHOOSE(CONTROL!$C$22, $C$13, 100%, $E$13)</f>
        <v>19.117799999999999</v>
      </c>
      <c r="F909" s="61">
        <f>19.1178 * CHOOSE(CONTROL!$C$22, $C$13, 100%, $E$13)</f>
        <v>19.117799999999999</v>
      </c>
      <c r="G909" s="61">
        <f>19.1199 * CHOOSE(CONTROL!$C$22, $C$13, 100%, $E$13)</f>
        <v>19.119900000000001</v>
      </c>
      <c r="H909" s="61">
        <f>30.8185* CHOOSE(CONTROL!$C$22, $C$13, 100%, $E$13)</f>
        <v>30.8185</v>
      </c>
      <c r="I909" s="61">
        <f>30.8206 * CHOOSE(CONTROL!$C$22, $C$13, 100%, $E$13)</f>
        <v>30.820599999999999</v>
      </c>
      <c r="J909" s="61">
        <f>19.1178 * CHOOSE(CONTROL!$C$22, $C$13, 100%, $E$13)</f>
        <v>19.117799999999999</v>
      </c>
      <c r="K909" s="61">
        <f>19.1199 * CHOOSE(CONTROL!$C$22, $C$13, 100%, $E$13)</f>
        <v>19.119900000000001</v>
      </c>
    </row>
    <row r="910" spans="1:11" ht="15">
      <c r="A910" s="13">
        <v>69550</v>
      </c>
      <c r="B910" s="60">
        <f>16.0873 * CHOOSE(CONTROL!$C$22, $C$13, 100%, $E$13)</f>
        <v>16.087299999999999</v>
      </c>
      <c r="C910" s="60">
        <f>16.0873 * CHOOSE(CONTROL!$C$22, $C$13, 100%, $E$13)</f>
        <v>16.087299999999999</v>
      </c>
      <c r="D910" s="60">
        <f>16.12 * CHOOSE(CONTROL!$C$22, $C$13, 100%, $E$13)</f>
        <v>16.12</v>
      </c>
      <c r="E910" s="61">
        <f>19.0563 * CHOOSE(CONTROL!$C$22, $C$13, 100%, $E$13)</f>
        <v>19.0563</v>
      </c>
      <c r="F910" s="61">
        <f>19.0563 * CHOOSE(CONTROL!$C$22, $C$13, 100%, $E$13)</f>
        <v>19.0563</v>
      </c>
      <c r="G910" s="61">
        <f>19.0583 * CHOOSE(CONTROL!$C$22, $C$13, 100%, $E$13)</f>
        <v>19.058299999999999</v>
      </c>
      <c r="H910" s="61">
        <f>30.8827* CHOOSE(CONTROL!$C$22, $C$13, 100%, $E$13)</f>
        <v>30.8827</v>
      </c>
      <c r="I910" s="61">
        <f>30.8848 * CHOOSE(CONTROL!$C$22, $C$13, 100%, $E$13)</f>
        <v>30.884799999999998</v>
      </c>
      <c r="J910" s="61">
        <f>19.0563 * CHOOSE(CONTROL!$C$22, $C$13, 100%, $E$13)</f>
        <v>19.0563</v>
      </c>
      <c r="K910" s="61">
        <f>19.0583 * CHOOSE(CONTROL!$C$22, $C$13, 100%, $E$13)</f>
        <v>19.058299999999999</v>
      </c>
    </row>
    <row r="911" spans="1:11" ht="15">
      <c r="A911" s="13">
        <v>69580</v>
      </c>
      <c r="B911" s="60">
        <f>16.3385 * CHOOSE(CONTROL!$C$22, $C$13, 100%, $E$13)</f>
        <v>16.3385</v>
      </c>
      <c r="C911" s="60">
        <f>16.3385 * CHOOSE(CONTROL!$C$22, $C$13, 100%, $E$13)</f>
        <v>16.3385</v>
      </c>
      <c r="D911" s="60">
        <f>16.3712 * CHOOSE(CONTROL!$C$22, $C$13, 100%, $E$13)</f>
        <v>16.371200000000002</v>
      </c>
      <c r="E911" s="61">
        <f>19.4179 * CHOOSE(CONTROL!$C$22, $C$13, 100%, $E$13)</f>
        <v>19.417899999999999</v>
      </c>
      <c r="F911" s="61">
        <f>19.4179 * CHOOSE(CONTROL!$C$22, $C$13, 100%, $E$13)</f>
        <v>19.417899999999999</v>
      </c>
      <c r="G911" s="61">
        <f>19.4199 * CHOOSE(CONTROL!$C$22, $C$13, 100%, $E$13)</f>
        <v>19.419899999999998</v>
      </c>
      <c r="H911" s="61">
        <f>30.9471* CHOOSE(CONTROL!$C$22, $C$13, 100%, $E$13)</f>
        <v>30.947099999999999</v>
      </c>
      <c r="I911" s="61">
        <f>30.9491 * CHOOSE(CONTROL!$C$22, $C$13, 100%, $E$13)</f>
        <v>30.949100000000001</v>
      </c>
      <c r="J911" s="61">
        <f>19.4179 * CHOOSE(CONTROL!$C$22, $C$13, 100%, $E$13)</f>
        <v>19.417899999999999</v>
      </c>
      <c r="K911" s="61">
        <f>19.4199 * CHOOSE(CONTROL!$C$22, $C$13, 100%, $E$13)</f>
        <v>19.419899999999998</v>
      </c>
    </row>
    <row r="912" spans="1:11" ht="15">
      <c r="A912" s="13">
        <v>69611</v>
      </c>
      <c r="B912" s="60">
        <f>16.3452 * CHOOSE(CONTROL!$C$22, $C$13, 100%, $E$13)</f>
        <v>16.345199999999998</v>
      </c>
      <c r="C912" s="60">
        <f>16.3452 * CHOOSE(CONTROL!$C$22, $C$13, 100%, $E$13)</f>
        <v>16.345199999999998</v>
      </c>
      <c r="D912" s="60">
        <f>16.3779 * CHOOSE(CONTROL!$C$22, $C$13, 100%, $E$13)</f>
        <v>16.3779</v>
      </c>
      <c r="E912" s="61">
        <f>19.2252 * CHOOSE(CONTROL!$C$22, $C$13, 100%, $E$13)</f>
        <v>19.225200000000001</v>
      </c>
      <c r="F912" s="61">
        <f>19.2252 * CHOOSE(CONTROL!$C$22, $C$13, 100%, $E$13)</f>
        <v>19.225200000000001</v>
      </c>
      <c r="G912" s="61">
        <f>19.2272 * CHOOSE(CONTROL!$C$22, $C$13, 100%, $E$13)</f>
        <v>19.2272</v>
      </c>
      <c r="H912" s="61">
        <f>31.0115* CHOOSE(CONTROL!$C$22, $C$13, 100%, $E$13)</f>
        <v>31.011500000000002</v>
      </c>
      <c r="I912" s="61">
        <f>31.0136 * CHOOSE(CONTROL!$C$22, $C$13, 100%, $E$13)</f>
        <v>31.0136</v>
      </c>
      <c r="J912" s="61">
        <f>19.2252 * CHOOSE(CONTROL!$C$22, $C$13, 100%, $E$13)</f>
        <v>19.225200000000001</v>
      </c>
      <c r="K912" s="61">
        <f>19.2272 * CHOOSE(CONTROL!$C$22, $C$13, 100%, $E$13)</f>
        <v>19.2272</v>
      </c>
    </row>
    <row r="913" spans="1:11" ht="15">
      <c r="A913" s="13">
        <v>69642</v>
      </c>
      <c r="B913" s="60">
        <f>16.3422 * CHOOSE(CONTROL!$C$22, $C$13, 100%, $E$13)</f>
        <v>16.342199999999998</v>
      </c>
      <c r="C913" s="60">
        <f>16.3422 * CHOOSE(CONTROL!$C$22, $C$13, 100%, $E$13)</f>
        <v>16.342199999999998</v>
      </c>
      <c r="D913" s="60">
        <f>16.3748 * CHOOSE(CONTROL!$C$22, $C$13, 100%, $E$13)</f>
        <v>16.3748</v>
      </c>
      <c r="E913" s="61">
        <f>19.2012 * CHOOSE(CONTROL!$C$22, $C$13, 100%, $E$13)</f>
        <v>19.2012</v>
      </c>
      <c r="F913" s="61">
        <f>19.2012 * CHOOSE(CONTROL!$C$22, $C$13, 100%, $E$13)</f>
        <v>19.2012</v>
      </c>
      <c r="G913" s="61">
        <f>19.2032 * CHOOSE(CONTROL!$C$22, $C$13, 100%, $E$13)</f>
        <v>19.203199999999999</v>
      </c>
      <c r="H913" s="61">
        <f>31.0762* CHOOSE(CONTROL!$C$22, $C$13, 100%, $E$13)</f>
        <v>31.0762</v>
      </c>
      <c r="I913" s="61">
        <f>31.0782 * CHOOSE(CONTROL!$C$22, $C$13, 100%, $E$13)</f>
        <v>31.078199999999999</v>
      </c>
      <c r="J913" s="61">
        <f>19.2012 * CHOOSE(CONTROL!$C$22, $C$13, 100%, $E$13)</f>
        <v>19.2012</v>
      </c>
      <c r="K913" s="61">
        <f>19.2032 * CHOOSE(CONTROL!$C$22, $C$13, 100%, $E$13)</f>
        <v>19.203199999999999</v>
      </c>
    </row>
    <row r="914" spans="1:11" ht="15">
      <c r="A914" s="13">
        <v>69672</v>
      </c>
      <c r="B914" s="60">
        <f>16.3776 * CHOOSE(CONTROL!$C$22, $C$13, 100%, $E$13)</f>
        <v>16.377600000000001</v>
      </c>
      <c r="C914" s="60">
        <f>16.3776 * CHOOSE(CONTROL!$C$22, $C$13, 100%, $E$13)</f>
        <v>16.377600000000001</v>
      </c>
      <c r="D914" s="60">
        <f>16.394 * CHOOSE(CONTROL!$C$22, $C$13, 100%, $E$13)</f>
        <v>16.393999999999998</v>
      </c>
      <c r="E914" s="61">
        <f>19.2754 * CHOOSE(CONTROL!$C$22, $C$13, 100%, $E$13)</f>
        <v>19.275400000000001</v>
      </c>
      <c r="F914" s="61">
        <f>19.2754 * CHOOSE(CONTROL!$C$22, $C$13, 100%, $E$13)</f>
        <v>19.275400000000001</v>
      </c>
      <c r="G914" s="61">
        <f>19.2756 * CHOOSE(CONTROL!$C$22, $C$13, 100%, $E$13)</f>
        <v>19.275600000000001</v>
      </c>
      <c r="H914" s="61">
        <f>31.1409* CHOOSE(CONTROL!$C$22, $C$13, 100%, $E$13)</f>
        <v>31.140899999999998</v>
      </c>
      <c r="I914" s="61">
        <f>31.1411 * CHOOSE(CONTROL!$C$22, $C$13, 100%, $E$13)</f>
        <v>31.141100000000002</v>
      </c>
      <c r="J914" s="61">
        <f>19.2754 * CHOOSE(CONTROL!$C$22, $C$13, 100%, $E$13)</f>
        <v>19.275400000000001</v>
      </c>
      <c r="K914" s="61">
        <f>19.2756 * CHOOSE(CONTROL!$C$22, $C$13, 100%, $E$13)</f>
        <v>19.275600000000001</v>
      </c>
    </row>
    <row r="915" spans="1:11" ht="15">
      <c r="A915" s="13">
        <v>69703</v>
      </c>
      <c r="B915" s="60">
        <f>16.3807 * CHOOSE(CONTROL!$C$22, $C$13, 100%, $E$13)</f>
        <v>16.380700000000001</v>
      </c>
      <c r="C915" s="60">
        <f>16.3807 * CHOOSE(CONTROL!$C$22, $C$13, 100%, $E$13)</f>
        <v>16.380700000000001</v>
      </c>
      <c r="D915" s="60">
        <f>16.397 * CHOOSE(CONTROL!$C$22, $C$13, 100%, $E$13)</f>
        <v>16.396999999999998</v>
      </c>
      <c r="E915" s="61">
        <f>19.3214 * CHOOSE(CONTROL!$C$22, $C$13, 100%, $E$13)</f>
        <v>19.321400000000001</v>
      </c>
      <c r="F915" s="61">
        <f>19.3214 * CHOOSE(CONTROL!$C$22, $C$13, 100%, $E$13)</f>
        <v>19.321400000000001</v>
      </c>
      <c r="G915" s="61">
        <f>19.3216 * CHOOSE(CONTROL!$C$22, $C$13, 100%, $E$13)</f>
        <v>19.3216</v>
      </c>
      <c r="H915" s="61">
        <f>31.2058* CHOOSE(CONTROL!$C$22, $C$13, 100%, $E$13)</f>
        <v>31.2058</v>
      </c>
      <c r="I915" s="61">
        <f>31.206 * CHOOSE(CONTROL!$C$22, $C$13, 100%, $E$13)</f>
        <v>31.206</v>
      </c>
      <c r="J915" s="61">
        <f>19.3214 * CHOOSE(CONTROL!$C$22, $C$13, 100%, $E$13)</f>
        <v>19.321400000000001</v>
      </c>
      <c r="K915" s="61">
        <f>19.3216 * CHOOSE(CONTROL!$C$22, $C$13, 100%, $E$13)</f>
        <v>19.3216</v>
      </c>
    </row>
    <row r="916" spans="1:11" ht="15">
      <c r="A916" s="13">
        <v>69733</v>
      </c>
      <c r="B916" s="60">
        <f>16.3807 * CHOOSE(CONTROL!$C$22, $C$13, 100%, $E$13)</f>
        <v>16.380700000000001</v>
      </c>
      <c r="C916" s="60">
        <f>16.3807 * CHOOSE(CONTROL!$C$22, $C$13, 100%, $E$13)</f>
        <v>16.380700000000001</v>
      </c>
      <c r="D916" s="60">
        <f>16.397 * CHOOSE(CONTROL!$C$22, $C$13, 100%, $E$13)</f>
        <v>16.396999999999998</v>
      </c>
      <c r="E916" s="61">
        <f>19.2118 * CHOOSE(CONTROL!$C$22, $C$13, 100%, $E$13)</f>
        <v>19.2118</v>
      </c>
      <c r="F916" s="61">
        <f>19.2118 * CHOOSE(CONTROL!$C$22, $C$13, 100%, $E$13)</f>
        <v>19.2118</v>
      </c>
      <c r="G916" s="61">
        <f>19.212 * CHOOSE(CONTROL!$C$22, $C$13, 100%, $E$13)</f>
        <v>19.212</v>
      </c>
      <c r="H916" s="61">
        <f>31.2708* CHOOSE(CONTROL!$C$22, $C$13, 100%, $E$13)</f>
        <v>31.270800000000001</v>
      </c>
      <c r="I916" s="61">
        <f>31.271 * CHOOSE(CONTROL!$C$22, $C$13, 100%, $E$13)</f>
        <v>31.271000000000001</v>
      </c>
      <c r="J916" s="61">
        <f>19.2118 * CHOOSE(CONTROL!$C$22, $C$13, 100%, $E$13)</f>
        <v>19.2118</v>
      </c>
      <c r="K916" s="61">
        <f>19.212 * CHOOSE(CONTROL!$C$22, $C$13, 100%, $E$13)</f>
        <v>19.212</v>
      </c>
    </row>
    <row r="917" spans="1:11" ht="15">
      <c r="A917" s="13">
        <v>69764</v>
      </c>
      <c r="B917" s="60">
        <f>16.3247 * CHOOSE(CONTROL!$C$22, $C$13, 100%, $E$13)</f>
        <v>16.3247</v>
      </c>
      <c r="C917" s="60">
        <f>16.3247 * CHOOSE(CONTROL!$C$22, $C$13, 100%, $E$13)</f>
        <v>16.3247</v>
      </c>
      <c r="D917" s="60">
        <f>16.341 * CHOOSE(CONTROL!$C$22, $C$13, 100%, $E$13)</f>
        <v>16.341000000000001</v>
      </c>
      <c r="E917" s="61">
        <f>19.2214 * CHOOSE(CONTROL!$C$22, $C$13, 100%, $E$13)</f>
        <v>19.221399999999999</v>
      </c>
      <c r="F917" s="61">
        <f>19.2214 * CHOOSE(CONTROL!$C$22, $C$13, 100%, $E$13)</f>
        <v>19.221399999999999</v>
      </c>
      <c r="G917" s="61">
        <f>19.2215 * CHOOSE(CONTROL!$C$22, $C$13, 100%, $E$13)</f>
        <v>19.221499999999999</v>
      </c>
      <c r="H917" s="61">
        <f>31.0089* CHOOSE(CONTROL!$C$22, $C$13, 100%, $E$13)</f>
        <v>31.008900000000001</v>
      </c>
      <c r="I917" s="61">
        <f>31.0091 * CHOOSE(CONTROL!$C$22, $C$13, 100%, $E$13)</f>
        <v>31.0091</v>
      </c>
      <c r="J917" s="61">
        <f>19.2214 * CHOOSE(CONTROL!$C$22, $C$13, 100%, $E$13)</f>
        <v>19.221399999999999</v>
      </c>
      <c r="K917" s="61">
        <f>19.2215 * CHOOSE(CONTROL!$C$22, $C$13, 100%, $E$13)</f>
        <v>19.221499999999999</v>
      </c>
    </row>
    <row r="918" spans="1:11" ht="15">
      <c r="A918" s="13">
        <v>69795</v>
      </c>
      <c r="B918" s="60">
        <f>16.3216 * CHOOSE(CONTROL!$C$22, $C$13, 100%, $E$13)</f>
        <v>16.3216</v>
      </c>
      <c r="C918" s="60">
        <f>16.3216 * CHOOSE(CONTROL!$C$22, $C$13, 100%, $E$13)</f>
        <v>16.3216</v>
      </c>
      <c r="D918" s="60">
        <f>16.338 * CHOOSE(CONTROL!$C$22, $C$13, 100%, $E$13)</f>
        <v>16.338000000000001</v>
      </c>
      <c r="E918" s="61">
        <f>19.0088 * CHOOSE(CONTROL!$C$22, $C$13, 100%, $E$13)</f>
        <v>19.008800000000001</v>
      </c>
      <c r="F918" s="61">
        <f>19.0088 * CHOOSE(CONTROL!$C$22, $C$13, 100%, $E$13)</f>
        <v>19.008800000000001</v>
      </c>
      <c r="G918" s="61">
        <f>19.009 * CHOOSE(CONTROL!$C$22, $C$13, 100%, $E$13)</f>
        <v>19.009</v>
      </c>
      <c r="H918" s="61">
        <f>31.0735* CHOOSE(CONTROL!$C$22, $C$13, 100%, $E$13)</f>
        <v>31.073499999999999</v>
      </c>
      <c r="I918" s="61">
        <f>31.0737 * CHOOSE(CONTROL!$C$22, $C$13, 100%, $E$13)</f>
        <v>31.073699999999999</v>
      </c>
      <c r="J918" s="61">
        <f>19.0088 * CHOOSE(CONTROL!$C$22, $C$13, 100%, $E$13)</f>
        <v>19.008800000000001</v>
      </c>
      <c r="K918" s="61">
        <f>19.009 * CHOOSE(CONTROL!$C$22, $C$13, 100%, $E$13)</f>
        <v>19.009</v>
      </c>
    </row>
    <row r="919" spans="1:11" ht="15">
      <c r="A919" s="13">
        <v>69823</v>
      </c>
      <c r="B919" s="60">
        <f>16.3186 * CHOOSE(CONTROL!$C$22, $C$13, 100%, $E$13)</f>
        <v>16.3186</v>
      </c>
      <c r="C919" s="60">
        <f>16.3186 * CHOOSE(CONTROL!$C$22, $C$13, 100%, $E$13)</f>
        <v>16.3186</v>
      </c>
      <c r="D919" s="60">
        <f>16.3349 * CHOOSE(CONTROL!$C$22, $C$13, 100%, $E$13)</f>
        <v>16.334900000000001</v>
      </c>
      <c r="E919" s="61">
        <f>19.1726 * CHOOSE(CONTROL!$C$22, $C$13, 100%, $E$13)</f>
        <v>19.172599999999999</v>
      </c>
      <c r="F919" s="61">
        <f>19.1726 * CHOOSE(CONTROL!$C$22, $C$13, 100%, $E$13)</f>
        <v>19.172599999999999</v>
      </c>
      <c r="G919" s="61">
        <f>19.1728 * CHOOSE(CONTROL!$C$22, $C$13, 100%, $E$13)</f>
        <v>19.172799999999999</v>
      </c>
      <c r="H919" s="61">
        <f>31.1383* CHOOSE(CONTROL!$C$22, $C$13, 100%, $E$13)</f>
        <v>31.138300000000001</v>
      </c>
      <c r="I919" s="61">
        <f>31.1384 * CHOOSE(CONTROL!$C$22, $C$13, 100%, $E$13)</f>
        <v>31.138400000000001</v>
      </c>
      <c r="J919" s="61">
        <f>19.1726 * CHOOSE(CONTROL!$C$22, $C$13, 100%, $E$13)</f>
        <v>19.172599999999999</v>
      </c>
      <c r="K919" s="61">
        <f>19.1728 * CHOOSE(CONTROL!$C$22, $C$13, 100%, $E$13)</f>
        <v>19.172799999999999</v>
      </c>
    </row>
    <row r="920" spans="1:11" ht="15">
      <c r="A920" s="13">
        <v>69854</v>
      </c>
      <c r="B920" s="60">
        <f>16.3267 * CHOOSE(CONTROL!$C$22, $C$13, 100%, $E$13)</f>
        <v>16.326699999999999</v>
      </c>
      <c r="C920" s="60">
        <f>16.3267 * CHOOSE(CONTROL!$C$22, $C$13, 100%, $E$13)</f>
        <v>16.326699999999999</v>
      </c>
      <c r="D920" s="60">
        <f>16.3431 * CHOOSE(CONTROL!$C$22, $C$13, 100%, $E$13)</f>
        <v>16.3431</v>
      </c>
      <c r="E920" s="61">
        <f>19.3465 * CHOOSE(CONTROL!$C$22, $C$13, 100%, $E$13)</f>
        <v>19.346499999999999</v>
      </c>
      <c r="F920" s="61">
        <f>19.3465 * CHOOSE(CONTROL!$C$22, $C$13, 100%, $E$13)</f>
        <v>19.346499999999999</v>
      </c>
      <c r="G920" s="61">
        <f>19.3467 * CHOOSE(CONTROL!$C$22, $C$13, 100%, $E$13)</f>
        <v>19.346699999999998</v>
      </c>
      <c r="H920" s="61">
        <f>31.2031* CHOOSE(CONTROL!$C$22, $C$13, 100%, $E$13)</f>
        <v>31.203099999999999</v>
      </c>
      <c r="I920" s="61">
        <f>31.2033 * CHOOSE(CONTROL!$C$22, $C$13, 100%, $E$13)</f>
        <v>31.203299999999999</v>
      </c>
      <c r="J920" s="61">
        <f>19.3465 * CHOOSE(CONTROL!$C$22, $C$13, 100%, $E$13)</f>
        <v>19.346499999999999</v>
      </c>
      <c r="K920" s="61">
        <f>19.3467 * CHOOSE(CONTROL!$C$22, $C$13, 100%, $E$13)</f>
        <v>19.346699999999998</v>
      </c>
    </row>
    <row r="921" spans="1:11" ht="15">
      <c r="A921" s="13">
        <v>69884</v>
      </c>
      <c r="B921" s="60">
        <f>16.3267 * CHOOSE(CONTROL!$C$22, $C$13, 100%, $E$13)</f>
        <v>16.326699999999999</v>
      </c>
      <c r="C921" s="60">
        <f>16.3267 * CHOOSE(CONTROL!$C$22, $C$13, 100%, $E$13)</f>
        <v>16.326699999999999</v>
      </c>
      <c r="D921" s="60">
        <f>16.3594 * CHOOSE(CONTROL!$C$22, $C$13, 100%, $E$13)</f>
        <v>16.359400000000001</v>
      </c>
      <c r="E921" s="61">
        <f>19.4133 * CHOOSE(CONTROL!$C$22, $C$13, 100%, $E$13)</f>
        <v>19.4133</v>
      </c>
      <c r="F921" s="61">
        <f>19.4133 * CHOOSE(CONTROL!$C$22, $C$13, 100%, $E$13)</f>
        <v>19.4133</v>
      </c>
      <c r="G921" s="61">
        <f>19.4153 * CHOOSE(CONTROL!$C$22, $C$13, 100%, $E$13)</f>
        <v>19.415299999999998</v>
      </c>
      <c r="H921" s="61">
        <f>31.2681* CHOOSE(CONTROL!$C$22, $C$13, 100%, $E$13)</f>
        <v>31.2681</v>
      </c>
      <c r="I921" s="61">
        <f>31.2702 * CHOOSE(CONTROL!$C$22, $C$13, 100%, $E$13)</f>
        <v>31.270199999999999</v>
      </c>
      <c r="J921" s="61">
        <f>19.4133 * CHOOSE(CONTROL!$C$22, $C$13, 100%, $E$13)</f>
        <v>19.4133</v>
      </c>
      <c r="K921" s="61">
        <f>19.4153 * CHOOSE(CONTROL!$C$22, $C$13, 100%, $E$13)</f>
        <v>19.415299999999998</v>
      </c>
    </row>
    <row r="922" spans="1:11" ht="15">
      <c r="A922" s="13">
        <v>69915</v>
      </c>
      <c r="B922" s="60">
        <f>16.3328 * CHOOSE(CONTROL!$C$22, $C$13, 100%, $E$13)</f>
        <v>16.332799999999999</v>
      </c>
      <c r="C922" s="60">
        <f>16.3328 * CHOOSE(CONTROL!$C$22, $C$13, 100%, $E$13)</f>
        <v>16.332799999999999</v>
      </c>
      <c r="D922" s="60">
        <f>16.3655 * CHOOSE(CONTROL!$C$22, $C$13, 100%, $E$13)</f>
        <v>16.365500000000001</v>
      </c>
      <c r="E922" s="61">
        <f>19.3507 * CHOOSE(CONTROL!$C$22, $C$13, 100%, $E$13)</f>
        <v>19.3507</v>
      </c>
      <c r="F922" s="61">
        <f>19.3507 * CHOOSE(CONTROL!$C$22, $C$13, 100%, $E$13)</f>
        <v>19.3507</v>
      </c>
      <c r="G922" s="61">
        <f>19.3528 * CHOOSE(CONTROL!$C$22, $C$13, 100%, $E$13)</f>
        <v>19.352799999999998</v>
      </c>
      <c r="H922" s="61">
        <f>31.3333* CHOOSE(CONTROL!$C$22, $C$13, 100%, $E$13)</f>
        <v>31.333300000000001</v>
      </c>
      <c r="I922" s="61">
        <f>31.3353 * CHOOSE(CONTROL!$C$22, $C$13, 100%, $E$13)</f>
        <v>31.3353</v>
      </c>
      <c r="J922" s="61">
        <f>19.3507 * CHOOSE(CONTROL!$C$22, $C$13, 100%, $E$13)</f>
        <v>19.3507</v>
      </c>
      <c r="K922" s="61">
        <f>19.3528 * CHOOSE(CONTROL!$C$22, $C$13, 100%, $E$13)</f>
        <v>19.352799999999998</v>
      </c>
    </row>
    <row r="923" spans="1:11" ht="15">
      <c r="A923" s="13">
        <v>69945</v>
      </c>
      <c r="B923" s="60">
        <f>16.5877 * CHOOSE(CONTROL!$C$22, $C$13, 100%, $E$13)</f>
        <v>16.587700000000002</v>
      </c>
      <c r="C923" s="60">
        <f>16.5877 * CHOOSE(CONTROL!$C$22, $C$13, 100%, $E$13)</f>
        <v>16.587700000000002</v>
      </c>
      <c r="D923" s="60">
        <f>16.6204 * CHOOSE(CONTROL!$C$22, $C$13, 100%, $E$13)</f>
        <v>16.6204</v>
      </c>
      <c r="E923" s="61">
        <f>19.7178 * CHOOSE(CONTROL!$C$22, $C$13, 100%, $E$13)</f>
        <v>19.7178</v>
      </c>
      <c r="F923" s="61">
        <f>19.7178 * CHOOSE(CONTROL!$C$22, $C$13, 100%, $E$13)</f>
        <v>19.7178</v>
      </c>
      <c r="G923" s="61">
        <f>19.7198 * CHOOSE(CONTROL!$C$22, $C$13, 100%, $E$13)</f>
        <v>19.719799999999999</v>
      </c>
      <c r="H923" s="61">
        <f>31.3986* CHOOSE(CONTROL!$C$22, $C$13, 100%, $E$13)</f>
        <v>31.398599999999998</v>
      </c>
      <c r="I923" s="61">
        <f>31.4006 * CHOOSE(CONTROL!$C$22, $C$13, 100%, $E$13)</f>
        <v>31.400600000000001</v>
      </c>
      <c r="J923" s="61">
        <f>19.7178 * CHOOSE(CONTROL!$C$22, $C$13, 100%, $E$13)</f>
        <v>19.7178</v>
      </c>
      <c r="K923" s="61">
        <f>19.7198 * CHOOSE(CONTROL!$C$22, $C$13, 100%, $E$13)</f>
        <v>19.719799999999999</v>
      </c>
    </row>
    <row r="924" spans="1:11" ht="15">
      <c r="A924" s="13">
        <v>69976</v>
      </c>
      <c r="B924" s="60">
        <f>16.5944 * CHOOSE(CONTROL!$C$22, $C$13, 100%, $E$13)</f>
        <v>16.5944</v>
      </c>
      <c r="C924" s="60">
        <f>16.5944 * CHOOSE(CONTROL!$C$22, $C$13, 100%, $E$13)</f>
        <v>16.5944</v>
      </c>
      <c r="D924" s="60">
        <f>16.6271 * CHOOSE(CONTROL!$C$22, $C$13, 100%, $E$13)</f>
        <v>16.627099999999999</v>
      </c>
      <c r="E924" s="61">
        <f>19.522 * CHOOSE(CONTROL!$C$22, $C$13, 100%, $E$13)</f>
        <v>19.521999999999998</v>
      </c>
      <c r="F924" s="61">
        <f>19.522 * CHOOSE(CONTROL!$C$22, $C$13, 100%, $E$13)</f>
        <v>19.521999999999998</v>
      </c>
      <c r="G924" s="61">
        <f>19.5241 * CHOOSE(CONTROL!$C$22, $C$13, 100%, $E$13)</f>
        <v>19.524100000000001</v>
      </c>
      <c r="H924" s="61">
        <f>31.464* CHOOSE(CONTROL!$C$22, $C$13, 100%, $E$13)</f>
        <v>31.463999999999999</v>
      </c>
      <c r="I924" s="61">
        <f>31.466 * CHOOSE(CONTROL!$C$22, $C$13, 100%, $E$13)</f>
        <v>31.466000000000001</v>
      </c>
      <c r="J924" s="61">
        <f>19.522 * CHOOSE(CONTROL!$C$22, $C$13, 100%, $E$13)</f>
        <v>19.521999999999998</v>
      </c>
      <c r="K924" s="61">
        <f>19.5241 * CHOOSE(CONTROL!$C$22, $C$13, 100%, $E$13)</f>
        <v>19.524100000000001</v>
      </c>
    </row>
    <row r="925" spans="1:11" ht="15">
      <c r="A925" s="13">
        <v>70007</v>
      </c>
      <c r="B925" s="60">
        <f>16.5914 * CHOOSE(CONTROL!$C$22, $C$13, 100%, $E$13)</f>
        <v>16.5914</v>
      </c>
      <c r="C925" s="60">
        <f>16.5914 * CHOOSE(CONTROL!$C$22, $C$13, 100%, $E$13)</f>
        <v>16.5914</v>
      </c>
      <c r="D925" s="60">
        <f>16.6241 * CHOOSE(CONTROL!$C$22, $C$13, 100%, $E$13)</f>
        <v>16.624099999999999</v>
      </c>
      <c r="E925" s="61">
        <f>19.4976 * CHOOSE(CONTROL!$C$22, $C$13, 100%, $E$13)</f>
        <v>19.497599999999998</v>
      </c>
      <c r="F925" s="61">
        <f>19.4976 * CHOOSE(CONTROL!$C$22, $C$13, 100%, $E$13)</f>
        <v>19.497599999999998</v>
      </c>
      <c r="G925" s="61">
        <f>19.4997 * CHOOSE(CONTROL!$C$22, $C$13, 100%, $E$13)</f>
        <v>19.499700000000001</v>
      </c>
      <c r="H925" s="61">
        <f>31.5295* CHOOSE(CONTROL!$C$22, $C$13, 100%, $E$13)</f>
        <v>31.529499999999999</v>
      </c>
      <c r="I925" s="61">
        <f>31.5316 * CHOOSE(CONTROL!$C$22, $C$13, 100%, $E$13)</f>
        <v>31.531600000000001</v>
      </c>
      <c r="J925" s="61">
        <f>19.4976 * CHOOSE(CONTROL!$C$22, $C$13, 100%, $E$13)</f>
        <v>19.497599999999998</v>
      </c>
      <c r="K925" s="61">
        <f>19.4997 * CHOOSE(CONTROL!$C$22, $C$13, 100%, $E$13)</f>
        <v>19.499700000000001</v>
      </c>
    </row>
    <row r="926" spans="1:11" ht="15">
      <c r="A926" s="13">
        <v>70037</v>
      </c>
      <c r="B926" s="60">
        <f>16.6276 * CHOOSE(CONTROL!$C$22, $C$13, 100%, $E$13)</f>
        <v>16.627600000000001</v>
      </c>
      <c r="C926" s="60">
        <f>16.6276 * CHOOSE(CONTROL!$C$22, $C$13, 100%, $E$13)</f>
        <v>16.627600000000001</v>
      </c>
      <c r="D926" s="60">
        <f>16.644 * CHOOSE(CONTROL!$C$22, $C$13, 100%, $E$13)</f>
        <v>16.643999999999998</v>
      </c>
      <c r="E926" s="61">
        <f>19.5733 * CHOOSE(CONTROL!$C$22, $C$13, 100%, $E$13)</f>
        <v>19.5733</v>
      </c>
      <c r="F926" s="61">
        <f>19.5733 * CHOOSE(CONTROL!$C$22, $C$13, 100%, $E$13)</f>
        <v>19.5733</v>
      </c>
      <c r="G926" s="61">
        <f>19.5735 * CHOOSE(CONTROL!$C$22, $C$13, 100%, $E$13)</f>
        <v>19.573499999999999</v>
      </c>
      <c r="H926" s="61">
        <f>31.5952* CHOOSE(CONTROL!$C$22, $C$13, 100%, $E$13)</f>
        <v>31.595199999999998</v>
      </c>
      <c r="I926" s="61">
        <f>31.5954 * CHOOSE(CONTROL!$C$22, $C$13, 100%, $E$13)</f>
        <v>31.595400000000001</v>
      </c>
      <c r="J926" s="61">
        <f>19.5733 * CHOOSE(CONTROL!$C$22, $C$13, 100%, $E$13)</f>
        <v>19.5733</v>
      </c>
      <c r="K926" s="61">
        <f>19.5735 * CHOOSE(CONTROL!$C$22, $C$13, 100%, $E$13)</f>
        <v>19.573499999999999</v>
      </c>
    </row>
    <row r="927" spans="1:11" ht="15">
      <c r="A927" s="13">
        <v>70068</v>
      </c>
      <c r="B927" s="60">
        <f>16.6307 * CHOOSE(CONTROL!$C$22, $C$13, 100%, $E$13)</f>
        <v>16.630700000000001</v>
      </c>
      <c r="C927" s="60">
        <f>16.6307 * CHOOSE(CONTROL!$C$22, $C$13, 100%, $E$13)</f>
        <v>16.630700000000001</v>
      </c>
      <c r="D927" s="60">
        <f>16.647 * CHOOSE(CONTROL!$C$22, $C$13, 100%, $E$13)</f>
        <v>16.646999999999998</v>
      </c>
      <c r="E927" s="61">
        <f>19.6199 * CHOOSE(CONTROL!$C$22, $C$13, 100%, $E$13)</f>
        <v>19.619900000000001</v>
      </c>
      <c r="F927" s="61">
        <f>19.6199 * CHOOSE(CONTROL!$C$22, $C$13, 100%, $E$13)</f>
        <v>19.619900000000001</v>
      </c>
      <c r="G927" s="61">
        <f>19.6201 * CHOOSE(CONTROL!$C$22, $C$13, 100%, $E$13)</f>
        <v>19.620100000000001</v>
      </c>
      <c r="H927" s="61">
        <f>31.661* CHOOSE(CONTROL!$C$22, $C$13, 100%, $E$13)</f>
        <v>31.661000000000001</v>
      </c>
      <c r="I927" s="61">
        <f>31.6612 * CHOOSE(CONTROL!$C$22, $C$13, 100%, $E$13)</f>
        <v>31.661200000000001</v>
      </c>
      <c r="J927" s="61">
        <f>19.6199 * CHOOSE(CONTROL!$C$22, $C$13, 100%, $E$13)</f>
        <v>19.619900000000001</v>
      </c>
      <c r="K927" s="61">
        <f>19.6201 * CHOOSE(CONTROL!$C$22, $C$13, 100%, $E$13)</f>
        <v>19.620100000000001</v>
      </c>
    </row>
    <row r="928" spans="1:11" ht="15">
      <c r="A928" s="13">
        <v>70098</v>
      </c>
      <c r="B928" s="60">
        <f>16.6307 * CHOOSE(CONTROL!$C$22, $C$13, 100%, $E$13)</f>
        <v>16.630700000000001</v>
      </c>
      <c r="C928" s="60">
        <f>16.6307 * CHOOSE(CONTROL!$C$22, $C$13, 100%, $E$13)</f>
        <v>16.630700000000001</v>
      </c>
      <c r="D928" s="60">
        <f>16.647 * CHOOSE(CONTROL!$C$22, $C$13, 100%, $E$13)</f>
        <v>16.646999999999998</v>
      </c>
      <c r="E928" s="61">
        <f>19.5086 * CHOOSE(CONTROL!$C$22, $C$13, 100%, $E$13)</f>
        <v>19.508600000000001</v>
      </c>
      <c r="F928" s="61">
        <f>19.5086 * CHOOSE(CONTROL!$C$22, $C$13, 100%, $E$13)</f>
        <v>19.508600000000001</v>
      </c>
      <c r="G928" s="61">
        <f>19.5088 * CHOOSE(CONTROL!$C$22, $C$13, 100%, $E$13)</f>
        <v>19.508800000000001</v>
      </c>
      <c r="H928" s="61">
        <f>31.727* CHOOSE(CONTROL!$C$22, $C$13, 100%, $E$13)</f>
        <v>31.727</v>
      </c>
      <c r="I928" s="61">
        <f>31.7272 * CHOOSE(CONTROL!$C$22, $C$13, 100%, $E$13)</f>
        <v>31.7272</v>
      </c>
      <c r="J928" s="61">
        <f>19.5086 * CHOOSE(CONTROL!$C$22, $C$13, 100%, $E$13)</f>
        <v>19.508600000000001</v>
      </c>
      <c r="K928" s="61">
        <f>19.5088 * CHOOSE(CONTROL!$C$22, $C$13, 100%, $E$13)</f>
        <v>19.508800000000001</v>
      </c>
    </row>
    <row r="929" spans="1:11" ht="15">
      <c r="A929" s="13">
        <v>70129</v>
      </c>
      <c r="B929" s="60">
        <f>16.57 * CHOOSE(CONTROL!$C$22, $C$13, 100%, $E$13)</f>
        <v>16.57</v>
      </c>
      <c r="C929" s="60">
        <f>16.57 * CHOOSE(CONTROL!$C$22, $C$13, 100%, $E$13)</f>
        <v>16.57</v>
      </c>
      <c r="D929" s="60">
        <f>16.5863 * CHOOSE(CONTROL!$C$22, $C$13, 100%, $E$13)</f>
        <v>16.586300000000001</v>
      </c>
      <c r="E929" s="61">
        <f>19.5138 * CHOOSE(CONTROL!$C$22, $C$13, 100%, $E$13)</f>
        <v>19.5138</v>
      </c>
      <c r="F929" s="61">
        <f>19.5138 * CHOOSE(CONTROL!$C$22, $C$13, 100%, $E$13)</f>
        <v>19.5138</v>
      </c>
      <c r="G929" s="61">
        <f>19.5139 * CHOOSE(CONTROL!$C$22, $C$13, 100%, $E$13)</f>
        <v>19.5139</v>
      </c>
      <c r="H929" s="61">
        <f>31.4548* CHOOSE(CONTROL!$C$22, $C$13, 100%, $E$13)</f>
        <v>31.454799999999999</v>
      </c>
      <c r="I929" s="61">
        <f>31.455 * CHOOSE(CONTROL!$C$22, $C$13, 100%, $E$13)</f>
        <v>31.454999999999998</v>
      </c>
      <c r="J929" s="61">
        <f>19.5138 * CHOOSE(CONTROL!$C$22, $C$13, 100%, $E$13)</f>
        <v>19.5138</v>
      </c>
      <c r="K929" s="61">
        <f>19.5139 * CHOOSE(CONTROL!$C$22, $C$13, 100%, $E$13)</f>
        <v>19.5139</v>
      </c>
    </row>
    <row r="930" spans="1:11" ht="15">
      <c r="A930" s="13">
        <v>70160</v>
      </c>
      <c r="B930" s="60">
        <f>16.567 * CHOOSE(CONTROL!$C$22, $C$13, 100%, $E$13)</f>
        <v>16.567</v>
      </c>
      <c r="C930" s="60">
        <f>16.567 * CHOOSE(CONTROL!$C$22, $C$13, 100%, $E$13)</f>
        <v>16.567</v>
      </c>
      <c r="D930" s="60">
        <f>16.5833 * CHOOSE(CONTROL!$C$22, $C$13, 100%, $E$13)</f>
        <v>16.583300000000001</v>
      </c>
      <c r="E930" s="61">
        <f>19.298 * CHOOSE(CONTROL!$C$22, $C$13, 100%, $E$13)</f>
        <v>19.297999999999998</v>
      </c>
      <c r="F930" s="61">
        <f>19.298 * CHOOSE(CONTROL!$C$22, $C$13, 100%, $E$13)</f>
        <v>19.297999999999998</v>
      </c>
      <c r="G930" s="61">
        <f>19.2982 * CHOOSE(CONTROL!$C$22, $C$13, 100%, $E$13)</f>
        <v>19.298200000000001</v>
      </c>
      <c r="H930" s="61">
        <f>31.5204* CHOOSE(CONTROL!$C$22, $C$13, 100%, $E$13)</f>
        <v>31.520399999999999</v>
      </c>
      <c r="I930" s="61">
        <f>31.5205 * CHOOSE(CONTROL!$C$22, $C$13, 100%, $E$13)</f>
        <v>31.520499999999998</v>
      </c>
      <c r="J930" s="61">
        <f>19.298 * CHOOSE(CONTROL!$C$22, $C$13, 100%, $E$13)</f>
        <v>19.297999999999998</v>
      </c>
      <c r="K930" s="61">
        <f>19.2982 * CHOOSE(CONTROL!$C$22, $C$13, 100%, $E$13)</f>
        <v>19.298200000000001</v>
      </c>
    </row>
    <row r="931" spans="1:11" ht="15">
      <c r="A931" s="13">
        <v>70189</v>
      </c>
      <c r="B931" s="60">
        <f>16.5639 * CHOOSE(CONTROL!$C$22, $C$13, 100%, $E$13)</f>
        <v>16.5639</v>
      </c>
      <c r="C931" s="60">
        <f>16.5639 * CHOOSE(CONTROL!$C$22, $C$13, 100%, $E$13)</f>
        <v>16.5639</v>
      </c>
      <c r="D931" s="60">
        <f>16.5803 * CHOOSE(CONTROL!$C$22, $C$13, 100%, $E$13)</f>
        <v>16.580300000000001</v>
      </c>
      <c r="E931" s="61">
        <f>19.4643 * CHOOSE(CONTROL!$C$22, $C$13, 100%, $E$13)</f>
        <v>19.464300000000001</v>
      </c>
      <c r="F931" s="61">
        <f>19.4643 * CHOOSE(CONTROL!$C$22, $C$13, 100%, $E$13)</f>
        <v>19.464300000000001</v>
      </c>
      <c r="G931" s="61">
        <f>19.4645 * CHOOSE(CONTROL!$C$22, $C$13, 100%, $E$13)</f>
        <v>19.464500000000001</v>
      </c>
      <c r="H931" s="61">
        <f>31.586* CHOOSE(CONTROL!$C$22, $C$13, 100%, $E$13)</f>
        <v>31.585999999999999</v>
      </c>
      <c r="I931" s="61">
        <f>31.5862 * CHOOSE(CONTROL!$C$22, $C$13, 100%, $E$13)</f>
        <v>31.586200000000002</v>
      </c>
      <c r="J931" s="61">
        <f>19.4643 * CHOOSE(CONTROL!$C$22, $C$13, 100%, $E$13)</f>
        <v>19.464300000000001</v>
      </c>
      <c r="K931" s="61">
        <f>19.4645 * CHOOSE(CONTROL!$C$22, $C$13, 100%, $E$13)</f>
        <v>19.464500000000001</v>
      </c>
    </row>
    <row r="932" spans="1:11" ht="15">
      <c r="A932" s="13">
        <v>70220</v>
      </c>
      <c r="B932" s="60">
        <f>16.5723 * CHOOSE(CONTROL!$C$22, $C$13, 100%, $E$13)</f>
        <v>16.572299999999998</v>
      </c>
      <c r="C932" s="60">
        <f>16.5723 * CHOOSE(CONTROL!$C$22, $C$13, 100%, $E$13)</f>
        <v>16.572299999999998</v>
      </c>
      <c r="D932" s="60">
        <f>16.5886 * CHOOSE(CONTROL!$C$22, $C$13, 100%, $E$13)</f>
        <v>16.5886</v>
      </c>
      <c r="E932" s="61">
        <f>19.6409 * CHOOSE(CONTROL!$C$22, $C$13, 100%, $E$13)</f>
        <v>19.640899999999998</v>
      </c>
      <c r="F932" s="61">
        <f>19.6409 * CHOOSE(CONTROL!$C$22, $C$13, 100%, $E$13)</f>
        <v>19.640899999999998</v>
      </c>
      <c r="G932" s="61">
        <f>19.6411 * CHOOSE(CONTROL!$C$22, $C$13, 100%, $E$13)</f>
        <v>19.641100000000002</v>
      </c>
      <c r="H932" s="61">
        <f>31.6518* CHOOSE(CONTROL!$C$22, $C$13, 100%, $E$13)</f>
        <v>31.651800000000001</v>
      </c>
      <c r="I932" s="61">
        <f>31.652 * CHOOSE(CONTROL!$C$22, $C$13, 100%, $E$13)</f>
        <v>31.652000000000001</v>
      </c>
      <c r="J932" s="61">
        <f>19.6409 * CHOOSE(CONTROL!$C$22, $C$13, 100%, $E$13)</f>
        <v>19.640899999999998</v>
      </c>
      <c r="K932" s="61">
        <f>19.6411 * CHOOSE(CONTROL!$C$22, $C$13, 100%, $E$13)</f>
        <v>19.641100000000002</v>
      </c>
    </row>
    <row r="933" spans="1:11" ht="15">
      <c r="A933" s="13">
        <v>70250</v>
      </c>
      <c r="B933" s="60">
        <f>16.5723 * CHOOSE(CONTROL!$C$22, $C$13, 100%, $E$13)</f>
        <v>16.572299999999998</v>
      </c>
      <c r="C933" s="60">
        <f>16.5723 * CHOOSE(CONTROL!$C$22, $C$13, 100%, $E$13)</f>
        <v>16.572299999999998</v>
      </c>
      <c r="D933" s="60">
        <f>16.6049 * CHOOSE(CONTROL!$C$22, $C$13, 100%, $E$13)</f>
        <v>16.604900000000001</v>
      </c>
      <c r="E933" s="61">
        <f>19.7087 * CHOOSE(CONTROL!$C$22, $C$13, 100%, $E$13)</f>
        <v>19.7087</v>
      </c>
      <c r="F933" s="61">
        <f>19.7087 * CHOOSE(CONTROL!$C$22, $C$13, 100%, $E$13)</f>
        <v>19.7087</v>
      </c>
      <c r="G933" s="61">
        <f>19.7108 * CHOOSE(CONTROL!$C$22, $C$13, 100%, $E$13)</f>
        <v>19.710799999999999</v>
      </c>
      <c r="H933" s="61">
        <f>31.7178* CHOOSE(CONTROL!$C$22, $C$13, 100%, $E$13)</f>
        <v>31.7178</v>
      </c>
      <c r="I933" s="61">
        <f>31.7198 * CHOOSE(CONTROL!$C$22, $C$13, 100%, $E$13)</f>
        <v>31.719799999999999</v>
      </c>
      <c r="J933" s="61">
        <f>19.7087 * CHOOSE(CONTROL!$C$22, $C$13, 100%, $E$13)</f>
        <v>19.7087</v>
      </c>
      <c r="K933" s="61">
        <f>19.7108 * CHOOSE(CONTROL!$C$22, $C$13, 100%, $E$13)</f>
        <v>19.710799999999999</v>
      </c>
    </row>
    <row r="934" spans="1:11" ht="15">
      <c r="A934" s="13">
        <v>70281</v>
      </c>
      <c r="B934" s="60">
        <f>16.5784 * CHOOSE(CONTROL!$C$22, $C$13, 100%, $E$13)</f>
        <v>16.578399999999998</v>
      </c>
      <c r="C934" s="60">
        <f>16.5784 * CHOOSE(CONTROL!$C$22, $C$13, 100%, $E$13)</f>
        <v>16.578399999999998</v>
      </c>
      <c r="D934" s="60">
        <f>16.611 * CHOOSE(CONTROL!$C$22, $C$13, 100%, $E$13)</f>
        <v>16.611000000000001</v>
      </c>
      <c r="E934" s="61">
        <f>19.6452 * CHOOSE(CONTROL!$C$22, $C$13, 100%, $E$13)</f>
        <v>19.645199999999999</v>
      </c>
      <c r="F934" s="61">
        <f>19.6452 * CHOOSE(CONTROL!$C$22, $C$13, 100%, $E$13)</f>
        <v>19.645199999999999</v>
      </c>
      <c r="G934" s="61">
        <f>19.6472 * CHOOSE(CONTROL!$C$22, $C$13, 100%, $E$13)</f>
        <v>19.647200000000002</v>
      </c>
      <c r="H934" s="61">
        <f>31.7838* CHOOSE(CONTROL!$C$22, $C$13, 100%, $E$13)</f>
        <v>31.783799999999999</v>
      </c>
      <c r="I934" s="61">
        <f>31.7859 * CHOOSE(CONTROL!$C$22, $C$13, 100%, $E$13)</f>
        <v>31.785900000000002</v>
      </c>
      <c r="J934" s="61">
        <f>19.6452 * CHOOSE(CONTROL!$C$22, $C$13, 100%, $E$13)</f>
        <v>19.645199999999999</v>
      </c>
      <c r="K934" s="61">
        <f>19.6472 * CHOOSE(CONTROL!$C$22, $C$13, 100%, $E$13)</f>
        <v>19.647200000000002</v>
      </c>
    </row>
    <row r="935" spans="1:11" ht="15">
      <c r="A935" s="13">
        <v>70311</v>
      </c>
      <c r="B935" s="60">
        <f>16.837 * CHOOSE(CONTROL!$C$22, $C$13, 100%, $E$13)</f>
        <v>16.837</v>
      </c>
      <c r="C935" s="60">
        <f>16.837 * CHOOSE(CONTROL!$C$22, $C$13, 100%, $E$13)</f>
        <v>16.837</v>
      </c>
      <c r="D935" s="60">
        <f>16.8696 * CHOOSE(CONTROL!$C$22, $C$13, 100%, $E$13)</f>
        <v>16.869599999999998</v>
      </c>
      <c r="E935" s="61">
        <f>20.0177 * CHOOSE(CONTROL!$C$22, $C$13, 100%, $E$13)</f>
        <v>20.017700000000001</v>
      </c>
      <c r="F935" s="61">
        <f>20.0177 * CHOOSE(CONTROL!$C$22, $C$13, 100%, $E$13)</f>
        <v>20.017700000000001</v>
      </c>
      <c r="G935" s="61">
        <f>20.0197 * CHOOSE(CONTROL!$C$22, $C$13, 100%, $E$13)</f>
        <v>20.0197</v>
      </c>
      <c r="H935" s="61">
        <f>31.8501* CHOOSE(CONTROL!$C$22, $C$13, 100%, $E$13)</f>
        <v>31.850100000000001</v>
      </c>
      <c r="I935" s="61">
        <f>31.8521 * CHOOSE(CONTROL!$C$22, $C$13, 100%, $E$13)</f>
        <v>31.8521</v>
      </c>
      <c r="J935" s="61">
        <f>20.0177 * CHOOSE(CONTROL!$C$22, $C$13, 100%, $E$13)</f>
        <v>20.017700000000001</v>
      </c>
      <c r="K935" s="61">
        <f>20.0197 * CHOOSE(CONTROL!$C$22, $C$13, 100%, $E$13)</f>
        <v>20.0197</v>
      </c>
    </row>
    <row r="936" spans="1:11" ht="15">
      <c r="A936" s="13">
        <v>70342</v>
      </c>
      <c r="B936" s="60">
        <f>16.8436 * CHOOSE(CONTROL!$C$22, $C$13, 100%, $E$13)</f>
        <v>16.843599999999999</v>
      </c>
      <c r="C936" s="60">
        <f>16.8436 * CHOOSE(CONTROL!$C$22, $C$13, 100%, $E$13)</f>
        <v>16.843599999999999</v>
      </c>
      <c r="D936" s="60">
        <f>16.8763 * CHOOSE(CONTROL!$C$22, $C$13, 100%, $E$13)</f>
        <v>16.876300000000001</v>
      </c>
      <c r="E936" s="61">
        <f>19.8189 * CHOOSE(CONTROL!$C$22, $C$13, 100%, $E$13)</f>
        <v>19.818899999999999</v>
      </c>
      <c r="F936" s="61">
        <f>19.8189 * CHOOSE(CONTROL!$C$22, $C$13, 100%, $E$13)</f>
        <v>19.818899999999999</v>
      </c>
      <c r="G936" s="61">
        <f>19.8209 * CHOOSE(CONTROL!$C$22, $C$13, 100%, $E$13)</f>
        <v>19.820900000000002</v>
      </c>
      <c r="H936" s="61">
        <f>31.9164* CHOOSE(CONTROL!$C$22, $C$13, 100%, $E$13)</f>
        <v>31.916399999999999</v>
      </c>
      <c r="I936" s="61">
        <f>31.9185 * CHOOSE(CONTROL!$C$22, $C$13, 100%, $E$13)</f>
        <v>31.918500000000002</v>
      </c>
      <c r="J936" s="61">
        <f>19.8189 * CHOOSE(CONTROL!$C$22, $C$13, 100%, $E$13)</f>
        <v>19.818899999999999</v>
      </c>
      <c r="K936" s="61">
        <f>19.8209 * CHOOSE(CONTROL!$C$22, $C$13, 100%, $E$13)</f>
        <v>19.820900000000002</v>
      </c>
    </row>
    <row r="937" spans="1:11" ht="15">
      <c r="A937" s="13">
        <v>70373</v>
      </c>
      <c r="B937" s="60">
        <f>16.8406 * CHOOSE(CONTROL!$C$22, $C$13, 100%, $E$13)</f>
        <v>16.840599999999998</v>
      </c>
      <c r="C937" s="60">
        <f>16.8406 * CHOOSE(CONTROL!$C$22, $C$13, 100%, $E$13)</f>
        <v>16.840599999999998</v>
      </c>
      <c r="D937" s="60">
        <f>16.8733 * CHOOSE(CONTROL!$C$22, $C$13, 100%, $E$13)</f>
        <v>16.8733</v>
      </c>
      <c r="E937" s="61">
        <f>19.7941 * CHOOSE(CONTROL!$C$22, $C$13, 100%, $E$13)</f>
        <v>19.7941</v>
      </c>
      <c r="F937" s="61">
        <f>19.7941 * CHOOSE(CONTROL!$C$22, $C$13, 100%, $E$13)</f>
        <v>19.7941</v>
      </c>
      <c r="G937" s="61">
        <f>19.7962 * CHOOSE(CONTROL!$C$22, $C$13, 100%, $E$13)</f>
        <v>19.796199999999999</v>
      </c>
      <c r="H937" s="61">
        <f>31.9829* CHOOSE(CONTROL!$C$22, $C$13, 100%, $E$13)</f>
        <v>31.982900000000001</v>
      </c>
      <c r="I937" s="61">
        <f>31.9849 * CHOOSE(CONTROL!$C$22, $C$13, 100%, $E$13)</f>
        <v>31.9849</v>
      </c>
      <c r="J937" s="61">
        <f>19.7941 * CHOOSE(CONTROL!$C$22, $C$13, 100%, $E$13)</f>
        <v>19.7941</v>
      </c>
      <c r="K937" s="61">
        <f>19.7962 * CHOOSE(CONTROL!$C$22, $C$13, 100%, $E$13)</f>
        <v>19.796199999999999</v>
      </c>
    </row>
    <row r="938" spans="1:11" ht="15">
      <c r="A938" s="13">
        <v>70403</v>
      </c>
      <c r="B938" s="60">
        <f>16.8777 * CHOOSE(CONTROL!$C$22, $C$13, 100%, $E$13)</f>
        <v>16.877700000000001</v>
      </c>
      <c r="C938" s="60">
        <f>16.8777 * CHOOSE(CONTROL!$C$22, $C$13, 100%, $E$13)</f>
        <v>16.877700000000001</v>
      </c>
      <c r="D938" s="60">
        <f>16.894 * CHOOSE(CONTROL!$C$22, $C$13, 100%, $E$13)</f>
        <v>16.893999999999998</v>
      </c>
      <c r="E938" s="61">
        <f>19.8711 * CHOOSE(CONTROL!$C$22, $C$13, 100%, $E$13)</f>
        <v>19.871099999999998</v>
      </c>
      <c r="F938" s="61">
        <f>19.8711 * CHOOSE(CONTROL!$C$22, $C$13, 100%, $E$13)</f>
        <v>19.871099999999998</v>
      </c>
      <c r="G938" s="61">
        <f>19.8713 * CHOOSE(CONTROL!$C$22, $C$13, 100%, $E$13)</f>
        <v>19.871300000000002</v>
      </c>
      <c r="H938" s="61">
        <f>32.0495* CHOOSE(CONTROL!$C$22, $C$13, 100%, $E$13)</f>
        <v>32.049500000000002</v>
      </c>
      <c r="I938" s="61">
        <f>32.0497 * CHOOSE(CONTROL!$C$22, $C$13, 100%, $E$13)</f>
        <v>32.049700000000001</v>
      </c>
      <c r="J938" s="61">
        <f>19.8711 * CHOOSE(CONTROL!$C$22, $C$13, 100%, $E$13)</f>
        <v>19.871099999999998</v>
      </c>
      <c r="K938" s="61">
        <f>19.8713 * CHOOSE(CONTROL!$C$22, $C$13, 100%, $E$13)</f>
        <v>19.871300000000002</v>
      </c>
    </row>
    <row r="939" spans="1:11" ht="15">
      <c r="A939" s="13">
        <v>70434</v>
      </c>
      <c r="B939" s="60">
        <f>16.8807 * CHOOSE(CONTROL!$C$22, $C$13, 100%, $E$13)</f>
        <v>16.880700000000001</v>
      </c>
      <c r="C939" s="60">
        <f>16.8807 * CHOOSE(CONTROL!$C$22, $C$13, 100%, $E$13)</f>
        <v>16.880700000000001</v>
      </c>
      <c r="D939" s="60">
        <f>16.897 * CHOOSE(CONTROL!$C$22, $C$13, 100%, $E$13)</f>
        <v>16.896999999999998</v>
      </c>
      <c r="E939" s="61">
        <f>19.9185 * CHOOSE(CONTROL!$C$22, $C$13, 100%, $E$13)</f>
        <v>19.918500000000002</v>
      </c>
      <c r="F939" s="61">
        <f>19.9185 * CHOOSE(CONTROL!$C$22, $C$13, 100%, $E$13)</f>
        <v>19.918500000000002</v>
      </c>
      <c r="G939" s="61">
        <f>19.9187 * CHOOSE(CONTROL!$C$22, $C$13, 100%, $E$13)</f>
        <v>19.918700000000001</v>
      </c>
      <c r="H939" s="61">
        <f>32.1163* CHOOSE(CONTROL!$C$22, $C$13, 100%, $E$13)</f>
        <v>32.116300000000003</v>
      </c>
      <c r="I939" s="61">
        <f>32.1165 * CHOOSE(CONTROL!$C$22, $C$13, 100%, $E$13)</f>
        <v>32.116500000000002</v>
      </c>
      <c r="J939" s="61">
        <f>19.9185 * CHOOSE(CONTROL!$C$22, $C$13, 100%, $E$13)</f>
        <v>19.918500000000002</v>
      </c>
      <c r="K939" s="61">
        <f>19.9187 * CHOOSE(CONTROL!$C$22, $C$13, 100%, $E$13)</f>
        <v>19.918700000000001</v>
      </c>
    </row>
    <row r="940" spans="1:11" ht="15">
      <c r="A940" s="13">
        <v>70464</v>
      </c>
      <c r="B940" s="60">
        <f>16.8807 * CHOOSE(CONTROL!$C$22, $C$13, 100%, $E$13)</f>
        <v>16.880700000000001</v>
      </c>
      <c r="C940" s="60">
        <f>16.8807 * CHOOSE(CONTROL!$C$22, $C$13, 100%, $E$13)</f>
        <v>16.880700000000001</v>
      </c>
      <c r="D940" s="60">
        <f>16.897 * CHOOSE(CONTROL!$C$22, $C$13, 100%, $E$13)</f>
        <v>16.896999999999998</v>
      </c>
      <c r="E940" s="61">
        <f>19.8054 * CHOOSE(CONTROL!$C$22, $C$13, 100%, $E$13)</f>
        <v>19.805399999999999</v>
      </c>
      <c r="F940" s="61">
        <f>19.8054 * CHOOSE(CONTROL!$C$22, $C$13, 100%, $E$13)</f>
        <v>19.805399999999999</v>
      </c>
      <c r="G940" s="61">
        <f>19.8056 * CHOOSE(CONTROL!$C$22, $C$13, 100%, $E$13)</f>
        <v>19.805599999999998</v>
      </c>
      <c r="H940" s="61">
        <f>32.1832* CHOOSE(CONTROL!$C$22, $C$13, 100%, $E$13)</f>
        <v>32.183199999999999</v>
      </c>
      <c r="I940" s="61">
        <f>32.1834 * CHOOSE(CONTROL!$C$22, $C$13, 100%, $E$13)</f>
        <v>32.183399999999999</v>
      </c>
      <c r="J940" s="61">
        <f>19.8054 * CHOOSE(CONTROL!$C$22, $C$13, 100%, $E$13)</f>
        <v>19.805399999999999</v>
      </c>
      <c r="K940" s="61">
        <f>19.8056 * CHOOSE(CONTROL!$C$22, $C$13, 100%, $E$13)</f>
        <v>19.805599999999998</v>
      </c>
    </row>
    <row r="941" spans="1:11" ht="15">
      <c r="A941" s="13">
        <v>70495</v>
      </c>
      <c r="B941" s="60">
        <f>16.8153 * CHOOSE(CONTROL!$C$22, $C$13, 100%, $E$13)</f>
        <v>16.815300000000001</v>
      </c>
      <c r="C941" s="60">
        <f>16.8153 * CHOOSE(CONTROL!$C$22, $C$13, 100%, $E$13)</f>
        <v>16.815300000000001</v>
      </c>
      <c r="D941" s="60">
        <f>16.8317 * CHOOSE(CONTROL!$C$22, $C$13, 100%, $E$13)</f>
        <v>16.831700000000001</v>
      </c>
      <c r="E941" s="61">
        <f>19.8062 * CHOOSE(CONTROL!$C$22, $C$13, 100%, $E$13)</f>
        <v>19.8062</v>
      </c>
      <c r="F941" s="61">
        <f>19.8062 * CHOOSE(CONTROL!$C$22, $C$13, 100%, $E$13)</f>
        <v>19.8062</v>
      </c>
      <c r="G941" s="61">
        <f>19.8064 * CHOOSE(CONTROL!$C$22, $C$13, 100%, $E$13)</f>
        <v>19.8064</v>
      </c>
      <c r="H941" s="61">
        <f>31.9007* CHOOSE(CONTROL!$C$22, $C$13, 100%, $E$13)</f>
        <v>31.900700000000001</v>
      </c>
      <c r="I941" s="61">
        <f>31.9009 * CHOOSE(CONTROL!$C$22, $C$13, 100%, $E$13)</f>
        <v>31.9009</v>
      </c>
      <c r="J941" s="61">
        <f>19.8062 * CHOOSE(CONTROL!$C$22, $C$13, 100%, $E$13)</f>
        <v>19.8062</v>
      </c>
      <c r="K941" s="61">
        <f>19.8064 * CHOOSE(CONTROL!$C$22, $C$13, 100%, $E$13)</f>
        <v>19.8064</v>
      </c>
    </row>
    <row r="942" spans="1:11" ht="15">
      <c r="A942" s="13">
        <v>70526</v>
      </c>
      <c r="B942" s="60">
        <f>16.8123 * CHOOSE(CONTROL!$C$22, $C$13, 100%, $E$13)</f>
        <v>16.8123</v>
      </c>
      <c r="C942" s="60">
        <f>16.8123 * CHOOSE(CONTROL!$C$22, $C$13, 100%, $E$13)</f>
        <v>16.8123</v>
      </c>
      <c r="D942" s="60">
        <f>16.8286 * CHOOSE(CONTROL!$C$22, $C$13, 100%, $E$13)</f>
        <v>16.828600000000002</v>
      </c>
      <c r="E942" s="61">
        <f>19.5872 * CHOOSE(CONTROL!$C$22, $C$13, 100%, $E$13)</f>
        <v>19.587199999999999</v>
      </c>
      <c r="F942" s="61">
        <f>19.5872 * CHOOSE(CONTROL!$C$22, $C$13, 100%, $E$13)</f>
        <v>19.587199999999999</v>
      </c>
      <c r="G942" s="61">
        <f>19.5874 * CHOOSE(CONTROL!$C$22, $C$13, 100%, $E$13)</f>
        <v>19.587399999999999</v>
      </c>
      <c r="H942" s="61">
        <f>31.9672* CHOOSE(CONTROL!$C$22, $C$13, 100%, $E$13)</f>
        <v>31.967199999999998</v>
      </c>
      <c r="I942" s="61">
        <f>31.9674 * CHOOSE(CONTROL!$C$22, $C$13, 100%, $E$13)</f>
        <v>31.967400000000001</v>
      </c>
      <c r="J942" s="61">
        <f>19.5872 * CHOOSE(CONTROL!$C$22, $C$13, 100%, $E$13)</f>
        <v>19.587199999999999</v>
      </c>
      <c r="K942" s="61">
        <f>19.5874 * CHOOSE(CONTROL!$C$22, $C$13, 100%, $E$13)</f>
        <v>19.587399999999999</v>
      </c>
    </row>
    <row r="943" spans="1:11" ht="15">
      <c r="A943" s="13">
        <v>70554</v>
      </c>
      <c r="B943" s="60">
        <f>16.8092 * CHOOSE(CONTROL!$C$22, $C$13, 100%, $E$13)</f>
        <v>16.809200000000001</v>
      </c>
      <c r="C943" s="60">
        <f>16.8092 * CHOOSE(CONTROL!$C$22, $C$13, 100%, $E$13)</f>
        <v>16.809200000000001</v>
      </c>
      <c r="D943" s="60">
        <f>16.8256 * CHOOSE(CONTROL!$C$22, $C$13, 100%, $E$13)</f>
        <v>16.825600000000001</v>
      </c>
      <c r="E943" s="61">
        <f>19.756 * CHOOSE(CONTROL!$C$22, $C$13, 100%, $E$13)</f>
        <v>19.756</v>
      </c>
      <c r="F943" s="61">
        <f>19.756 * CHOOSE(CONTROL!$C$22, $C$13, 100%, $E$13)</f>
        <v>19.756</v>
      </c>
      <c r="G943" s="61">
        <f>19.7562 * CHOOSE(CONTROL!$C$22, $C$13, 100%, $E$13)</f>
        <v>19.7562</v>
      </c>
      <c r="H943" s="61">
        <f>32.0338* CHOOSE(CONTROL!$C$22, $C$13, 100%, $E$13)</f>
        <v>32.033799999999999</v>
      </c>
      <c r="I943" s="61">
        <f>32.034 * CHOOSE(CONTROL!$C$22, $C$13, 100%, $E$13)</f>
        <v>32.033999999999999</v>
      </c>
      <c r="J943" s="61">
        <f>19.756 * CHOOSE(CONTROL!$C$22, $C$13, 100%, $E$13)</f>
        <v>19.756</v>
      </c>
      <c r="K943" s="61">
        <f>19.7562 * CHOOSE(CONTROL!$C$22, $C$13, 100%, $E$13)</f>
        <v>19.7562</v>
      </c>
    </row>
    <row r="944" spans="1:11" ht="15">
      <c r="A944" s="13">
        <v>70585</v>
      </c>
      <c r="B944" s="60">
        <f>16.8178 * CHOOSE(CONTROL!$C$22, $C$13, 100%, $E$13)</f>
        <v>16.817799999999998</v>
      </c>
      <c r="C944" s="60">
        <f>16.8178 * CHOOSE(CONTROL!$C$22, $C$13, 100%, $E$13)</f>
        <v>16.817799999999998</v>
      </c>
      <c r="D944" s="60">
        <f>16.8341 * CHOOSE(CONTROL!$C$22, $C$13, 100%, $E$13)</f>
        <v>16.834099999999999</v>
      </c>
      <c r="E944" s="61">
        <f>19.9354 * CHOOSE(CONTROL!$C$22, $C$13, 100%, $E$13)</f>
        <v>19.935400000000001</v>
      </c>
      <c r="F944" s="61">
        <f>19.9354 * CHOOSE(CONTROL!$C$22, $C$13, 100%, $E$13)</f>
        <v>19.935400000000001</v>
      </c>
      <c r="G944" s="61">
        <f>19.9356 * CHOOSE(CONTROL!$C$22, $C$13, 100%, $E$13)</f>
        <v>19.935600000000001</v>
      </c>
      <c r="H944" s="61">
        <f>32.1005* CHOOSE(CONTROL!$C$22, $C$13, 100%, $E$13)</f>
        <v>32.100499999999997</v>
      </c>
      <c r="I944" s="61">
        <f>32.1007 * CHOOSE(CONTROL!$C$22, $C$13, 100%, $E$13)</f>
        <v>32.100700000000003</v>
      </c>
      <c r="J944" s="61">
        <f>19.9354 * CHOOSE(CONTROL!$C$22, $C$13, 100%, $E$13)</f>
        <v>19.935400000000001</v>
      </c>
      <c r="K944" s="61">
        <f>19.9356 * CHOOSE(CONTROL!$C$22, $C$13, 100%, $E$13)</f>
        <v>19.935600000000001</v>
      </c>
    </row>
    <row r="945" spans="1:11" ht="15">
      <c r="A945" s="13">
        <v>70615</v>
      </c>
      <c r="B945" s="60">
        <f>16.8178 * CHOOSE(CONTROL!$C$22, $C$13, 100%, $E$13)</f>
        <v>16.817799999999998</v>
      </c>
      <c r="C945" s="60">
        <f>16.8178 * CHOOSE(CONTROL!$C$22, $C$13, 100%, $E$13)</f>
        <v>16.817799999999998</v>
      </c>
      <c r="D945" s="60">
        <f>16.8505 * CHOOSE(CONTROL!$C$22, $C$13, 100%, $E$13)</f>
        <v>16.8505</v>
      </c>
      <c r="E945" s="61">
        <f>20.0042 * CHOOSE(CONTROL!$C$22, $C$13, 100%, $E$13)</f>
        <v>20.004200000000001</v>
      </c>
      <c r="F945" s="61">
        <f>20.0042 * CHOOSE(CONTROL!$C$22, $C$13, 100%, $E$13)</f>
        <v>20.004200000000001</v>
      </c>
      <c r="G945" s="61">
        <f>20.0062 * CHOOSE(CONTROL!$C$22, $C$13, 100%, $E$13)</f>
        <v>20.0062</v>
      </c>
      <c r="H945" s="61">
        <f>32.1674* CHOOSE(CONTROL!$C$22, $C$13, 100%, $E$13)</f>
        <v>32.167400000000001</v>
      </c>
      <c r="I945" s="61">
        <f>32.1694 * CHOOSE(CONTROL!$C$22, $C$13, 100%, $E$13)</f>
        <v>32.169400000000003</v>
      </c>
      <c r="J945" s="61">
        <f>20.0042 * CHOOSE(CONTROL!$C$22, $C$13, 100%, $E$13)</f>
        <v>20.004200000000001</v>
      </c>
      <c r="K945" s="61">
        <f>20.0062 * CHOOSE(CONTROL!$C$22, $C$13, 100%, $E$13)</f>
        <v>20.0062</v>
      </c>
    </row>
    <row r="946" spans="1:11" ht="15">
      <c r="A946" s="13">
        <v>70646</v>
      </c>
      <c r="B946" s="60">
        <f>16.8239 * CHOOSE(CONTROL!$C$22, $C$13, 100%, $E$13)</f>
        <v>16.823899999999998</v>
      </c>
      <c r="C946" s="60">
        <f>16.8239 * CHOOSE(CONTROL!$C$22, $C$13, 100%, $E$13)</f>
        <v>16.823899999999998</v>
      </c>
      <c r="D946" s="60">
        <f>16.8565 * CHOOSE(CONTROL!$C$22, $C$13, 100%, $E$13)</f>
        <v>16.8565</v>
      </c>
      <c r="E946" s="61">
        <f>19.9396 * CHOOSE(CONTROL!$C$22, $C$13, 100%, $E$13)</f>
        <v>19.939599999999999</v>
      </c>
      <c r="F946" s="61">
        <f>19.9396 * CHOOSE(CONTROL!$C$22, $C$13, 100%, $E$13)</f>
        <v>19.939599999999999</v>
      </c>
      <c r="G946" s="61">
        <f>19.9416 * CHOOSE(CONTROL!$C$22, $C$13, 100%, $E$13)</f>
        <v>19.941600000000001</v>
      </c>
      <c r="H946" s="61">
        <f>32.2344* CHOOSE(CONTROL!$C$22, $C$13, 100%, $E$13)</f>
        <v>32.234400000000001</v>
      </c>
      <c r="I946" s="61">
        <f>32.2364 * CHOOSE(CONTROL!$C$22, $C$13, 100%, $E$13)</f>
        <v>32.236400000000003</v>
      </c>
      <c r="J946" s="61">
        <f>19.9396 * CHOOSE(CONTROL!$C$22, $C$13, 100%, $E$13)</f>
        <v>19.939599999999999</v>
      </c>
      <c r="K946" s="61">
        <f>19.9416 * CHOOSE(CONTROL!$C$22, $C$13, 100%, $E$13)</f>
        <v>19.941600000000001</v>
      </c>
    </row>
    <row r="947" spans="1:11" ht="15">
      <c r="A947" s="13">
        <v>70676</v>
      </c>
      <c r="B947" s="60">
        <f>17.0862 * CHOOSE(CONTROL!$C$22, $C$13, 100%, $E$13)</f>
        <v>17.086200000000002</v>
      </c>
      <c r="C947" s="60">
        <f>17.0862 * CHOOSE(CONTROL!$C$22, $C$13, 100%, $E$13)</f>
        <v>17.086200000000002</v>
      </c>
      <c r="D947" s="60">
        <f>17.1188 * CHOOSE(CONTROL!$C$22, $C$13, 100%, $E$13)</f>
        <v>17.1188</v>
      </c>
      <c r="E947" s="61">
        <f>20.3175 * CHOOSE(CONTROL!$C$22, $C$13, 100%, $E$13)</f>
        <v>20.317499999999999</v>
      </c>
      <c r="F947" s="61">
        <f>20.3175 * CHOOSE(CONTROL!$C$22, $C$13, 100%, $E$13)</f>
        <v>20.317499999999999</v>
      </c>
      <c r="G947" s="61">
        <f>20.3196 * CHOOSE(CONTROL!$C$22, $C$13, 100%, $E$13)</f>
        <v>20.319600000000001</v>
      </c>
      <c r="H947" s="61">
        <f>32.3016* CHOOSE(CONTROL!$C$22, $C$13, 100%, $E$13)</f>
        <v>32.301600000000001</v>
      </c>
      <c r="I947" s="61">
        <f>32.3036 * CHOOSE(CONTROL!$C$22, $C$13, 100%, $E$13)</f>
        <v>32.303600000000003</v>
      </c>
      <c r="J947" s="61">
        <f>20.3175 * CHOOSE(CONTROL!$C$22, $C$13, 100%, $E$13)</f>
        <v>20.317499999999999</v>
      </c>
      <c r="K947" s="61">
        <f>20.3196 * CHOOSE(CONTROL!$C$22, $C$13, 100%, $E$13)</f>
        <v>20.319600000000001</v>
      </c>
    </row>
    <row r="948" spans="1:11" ht="15">
      <c r="A948" s="13">
        <v>70707</v>
      </c>
      <c r="B948" s="60">
        <f>17.0929 * CHOOSE(CONTROL!$C$22, $C$13, 100%, $E$13)</f>
        <v>17.0929</v>
      </c>
      <c r="C948" s="60">
        <f>17.0929 * CHOOSE(CONTROL!$C$22, $C$13, 100%, $E$13)</f>
        <v>17.0929</v>
      </c>
      <c r="D948" s="60">
        <f>17.1255 * CHOOSE(CONTROL!$C$22, $C$13, 100%, $E$13)</f>
        <v>17.125499999999999</v>
      </c>
      <c r="E948" s="61">
        <f>20.1157 * CHOOSE(CONTROL!$C$22, $C$13, 100%, $E$13)</f>
        <v>20.1157</v>
      </c>
      <c r="F948" s="61">
        <f>20.1157 * CHOOSE(CONTROL!$C$22, $C$13, 100%, $E$13)</f>
        <v>20.1157</v>
      </c>
      <c r="G948" s="61">
        <f>20.1177 * CHOOSE(CONTROL!$C$22, $C$13, 100%, $E$13)</f>
        <v>20.117699999999999</v>
      </c>
      <c r="H948" s="61">
        <f>32.3689* CHOOSE(CONTROL!$C$22, $C$13, 100%, $E$13)</f>
        <v>32.368899999999996</v>
      </c>
      <c r="I948" s="61">
        <f>32.3709 * CHOOSE(CONTROL!$C$22, $C$13, 100%, $E$13)</f>
        <v>32.370899999999999</v>
      </c>
      <c r="J948" s="61">
        <f>20.1157 * CHOOSE(CONTROL!$C$22, $C$13, 100%, $E$13)</f>
        <v>20.1157</v>
      </c>
      <c r="K948" s="61">
        <f>20.1177 * CHOOSE(CONTROL!$C$22, $C$13, 100%, $E$13)</f>
        <v>20.117699999999999</v>
      </c>
    </row>
    <row r="949" spans="1:11" ht="15">
      <c r="A949" s="13">
        <v>70738</v>
      </c>
      <c r="B949" s="60">
        <f>17.0898 * CHOOSE(CONTROL!$C$22, $C$13, 100%, $E$13)</f>
        <v>17.0898</v>
      </c>
      <c r="C949" s="60">
        <f>17.0898 * CHOOSE(CONTROL!$C$22, $C$13, 100%, $E$13)</f>
        <v>17.0898</v>
      </c>
      <c r="D949" s="60">
        <f>17.1225 * CHOOSE(CONTROL!$C$22, $C$13, 100%, $E$13)</f>
        <v>17.122499999999999</v>
      </c>
      <c r="E949" s="61">
        <f>20.0906 * CHOOSE(CONTROL!$C$22, $C$13, 100%, $E$13)</f>
        <v>20.090599999999998</v>
      </c>
      <c r="F949" s="61">
        <f>20.0906 * CHOOSE(CONTROL!$C$22, $C$13, 100%, $E$13)</f>
        <v>20.090599999999998</v>
      </c>
      <c r="G949" s="61">
        <f>20.0927 * CHOOSE(CONTROL!$C$22, $C$13, 100%, $E$13)</f>
        <v>20.092700000000001</v>
      </c>
      <c r="H949" s="61">
        <f>32.4363* CHOOSE(CONTROL!$C$22, $C$13, 100%, $E$13)</f>
        <v>32.436300000000003</v>
      </c>
      <c r="I949" s="61">
        <f>32.4383 * CHOOSE(CONTROL!$C$22, $C$13, 100%, $E$13)</f>
        <v>32.438299999999998</v>
      </c>
      <c r="J949" s="61">
        <f>20.0906 * CHOOSE(CONTROL!$C$22, $C$13, 100%, $E$13)</f>
        <v>20.090599999999998</v>
      </c>
      <c r="K949" s="61">
        <f>20.0927 * CHOOSE(CONTROL!$C$22, $C$13, 100%, $E$13)</f>
        <v>20.092700000000001</v>
      </c>
    </row>
    <row r="950" spans="1:11" ht="15">
      <c r="A950" s="13">
        <v>70768</v>
      </c>
      <c r="B950" s="60">
        <f>17.1277 * CHOOSE(CONTROL!$C$22, $C$13, 100%, $E$13)</f>
        <v>17.127700000000001</v>
      </c>
      <c r="C950" s="60">
        <f>17.1277 * CHOOSE(CONTROL!$C$22, $C$13, 100%, $E$13)</f>
        <v>17.127700000000001</v>
      </c>
      <c r="D950" s="60">
        <f>17.144 * CHOOSE(CONTROL!$C$22, $C$13, 100%, $E$13)</f>
        <v>17.143999999999998</v>
      </c>
      <c r="E950" s="61">
        <f>20.169 * CHOOSE(CONTROL!$C$22, $C$13, 100%, $E$13)</f>
        <v>20.169</v>
      </c>
      <c r="F950" s="61">
        <f>20.169 * CHOOSE(CONTROL!$C$22, $C$13, 100%, $E$13)</f>
        <v>20.169</v>
      </c>
      <c r="G950" s="61">
        <f>20.1692 * CHOOSE(CONTROL!$C$22, $C$13, 100%, $E$13)</f>
        <v>20.1692</v>
      </c>
      <c r="H950" s="61">
        <f>32.5039* CHOOSE(CONTROL!$C$22, $C$13, 100%, $E$13)</f>
        <v>32.503900000000002</v>
      </c>
      <c r="I950" s="61">
        <f>32.504 * CHOOSE(CONTROL!$C$22, $C$13, 100%, $E$13)</f>
        <v>32.503999999999998</v>
      </c>
      <c r="J950" s="61">
        <f>20.169 * CHOOSE(CONTROL!$C$22, $C$13, 100%, $E$13)</f>
        <v>20.169</v>
      </c>
      <c r="K950" s="61">
        <f>20.1692 * CHOOSE(CONTROL!$C$22, $C$13, 100%, $E$13)</f>
        <v>20.1692</v>
      </c>
    </row>
    <row r="951" spans="1:11" ht="15">
      <c r="A951" s="13">
        <v>70799</v>
      </c>
      <c r="B951" s="60">
        <f>17.1307 * CHOOSE(CONTROL!$C$22, $C$13, 100%, $E$13)</f>
        <v>17.130700000000001</v>
      </c>
      <c r="C951" s="60">
        <f>17.1307 * CHOOSE(CONTROL!$C$22, $C$13, 100%, $E$13)</f>
        <v>17.130700000000001</v>
      </c>
      <c r="D951" s="60">
        <f>17.1471 * CHOOSE(CONTROL!$C$22, $C$13, 100%, $E$13)</f>
        <v>17.147099999999998</v>
      </c>
      <c r="E951" s="61">
        <f>20.217 * CHOOSE(CONTROL!$C$22, $C$13, 100%, $E$13)</f>
        <v>20.216999999999999</v>
      </c>
      <c r="F951" s="61">
        <f>20.217 * CHOOSE(CONTROL!$C$22, $C$13, 100%, $E$13)</f>
        <v>20.216999999999999</v>
      </c>
      <c r="G951" s="61">
        <f>20.2172 * CHOOSE(CONTROL!$C$22, $C$13, 100%, $E$13)</f>
        <v>20.217199999999998</v>
      </c>
      <c r="H951" s="61">
        <f>32.5716* CHOOSE(CONTROL!$C$22, $C$13, 100%, $E$13)</f>
        <v>32.571599999999997</v>
      </c>
      <c r="I951" s="61">
        <f>32.5718 * CHOOSE(CONTROL!$C$22, $C$13, 100%, $E$13)</f>
        <v>32.571800000000003</v>
      </c>
      <c r="J951" s="61">
        <f>20.217 * CHOOSE(CONTROL!$C$22, $C$13, 100%, $E$13)</f>
        <v>20.216999999999999</v>
      </c>
      <c r="K951" s="61">
        <f>20.2172 * CHOOSE(CONTROL!$C$22, $C$13, 100%, $E$13)</f>
        <v>20.217199999999998</v>
      </c>
    </row>
    <row r="952" spans="1:11" ht="15">
      <c r="A952" s="13">
        <v>70829</v>
      </c>
      <c r="B952" s="60">
        <f>17.1307 * CHOOSE(CONTROL!$C$22, $C$13, 100%, $E$13)</f>
        <v>17.130700000000001</v>
      </c>
      <c r="C952" s="60">
        <f>17.1307 * CHOOSE(CONTROL!$C$22, $C$13, 100%, $E$13)</f>
        <v>17.130700000000001</v>
      </c>
      <c r="D952" s="60">
        <f>17.1471 * CHOOSE(CONTROL!$C$22, $C$13, 100%, $E$13)</f>
        <v>17.147099999999998</v>
      </c>
      <c r="E952" s="61">
        <f>20.1023 * CHOOSE(CONTROL!$C$22, $C$13, 100%, $E$13)</f>
        <v>20.1023</v>
      </c>
      <c r="F952" s="61">
        <f>20.1023 * CHOOSE(CONTROL!$C$22, $C$13, 100%, $E$13)</f>
        <v>20.1023</v>
      </c>
      <c r="G952" s="61">
        <f>20.1024 * CHOOSE(CONTROL!$C$22, $C$13, 100%, $E$13)</f>
        <v>20.102399999999999</v>
      </c>
      <c r="H952" s="61">
        <f>32.6394* CHOOSE(CONTROL!$C$22, $C$13, 100%, $E$13)</f>
        <v>32.639400000000002</v>
      </c>
      <c r="I952" s="61">
        <f>32.6396 * CHOOSE(CONTROL!$C$22, $C$13, 100%, $E$13)</f>
        <v>32.639600000000002</v>
      </c>
      <c r="J952" s="61">
        <f>20.1023 * CHOOSE(CONTROL!$C$22, $C$13, 100%, $E$13)</f>
        <v>20.1023</v>
      </c>
      <c r="K952" s="61">
        <f>20.1024 * CHOOSE(CONTROL!$C$22, $C$13, 100%, $E$13)</f>
        <v>20.102399999999999</v>
      </c>
    </row>
    <row r="953" spans="1:11" ht="15">
      <c r="A953" s="13">
        <v>70860</v>
      </c>
      <c r="B953" s="60">
        <f>17.0606 * CHOOSE(CONTROL!$C$22, $C$13, 100%, $E$13)</f>
        <v>17.060600000000001</v>
      </c>
      <c r="C953" s="60">
        <f>17.0606 * CHOOSE(CONTROL!$C$22, $C$13, 100%, $E$13)</f>
        <v>17.060600000000001</v>
      </c>
      <c r="D953" s="60">
        <f>17.077 * CHOOSE(CONTROL!$C$22, $C$13, 100%, $E$13)</f>
        <v>17.077000000000002</v>
      </c>
      <c r="E953" s="61">
        <f>20.0986 * CHOOSE(CONTROL!$C$22, $C$13, 100%, $E$13)</f>
        <v>20.098600000000001</v>
      </c>
      <c r="F953" s="61">
        <f>20.0986 * CHOOSE(CONTROL!$C$22, $C$13, 100%, $E$13)</f>
        <v>20.098600000000001</v>
      </c>
      <c r="G953" s="61">
        <f>20.0988 * CHOOSE(CONTROL!$C$22, $C$13, 100%, $E$13)</f>
        <v>20.098800000000001</v>
      </c>
      <c r="H953" s="61">
        <f>32.3466* CHOOSE(CONTROL!$C$22, $C$13, 100%, $E$13)</f>
        <v>32.346600000000002</v>
      </c>
      <c r="I953" s="61">
        <f>32.3468 * CHOOSE(CONTROL!$C$22, $C$13, 100%, $E$13)</f>
        <v>32.346800000000002</v>
      </c>
      <c r="J953" s="61">
        <f>20.0986 * CHOOSE(CONTROL!$C$22, $C$13, 100%, $E$13)</f>
        <v>20.098600000000001</v>
      </c>
      <c r="K953" s="61">
        <f>20.0988 * CHOOSE(CONTROL!$C$22, $C$13, 100%, $E$13)</f>
        <v>20.098800000000001</v>
      </c>
    </row>
    <row r="954" spans="1:11" ht="15">
      <c r="A954" s="13">
        <v>70891</v>
      </c>
      <c r="B954" s="60">
        <f>17.0576 * CHOOSE(CONTROL!$C$22, $C$13, 100%, $E$13)</f>
        <v>17.057600000000001</v>
      </c>
      <c r="C954" s="60">
        <f>17.0576 * CHOOSE(CONTROL!$C$22, $C$13, 100%, $E$13)</f>
        <v>17.057600000000001</v>
      </c>
      <c r="D954" s="60">
        <f>17.0739 * CHOOSE(CONTROL!$C$22, $C$13, 100%, $E$13)</f>
        <v>17.073899999999998</v>
      </c>
      <c r="E954" s="61">
        <f>19.8764 * CHOOSE(CONTROL!$C$22, $C$13, 100%, $E$13)</f>
        <v>19.8764</v>
      </c>
      <c r="F954" s="61">
        <f>19.8764 * CHOOSE(CONTROL!$C$22, $C$13, 100%, $E$13)</f>
        <v>19.8764</v>
      </c>
      <c r="G954" s="61">
        <f>19.8766 * CHOOSE(CONTROL!$C$22, $C$13, 100%, $E$13)</f>
        <v>19.8766</v>
      </c>
      <c r="H954" s="61">
        <f>32.414* CHOOSE(CONTROL!$C$22, $C$13, 100%, $E$13)</f>
        <v>32.414000000000001</v>
      </c>
      <c r="I954" s="61">
        <f>32.4142 * CHOOSE(CONTROL!$C$22, $C$13, 100%, $E$13)</f>
        <v>32.414200000000001</v>
      </c>
      <c r="J954" s="61">
        <f>19.8764 * CHOOSE(CONTROL!$C$22, $C$13, 100%, $E$13)</f>
        <v>19.8764</v>
      </c>
      <c r="K954" s="61">
        <f>19.8766 * CHOOSE(CONTROL!$C$22, $C$13, 100%, $E$13)</f>
        <v>19.8766</v>
      </c>
    </row>
    <row r="955" spans="1:11" ht="15">
      <c r="A955" s="13">
        <v>70919</v>
      </c>
      <c r="B955" s="60">
        <f>17.0546 * CHOOSE(CONTROL!$C$22, $C$13, 100%, $E$13)</f>
        <v>17.054600000000001</v>
      </c>
      <c r="C955" s="60">
        <f>17.0546 * CHOOSE(CONTROL!$C$22, $C$13, 100%, $E$13)</f>
        <v>17.054600000000001</v>
      </c>
      <c r="D955" s="60">
        <f>17.0709 * CHOOSE(CONTROL!$C$22, $C$13, 100%, $E$13)</f>
        <v>17.070900000000002</v>
      </c>
      <c r="E955" s="61">
        <f>20.0478 * CHOOSE(CONTROL!$C$22, $C$13, 100%, $E$13)</f>
        <v>20.047799999999999</v>
      </c>
      <c r="F955" s="61">
        <f>20.0478 * CHOOSE(CONTROL!$C$22, $C$13, 100%, $E$13)</f>
        <v>20.047799999999999</v>
      </c>
      <c r="G955" s="61">
        <f>20.048 * CHOOSE(CONTROL!$C$22, $C$13, 100%, $E$13)</f>
        <v>20.047999999999998</v>
      </c>
      <c r="H955" s="61">
        <f>32.4815* CHOOSE(CONTROL!$C$22, $C$13, 100%, $E$13)</f>
        <v>32.481499999999997</v>
      </c>
      <c r="I955" s="61">
        <f>32.4817 * CHOOSE(CONTROL!$C$22, $C$13, 100%, $E$13)</f>
        <v>32.481699999999996</v>
      </c>
      <c r="J955" s="61">
        <f>20.0478 * CHOOSE(CONTROL!$C$22, $C$13, 100%, $E$13)</f>
        <v>20.047799999999999</v>
      </c>
      <c r="K955" s="61">
        <f>20.048 * CHOOSE(CONTROL!$C$22, $C$13, 100%, $E$13)</f>
        <v>20.047999999999998</v>
      </c>
    </row>
    <row r="956" spans="1:11" ht="15">
      <c r="A956" s="13">
        <v>70950</v>
      </c>
      <c r="B956" s="60">
        <f>17.0633 * CHOOSE(CONTROL!$C$22, $C$13, 100%, $E$13)</f>
        <v>17.063300000000002</v>
      </c>
      <c r="C956" s="60">
        <f>17.0633 * CHOOSE(CONTROL!$C$22, $C$13, 100%, $E$13)</f>
        <v>17.063300000000002</v>
      </c>
      <c r="D956" s="60">
        <f>17.0797 * CHOOSE(CONTROL!$C$22, $C$13, 100%, $E$13)</f>
        <v>17.079699999999999</v>
      </c>
      <c r="E956" s="61">
        <f>20.2298 * CHOOSE(CONTROL!$C$22, $C$13, 100%, $E$13)</f>
        <v>20.229800000000001</v>
      </c>
      <c r="F956" s="61">
        <f>20.2298 * CHOOSE(CONTROL!$C$22, $C$13, 100%, $E$13)</f>
        <v>20.229800000000001</v>
      </c>
      <c r="G956" s="61">
        <f>20.23 * CHOOSE(CONTROL!$C$22, $C$13, 100%, $E$13)</f>
        <v>20.23</v>
      </c>
      <c r="H956" s="61">
        <f>32.5492* CHOOSE(CONTROL!$C$22, $C$13, 100%, $E$13)</f>
        <v>32.549199999999999</v>
      </c>
      <c r="I956" s="61">
        <f>32.5494 * CHOOSE(CONTROL!$C$22, $C$13, 100%, $E$13)</f>
        <v>32.549399999999999</v>
      </c>
      <c r="J956" s="61">
        <f>20.2298 * CHOOSE(CONTROL!$C$22, $C$13, 100%, $E$13)</f>
        <v>20.229800000000001</v>
      </c>
      <c r="K956" s="61">
        <f>20.23 * CHOOSE(CONTROL!$C$22, $C$13, 100%, $E$13)</f>
        <v>20.23</v>
      </c>
    </row>
    <row r="957" spans="1:11" ht="15">
      <c r="A957" s="13">
        <v>70980</v>
      </c>
      <c r="B957" s="60">
        <f>17.0633 * CHOOSE(CONTROL!$C$22, $C$13, 100%, $E$13)</f>
        <v>17.063300000000002</v>
      </c>
      <c r="C957" s="60">
        <f>17.0633 * CHOOSE(CONTROL!$C$22, $C$13, 100%, $E$13)</f>
        <v>17.063300000000002</v>
      </c>
      <c r="D957" s="60">
        <f>17.096 * CHOOSE(CONTROL!$C$22, $C$13, 100%, $E$13)</f>
        <v>17.096</v>
      </c>
      <c r="E957" s="61">
        <f>20.2997 * CHOOSE(CONTROL!$C$22, $C$13, 100%, $E$13)</f>
        <v>20.299700000000001</v>
      </c>
      <c r="F957" s="61">
        <f>20.2997 * CHOOSE(CONTROL!$C$22, $C$13, 100%, $E$13)</f>
        <v>20.299700000000001</v>
      </c>
      <c r="G957" s="61">
        <f>20.3017 * CHOOSE(CONTROL!$C$22, $C$13, 100%, $E$13)</f>
        <v>20.3017</v>
      </c>
      <c r="H957" s="61">
        <f>32.617* CHOOSE(CONTROL!$C$22, $C$13, 100%, $E$13)</f>
        <v>32.616999999999997</v>
      </c>
      <c r="I957" s="61">
        <f>32.619 * CHOOSE(CONTROL!$C$22, $C$13, 100%, $E$13)</f>
        <v>32.619</v>
      </c>
      <c r="J957" s="61">
        <f>20.2997 * CHOOSE(CONTROL!$C$22, $C$13, 100%, $E$13)</f>
        <v>20.299700000000001</v>
      </c>
      <c r="K957" s="61">
        <f>20.3017 * CHOOSE(CONTROL!$C$22, $C$13, 100%, $E$13)</f>
        <v>20.3017</v>
      </c>
    </row>
    <row r="958" spans="1:11" ht="15">
      <c r="A958" s="13">
        <v>71011</v>
      </c>
      <c r="B958" s="60">
        <f>17.0694 * CHOOSE(CONTROL!$C$22, $C$13, 100%, $E$13)</f>
        <v>17.069400000000002</v>
      </c>
      <c r="C958" s="60">
        <f>17.0694 * CHOOSE(CONTROL!$C$22, $C$13, 100%, $E$13)</f>
        <v>17.069400000000002</v>
      </c>
      <c r="D958" s="60">
        <f>17.1021 * CHOOSE(CONTROL!$C$22, $C$13, 100%, $E$13)</f>
        <v>17.1021</v>
      </c>
      <c r="E958" s="61">
        <f>20.2341 * CHOOSE(CONTROL!$C$22, $C$13, 100%, $E$13)</f>
        <v>20.234100000000002</v>
      </c>
      <c r="F958" s="61">
        <f>20.2341 * CHOOSE(CONTROL!$C$22, $C$13, 100%, $E$13)</f>
        <v>20.234100000000002</v>
      </c>
      <c r="G958" s="61">
        <f>20.2361 * CHOOSE(CONTROL!$C$22, $C$13, 100%, $E$13)</f>
        <v>20.2361</v>
      </c>
      <c r="H958" s="61">
        <f>32.685* CHOOSE(CONTROL!$C$22, $C$13, 100%, $E$13)</f>
        <v>32.685000000000002</v>
      </c>
      <c r="I958" s="61">
        <f>32.687 * CHOOSE(CONTROL!$C$22, $C$13, 100%, $E$13)</f>
        <v>32.686999999999998</v>
      </c>
      <c r="J958" s="61">
        <f>20.2341 * CHOOSE(CONTROL!$C$22, $C$13, 100%, $E$13)</f>
        <v>20.234100000000002</v>
      </c>
      <c r="K958" s="61">
        <f>20.2361 * CHOOSE(CONTROL!$C$22, $C$13, 100%, $E$13)</f>
        <v>20.2361</v>
      </c>
    </row>
    <row r="959" spans="1:11" ht="15">
      <c r="A959" s="13">
        <v>71041</v>
      </c>
      <c r="B959" s="60">
        <f>17.3354 * CHOOSE(CONTROL!$C$22, $C$13, 100%, $E$13)</f>
        <v>17.3354</v>
      </c>
      <c r="C959" s="60">
        <f>17.3354 * CHOOSE(CONTROL!$C$22, $C$13, 100%, $E$13)</f>
        <v>17.3354</v>
      </c>
      <c r="D959" s="60">
        <f>17.3681 * CHOOSE(CONTROL!$C$22, $C$13, 100%, $E$13)</f>
        <v>17.368099999999998</v>
      </c>
      <c r="E959" s="61">
        <f>20.6174 * CHOOSE(CONTROL!$C$22, $C$13, 100%, $E$13)</f>
        <v>20.6174</v>
      </c>
      <c r="F959" s="61">
        <f>20.6174 * CHOOSE(CONTROL!$C$22, $C$13, 100%, $E$13)</f>
        <v>20.6174</v>
      </c>
      <c r="G959" s="61">
        <f>20.6195 * CHOOSE(CONTROL!$C$22, $C$13, 100%, $E$13)</f>
        <v>20.619499999999999</v>
      </c>
      <c r="H959" s="61">
        <f>32.7531* CHOOSE(CONTROL!$C$22, $C$13, 100%, $E$13)</f>
        <v>32.753100000000003</v>
      </c>
      <c r="I959" s="61">
        <f>32.7551 * CHOOSE(CONTROL!$C$22, $C$13, 100%, $E$13)</f>
        <v>32.755099999999999</v>
      </c>
      <c r="J959" s="61">
        <f>20.6174 * CHOOSE(CONTROL!$C$22, $C$13, 100%, $E$13)</f>
        <v>20.6174</v>
      </c>
      <c r="K959" s="61">
        <f>20.6195 * CHOOSE(CONTROL!$C$22, $C$13, 100%, $E$13)</f>
        <v>20.619499999999999</v>
      </c>
    </row>
    <row r="960" spans="1:11" ht="15">
      <c r="A960" s="13">
        <v>71072</v>
      </c>
      <c r="B960" s="60">
        <f>17.3421 * CHOOSE(CONTROL!$C$22, $C$13, 100%, $E$13)</f>
        <v>17.342099999999999</v>
      </c>
      <c r="C960" s="60">
        <f>17.3421 * CHOOSE(CONTROL!$C$22, $C$13, 100%, $E$13)</f>
        <v>17.342099999999999</v>
      </c>
      <c r="D960" s="60">
        <f>17.3747 * CHOOSE(CONTROL!$C$22, $C$13, 100%, $E$13)</f>
        <v>17.374700000000001</v>
      </c>
      <c r="E960" s="61">
        <f>20.4125 * CHOOSE(CONTROL!$C$22, $C$13, 100%, $E$13)</f>
        <v>20.412500000000001</v>
      </c>
      <c r="F960" s="61">
        <f>20.4125 * CHOOSE(CONTROL!$C$22, $C$13, 100%, $E$13)</f>
        <v>20.412500000000001</v>
      </c>
      <c r="G960" s="61">
        <f>20.4146 * CHOOSE(CONTROL!$C$22, $C$13, 100%, $E$13)</f>
        <v>20.4146</v>
      </c>
      <c r="H960" s="61">
        <f>32.8213* CHOOSE(CONTROL!$C$22, $C$13, 100%, $E$13)</f>
        <v>32.821300000000001</v>
      </c>
      <c r="I960" s="61">
        <f>32.8233 * CHOOSE(CONTROL!$C$22, $C$13, 100%, $E$13)</f>
        <v>32.823300000000003</v>
      </c>
      <c r="J960" s="61">
        <f>20.4125 * CHOOSE(CONTROL!$C$22, $C$13, 100%, $E$13)</f>
        <v>20.412500000000001</v>
      </c>
      <c r="K960" s="61">
        <f>20.4146 * CHOOSE(CONTROL!$C$22, $C$13, 100%, $E$13)</f>
        <v>20.4146</v>
      </c>
    </row>
    <row r="961" spans="1:11" ht="15">
      <c r="A961" s="13">
        <v>71103</v>
      </c>
      <c r="B961" s="60">
        <f>17.339 * CHOOSE(CONTROL!$C$22, $C$13, 100%, $E$13)</f>
        <v>17.338999999999999</v>
      </c>
      <c r="C961" s="60">
        <f>17.339 * CHOOSE(CONTROL!$C$22, $C$13, 100%, $E$13)</f>
        <v>17.338999999999999</v>
      </c>
      <c r="D961" s="60">
        <f>17.3717 * CHOOSE(CONTROL!$C$22, $C$13, 100%, $E$13)</f>
        <v>17.371700000000001</v>
      </c>
      <c r="E961" s="61">
        <f>20.3871 * CHOOSE(CONTROL!$C$22, $C$13, 100%, $E$13)</f>
        <v>20.3871</v>
      </c>
      <c r="F961" s="61">
        <f>20.3871 * CHOOSE(CONTROL!$C$22, $C$13, 100%, $E$13)</f>
        <v>20.3871</v>
      </c>
      <c r="G961" s="61">
        <f>20.3891 * CHOOSE(CONTROL!$C$22, $C$13, 100%, $E$13)</f>
        <v>20.389099999999999</v>
      </c>
      <c r="H961" s="61">
        <f>32.8897* CHOOSE(CONTROL!$C$22, $C$13, 100%, $E$13)</f>
        <v>32.889699999999998</v>
      </c>
      <c r="I961" s="61">
        <f>32.8917 * CHOOSE(CONTROL!$C$22, $C$13, 100%, $E$13)</f>
        <v>32.8917</v>
      </c>
      <c r="J961" s="61">
        <f>20.3871 * CHOOSE(CONTROL!$C$22, $C$13, 100%, $E$13)</f>
        <v>20.3871</v>
      </c>
      <c r="K961" s="61">
        <f>20.3891 * CHOOSE(CONTROL!$C$22, $C$13, 100%, $E$13)</f>
        <v>20.389099999999999</v>
      </c>
    </row>
    <row r="962" spans="1:11" ht="15">
      <c r="A962" s="13">
        <v>71133</v>
      </c>
      <c r="B962" s="60">
        <f>17.3777 * CHOOSE(CONTROL!$C$22, $C$13, 100%, $E$13)</f>
        <v>17.377700000000001</v>
      </c>
      <c r="C962" s="60">
        <f>17.3777 * CHOOSE(CONTROL!$C$22, $C$13, 100%, $E$13)</f>
        <v>17.377700000000001</v>
      </c>
      <c r="D962" s="60">
        <f>17.394 * CHOOSE(CONTROL!$C$22, $C$13, 100%, $E$13)</f>
        <v>17.393999999999998</v>
      </c>
      <c r="E962" s="61">
        <f>20.4668 * CHOOSE(CONTROL!$C$22, $C$13, 100%, $E$13)</f>
        <v>20.466799999999999</v>
      </c>
      <c r="F962" s="61">
        <f>20.4668 * CHOOSE(CONTROL!$C$22, $C$13, 100%, $E$13)</f>
        <v>20.466799999999999</v>
      </c>
      <c r="G962" s="61">
        <f>20.467 * CHOOSE(CONTROL!$C$22, $C$13, 100%, $E$13)</f>
        <v>20.466999999999999</v>
      </c>
      <c r="H962" s="61">
        <f>32.9582* CHOOSE(CONTROL!$C$22, $C$13, 100%, $E$13)</f>
        <v>32.958199999999998</v>
      </c>
      <c r="I962" s="61">
        <f>32.9584 * CHOOSE(CONTROL!$C$22, $C$13, 100%, $E$13)</f>
        <v>32.958399999999997</v>
      </c>
      <c r="J962" s="61">
        <f>20.4668 * CHOOSE(CONTROL!$C$22, $C$13, 100%, $E$13)</f>
        <v>20.466799999999999</v>
      </c>
      <c r="K962" s="61">
        <f>20.467 * CHOOSE(CONTROL!$C$22, $C$13, 100%, $E$13)</f>
        <v>20.466999999999999</v>
      </c>
    </row>
    <row r="963" spans="1:11" ht="15">
      <c r="A963" s="13">
        <v>71164</v>
      </c>
      <c r="B963" s="60">
        <f>17.3807 * CHOOSE(CONTROL!$C$22, $C$13, 100%, $E$13)</f>
        <v>17.380700000000001</v>
      </c>
      <c r="C963" s="60">
        <f>17.3807 * CHOOSE(CONTROL!$C$22, $C$13, 100%, $E$13)</f>
        <v>17.380700000000001</v>
      </c>
      <c r="D963" s="60">
        <f>17.3971 * CHOOSE(CONTROL!$C$22, $C$13, 100%, $E$13)</f>
        <v>17.397099999999998</v>
      </c>
      <c r="E963" s="61">
        <f>20.5155 * CHOOSE(CONTROL!$C$22, $C$13, 100%, $E$13)</f>
        <v>20.515499999999999</v>
      </c>
      <c r="F963" s="61">
        <f>20.5155 * CHOOSE(CONTROL!$C$22, $C$13, 100%, $E$13)</f>
        <v>20.515499999999999</v>
      </c>
      <c r="G963" s="61">
        <f>20.5157 * CHOOSE(CONTROL!$C$22, $C$13, 100%, $E$13)</f>
        <v>20.515699999999999</v>
      </c>
      <c r="H963" s="61">
        <f>33.0268* CHOOSE(CONTROL!$C$22, $C$13, 100%, $E$13)</f>
        <v>33.026800000000001</v>
      </c>
      <c r="I963" s="61">
        <f>33.027 * CHOOSE(CONTROL!$C$22, $C$13, 100%, $E$13)</f>
        <v>33.027000000000001</v>
      </c>
      <c r="J963" s="61">
        <f>20.5155 * CHOOSE(CONTROL!$C$22, $C$13, 100%, $E$13)</f>
        <v>20.515499999999999</v>
      </c>
      <c r="K963" s="61">
        <f>20.5157 * CHOOSE(CONTROL!$C$22, $C$13, 100%, $E$13)</f>
        <v>20.515699999999999</v>
      </c>
    </row>
    <row r="964" spans="1:11" ht="15">
      <c r="A964" s="13">
        <v>71194</v>
      </c>
      <c r="B964" s="60">
        <f>17.3807 * CHOOSE(CONTROL!$C$22, $C$13, 100%, $E$13)</f>
        <v>17.380700000000001</v>
      </c>
      <c r="C964" s="60">
        <f>17.3807 * CHOOSE(CONTROL!$C$22, $C$13, 100%, $E$13)</f>
        <v>17.380700000000001</v>
      </c>
      <c r="D964" s="60">
        <f>17.3971 * CHOOSE(CONTROL!$C$22, $C$13, 100%, $E$13)</f>
        <v>17.397099999999998</v>
      </c>
      <c r="E964" s="61">
        <f>20.3991 * CHOOSE(CONTROL!$C$22, $C$13, 100%, $E$13)</f>
        <v>20.399100000000001</v>
      </c>
      <c r="F964" s="61">
        <f>20.3991 * CHOOSE(CONTROL!$C$22, $C$13, 100%, $E$13)</f>
        <v>20.399100000000001</v>
      </c>
      <c r="G964" s="61">
        <f>20.3993 * CHOOSE(CONTROL!$C$22, $C$13, 100%, $E$13)</f>
        <v>20.3993</v>
      </c>
      <c r="H964" s="61">
        <f>33.0957* CHOOSE(CONTROL!$C$22, $C$13, 100%, $E$13)</f>
        <v>33.095700000000001</v>
      </c>
      <c r="I964" s="61">
        <f>33.0958 * CHOOSE(CONTROL!$C$22, $C$13, 100%, $E$13)</f>
        <v>33.095799999999997</v>
      </c>
      <c r="J964" s="61">
        <f>20.3991 * CHOOSE(CONTROL!$C$22, $C$13, 100%, $E$13)</f>
        <v>20.399100000000001</v>
      </c>
      <c r="K964" s="61">
        <f>20.3993 * CHOOSE(CONTROL!$C$22, $C$13, 100%, $E$13)</f>
        <v>20.3993</v>
      </c>
    </row>
    <row r="965" spans="1:11" ht="15">
      <c r="A965" s="13">
        <v>71225</v>
      </c>
      <c r="B965" s="60">
        <f>17.306 * CHOOSE(CONTROL!$C$22, $C$13, 100%, $E$13)</f>
        <v>17.306000000000001</v>
      </c>
      <c r="C965" s="60">
        <f>17.306 * CHOOSE(CONTROL!$C$22, $C$13, 100%, $E$13)</f>
        <v>17.306000000000001</v>
      </c>
      <c r="D965" s="60">
        <f>17.3223 * CHOOSE(CONTROL!$C$22, $C$13, 100%, $E$13)</f>
        <v>17.322299999999998</v>
      </c>
      <c r="E965" s="61">
        <f>20.391 * CHOOSE(CONTROL!$C$22, $C$13, 100%, $E$13)</f>
        <v>20.390999999999998</v>
      </c>
      <c r="F965" s="61">
        <f>20.391 * CHOOSE(CONTROL!$C$22, $C$13, 100%, $E$13)</f>
        <v>20.390999999999998</v>
      </c>
      <c r="G965" s="61">
        <f>20.3912 * CHOOSE(CONTROL!$C$22, $C$13, 100%, $E$13)</f>
        <v>20.391200000000001</v>
      </c>
      <c r="H965" s="61">
        <f>32.7925* CHOOSE(CONTROL!$C$22, $C$13, 100%, $E$13)</f>
        <v>32.792499999999997</v>
      </c>
      <c r="I965" s="61">
        <f>32.7927 * CHOOSE(CONTROL!$C$22, $C$13, 100%, $E$13)</f>
        <v>32.792700000000004</v>
      </c>
      <c r="J965" s="61">
        <f>20.391 * CHOOSE(CONTROL!$C$22, $C$13, 100%, $E$13)</f>
        <v>20.390999999999998</v>
      </c>
      <c r="K965" s="61">
        <f>20.3912 * CHOOSE(CONTROL!$C$22, $C$13, 100%, $E$13)</f>
        <v>20.391200000000001</v>
      </c>
    </row>
    <row r="966" spans="1:11" ht="15">
      <c r="A966" s="13">
        <v>71256</v>
      </c>
      <c r="B966" s="60">
        <f>17.3029 * CHOOSE(CONTROL!$C$22, $C$13, 100%, $E$13)</f>
        <v>17.302900000000001</v>
      </c>
      <c r="C966" s="60">
        <f>17.3029 * CHOOSE(CONTROL!$C$22, $C$13, 100%, $E$13)</f>
        <v>17.302900000000001</v>
      </c>
      <c r="D966" s="60">
        <f>17.3193 * CHOOSE(CONTROL!$C$22, $C$13, 100%, $E$13)</f>
        <v>17.319299999999998</v>
      </c>
      <c r="E966" s="61">
        <f>20.1657 * CHOOSE(CONTROL!$C$22, $C$13, 100%, $E$13)</f>
        <v>20.165700000000001</v>
      </c>
      <c r="F966" s="61">
        <f>20.1657 * CHOOSE(CONTROL!$C$22, $C$13, 100%, $E$13)</f>
        <v>20.165700000000001</v>
      </c>
      <c r="G966" s="61">
        <f>20.1658 * CHOOSE(CONTROL!$C$22, $C$13, 100%, $E$13)</f>
        <v>20.165800000000001</v>
      </c>
      <c r="H966" s="61">
        <f>32.8608* CHOOSE(CONTROL!$C$22, $C$13, 100%, $E$13)</f>
        <v>32.860799999999998</v>
      </c>
      <c r="I966" s="61">
        <f>32.861 * CHOOSE(CONTROL!$C$22, $C$13, 100%, $E$13)</f>
        <v>32.860999999999997</v>
      </c>
      <c r="J966" s="61">
        <f>20.1657 * CHOOSE(CONTROL!$C$22, $C$13, 100%, $E$13)</f>
        <v>20.165700000000001</v>
      </c>
      <c r="K966" s="61">
        <f>20.1658 * CHOOSE(CONTROL!$C$22, $C$13, 100%, $E$13)</f>
        <v>20.165800000000001</v>
      </c>
    </row>
    <row r="967" spans="1:11" ht="15">
      <c r="A967" s="13">
        <v>71284</v>
      </c>
      <c r="B967" s="60">
        <f>17.2999 * CHOOSE(CONTROL!$C$22, $C$13, 100%, $E$13)</f>
        <v>17.299900000000001</v>
      </c>
      <c r="C967" s="60">
        <f>17.2999 * CHOOSE(CONTROL!$C$22, $C$13, 100%, $E$13)</f>
        <v>17.299900000000001</v>
      </c>
      <c r="D967" s="60">
        <f>17.3162 * CHOOSE(CONTROL!$C$22, $C$13, 100%, $E$13)</f>
        <v>17.316199999999998</v>
      </c>
      <c r="E967" s="61">
        <f>20.3395 * CHOOSE(CONTROL!$C$22, $C$13, 100%, $E$13)</f>
        <v>20.339500000000001</v>
      </c>
      <c r="F967" s="61">
        <f>20.3395 * CHOOSE(CONTROL!$C$22, $C$13, 100%, $E$13)</f>
        <v>20.339500000000001</v>
      </c>
      <c r="G967" s="61">
        <f>20.3397 * CHOOSE(CONTROL!$C$22, $C$13, 100%, $E$13)</f>
        <v>20.339700000000001</v>
      </c>
      <c r="H967" s="61">
        <f>32.9293* CHOOSE(CONTROL!$C$22, $C$13, 100%, $E$13)</f>
        <v>32.929299999999998</v>
      </c>
      <c r="I967" s="61">
        <f>32.9295 * CHOOSE(CONTROL!$C$22, $C$13, 100%, $E$13)</f>
        <v>32.929499999999997</v>
      </c>
      <c r="J967" s="61">
        <f>20.3395 * CHOOSE(CONTROL!$C$22, $C$13, 100%, $E$13)</f>
        <v>20.339500000000001</v>
      </c>
      <c r="K967" s="61">
        <f>20.3397 * CHOOSE(CONTROL!$C$22, $C$13, 100%, $E$13)</f>
        <v>20.339700000000001</v>
      </c>
    </row>
    <row r="968" spans="1:11" ht="15">
      <c r="A968" s="13">
        <v>71315</v>
      </c>
      <c r="B968" s="60">
        <f>17.3088 * CHOOSE(CONTROL!$C$22, $C$13, 100%, $E$13)</f>
        <v>17.308800000000002</v>
      </c>
      <c r="C968" s="60">
        <f>17.3088 * CHOOSE(CONTROL!$C$22, $C$13, 100%, $E$13)</f>
        <v>17.308800000000002</v>
      </c>
      <c r="D968" s="60">
        <f>17.3252 * CHOOSE(CONTROL!$C$22, $C$13, 100%, $E$13)</f>
        <v>17.325199999999999</v>
      </c>
      <c r="E968" s="61">
        <f>20.5243 * CHOOSE(CONTROL!$C$22, $C$13, 100%, $E$13)</f>
        <v>20.5243</v>
      </c>
      <c r="F968" s="61">
        <f>20.5243 * CHOOSE(CONTROL!$C$22, $C$13, 100%, $E$13)</f>
        <v>20.5243</v>
      </c>
      <c r="G968" s="61">
        <f>20.5244 * CHOOSE(CONTROL!$C$22, $C$13, 100%, $E$13)</f>
        <v>20.5244</v>
      </c>
      <c r="H968" s="61">
        <f>32.9979* CHOOSE(CONTROL!$C$22, $C$13, 100%, $E$13)</f>
        <v>32.997900000000001</v>
      </c>
      <c r="I968" s="61">
        <f>32.9981 * CHOOSE(CONTROL!$C$22, $C$13, 100%, $E$13)</f>
        <v>32.998100000000001</v>
      </c>
      <c r="J968" s="61">
        <f>20.5243 * CHOOSE(CONTROL!$C$22, $C$13, 100%, $E$13)</f>
        <v>20.5243</v>
      </c>
      <c r="K968" s="61">
        <f>20.5244 * CHOOSE(CONTROL!$C$22, $C$13, 100%, $E$13)</f>
        <v>20.5244</v>
      </c>
    </row>
    <row r="969" spans="1:11" ht="15">
      <c r="A969" s="13">
        <v>71345</v>
      </c>
      <c r="B969" s="60">
        <f>17.3088 * CHOOSE(CONTROL!$C$22, $C$13, 100%, $E$13)</f>
        <v>17.308800000000002</v>
      </c>
      <c r="C969" s="60">
        <f>17.3088 * CHOOSE(CONTROL!$C$22, $C$13, 100%, $E$13)</f>
        <v>17.308800000000002</v>
      </c>
      <c r="D969" s="60">
        <f>17.3415 * CHOOSE(CONTROL!$C$22, $C$13, 100%, $E$13)</f>
        <v>17.3415</v>
      </c>
      <c r="E969" s="61">
        <f>20.5951 * CHOOSE(CONTROL!$C$22, $C$13, 100%, $E$13)</f>
        <v>20.595099999999999</v>
      </c>
      <c r="F969" s="61">
        <f>20.5951 * CHOOSE(CONTROL!$C$22, $C$13, 100%, $E$13)</f>
        <v>20.595099999999999</v>
      </c>
      <c r="G969" s="61">
        <f>20.5972 * CHOOSE(CONTROL!$C$22, $C$13, 100%, $E$13)</f>
        <v>20.597200000000001</v>
      </c>
      <c r="H969" s="61">
        <f>33.0666* CHOOSE(CONTROL!$C$22, $C$13, 100%, $E$13)</f>
        <v>33.066600000000001</v>
      </c>
      <c r="I969" s="61">
        <f>33.0687 * CHOOSE(CONTROL!$C$22, $C$13, 100%, $E$13)</f>
        <v>33.0687</v>
      </c>
      <c r="J969" s="61">
        <f>20.5951 * CHOOSE(CONTROL!$C$22, $C$13, 100%, $E$13)</f>
        <v>20.595099999999999</v>
      </c>
      <c r="K969" s="61">
        <f>20.5972 * CHOOSE(CONTROL!$C$22, $C$13, 100%, $E$13)</f>
        <v>20.597200000000001</v>
      </c>
    </row>
    <row r="970" spans="1:11" ht="15">
      <c r="A970" s="13">
        <v>71376</v>
      </c>
      <c r="B970" s="60">
        <f>17.3149 * CHOOSE(CONTROL!$C$22, $C$13, 100%, $E$13)</f>
        <v>17.314900000000002</v>
      </c>
      <c r="C970" s="60">
        <f>17.3149 * CHOOSE(CONTROL!$C$22, $C$13, 100%, $E$13)</f>
        <v>17.314900000000002</v>
      </c>
      <c r="D970" s="60">
        <f>17.3476 * CHOOSE(CONTROL!$C$22, $C$13, 100%, $E$13)</f>
        <v>17.3476</v>
      </c>
      <c r="E970" s="61">
        <f>20.5285 * CHOOSE(CONTROL!$C$22, $C$13, 100%, $E$13)</f>
        <v>20.528500000000001</v>
      </c>
      <c r="F970" s="61">
        <f>20.5285 * CHOOSE(CONTROL!$C$22, $C$13, 100%, $E$13)</f>
        <v>20.528500000000001</v>
      </c>
      <c r="G970" s="61">
        <f>20.5305 * CHOOSE(CONTROL!$C$22, $C$13, 100%, $E$13)</f>
        <v>20.5305</v>
      </c>
      <c r="H970" s="61">
        <f>33.1355* CHOOSE(CONTROL!$C$22, $C$13, 100%, $E$13)</f>
        <v>33.1355</v>
      </c>
      <c r="I970" s="61">
        <f>33.1375 * CHOOSE(CONTROL!$C$22, $C$13, 100%, $E$13)</f>
        <v>33.137500000000003</v>
      </c>
      <c r="J970" s="61">
        <f>20.5285 * CHOOSE(CONTROL!$C$22, $C$13, 100%, $E$13)</f>
        <v>20.528500000000001</v>
      </c>
      <c r="K970" s="61">
        <f>20.5305 * CHOOSE(CONTROL!$C$22, $C$13, 100%, $E$13)</f>
        <v>20.5305</v>
      </c>
    </row>
    <row r="971" spans="1:11" ht="15">
      <c r="A971" s="13">
        <v>71406</v>
      </c>
      <c r="B971" s="60">
        <f>17.5846 * CHOOSE(CONTROL!$C$22, $C$13, 100%, $E$13)</f>
        <v>17.584599999999998</v>
      </c>
      <c r="C971" s="60">
        <f>17.5846 * CHOOSE(CONTROL!$C$22, $C$13, 100%, $E$13)</f>
        <v>17.584599999999998</v>
      </c>
      <c r="D971" s="60">
        <f>17.6173 * CHOOSE(CONTROL!$C$22, $C$13, 100%, $E$13)</f>
        <v>17.6173</v>
      </c>
      <c r="E971" s="61">
        <f>20.9173 * CHOOSE(CONTROL!$C$22, $C$13, 100%, $E$13)</f>
        <v>20.917300000000001</v>
      </c>
      <c r="F971" s="61">
        <f>20.9173 * CHOOSE(CONTROL!$C$22, $C$13, 100%, $E$13)</f>
        <v>20.917300000000001</v>
      </c>
      <c r="G971" s="61">
        <f>20.9193 * CHOOSE(CONTROL!$C$22, $C$13, 100%, $E$13)</f>
        <v>20.9193</v>
      </c>
      <c r="H971" s="61">
        <f>33.2045* CHOOSE(CONTROL!$C$22, $C$13, 100%, $E$13)</f>
        <v>33.204500000000003</v>
      </c>
      <c r="I971" s="61">
        <f>33.2066 * CHOOSE(CONTROL!$C$22, $C$13, 100%, $E$13)</f>
        <v>33.206600000000002</v>
      </c>
      <c r="J971" s="61">
        <f>20.9173 * CHOOSE(CONTROL!$C$22, $C$13, 100%, $E$13)</f>
        <v>20.917300000000001</v>
      </c>
      <c r="K971" s="61">
        <f>20.9193 * CHOOSE(CONTROL!$C$22, $C$13, 100%, $E$13)</f>
        <v>20.9193</v>
      </c>
    </row>
    <row r="972" spans="1:11" ht="15">
      <c r="A972" s="13">
        <v>71437</v>
      </c>
      <c r="B972" s="60">
        <f>17.5913 * CHOOSE(CONTROL!$C$22, $C$13, 100%, $E$13)</f>
        <v>17.5913</v>
      </c>
      <c r="C972" s="60">
        <f>17.5913 * CHOOSE(CONTROL!$C$22, $C$13, 100%, $E$13)</f>
        <v>17.5913</v>
      </c>
      <c r="D972" s="60">
        <f>17.624 * CHOOSE(CONTROL!$C$22, $C$13, 100%, $E$13)</f>
        <v>17.623999999999999</v>
      </c>
      <c r="E972" s="61">
        <f>20.7093 * CHOOSE(CONTROL!$C$22, $C$13, 100%, $E$13)</f>
        <v>20.709299999999999</v>
      </c>
      <c r="F972" s="61">
        <f>20.7093 * CHOOSE(CONTROL!$C$22, $C$13, 100%, $E$13)</f>
        <v>20.709299999999999</v>
      </c>
      <c r="G972" s="61">
        <f>20.7114 * CHOOSE(CONTROL!$C$22, $C$13, 100%, $E$13)</f>
        <v>20.711400000000001</v>
      </c>
      <c r="H972" s="61">
        <f>33.2737* CHOOSE(CONTROL!$C$22, $C$13, 100%, $E$13)</f>
        <v>33.273699999999998</v>
      </c>
      <c r="I972" s="61">
        <f>33.2758 * CHOOSE(CONTROL!$C$22, $C$13, 100%, $E$13)</f>
        <v>33.275799999999997</v>
      </c>
      <c r="J972" s="61">
        <f>20.7093 * CHOOSE(CONTROL!$C$22, $C$13, 100%, $E$13)</f>
        <v>20.709299999999999</v>
      </c>
      <c r="K972" s="61">
        <f>20.7114 * CHOOSE(CONTROL!$C$22, $C$13, 100%, $E$13)</f>
        <v>20.711400000000001</v>
      </c>
    </row>
    <row r="973" spans="1:11" ht="15">
      <c r="A973" s="13">
        <v>71468</v>
      </c>
      <c r="B973" s="60">
        <f>17.5882 * CHOOSE(CONTROL!$C$22, $C$13, 100%, $E$13)</f>
        <v>17.588200000000001</v>
      </c>
      <c r="C973" s="60">
        <f>17.5882 * CHOOSE(CONTROL!$C$22, $C$13, 100%, $E$13)</f>
        <v>17.588200000000001</v>
      </c>
      <c r="D973" s="60">
        <f>17.6209 * CHOOSE(CONTROL!$C$22, $C$13, 100%, $E$13)</f>
        <v>17.620899999999999</v>
      </c>
      <c r="E973" s="61">
        <f>20.6836 * CHOOSE(CONTROL!$C$22, $C$13, 100%, $E$13)</f>
        <v>20.683599999999998</v>
      </c>
      <c r="F973" s="61">
        <f>20.6836 * CHOOSE(CONTROL!$C$22, $C$13, 100%, $E$13)</f>
        <v>20.683599999999998</v>
      </c>
      <c r="G973" s="61">
        <f>20.6856 * CHOOSE(CONTROL!$C$22, $C$13, 100%, $E$13)</f>
        <v>20.685600000000001</v>
      </c>
      <c r="H973" s="61">
        <f>33.343* CHOOSE(CONTROL!$C$22, $C$13, 100%, $E$13)</f>
        <v>33.343000000000004</v>
      </c>
      <c r="I973" s="61">
        <f>33.3451 * CHOOSE(CONTROL!$C$22, $C$13, 100%, $E$13)</f>
        <v>33.345100000000002</v>
      </c>
      <c r="J973" s="61">
        <f>20.6836 * CHOOSE(CONTROL!$C$22, $C$13, 100%, $E$13)</f>
        <v>20.683599999999998</v>
      </c>
      <c r="K973" s="61">
        <f>20.6856 * CHOOSE(CONTROL!$C$22, $C$13, 100%, $E$13)</f>
        <v>20.685600000000001</v>
      </c>
    </row>
    <row r="974" spans="1:11" ht="15">
      <c r="A974" s="13">
        <v>71498</v>
      </c>
      <c r="B974" s="60">
        <f>17.6277 * CHOOSE(CONTROL!$C$22, $C$13, 100%, $E$13)</f>
        <v>17.627700000000001</v>
      </c>
      <c r="C974" s="60">
        <f>17.6277 * CHOOSE(CONTROL!$C$22, $C$13, 100%, $E$13)</f>
        <v>17.627700000000001</v>
      </c>
      <c r="D974" s="60">
        <f>17.644 * CHOOSE(CONTROL!$C$22, $C$13, 100%, $E$13)</f>
        <v>17.643999999999998</v>
      </c>
      <c r="E974" s="61">
        <f>20.7647 * CHOOSE(CONTROL!$C$22, $C$13, 100%, $E$13)</f>
        <v>20.764700000000001</v>
      </c>
      <c r="F974" s="61">
        <f>20.7647 * CHOOSE(CONTROL!$C$22, $C$13, 100%, $E$13)</f>
        <v>20.764700000000001</v>
      </c>
      <c r="G974" s="61">
        <f>20.7649 * CHOOSE(CONTROL!$C$22, $C$13, 100%, $E$13)</f>
        <v>20.764900000000001</v>
      </c>
      <c r="H974" s="61">
        <f>33.4125* CHOOSE(CONTROL!$C$22, $C$13, 100%, $E$13)</f>
        <v>33.412500000000001</v>
      </c>
      <c r="I974" s="61">
        <f>33.4127 * CHOOSE(CONTROL!$C$22, $C$13, 100%, $E$13)</f>
        <v>33.412700000000001</v>
      </c>
      <c r="J974" s="61">
        <f>20.7647 * CHOOSE(CONTROL!$C$22, $C$13, 100%, $E$13)</f>
        <v>20.764700000000001</v>
      </c>
      <c r="K974" s="61">
        <f>20.7649 * CHOOSE(CONTROL!$C$22, $C$13, 100%, $E$13)</f>
        <v>20.764900000000001</v>
      </c>
    </row>
    <row r="975" spans="1:11" ht="15">
      <c r="A975" s="13">
        <v>71529</v>
      </c>
      <c r="B975" s="60">
        <f>17.6307 * CHOOSE(CONTROL!$C$22, $C$13, 100%, $E$13)</f>
        <v>17.630700000000001</v>
      </c>
      <c r="C975" s="60">
        <f>17.6307 * CHOOSE(CONTROL!$C$22, $C$13, 100%, $E$13)</f>
        <v>17.630700000000001</v>
      </c>
      <c r="D975" s="60">
        <f>17.6471 * CHOOSE(CONTROL!$C$22, $C$13, 100%, $E$13)</f>
        <v>17.647099999999998</v>
      </c>
      <c r="E975" s="61">
        <f>20.8141 * CHOOSE(CONTROL!$C$22, $C$13, 100%, $E$13)</f>
        <v>20.8141</v>
      </c>
      <c r="F975" s="61">
        <f>20.8141 * CHOOSE(CONTROL!$C$22, $C$13, 100%, $E$13)</f>
        <v>20.8141</v>
      </c>
      <c r="G975" s="61">
        <f>20.8142 * CHOOSE(CONTROL!$C$22, $C$13, 100%, $E$13)</f>
        <v>20.8142</v>
      </c>
      <c r="H975" s="61">
        <f>33.4821* CHOOSE(CONTROL!$C$22, $C$13, 100%, $E$13)</f>
        <v>33.482100000000003</v>
      </c>
      <c r="I975" s="61">
        <f>33.4823 * CHOOSE(CONTROL!$C$22, $C$13, 100%, $E$13)</f>
        <v>33.482300000000002</v>
      </c>
      <c r="J975" s="61">
        <f>20.8141 * CHOOSE(CONTROL!$C$22, $C$13, 100%, $E$13)</f>
        <v>20.8141</v>
      </c>
      <c r="K975" s="61">
        <f>20.8142 * CHOOSE(CONTROL!$C$22, $C$13, 100%, $E$13)</f>
        <v>20.8142</v>
      </c>
    </row>
    <row r="976" spans="1:11" ht="15">
      <c r="A976" s="13">
        <v>71559</v>
      </c>
      <c r="B976" s="60">
        <f>17.6307 * CHOOSE(CONTROL!$C$22, $C$13, 100%, $E$13)</f>
        <v>17.630700000000001</v>
      </c>
      <c r="C976" s="60">
        <f>17.6307 * CHOOSE(CONTROL!$C$22, $C$13, 100%, $E$13)</f>
        <v>17.630700000000001</v>
      </c>
      <c r="D976" s="60">
        <f>17.6471 * CHOOSE(CONTROL!$C$22, $C$13, 100%, $E$13)</f>
        <v>17.647099999999998</v>
      </c>
      <c r="E976" s="61">
        <f>20.6959 * CHOOSE(CONTROL!$C$22, $C$13, 100%, $E$13)</f>
        <v>20.695900000000002</v>
      </c>
      <c r="F976" s="61">
        <f>20.6959 * CHOOSE(CONTROL!$C$22, $C$13, 100%, $E$13)</f>
        <v>20.695900000000002</v>
      </c>
      <c r="G976" s="61">
        <f>20.6961 * CHOOSE(CONTROL!$C$22, $C$13, 100%, $E$13)</f>
        <v>20.696100000000001</v>
      </c>
      <c r="H976" s="61">
        <f>33.5519* CHOOSE(CONTROL!$C$22, $C$13, 100%, $E$13)</f>
        <v>33.551900000000003</v>
      </c>
      <c r="I976" s="61">
        <f>33.552 * CHOOSE(CONTROL!$C$22, $C$13, 100%, $E$13)</f>
        <v>33.552</v>
      </c>
      <c r="J976" s="61">
        <f>20.6959 * CHOOSE(CONTROL!$C$22, $C$13, 100%, $E$13)</f>
        <v>20.695900000000002</v>
      </c>
      <c r="K976" s="61">
        <f>20.6961 * CHOOSE(CONTROL!$C$22, $C$13, 100%, $E$13)</f>
        <v>20.696100000000001</v>
      </c>
    </row>
    <row r="977" spans="1:11" ht="15">
      <c r="A977" s="13">
        <v>71590</v>
      </c>
      <c r="B977" s="60">
        <f>17.5513 * CHOOSE(CONTROL!$C$22, $C$13, 100%, $E$13)</f>
        <v>17.551300000000001</v>
      </c>
      <c r="C977" s="60">
        <f>17.5513 * CHOOSE(CONTROL!$C$22, $C$13, 100%, $E$13)</f>
        <v>17.551300000000001</v>
      </c>
      <c r="D977" s="60">
        <f>17.5676 * CHOOSE(CONTROL!$C$22, $C$13, 100%, $E$13)</f>
        <v>17.567599999999999</v>
      </c>
      <c r="E977" s="61">
        <f>20.6834 * CHOOSE(CONTROL!$C$22, $C$13, 100%, $E$13)</f>
        <v>20.683399999999999</v>
      </c>
      <c r="F977" s="61">
        <f>20.6834 * CHOOSE(CONTROL!$C$22, $C$13, 100%, $E$13)</f>
        <v>20.683399999999999</v>
      </c>
      <c r="G977" s="61">
        <f>20.6836 * CHOOSE(CONTROL!$C$22, $C$13, 100%, $E$13)</f>
        <v>20.683599999999998</v>
      </c>
      <c r="H977" s="61">
        <f>33.2384* CHOOSE(CONTROL!$C$22, $C$13, 100%, $E$13)</f>
        <v>33.238399999999999</v>
      </c>
      <c r="I977" s="61">
        <f>33.2386 * CHOOSE(CONTROL!$C$22, $C$13, 100%, $E$13)</f>
        <v>33.238599999999998</v>
      </c>
      <c r="J977" s="61">
        <f>20.6834 * CHOOSE(CONTROL!$C$22, $C$13, 100%, $E$13)</f>
        <v>20.683399999999999</v>
      </c>
      <c r="K977" s="61">
        <f>20.6836 * CHOOSE(CONTROL!$C$22, $C$13, 100%, $E$13)</f>
        <v>20.683599999999998</v>
      </c>
    </row>
    <row r="978" spans="1:11" ht="15">
      <c r="A978" s="13">
        <v>71621</v>
      </c>
      <c r="B978" s="60">
        <f>17.5482 * CHOOSE(CONTROL!$C$22, $C$13, 100%, $E$13)</f>
        <v>17.548200000000001</v>
      </c>
      <c r="C978" s="60">
        <f>17.5482 * CHOOSE(CONTROL!$C$22, $C$13, 100%, $E$13)</f>
        <v>17.548200000000001</v>
      </c>
      <c r="D978" s="60">
        <f>17.5646 * CHOOSE(CONTROL!$C$22, $C$13, 100%, $E$13)</f>
        <v>17.564599999999999</v>
      </c>
      <c r="E978" s="61">
        <f>20.4549 * CHOOSE(CONTROL!$C$22, $C$13, 100%, $E$13)</f>
        <v>20.454899999999999</v>
      </c>
      <c r="F978" s="61">
        <f>20.4549 * CHOOSE(CONTROL!$C$22, $C$13, 100%, $E$13)</f>
        <v>20.454899999999999</v>
      </c>
      <c r="G978" s="61">
        <f>20.455 * CHOOSE(CONTROL!$C$22, $C$13, 100%, $E$13)</f>
        <v>20.454999999999998</v>
      </c>
      <c r="H978" s="61">
        <f>33.3076* CHOOSE(CONTROL!$C$22, $C$13, 100%, $E$13)</f>
        <v>33.307600000000001</v>
      </c>
      <c r="I978" s="61">
        <f>33.3078 * CHOOSE(CONTROL!$C$22, $C$13, 100%, $E$13)</f>
        <v>33.3078</v>
      </c>
      <c r="J978" s="61">
        <f>20.4549 * CHOOSE(CONTROL!$C$22, $C$13, 100%, $E$13)</f>
        <v>20.454899999999999</v>
      </c>
      <c r="K978" s="61">
        <f>20.455 * CHOOSE(CONTROL!$C$22, $C$13, 100%, $E$13)</f>
        <v>20.454999999999998</v>
      </c>
    </row>
    <row r="979" spans="1:11" ht="15">
      <c r="A979" s="13">
        <v>71650</v>
      </c>
      <c r="B979" s="60">
        <f>17.5452 * CHOOSE(CONTROL!$C$22, $C$13, 100%, $E$13)</f>
        <v>17.545200000000001</v>
      </c>
      <c r="C979" s="60">
        <f>17.5452 * CHOOSE(CONTROL!$C$22, $C$13, 100%, $E$13)</f>
        <v>17.545200000000001</v>
      </c>
      <c r="D979" s="60">
        <f>17.5615 * CHOOSE(CONTROL!$C$22, $C$13, 100%, $E$13)</f>
        <v>17.561499999999999</v>
      </c>
      <c r="E979" s="61">
        <f>20.6312 * CHOOSE(CONTROL!$C$22, $C$13, 100%, $E$13)</f>
        <v>20.6312</v>
      </c>
      <c r="F979" s="61">
        <f>20.6312 * CHOOSE(CONTROL!$C$22, $C$13, 100%, $E$13)</f>
        <v>20.6312</v>
      </c>
      <c r="G979" s="61">
        <f>20.6314 * CHOOSE(CONTROL!$C$22, $C$13, 100%, $E$13)</f>
        <v>20.631399999999999</v>
      </c>
      <c r="H979" s="61">
        <f>33.377* CHOOSE(CONTROL!$C$22, $C$13, 100%, $E$13)</f>
        <v>33.377000000000002</v>
      </c>
      <c r="I979" s="61">
        <f>33.3772 * CHOOSE(CONTROL!$C$22, $C$13, 100%, $E$13)</f>
        <v>33.377200000000002</v>
      </c>
      <c r="J979" s="61">
        <f>20.6312 * CHOOSE(CONTROL!$C$22, $C$13, 100%, $E$13)</f>
        <v>20.6312</v>
      </c>
      <c r="K979" s="61">
        <f>20.6314 * CHOOSE(CONTROL!$C$22, $C$13, 100%, $E$13)</f>
        <v>20.631399999999999</v>
      </c>
    </row>
    <row r="980" spans="1:11" ht="15">
      <c r="A980" s="13">
        <v>71681</v>
      </c>
      <c r="B980" s="60">
        <f>17.5544 * CHOOSE(CONTROL!$C$22, $C$13, 100%, $E$13)</f>
        <v>17.554400000000001</v>
      </c>
      <c r="C980" s="60">
        <f>17.5544 * CHOOSE(CONTROL!$C$22, $C$13, 100%, $E$13)</f>
        <v>17.554400000000001</v>
      </c>
      <c r="D980" s="60">
        <f>17.5707 * CHOOSE(CONTROL!$C$22, $C$13, 100%, $E$13)</f>
        <v>17.570699999999999</v>
      </c>
      <c r="E980" s="61">
        <f>20.8187 * CHOOSE(CONTROL!$C$22, $C$13, 100%, $E$13)</f>
        <v>20.8187</v>
      </c>
      <c r="F980" s="61">
        <f>20.8187 * CHOOSE(CONTROL!$C$22, $C$13, 100%, $E$13)</f>
        <v>20.8187</v>
      </c>
      <c r="G980" s="61">
        <f>20.8189 * CHOOSE(CONTROL!$C$22, $C$13, 100%, $E$13)</f>
        <v>20.818899999999999</v>
      </c>
      <c r="H980" s="61">
        <f>33.4466* CHOOSE(CONTROL!$C$22, $C$13, 100%, $E$13)</f>
        <v>33.446599999999997</v>
      </c>
      <c r="I980" s="61">
        <f>33.4467 * CHOOSE(CONTROL!$C$22, $C$13, 100%, $E$13)</f>
        <v>33.4467</v>
      </c>
      <c r="J980" s="61">
        <f>20.8187 * CHOOSE(CONTROL!$C$22, $C$13, 100%, $E$13)</f>
        <v>20.8187</v>
      </c>
      <c r="K980" s="61">
        <f>20.8189 * CHOOSE(CONTROL!$C$22, $C$13, 100%, $E$13)</f>
        <v>20.818899999999999</v>
      </c>
    </row>
    <row r="981" spans="1:11" ht="15">
      <c r="A981" s="13">
        <v>71711</v>
      </c>
      <c r="B981" s="60">
        <f>17.5544 * CHOOSE(CONTROL!$C$22, $C$13, 100%, $E$13)</f>
        <v>17.554400000000001</v>
      </c>
      <c r="C981" s="60">
        <f>17.5544 * CHOOSE(CONTROL!$C$22, $C$13, 100%, $E$13)</f>
        <v>17.554400000000001</v>
      </c>
      <c r="D981" s="60">
        <f>17.587 * CHOOSE(CONTROL!$C$22, $C$13, 100%, $E$13)</f>
        <v>17.587</v>
      </c>
      <c r="E981" s="61">
        <f>20.8906 * CHOOSE(CONTROL!$C$22, $C$13, 100%, $E$13)</f>
        <v>20.890599999999999</v>
      </c>
      <c r="F981" s="61">
        <f>20.8906 * CHOOSE(CONTROL!$C$22, $C$13, 100%, $E$13)</f>
        <v>20.890599999999999</v>
      </c>
      <c r="G981" s="61">
        <f>20.8926 * CHOOSE(CONTROL!$C$22, $C$13, 100%, $E$13)</f>
        <v>20.892600000000002</v>
      </c>
      <c r="H981" s="61">
        <f>33.5162* CHOOSE(CONTROL!$C$22, $C$13, 100%, $E$13)</f>
        <v>33.516199999999998</v>
      </c>
      <c r="I981" s="61">
        <f>33.5183 * CHOOSE(CONTROL!$C$22, $C$13, 100%, $E$13)</f>
        <v>33.518300000000004</v>
      </c>
      <c r="J981" s="61">
        <f>20.8906 * CHOOSE(CONTROL!$C$22, $C$13, 100%, $E$13)</f>
        <v>20.890599999999999</v>
      </c>
      <c r="K981" s="61">
        <f>20.8926 * CHOOSE(CONTROL!$C$22, $C$13, 100%, $E$13)</f>
        <v>20.892600000000002</v>
      </c>
    </row>
    <row r="982" spans="1:11" ht="15">
      <c r="A982" s="13">
        <v>71742</v>
      </c>
      <c r="B982" s="60">
        <f>17.5604 * CHOOSE(CONTROL!$C$22, $C$13, 100%, $E$13)</f>
        <v>17.560400000000001</v>
      </c>
      <c r="C982" s="60">
        <f>17.5604 * CHOOSE(CONTROL!$C$22, $C$13, 100%, $E$13)</f>
        <v>17.560400000000001</v>
      </c>
      <c r="D982" s="60">
        <f>17.5931 * CHOOSE(CONTROL!$C$22, $C$13, 100%, $E$13)</f>
        <v>17.5931</v>
      </c>
      <c r="E982" s="61">
        <f>20.823 * CHOOSE(CONTROL!$C$22, $C$13, 100%, $E$13)</f>
        <v>20.823</v>
      </c>
      <c r="F982" s="61">
        <f>20.823 * CHOOSE(CONTROL!$C$22, $C$13, 100%, $E$13)</f>
        <v>20.823</v>
      </c>
      <c r="G982" s="61">
        <f>20.825 * CHOOSE(CONTROL!$C$22, $C$13, 100%, $E$13)</f>
        <v>20.824999999999999</v>
      </c>
      <c r="H982" s="61">
        <f>33.5861* CHOOSE(CONTROL!$C$22, $C$13, 100%, $E$13)</f>
        <v>33.586100000000002</v>
      </c>
      <c r="I982" s="61">
        <f>33.5881 * CHOOSE(CONTROL!$C$22, $C$13, 100%, $E$13)</f>
        <v>33.588099999999997</v>
      </c>
      <c r="J982" s="61">
        <f>20.823 * CHOOSE(CONTROL!$C$22, $C$13, 100%, $E$13)</f>
        <v>20.823</v>
      </c>
      <c r="K982" s="61">
        <f>20.825 * CHOOSE(CONTROL!$C$22, $C$13, 100%, $E$13)</f>
        <v>20.824999999999999</v>
      </c>
    </row>
    <row r="983" spans="1:11" ht="15">
      <c r="A983" s="13">
        <v>71772</v>
      </c>
      <c r="B983" s="60">
        <f>17.8338 * CHOOSE(CONTROL!$C$22, $C$13, 100%, $E$13)</f>
        <v>17.8338</v>
      </c>
      <c r="C983" s="60">
        <f>17.8338 * CHOOSE(CONTROL!$C$22, $C$13, 100%, $E$13)</f>
        <v>17.8338</v>
      </c>
      <c r="D983" s="60">
        <f>17.8665 * CHOOSE(CONTROL!$C$22, $C$13, 100%, $E$13)</f>
        <v>17.866499999999998</v>
      </c>
      <c r="E983" s="61">
        <f>21.2172 * CHOOSE(CONTROL!$C$22, $C$13, 100%, $E$13)</f>
        <v>21.217199999999998</v>
      </c>
      <c r="F983" s="61">
        <f>21.2172 * CHOOSE(CONTROL!$C$22, $C$13, 100%, $E$13)</f>
        <v>21.217199999999998</v>
      </c>
      <c r="G983" s="61">
        <f>21.2192 * CHOOSE(CONTROL!$C$22, $C$13, 100%, $E$13)</f>
        <v>21.219200000000001</v>
      </c>
      <c r="H983" s="61">
        <f>33.656* CHOOSE(CONTROL!$C$22, $C$13, 100%, $E$13)</f>
        <v>33.655999999999999</v>
      </c>
      <c r="I983" s="61">
        <f>33.6581 * CHOOSE(CONTROL!$C$22, $C$13, 100%, $E$13)</f>
        <v>33.658099999999997</v>
      </c>
      <c r="J983" s="61">
        <f>21.2172 * CHOOSE(CONTROL!$C$22, $C$13, 100%, $E$13)</f>
        <v>21.217199999999998</v>
      </c>
      <c r="K983" s="61">
        <f>21.2192 * CHOOSE(CONTROL!$C$22, $C$13, 100%, $E$13)</f>
        <v>21.219200000000001</v>
      </c>
    </row>
    <row r="984" spans="1:11" ht="15">
      <c r="A984" s="13">
        <v>71803</v>
      </c>
      <c r="B984" s="60">
        <f>17.8405 * CHOOSE(CONTROL!$C$22, $C$13, 100%, $E$13)</f>
        <v>17.840499999999999</v>
      </c>
      <c r="C984" s="60">
        <f>17.8405 * CHOOSE(CONTROL!$C$22, $C$13, 100%, $E$13)</f>
        <v>17.840499999999999</v>
      </c>
      <c r="D984" s="60">
        <f>17.8732 * CHOOSE(CONTROL!$C$22, $C$13, 100%, $E$13)</f>
        <v>17.873200000000001</v>
      </c>
      <c r="E984" s="61">
        <f>21.0062 * CHOOSE(CONTROL!$C$22, $C$13, 100%, $E$13)</f>
        <v>21.0062</v>
      </c>
      <c r="F984" s="61">
        <f>21.0062 * CHOOSE(CONTROL!$C$22, $C$13, 100%, $E$13)</f>
        <v>21.0062</v>
      </c>
      <c r="G984" s="61">
        <f>21.0082 * CHOOSE(CONTROL!$C$22, $C$13, 100%, $E$13)</f>
        <v>21.008199999999999</v>
      </c>
      <c r="H984" s="61">
        <f>33.7262* CHOOSE(CONTROL!$C$22, $C$13, 100%, $E$13)</f>
        <v>33.726199999999999</v>
      </c>
      <c r="I984" s="61">
        <f>33.7282 * CHOOSE(CONTROL!$C$22, $C$13, 100%, $E$13)</f>
        <v>33.728200000000001</v>
      </c>
      <c r="J984" s="61">
        <f>21.0062 * CHOOSE(CONTROL!$C$22, $C$13, 100%, $E$13)</f>
        <v>21.0062</v>
      </c>
      <c r="K984" s="61">
        <f>21.0082 * CHOOSE(CONTROL!$C$22, $C$13, 100%, $E$13)</f>
        <v>21.008199999999999</v>
      </c>
    </row>
    <row r="985" spans="1:11" ht="15">
      <c r="A985" s="13">
        <v>71834</v>
      </c>
      <c r="B985" s="60">
        <f>17.8375 * CHOOSE(CONTROL!$C$22, $C$13, 100%, $E$13)</f>
        <v>17.837499999999999</v>
      </c>
      <c r="C985" s="60">
        <f>17.8375 * CHOOSE(CONTROL!$C$22, $C$13, 100%, $E$13)</f>
        <v>17.837499999999999</v>
      </c>
      <c r="D985" s="60">
        <f>17.8701 * CHOOSE(CONTROL!$C$22, $C$13, 100%, $E$13)</f>
        <v>17.870100000000001</v>
      </c>
      <c r="E985" s="61">
        <f>20.9801 * CHOOSE(CONTROL!$C$22, $C$13, 100%, $E$13)</f>
        <v>20.9801</v>
      </c>
      <c r="F985" s="61">
        <f>20.9801 * CHOOSE(CONTROL!$C$22, $C$13, 100%, $E$13)</f>
        <v>20.9801</v>
      </c>
      <c r="G985" s="61">
        <f>20.9821 * CHOOSE(CONTROL!$C$22, $C$13, 100%, $E$13)</f>
        <v>20.982099999999999</v>
      </c>
      <c r="H985" s="61">
        <f>33.7964* CHOOSE(CONTROL!$C$22, $C$13, 100%, $E$13)</f>
        <v>33.796399999999998</v>
      </c>
      <c r="I985" s="61">
        <f>33.7985 * CHOOSE(CONTROL!$C$22, $C$13, 100%, $E$13)</f>
        <v>33.798499999999997</v>
      </c>
      <c r="J985" s="61">
        <f>20.9801 * CHOOSE(CONTROL!$C$22, $C$13, 100%, $E$13)</f>
        <v>20.9801</v>
      </c>
      <c r="K985" s="61">
        <f>20.9821 * CHOOSE(CONTROL!$C$22, $C$13, 100%, $E$13)</f>
        <v>20.982099999999999</v>
      </c>
    </row>
    <row r="986" spans="1:11" ht="15">
      <c r="A986" s="13">
        <v>71864</v>
      </c>
      <c r="B986" s="60">
        <f>17.8777 * CHOOSE(CONTROL!$C$22, $C$13, 100%, $E$13)</f>
        <v>17.877700000000001</v>
      </c>
      <c r="C986" s="60">
        <f>17.8777 * CHOOSE(CONTROL!$C$22, $C$13, 100%, $E$13)</f>
        <v>17.877700000000001</v>
      </c>
      <c r="D986" s="60">
        <f>17.8941 * CHOOSE(CONTROL!$C$22, $C$13, 100%, $E$13)</f>
        <v>17.894100000000002</v>
      </c>
      <c r="E986" s="61">
        <f>21.0625 * CHOOSE(CONTROL!$C$22, $C$13, 100%, $E$13)</f>
        <v>21.0625</v>
      </c>
      <c r="F986" s="61">
        <f>21.0625 * CHOOSE(CONTROL!$C$22, $C$13, 100%, $E$13)</f>
        <v>21.0625</v>
      </c>
      <c r="G986" s="61">
        <f>21.0627 * CHOOSE(CONTROL!$C$22, $C$13, 100%, $E$13)</f>
        <v>21.0627</v>
      </c>
      <c r="H986" s="61">
        <f>33.8668* CHOOSE(CONTROL!$C$22, $C$13, 100%, $E$13)</f>
        <v>33.866799999999998</v>
      </c>
      <c r="I986" s="61">
        <f>33.867 * CHOOSE(CONTROL!$C$22, $C$13, 100%, $E$13)</f>
        <v>33.866999999999997</v>
      </c>
      <c r="J986" s="61">
        <f>21.0625 * CHOOSE(CONTROL!$C$22, $C$13, 100%, $E$13)</f>
        <v>21.0625</v>
      </c>
      <c r="K986" s="61">
        <f>21.0627 * CHOOSE(CONTROL!$C$22, $C$13, 100%, $E$13)</f>
        <v>21.0627</v>
      </c>
    </row>
    <row r="987" spans="1:11" ht="15">
      <c r="A987" s="13">
        <v>71895</v>
      </c>
      <c r="B987" s="60">
        <f>17.8808 * CHOOSE(CONTROL!$C$22, $C$13, 100%, $E$13)</f>
        <v>17.880800000000001</v>
      </c>
      <c r="C987" s="60">
        <f>17.8808 * CHOOSE(CONTROL!$C$22, $C$13, 100%, $E$13)</f>
        <v>17.880800000000001</v>
      </c>
      <c r="D987" s="60">
        <f>17.8971 * CHOOSE(CONTROL!$C$22, $C$13, 100%, $E$13)</f>
        <v>17.897099999999998</v>
      </c>
      <c r="E987" s="61">
        <f>21.1126 * CHOOSE(CONTROL!$C$22, $C$13, 100%, $E$13)</f>
        <v>21.1126</v>
      </c>
      <c r="F987" s="61">
        <f>21.1126 * CHOOSE(CONTROL!$C$22, $C$13, 100%, $E$13)</f>
        <v>21.1126</v>
      </c>
      <c r="G987" s="61">
        <f>21.1128 * CHOOSE(CONTROL!$C$22, $C$13, 100%, $E$13)</f>
        <v>21.1128</v>
      </c>
      <c r="H987" s="61">
        <f>33.9374* CHOOSE(CONTROL!$C$22, $C$13, 100%, $E$13)</f>
        <v>33.937399999999997</v>
      </c>
      <c r="I987" s="61">
        <f>33.9376 * CHOOSE(CONTROL!$C$22, $C$13, 100%, $E$13)</f>
        <v>33.937600000000003</v>
      </c>
      <c r="J987" s="61">
        <f>21.1126 * CHOOSE(CONTROL!$C$22, $C$13, 100%, $E$13)</f>
        <v>21.1126</v>
      </c>
      <c r="K987" s="61">
        <f>21.1128 * CHOOSE(CONTROL!$C$22, $C$13, 100%, $E$13)</f>
        <v>21.1128</v>
      </c>
    </row>
    <row r="988" spans="1:11" ht="15">
      <c r="A988" s="13">
        <v>71925</v>
      </c>
      <c r="B988" s="60">
        <f>17.8808 * CHOOSE(CONTROL!$C$22, $C$13, 100%, $E$13)</f>
        <v>17.880800000000001</v>
      </c>
      <c r="C988" s="60">
        <f>17.8808 * CHOOSE(CONTROL!$C$22, $C$13, 100%, $E$13)</f>
        <v>17.880800000000001</v>
      </c>
      <c r="D988" s="60">
        <f>17.8971 * CHOOSE(CONTROL!$C$22, $C$13, 100%, $E$13)</f>
        <v>17.897099999999998</v>
      </c>
      <c r="E988" s="61">
        <f>20.9928 * CHOOSE(CONTROL!$C$22, $C$13, 100%, $E$13)</f>
        <v>20.992799999999999</v>
      </c>
      <c r="F988" s="61">
        <f>20.9928 * CHOOSE(CONTROL!$C$22, $C$13, 100%, $E$13)</f>
        <v>20.992799999999999</v>
      </c>
      <c r="G988" s="61">
        <f>20.9929 * CHOOSE(CONTROL!$C$22, $C$13, 100%, $E$13)</f>
        <v>20.992899999999999</v>
      </c>
      <c r="H988" s="61">
        <f>34.0081* CHOOSE(CONTROL!$C$22, $C$13, 100%, $E$13)</f>
        <v>34.008099999999999</v>
      </c>
      <c r="I988" s="61">
        <f>34.0083 * CHOOSE(CONTROL!$C$22, $C$13, 100%, $E$13)</f>
        <v>34.008299999999998</v>
      </c>
      <c r="J988" s="61">
        <f>20.9928 * CHOOSE(CONTROL!$C$22, $C$13, 100%, $E$13)</f>
        <v>20.992799999999999</v>
      </c>
      <c r="K988" s="61">
        <f>20.9929 * CHOOSE(CONTROL!$C$22, $C$13, 100%, $E$13)</f>
        <v>20.992899999999999</v>
      </c>
    </row>
    <row r="989" spans="1:11" ht="15">
      <c r="A989" s="13">
        <v>71956</v>
      </c>
      <c r="B989" s="60">
        <f>17.7966 * CHOOSE(CONTROL!$C$22, $C$13, 100%, $E$13)</f>
        <v>17.796600000000002</v>
      </c>
      <c r="C989" s="60">
        <f>17.7966 * CHOOSE(CONTROL!$C$22, $C$13, 100%, $E$13)</f>
        <v>17.796600000000002</v>
      </c>
      <c r="D989" s="60">
        <f>17.8129 * CHOOSE(CONTROL!$C$22, $C$13, 100%, $E$13)</f>
        <v>17.812899999999999</v>
      </c>
      <c r="E989" s="61">
        <f>20.9758 * CHOOSE(CONTROL!$C$22, $C$13, 100%, $E$13)</f>
        <v>20.9758</v>
      </c>
      <c r="F989" s="61">
        <f>20.9758 * CHOOSE(CONTROL!$C$22, $C$13, 100%, $E$13)</f>
        <v>20.9758</v>
      </c>
      <c r="G989" s="61">
        <f>20.976 * CHOOSE(CONTROL!$C$22, $C$13, 100%, $E$13)</f>
        <v>20.975999999999999</v>
      </c>
      <c r="H989" s="61">
        <f>33.6843* CHOOSE(CONTROL!$C$22, $C$13, 100%, $E$13)</f>
        <v>33.6843</v>
      </c>
      <c r="I989" s="61">
        <f>33.6845 * CHOOSE(CONTROL!$C$22, $C$13, 100%, $E$13)</f>
        <v>33.6845</v>
      </c>
      <c r="J989" s="61">
        <f>20.9758 * CHOOSE(CONTROL!$C$22, $C$13, 100%, $E$13)</f>
        <v>20.9758</v>
      </c>
      <c r="K989" s="61">
        <f>20.976 * CHOOSE(CONTROL!$C$22, $C$13, 100%, $E$13)</f>
        <v>20.975999999999999</v>
      </c>
    </row>
    <row r="990" spans="1:11" ht="15">
      <c r="A990" s="13">
        <v>71987</v>
      </c>
      <c r="B990" s="60">
        <f>17.7936 * CHOOSE(CONTROL!$C$22, $C$13, 100%, $E$13)</f>
        <v>17.793600000000001</v>
      </c>
      <c r="C990" s="60">
        <f>17.7936 * CHOOSE(CONTROL!$C$22, $C$13, 100%, $E$13)</f>
        <v>17.793600000000001</v>
      </c>
      <c r="D990" s="60">
        <f>17.8099 * CHOOSE(CONTROL!$C$22, $C$13, 100%, $E$13)</f>
        <v>17.809899999999999</v>
      </c>
      <c r="E990" s="61">
        <f>20.7441 * CHOOSE(CONTROL!$C$22, $C$13, 100%, $E$13)</f>
        <v>20.7441</v>
      </c>
      <c r="F990" s="61">
        <f>20.7441 * CHOOSE(CONTROL!$C$22, $C$13, 100%, $E$13)</f>
        <v>20.7441</v>
      </c>
      <c r="G990" s="61">
        <f>20.7442 * CHOOSE(CONTROL!$C$22, $C$13, 100%, $E$13)</f>
        <v>20.744199999999999</v>
      </c>
      <c r="H990" s="61">
        <f>33.7545* CHOOSE(CONTROL!$C$22, $C$13, 100%, $E$13)</f>
        <v>33.7545</v>
      </c>
      <c r="I990" s="61">
        <f>33.7546 * CHOOSE(CONTROL!$C$22, $C$13, 100%, $E$13)</f>
        <v>33.754600000000003</v>
      </c>
      <c r="J990" s="61">
        <f>20.7441 * CHOOSE(CONTROL!$C$22, $C$13, 100%, $E$13)</f>
        <v>20.7441</v>
      </c>
      <c r="K990" s="61">
        <f>20.7442 * CHOOSE(CONTROL!$C$22, $C$13, 100%, $E$13)</f>
        <v>20.744199999999999</v>
      </c>
    </row>
    <row r="991" spans="1:11" ht="15">
      <c r="A991" s="13">
        <v>72015</v>
      </c>
      <c r="B991" s="60">
        <f>17.7905 * CHOOSE(CONTROL!$C$22, $C$13, 100%, $E$13)</f>
        <v>17.790500000000002</v>
      </c>
      <c r="C991" s="60">
        <f>17.7905 * CHOOSE(CONTROL!$C$22, $C$13, 100%, $E$13)</f>
        <v>17.790500000000002</v>
      </c>
      <c r="D991" s="60">
        <f>17.8069 * CHOOSE(CONTROL!$C$22, $C$13, 100%, $E$13)</f>
        <v>17.806899999999999</v>
      </c>
      <c r="E991" s="61">
        <f>20.923 * CHOOSE(CONTROL!$C$22, $C$13, 100%, $E$13)</f>
        <v>20.922999999999998</v>
      </c>
      <c r="F991" s="61">
        <f>20.923 * CHOOSE(CONTROL!$C$22, $C$13, 100%, $E$13)</f>
        <v>20.922999999999998</v>
      </c>
      <c r="G991" s="61">
        <f>20.9232 * CHOOSE(CONTROL!$C$22, $C$13, 100%, $E$13)</f>
        <v>20.923200000000001</v>
      </c>
      <c r="H991" s="61">
        <f>33.8248* CHOOSE(CONTROL!$C$22, $C$13, 100%, $E$13)</f>
        <v>33.824800000000003</v>
      </c>
      <c r="I991" s="61">
        <f>33.825 * CHOOSE(CONTROL!$C$22, $C$13, 100%, $E$13)</f>
        <v>33.825000000000003</v>
      </c>
      <c r="J991" s="61">
        <f>20.923 * CHOOSE(CONTROL!$C$22, $C$13, 100%, $E$13)</f>
        <v>20.922999999999998</v>
      </c>
      <c r="K991" s="61">
        <f>20.9232 * CHOOSE(CONTROL!$C$22, $C$13, 100%, $E$13)</f>
        <v>20.923200000000001</v>
      </c>
    </row>
    <row r="992" spans="1:11" ht="15">
      <c r="A992" s="13">
        <v>72046</v>
      </c>
      <c r="B992" s="60">
        <f>17.7999 * CHOOSE(CONTROL!$C$22, $C$13, 100%, $E$13)</f>
        <v>17.799900000000001</v>
      </c>
      <c r="C992" s="60">
        <f>17.7999 * CHOOSE(CONTROL!$C$22, $C$13, 100%, $E$13)</f>
        <v>17.799900000000001</v>
      </c>
      <c r="D992" s="60">
        <f>17.8162 * CHOOSE(CONTROL!$C$22, $C$13, 100%, $E$13)</f>
        <v>17.816199999999998</v>
      </c>
      <c r="E992" s="61">
        <f>21.1132 * CHOOSE(CONTROL!$C$22, $C$13, 100%, $E$13)</f>
        <v>21.113199999999999</v>
      </c>
      <c r="F992" s="61">
        <f>21.1132 * CHOOSE(CONTROL!$C$22, $C$13, 100%, $E$13)</f>
        <v>21.113199999999999</v>
      </c>
      <c r="G992" s="61">
        <f>21.1133 * CHOOSE(CONTROL!$C$22, $C$13, 100%, $E$13)</f>
        <v>21.113299999999999</v>
      </c>
      <c r="H992" s="61">
        <f>33.8952* CHOOSE(CONTROL!$C$22, $C$13, 100%, $E$13)</f>
        <v>33.895200000000003</v>
      </c>
      <c r="I992" s="61">
        <f>33.8954 * CHOOSE(CONTROL!$C$22, $C$13, 100%, $E$13)</f>
        <v>33.895400000000002</v>
      </c>
      <c r="J992" s="61">
        <f>21.1132 * CHOOSE(CONTROL!$C$22, $C$13, 100%, $E$13)</f>
        <v>21.113199999999999</v>
      </c>
      <c r="K992" s="61">
        <f>21.1133 * CHOOSE(CONTROL!$C$22, $C$13, 100%, $E$13)</f>
        <v>21.113299999999999</v>
      </c>
    </row>
    <row r="993" spans="1:11" ht="15">
      <c r="A993" s="13">
        <v>72076</v>
      </c>
      <c r="B993" s="60">
        <f>17.7999 * CHOOSE(CONTROL!$C$22, $C$13, 100%, $E$13)</f>
        <v>17.799900000000001</v>
      </c>
      <c r="C993" s="60">
        <f>17.7999 * CHOOSE(CONTROL!$C$22, $C$13, 100%, $E$13)</f>
        <v>17.799900000000001</v>
      </c>
      <c r="D993" s="60">
        <f>17.8326 * CHOOSE(CONTROL!$C$22, $C$13, 100%, $E$13)</f>
        <v>17.832599999999999</v>
      </c>
      <c r="E993" s="61">
        <f>21.1861 * CHOOSE(CONTROL!$C$22, $C$13, 100%, $E$13)</f>
        <v>21.1861</v>
      </c>
      <c r="F993" s="61">
        <f>21.1861 * CHOOSE(CONTROL!$C$22, $C$13, 100%, $E$13)</f>
        <v>21.1861</v>
      </c>
      <c r="G993" s="61">
        <f>21.1881 * CHOOSE(CONTROL!$C$22, $C$13, 100%, $E$13)</f>
        <v>21.188099999999999</v>
      </c>
      <c r="H993" s="61">
        <f>33.9659* CHOOSE(CONTROL!$C$22, $C$13, 100%, $E$13)</f>
        <v>33.965899999999998</v>
      </c>
      <c r="I993" s="61">
        <f>33.9679 * CHOOSE(CONTROL!$C$22, $C$13, 100%, $E$13)</f>
        <v>33.9679</v>
      </c>
      <c r="J993" s="61">
        <f>21.1861 * CHOOSE(CONTROL!$C$22, $C$13, 100%, $E$13)</f>
        <v>21.1861</v>
      </c>
      <c r="K993" s="61">
        <f>21.1881 * CHOOSE(CONTROL!$C$22, $C$13, 100%, $E$13)</f>
        <v>21.188099999999999</v>
      </c>
    </row>
    <row r="994" spans="1:11" ht="15">
      <c r="A994" s="13">
        <v>72107</v>
      </c>
      <c r="B994" s="60">
        <f>17.806 * CHOOSE(CONTROL!$C$22, $C$13, 100%, $E$13)</f>
        <v>17.806000000000001</v>
      </c>
      <c r="C994" s="60">
        <f>17.806 * CHOOSE(CONTROL!$C$22, $C$13, 100%, $E$13)</f>
        <v>17.806000000000001</v>
      </c>
      <c r="D994" s="60">
        <f>17.8386 * CHOOSE(CONTROL!$C$22, $C$13, 100%, $E$13)</f>
        <v>17.8386</v>
      </c>
      <c r="E994" s="61">
        <f>21.1174 * CHOOSE(CONTROL!$C$22, $C$13, 100%, $E$13)</f>
        <v>21.1174</v>
      </c>
      <c r="F994" s="61">
        <f>21.1174 * CHOOSE(CONTROL!$C$22, $C$13, 100%, $E$13)</f>
        <v>21.1174</v>
      </c>
      <c r="G994" s="61">
        <f>21.1194 * CHOOSE(CONTROL!$C$22, $C$13, 100%, $E$13)</f>
        <v>21.119399999999999</v>
      </c>
      <c r="H994" s="61">
        <f>34.0366* CHOOSE(CONTROL!$C$22, $C$13, 100%, $E$13)</f>
        <v>34.0366</v>
      </c>
      <c r="I994" s="61">
        <f>34.0387 * CHOOSE(CONTROL!$C$22, $C$13, 100%, $E$13)</f>
        <v>34.038699999999999</v>
      </c>
      <c r="J994" s="61">
        <f>21.1174 * CHOOSE(CONTROL!$C$22, $C$13, 100%, $E$13)</f>
        <v>21.1174</v>
      </c>
      <c r="K994" s="61">
        <f>21.1194 * CHOOSE(CONTROL!$C$22, $C$13, 100%, $E$13)</f>
        <v>21.119399999999999</v>
      </c>
    </row>
    <row r="995" spans="1:11" ht="15">
      <c r="A995" s="13">
        <v>72137</v>
      </c>
      <c r="B995" s="60">
        <f>18.083 * CHOOSE(CONTROL!$C$22, $C$13, 100%, $E$13)</f>
        <v>18.082999999999998</v>
      </c>
      <c r="C995" s="60">
        <f>18.083 * CHOOSE(CONTROL!$C$22, $C$13, 100%, $E$13)</f>
        <v>18.082999999999998</v>
      </c>
      <c r="D995" s="60">
        <f>18.1157 * CHOOSE(CONTROL!$C$22, $C$13, 100%, $E$13)</f>
        <v>18.1157</v>
      </c>
      <c r="E995" s="61">
        <f>21.5171 * CHOOSE(CONTROL!$C$22, $C$13, 100%, $E$13)</f>
        <v>21.517099999999999</v>
      </c>
      <c r="F995" s="61">
        <f>21.5171 * CHOOSE(CONTROL!$C$22, $C$13, 100%, $E$13)</f>
        <v>21.517099999999999</v>
      </c>
      <c r="G995" s="61">
        <f>21.5191 * CHOOSE(CONTROL!$C$22, $C$13, 100%, $E$13)</f>
        <v>21.519100000000002</v>
      </c>
      <c r="H995" s="61">
        <f>34.1075* CHOOSE(CONTROL!$C$22, $C$13, 100%, $E$13)</f>
        <v>34.107500000000002</v>
      </c>
      <c r="I995" s="61">
        <f>34.1096 * CHOOSE(CONTROL!$C$22, $C$13, 100%, $E$13)</f>
        <v>34.1096</v>
      </c>
      <c r="J995" s="61">
        <f>21.5171 * CHOOSE(CONTROL!$C$22, $C$13, 100%, $E$13)</f>
        <v>21.517099999999999</v>
      </c>
      <c r="K995" s="61">
        <f>21.5191 * CHOOSE(CONTROL!$C$22, $C$13, 100%, $E$13)</f>
        <v>21.519100000000002</v>
      </c>
    </row>
    <row r="996" spans="1:11" ht="15">
      <c r="A996" s="13">
        <v>72168</v>
      </c>
      <c r="B996" s="60">
        <f>18.0897 * CHOOSE(CONTROL!$C$22, $C$13, 100%, $E$13)</f>
        <v>18.089700000000001</v>
      </c>
      <c r="C996" s="60">
        <f>18.0897 * CHOOSE(CONTROL!$C$22, $C$13, 100%, $E$13)</f>
        <v>18.089700000000001</v>
      </c>
      <c r="D996" s="60">
        <f>18.1224 * CHOOSE(CONTROL!$C$22, $C$13, 100%, $E$13)</f>
        <v>18.122399999999999</v>
      </c>
      <c r="E996" s="61">
        <f>21.303 * CHOOSE(CONTROL!$C$22, $C$13, 100%, $E$13)</f>
        <v>21.303000000000001</v>
      </c>
      <c r="F996" s="61">
        <f>21.303 * CHOOSE(CONTROL!$C$22, $C$13, 100%, $E$13)</f>
        <v>21.303000000000001</v>
      </c>
      <c r="G996" s="61">
        <f>21.305 * CHOOSE(CONTROL!$C$22, $C$13, 100%, $E$13)</f>
        <v>21.305</v>
      </c>
      <c r="H996" s="61">
        <f>34.1786* CHOOSE(CONTROL!$C$22, $C$13, 100%, $E$13)</f>
        <v>34.178600000000003</v>
      </c>
      <c r="I996" s="61">
        <f>34.1806 * CHOOSE(CONTROL!$C$22, $C$13, 100%, $E$13)</f>
        <v>34.180599999999998</v>
      </c>
      <c r="J996" s="61">
        <f>21.303 * CHOOSE(CONTROL!$C$22, $C$13, 100%, $E$13)</f>
        <v>21.303000000000001</v>
      </c>
      <c r="K996" s="61">
        <f>21.305 * CHOOSE(CONTROL!$C$22, $C$13, 100%, $E$13)</f>
        <v>21.305</v>
      </c>
    </row>
    <row r="997" spans="1:11" ht="15">
      <c r="A997" s="13">
        <v>72199</v>
      </c>
      <c r="B997" s="60">
        <f>18.0867 * CHOOSE(CONTROL!$C$22, $C$13, 100%, $E$13)</f>
        <v>18.0867</v>
      </c>
      <c r="C997" s="60">
        <f>18.0867 * CHOOSE(CONTROL!$C$22, $C$13, 100%, $E$13)</f>
        <v>18.0867</v>
      </c>
      <c r="D997" s="60">
        <f>18.1194 * CHOOSE(CONTROL!$C$22, $C$13, 100%, $E$13)</f>
        <v>18.119399999999999</v>
      </c>
      <c r="E997" s="61">
        <f>21.2766 * CHOOSE(CONTROL!$C$22, $C$13, 100%, $E$13)</f>
        <v>21.276599999999998</v>
      </c>
      <c r="F997" s="61">
        <f>21.2766 * CHOOSE(CONTROL!$C$22, $C$13, 100%, $E$13)</f>
        <v>21.276599999999998</v>
      </c>
      <c r="G997" s="61">
        <f>21.2786 * CHOOSE(CONTROL!$C$22, $C$13, 100%, $E$13)</f>
        <v>21.278600000000001</v>
      </c>
      <c r="H997" s="61">
        <f>34.2498* CHOOSE(CONTROL!$C$22, $C$13, 100%, $E$13)</f>
        <v>34.2498</v>
      </c>
      <c r="I997" s="61">
        <f>34.2518 * CHOOSE(CONTROL!$C$22, $C$13, 100%, $E$13)</f>
        <v>34.251800000000003</v>
      </c>
      <c r="J997" s="61">
        <f>21.2766 * CHOOSE(CONTROL!$C$22, $C$13, 100%, $E$13)</f>
        <v>21.276599999999998</v>
      </c>
      <c r="K997" s="61">
        <f>21.2786 * CHOOSE(CONTROL!$C$22, $C$13, 100%, $E$13)</f>
        <v>21.278600000000001</v>
      </c>
    </row>
    <row r="998" spans="1:11" ht="15">
      <c r="A998" s="13">
        <v>72229</v>
      </c>
      <c r="B998" s="60">
        <f>18.1277 * CHOOSE(CONTROL!$C$22, $C$13, 100%, $E$13)</f>
        <v>18.127700000000001</v>
      </c>
      <c r="C998" s="60">
        <f>18.1277 * CHOOSE(CONTROL!$C$22, $C$13, 100%, $E$13)</f>
        <v>18.127700000000001</v>
      </c>
      <c r="D998" s="60">
        <f>18.1441 * CHOOSE(CONTROL!$C$22, $C$13, 100%, $E$13)</f>
        <v>18.144100000000002</v>
      </c>
      <c r="E998" s="61">
        <f>21.3604 * CHOOSE(CONTROL!$C$22, $C$13, 100%, $E$13)</f>
        <v>21.360399999999998</v>
      </c>
      <c r="F998" s="61">
        <f>21.3604 * CHOOSE(CONTROL!$C$22, $C$13, 100%, $E$13)</f>
        <v>21.360399999999998</v>
      </c>
      <c r="G998" s="61">
        <f>21.3606 * CHOOSE(CONTROL!$C$22, $C$13, 100%, $E$13)</f>
        <v>21.360600000000002</v>
      </c>
      <c r="H998" s="61">
        <f>34.3211* CHOOSE(CONTROL!$C$22, $C$13, 100%, $E$13)</f>
        <v>34.321100000000001</v>
      </c>
      <c r="I998" s="61">
        <f>34.3213 * CHOOSE(CONTROL!$C$22, $C$13, 100%, $E$13)</f>
        <v>34.321300000000001</v>
      </c>
      <c r="J998" s="61">
        <f>21.3604 * CHOOSE(CONTROL!$C$22, $C$13, 100%, $E$13)</f>
        <v>21.360399999999998</v>
      </c>
      <c r="K998" s="61">
        <f>21.3606 * CHOOSE(CONTROL!$C$22, $C$13, 100%, $E$13)</f>
        <v>21.360600000000002</v>
      </c>
    </row>
    <row r="999" spans="1:11" ht="15">
      <c r="A999" s="13">
        <v>72260</v>
      </c>
      <c r="B999" s="60">
        <f>18.1308 * CHOOSE(CONTROL!$C$22, $C$13, 100%, $E$13)</f>
        <v>18.130800000000001</v>
      </c>
      <c r="C999" s="60">
        <f>18.1308 * CHOOSE(CONTROL!$C$22, $C$13, 100%, $E$13)</f>
        <v>18.130800000000001</v>
      </c>
      <c r="D999" s="60">
        <f>18.1471 * CHOOSE(CONTROL!$C$22, $C$13, 100%, $E$13)</f>
        <v>18.147099999999998</v>
      </c>
      <c r="E999" s="61">
        <f>21.4111 * CHOOSE(CONTROL!$C$22, $C$13, 100%, $E$13)</f>
        <v>21.411100000000001</v>
      </c>
      <c r="F999" s="61">
        <f>21.4111 * CHOOSE(CONTROL!$C$22, $C$13, 100%, $E$13)</f>
        <v>21.411100000000001</v>
      </c>
      <c r="G999" s="61">
        <f>21.4113 * CHOOSE(CONTROL!$C$22, $C$13, 100%, $E$13)</f>
        <v>21.411300000000001</v>
      </c>
      <c r="H999" s="61">
        <f>34.3927* CHOOSE(CONTROL!$C$22, $C$13, 100%, $E$13)</f>
        <v>34.392699999999998</v>
      </c>
      <c r="I999" s="61">
        <f>34.3928 * CHOOSE(CONTROL!$C$22, $C$13, 100%, $E$13)</f>
        <v>34.392800000000001</v>
      </c>
      <c r="J999" s="61">
        <f>21.4111 * CHOOSE(CONTROL!$C$22, $C$13, 100%, $E$13)</f>
        <v>21.411100000000001</v>
      </c>
      <c r="K999" s="61">
        <f>21.4113 * CHOOSE(CONTROL!$C$22, $C$13, 100%, $E$13)</f>
        <v>21.411300000000001</v>
      </c>
    </row>
    <row r="1000" spans="1:11" ht="15">
      <c r="A1000" s="13">
        <v>72290</v>
      </c>
      <c r="B1000" s="60">
        <f>18.1308 * CHOOSE(CONTROL!$C$22, $C$13, 100%, $E$13)</f>
        <v>18.130800000000001</v>
      </c>
      <c r="C1000" s="60">
        <f>18.1308 * CHOOSE(CONTROL!$C$22, $C$13, 100%, $E$13)</f>
        <v>18.130800000000001</v>
      </c>
      <c r="D1000" s="60">
        <f>18.1471 * CHOOSE(CONTROL!$C$22, $C$13, 100%, $E$13)</f>
        <v>18.147099999999998</v>
      </c>
      <c r="E1000" s="61">
        <f>21.2896 * CHOOSE(CONTROL!$C$22, $C$13, 100%, $E$13)</f>
        <v>21.2896</v>
      </c>
      <c r="F1000" s="61">
        <f>21.2896 * CHOOSE(CONTROL!$C$22, $C$13, 100%, $E$13)</f>
        <v>21.2896</v>
      </c>
      <c r="G1000" s="61">
        <f>21.2898 * CHOOSE(CONTROL!$C$22, $C$13, 100%, $E$13)</f>
        <v>21.2898</v>
      </c>
      <c r="H1000" s="61">
        <f>34.4643* CHOOSE(CONTROL!$C$22, $C$13, 100%, $E$13)</f>
        <v>34.464300000000001</v>
      </c>
      <c r="I1000" s="61">
        <f>34.4645 * CHOOSE(CONTROL!$C$22, $C$13, 100%, $E$13)</f>
        <v>34.464500000000001</v>
      </c>
      <c r="J1000" s="61">
        <f>21.2896 * CHOOSE(CONTROL!$C$22, $C$13, 100%, $E$13)</f>
        <v>21.2896</v>
      </c>
      <c r="K1000" s="61">
        <f>21.2898 * CHOOSE(CONTROL!$C$22, $C$13, 100%, $E$13)</f>
        <v>21.2898</v>
      </c>
    </row>
    <row r="1001" spans="1:11" ht="15">
      <c r="A1001" s="13">
        <v>72321</v>
      </c>
      <c r="B1001" s="60">
        <f>18.0419 * CHOOSE(CONTROL!$C$22, $C$13, 100%, $E$13)</f>
        <v>18.041899999999998</v>
      </c>
      <c r="C1001" s="60">
        <f>18.0419 * CHOOSE(CONTROL!$C$22, $C$13, 100%, $E$13)</f>
        <v>18.041899999999998</v>
      </c>
      <c r="D1001" s="60">
        <f>18.0583 * CHOOSE(CONTROL!$C$22, $C$13, 100%, $E$13)</f>
        <v>18.058299999999999</v>
      </c>
      <c r="E1001" s="61">
        <f>21.2682 * CHOOSE(CONTROL!$C$22, $C$13, 100%, $E$13)</f>
        <v>21.2682</v>
      </c>
      <c r="F1001" s="61">
        <f>21.2682 * CHOOSE(CONTROL!$C$22, $C$13, 100%, $E$13)</f>
        <v>21.2682</v>
      </c>
      <c r="G1001" s="61">
        <f>21.2684 * CHOOSE(CONTROL!$C$22, $C$13, 100%, $E$13)</f>
        <v>21.2684</v>
      </c>
      <c r="H1001" s="61">
        <f>34.1302* CHOOSE(CONTROL!$C$22, $C$13, 100%, $E$13)</f>
        <v>34.130200000000002</v>
      </c>
      <c r="I1001" s="61">
        <f>34.1303 * CHOOSE(CONTROL!$C$22, $C$13, 100%, $E$13)</f>
        <v>34.130299999999998</v>
      </c>
      <c r="J1001" s="61">
        <f>21.2682 * CHOOSE(CONTROL!$C$22, $C$13, 100%, $E$13)</f>
        <v>21.2682</v>
      </c>
      <c r="K1001" s="61">
        <f>21.2684 * CHOOSE(CONTROL!$C$22, $C$13, 100%, $E$13)</f>
        <v>21.2684</v>
      </c>
    </row>
    <row r="1002" spans="1:11" ht="15">
      <c r="A1002" s="13">
        <v>72352</v>
      </c>
      <c r="B1002" s="60">
        <f>18.0389 * CHOOSE(CONTROL!$C$22, $C$13, 100%, $E$13)</f>
        <v>18.038900000000002</v>
      </c>
      <c r="C1002" s="60">
        <f>18.0389 * CHOOSE(CONTROL!$C$22, $C$13, 100%, $E$13)</f>
        <v>18.038900000000002</v>
      </c>
      <c r="D1002" s="60">
        <f>18.0552 * CHOOSE(CONTROL!$C$22, $C$13, 100%, $E$13)</f>
        <v>18.055199999999999</v>
      </c>
      <c r="E1002" s="61">
        <f>21.0333 * CHOOSE(CONTROL!$C$22, $C$13, 100%, $E$13)</f>
        <v>21.033300000000001</v>
      </c>
      <c r="F1002" s="61">
        <f>21.0333 * CHOOSE(CONTROL!$C$22, $C$13, 100%, $E$13)</f>
        <v>21.033300000000001</v>
      </c>
      <c r="G1002" s="61">
        <f>21.0334 * CHOOSE(CONTROL!$C$22, $C$13, 100%, $E$13)</f>
        <v>21.0334</v>
      </c>
      <c r="H1002" s="61">
        <f>34.2013* CHOOSE(CONTROL!$C$22, $C$13, 100%, $E$13)</f>
        <v>34.201300000000003</v>
      </c>
      <c r="I1002" s="61">
        <f>34.2015 * CHOOSE(CONTROL!$C$22, $C$13, 100%, $E$13)</f>
        <v>34.201500000000003</v>
      </c>
      <c r="J1002" s="61">
        <f>21.0333 * CHOOSE(CONTROL!$C$22, $C$13, 100%, $E$13)</f>
        <v>21.033300000000001</v>
      </c>
      <c r="K1002" s="61">
        <f>21.0334 * CHOOSE(CONTROL!$C$22, $C$13, 100%, $E$13)</f>
        <v>21.0334</v>
      </c>
    </row>
    <row r="1003" spans="1:11" ht="15">
      <c r="A1003" s="13">
        <v>72380</v>
      </c>
      <c r="B1003" s="60">
        <f>18.0358 * CHOOSE(CONTROL!$C$22, $C$13, 100%, $E$13)</f>
        <v>18.035799999999998</v>
      </c>
      <c r="C1003" s="60">
        <f>18.0358 * CHOOSE(CONTROL!$C$22, $C$13, 100%, $E$13)</f>
        <v>18.035799999999998</v>
      </c>
      <c r="D1003" s="60">
        <f>18.0522 * CHOOSE(CONTROL!$C$22, $C$13, 100%, $E$13)</f>
        <v>18.052199999999999</v>
      </c>
      <c r="E1003" s="61">
        <f>21.2147 * CHOOSE(CONTROL!$C$22, $C$13, 100%, $E$13)</f>
        <v>21.214700000000001</v>
      </c>
      <c r="F1003" s="61">
        <f>21.2147 * CHOOSE(CONTROL!$C$22, $C$13, 100%, $E$13)</f>
        <v>21.214700000000001</v>
      </c>
      <c r="G1003" s="61">
        <f>21.2149 * CHOOSE(CONTROL!$C$22, $C$13, 100%, $E$13)</f>
        <v>21.2149</v>
      </c>
      <c r="H1003" s="61">
        <f>34.2725* CHOOSE(CONTROL!$C$22, $C$13, 100%, $E$13)</f>
        <v>34.272500000000001</v>
      </c>
      <c r="I1003" s="61">
        <f>34.2727 * CHOOSE(CONTROL!$C$22, $C$13, 100%, $E$13)</f>
        <v>34.2727</v>
      </c>
      <c r="J1003" s="61">
        <f>21.2147 * CHOOSE(CONTROL!$C$22, $C$13, 100%, $E$13)</f>
        <v>21.214700000000001</v>
      </c>
      <c r="K1003" s="61">
        <f>21.2149 * CHOOSE(CONTROL!$C$22, $C$13, 100%, $E$13)</f>
        <v>21.2149</v>
      </c>
    </row>
    <row r="1004" spans="1:11" ht="15">
      <c r="A1004" s="13">
        <v>72411</v>
      </c>
      <c r="B1004" s="60">
        <f>18.0454 * CHOOSE(CONTROL!$C$22, $C$13, 100%, $E$13)</f>
        <v>18.045400000000001</v>
      </c>
      <c r="C1004" s="60">
        <f>18.0454 * CHOOSE(CONTROL!$C$22, $C$13, 100%, $E$13)</f>
        <v>18.045400000000001</v>
      </c>
      <c r="D1004" s="60">
        <f>18.0618 * CHOOSE(CONTROL!$C$22, $C$13, 100%, $E$13)</f>
        <v>18.061800000000002</v>
      </c>
      <c r="E1004" s="61">
        <f>21.4076 * CHOOSE(CONTROL!$C$22, $C$13, 100%, $E$13)</f>
        <v>21.407599999999999</v>
      </c>
      <c r="F1004" s="61">
        <f>21.4076 * CHOOSE(CONTROL!$C$22, $C$13, 100%, $E$13)</f>
        <v>21.407599999999999</v>
      </c>
      <c r="G1004" s="61">
        <f>21.4078 * CHOOSE(CONTROL!$C$22, $C$13, 100%, $E$13)</f>
        <v>21.407800000000002</v>
      </c>
      <c r="H1004" s="61">
        <f>34.3439* CHOOSE(CONTROL!$C$22, $C$13, 100%, $E$13)</f>
        <v>34.343899999999998</v>
      </c>
      <c r="I1004" s="61">
        <f>34.3441 * CHOOSE(CONTROL!$C$22, $C$13, 100%, $E$13)</f>
        <v>34.344099999999997</v>
      </c>
      <c r="J1004" s="61">
        <f>21.4076 * CHOOSE(CONTROL!$C$22, $C$13, 100%, $E$13)</f>
        <v>21.407599999999999</v>
      </c>
      <c r="K1004" s="61">
        <f>21.4078 * CHOOSE(CONTROL!$C$22, $C$13, 100%, $E$13)</f>
        <v>21.407800000000002</v>
      </c>
    </row>
    <row r="1005" spans="1:11" ht="15">
      <c r="A1005" s="13">
        <v>72441</v>
      </c>
      <c r="B1005" s="60">
        <f>18.0454 * CHOOSE(CONTROL!$C$22, $C$13, 100%, $E$13)</f>
        <v>18.045400000000001</v>
      </c>
      <c r="C1005" s="60">
        <f>18.0454 * CHOOSE(CONTROL!$C$22, $C$13, 100%, $E$13)</f>
        <v>18.045400000000001</v>
      </c>
      <c r="D1005" s="60">
        <f>18.0781 * CHOOSE(CONTROL!$C$22, $C$13, 100%, $E$13)</f>
        <v>18.078099999999999</v>
      </c>
      <c r="E1005" s="61">
        <f>21.4815 * CHOOSE(CONTROL!$C$22, $C$13, 100%, $E$13)</f>
        <v>21.4815</v>
      </c>
      <c r="F1005" s="61">
        <f>21.4815 * CHOOSE(CONTROL!$C$22, $C$13, 100%, $E$13)</f>
        <v>21.4815</v>
      </c>
      <c r="G1005" s="61">
        <f>21.4836 * CHOOSE(CONTROL!$C$22, $C$13, 100%, $E$13)</f>
        <v>21.483599999999999</v>
      </c>
      <c r="H1005" s="61">
        <f>34.4155* CHOOSE(CONTROL!$C$22, $C$13, 100%, $E$13)</f>
        <v>34.415500000000002</v>
      </c>
      <c r="I1005" s="61">
        <f>34.4175 * CHOOSE(CONTROL!$C$22, $C$13, 100%, $E$13)</f>
        <v>34.417499999999997</v>
      </c>
      <c r="J1005" s="61">
        <f>21.4815 * CHOOSE(CONTROL!$C$22, $C$13, 100%, $E$13)</f>
        <v>21.4815</v>
      </c>
      <c r="K1005" s="61">
        <f>21.4836 * CHOOSE(CONTROL!$C$22, $C$13, 100%, $E$13)</f>
        <v>21.483599999999999</v>
      </c>
    </row>
    <row r="1006" spans="1:11" ht="15">
      <c r="A1006" s="13">
        <v>72472</v>
      </c>
      <c r="B1006" s="60">
        <f>18.0515 * CHOOSE(CONTROL!$C$22, $C$13, 100%, $E$13)</f>
        <v>18.051500000000001</v>
      </c>
      <c r="C1006" s="60">
        <f>18.0515 * CHOOSE(CONTROL!$C$22, $C$13, 100%, $E$13)</f>
        <v>18.051500000000001</v>
      </c>
      <c r="D1006" s="60">
        <f>18.0842 * CHOOSE(CONTROL!$C$22, $C$13, 100%, $E$13)</f>
        <v>18.084199999999999</v>
      </c>
      <c r="E1006" s="61">
        <f>21.4118 * CHOOSE(CONTROL!$C$22, $C$13, 100%, $E$13)</f>
        <v>21.411799999999999</v>
      </c>
      <c r="F1006" s="61">
        <f>21.4118 * CHOOSE(CONTROL!$C$22, $C$13, 100%, $E$13)</f>
        <v>21.411799999999999</v>
      </c>
      <c r="G1006" s="61">
        <f>21.4139 * CHOOSE(CONTROL!$C$22, $C$13, 100%, $E$13)</f>
        <v>21.413900000000002</v>
      </c>
      <c r="H1006" s="61">
        <f>34.4872* CHOOSE(CONTROL!$C$22, $C$13, 100%, $E$13)</f>
        <v>34.487200000000001</v>
      </c>
      <c r="I1006" s="61">
        <f>34.4892 * CHOOSE(CONTROL!$C$22, $C$13, 100%, $E$13)</f>
        <v>34.489199999999997</v>
      </c>
      <c r="J1006" s="61">
        <f>21.4118 * CHOOSE(CONTROL!$C$22, $C$13, 100%, $E$13)</f>
        <v>21.411799999999999</v>
      </c>
      <c r="K1006" s="61">
        <f>21.4139 * CHOOSE(CONTROL!$C$22, $C$13, 100%, $E$13)</f>
        <v>21.413900000000002</v>
      </c>
    </row>
    <row r="1007" spans="1:11" ht="15">
      <c r="A1007" s="13">
        <v>72502</v>
      </c>
      <c r="B1007" s="60">
        <f>18.3322 * CHOOSE(CONTROL!$C$22, $C$13, 100%, $E$13)</f>
        <v>18.3322</v>
      </c>
      <c r="C1007" s="60">
        <f>18.3322 * CHOOSE(CONTROL!$C$22, $C$13, 100%, $E$13)</f>
        <v>18.3322</v>
      </c>
      <c r="D1007" s="60">
        <f>18.3649 * CHOOSE(CONTROL!$C$22, $C$13, 100%, $E$13)</f>
        <v>18.364899999999999</v>
      </c>
      <c r="E1007" s="61">
        <f>21.817 * CHOOSE(CONTROL!$C$22, $C$13, 100%, $E$13)</f>
        <v>21.817</v>
      </c>
      <c r="F1007" s="61">
        <f>21.817 * CHOOSE(CONTROL!$C$22, $C$13, 100%, $E$13)</f>
        <v>21.817</v>
      </c>
      <c r="G1007" s="61">
        <f>21.819 * CHOOSE(CONTROL!$C$22, $C$13, 100%, $E$13)</f>
        <v>21.818999999999999</v>
      </c>
      <c r="H1007" s="61">
        <f>34.559* CHOOSE(CONTROL!$C$22, $C$13, 100%, $E$13)</f>
        <v>34.558999999999997</v>
      </c>
      <c r="I1007" s="61">
        <f>34.5611 * CHOOSE(CONTROL!$C$22, $C$13, 100%, $E$13)</f>
        <v>34.561100000000003</v>
      </c>
      <c r="J1007" s="61">
        <f>21.817 * CHOOSE(CONTROL!$C$22, $C$13, 100%, $E$13)</f>
        <v>21.817</v>
      </c>
      <c r="K1007" s="61">
        <f>21.819 * CHOOSE(CONTROL!$C$22, $C$13, 100%, $E$13)</f>
        <v>21.818999999999999</v>
      </c>
    </row>
    <row r="1008" spans="1:11" ht="15">
      <c r="A1008" s="13">
        <v>72533</v>
      </c>
      <c r="B1008" s="60">
        <f>18.3389 * CHOOSE(CONTROL!$C$22, $C$13, 100%, $E$13)</f>
        <v>18.338899999999999</v>
      </c>
      <c r="C1008" s="60">
        <f>18.3389 * CHOOSE(CONTROL!$C$22, $C$13, 100%, $E$13)</f>
        <v>18.338899999999999</v>
      </c>
      <c r="D1008" s="60">
        <f>18.3716 * CHOOSE(CONTROL!$C$22, $C$13, 100%, $E$13)</f>
        <v>18.371600000000001</v>
      </c>
      <c r="E1008" s="61">
        <f>21.5998 * CHOOSE(CONTROL!$C$22, $C$13, 100%, $E$13)</f>
        <v>21.599799999999998</v>
      </c>
      <c r="F1008" s="61">
        <f>21.5998 * CHOOSE(CONTROL!$C$22, $C$13, 100%, $E$13)</f>
        <v>21.599799999999998</v>
      </c>
      <c r="G1008" s="61">
        <f>21.6019 * CHOOSE(CONTROL!$C$22, $C$13, 100%, $E$13)</f>
        <v>21.601900000000001</v>
      </c>
      <c r="H1008" s="61">
        <f>34.631* CHOOSE(CONTROL!$C$22, $C$13, 100%, $E$13)</f>
        <v>34.631</v>
      </c>
      <c r="I1008" s="61">
        <f>34.6331 * CHOOSE(CONTROL!$C$22, $C$13, 100%, $E$13)</f>
        <v>34.633099999999999</v>
      </c>
      <c r="J1008" s="61">
        <f>21.5998 * CHOOSE(CONTROL!$C$22, $C$13, 100%, $E$13)</f>
        <v>21.599799999999998</v>
      </c>
      <c r="K1008" s="61">
        <f>21.6019 * CHOOSE(CONTROL!$C$22, $C$13, 100%, $E$13)</f>
        <v>21.601900000000001</v>
      </c>
    </row>
    <row r="1009" spans="1:11" ht="15">
      <c r="A1009" s="13">
        <v>72564</v>
      </c>
      <c r="B1009" s="60">
        <f>18.3359 * CHOOSE(CONTROL!$C$22, $C$13, 100%, $E$13)</f>
        <v>18.335899999999999</v>
      </c>
      <c r="C1009" s="60">
        <f>18.3359 * CHOOSE(CONTROL!$C$22, $C$13, 100%, $E$13)</f>
        <v>18.335899999999999</v>
      </c>
      <c r="D1009" s="60">
        <f>18.3686 * CHOOSE(CONTROL!$C$22, $C$13, 100%, $E$13)</f>
        <v>18.368600000000001</v>
      </c>
      <c r="E1009" s="61">
        <f>21.5731 * CHOOSE(CONTROL!$C$22, $C$13, 100%, $E$13)</f>
        <v>21.5731</v>
      </c>
      <c r="F1009" s="61">
        <f>21.5731 * CHOOSE(CONTROL!$C$22, $C$13, 100%, $E$13)</f>
        <v>21.5731</v>
      </c>
      <c r="G1009" s="61">
        <f>21.5751 * CHOOSE(CONTROL!$C$22, $C$13, 100%, $E$13)</f>
        <v>21.575099999999999</v>
      </c>
      <c r="H1009" s="61">
        <f>34.7032* CHOOSE(CONTROL!$C$22, $C$13, 100%, $E$13)</f>
        <v>34.703200000000002</v>
      </c>
      <c r="I1009" s="61">
        <f>34.7052 * CHOOSE(CONTROL!$C$22, $C$13, 100%, $E$13)</f>
        <v>34.705199999999998</v>
      </c>
      <c r="J1009" s="61">
        <f>21.5731 * CHOOSE(CONTROL!$C$22, $C$13, 100%, $E$13)</f>
        <v>21.5731</v>
      </c>
      <c r="K1009" s="61">
        <f>21.5751 * CHOOSE(CONTROL!$C$22, $C$13, 100%, $E$13)</f>
        <v>21.575099999999999</v>
      </c>
    </row>
    <row r="1010" spans="1:11" ht="15">
      <c r="A1010" s="13">
        <v>72594</v>
      </c>
      <c r="B1010" s="60">
        <f>18.3778 * CHOOSE(CONTROL!$C$22, $C$13, 100%, $E$13)</f>
        <v>18.377800000000001</v>
      </c>
      <c r="C1010" s="60">
        <f>18.3778 * CHOOSE(CONTROL!$C$22, $C$13, 100%, $E$13)</f>
        <v>18.377800000000001</v>
      </c>
      <c r="D1010" s="60">
        <f>18.3941 * CHOOSE(CONTROL!$C$22, $C$13, 100%, $E$13)</f>
        <v>18.394100000000002</v>
      </c>
      <c r="E1010" s="61">
        <f>21.6582 * CHOOSE(CONTROL!$C$22, $C$13, 100%, $E$13)</f>
        <v>21.658200000000001</v>
      </c>
      <c r="F1010" s="61">
        <f>21.6582 * CHOOSE(CONTROL!$C$22, $C$13, 100%, $E$13)</f>
        <v>21.658200000000001</v>
      </c>
      <c r="G1010" s="61">
        <f>21.6584 * CHOOSE(CONTROL!$C$22, $C$13, 100%, $E$13)</f>
        <v>21.6584</v>
      </c>
      <c r="H1010" s="61">
        <f>34.7755* CHOOSE(CONTROL!$C$22, $C$13, 100%, $E$13)</f>
        <v>34.775500000000001</v>
      </c>
      <c r="I1010" s="61">
        <f>34.7756 * CHOOSE(CONTROL!$C$22, $C$13, 100%, $E$13)</f>
        <v>34.775599999999997</v>
      </c>
      <c r="J1010" s="61">
        <f>21.6582 * CHOOSE(CONTROL!$C$22, $C$13, 100%, $E$13)</f>
        <v>21.658200000000001</v>
      </c>
      <c r="K1010" s="61">
        <f>21.6584 * CHOOSE(CONTROL!$C$22, $C$13, 100%, $E$13)</f>
        <v>21.6584</v>
      </c>
    </row>
    <row r="1011" spans="1:11" ht="15">
      <c r="A1011" s="13">
        <v>72625</v>
      </c>
      <c r="B1011" s="60">
        <f>18.3808 * CHOOSE(CONTROL!$C$22, $C$13, 100%, $E$13)</f>
        <v>18.380800000000001</v>
      </c>
      <c r="C1011" s="60">
        <f>18.3808 * CHOOSE(CONTROL!$C$22, $C$13, 100%, $E$13)</f>
        <v>18.380800000000001</v>
      </c>
      <c r="D1011" s="60">
        <f>18.3971 * CHOOSE(CONTROL!$C$22, $C$13, 100%, $E$13)</f>
        <v>18.397099999999998</v>
      </c>
      <c r="E1011" s="61">
        <f>21.7096 * CHOOSE(CONTROL!$C$22, $C$13, 100%, $E$13)</f>
        <v>21.709599999999998</v>
      </c>
      <c r="F1011" s="61">
        <f>21.7096 * CHOOSE(CONTROL!$C$22, $C$13, 100%, $E$13)</f>
        <v>21.709599999999998</v>
      </c>
      <c r="G1011" s="61">
        <f>21.7098 * CHOOSE(CONTROL!$C$22, $C$13, 100%, $E$13)</f>
        <v>21.709800000000001</v>
      </c>
      <c r="H1011" s="61">
        <f>34.8479* CHOOSE(CONTROL!$C$22, $C$13, 100%, $E$13)</f>
        <v>34.847900000000003</v>
      </c>
      <c r="I1011" s="61">
        <f>34.8481 * CHOOSE(CONTROL!$C$22, $C$13, 100%, $E$13)</f>
        <v>34.848100000000002</v>
      </c>
      <c r="J1011" s="61">
        <f>21.7096 * CHOOSE(CONTROL!$C$22, $C$13, 100%, $E$13)</f>
        <v>21.709599999999998</v>
      </c>
      <c r="K1011" s="61">
        <f>21.7098 * CHOOSE(CONTROL!$C$22, $C$13, 100%, $E$13)</f>
        <v>21.709800000000001</v>
      </c>
    </row>
    <row r="1012" spans="1:11" ht="15">
      <c r="A1012" s="13">
        <v>72655</v>
      </c>
      <c r="B1012" s="60">
        <f>18.3808 * CHOOSE(CONTROL!$C$22, $C$13, 100%, $E$13)</f>
        <v>18.380800000000001</v>
      </c>
      <c r="C1012" s="60">
        <f>18.3808 * CHOOSE(CONTROL!$C$22, $C$13, 100%, $E$13)</f>
        <v>18.380800000000001</v>
      </c>
      <c r="D1012" s="60">
        <f>18.3971 * CHOOSE(CONTROL!$C$22, $C$13, 100%, $E$13)</f>
        <v>18.397099999999998</v>
      </c>
      <c r="E1012" s="61">
        <f>21.5864 * CHOOSE(CONTROL!$C$22, $C$13, 100%, $E$13)</f>
        <v>21.586400000000001</v>
      </c>
      <c r="F1012" s="61">
        <f>21.5864 * CHOOSE(CONTROL!$C$22, $C$13, 100%, $E$13)</f>
        <v>21.586400000000001</v>
      </c>
      <c r="G1012" s="61">
        <f>21.5866 * CHOOSE(CONTROL!$C$22, $C$13, 100%, $E$13)</f>
        <v>21.586600000000001</v>
      </c>
      <c r="H1012" s="61">
        <f>34.9205* CHOOSE(CONTROL!$C$22, $C$13, 100%, $E$13)</f>
        <v>34.920499999999997</v>
      </c>
      <c r="I1012" s="61">
        <f>34.9207 * CHOOSE(CONTROL!$C$22, $C$13, 100%, $E$13)</f>
        <v>34.920699999999997</v>
      </c>
      <c r="J1012" s="61">
        <f>21.5864 * CHOOSE(CONTROL!$C$22, $C$13, 100%, $E$13)</f>
        <v>21.586400000000001</v>
      </c>
      <c r="K1012" s="61">
        <f>21.5866 * CHOOSE(CONTROL!$C$22, $C$13, 100%, $E$13)</f>
        <v>21.586600000000001</v>
      </c>
    </row>
    <row r="1013" spans="1:11" ht="15">
      <c r="A1013" s="13">
        <v>72686</v>
      </c>
      <c r="B1013" s="60">
        <f>18.2872 * CHOOSE(CONTROL!$C$22, $C$13, 100%, $E$13)</f>
        <v>18.287199999999999</v>
      </c>
      <c r="C1013" s="60">
        <f>18.2872 * CHOOSE(CONTROL!$C$22, $C$13, 100%, $E$13)</f>
        <v>18.287199999999999</v>
      </c>
      <c r="D1013" s="60">
        <f>18.3036 * CHOOSE(CONTROL!$C$22, $C$13, 100%, $E$13)</f>
        <v>18.303599999999999</v>
      </c>
      <c r="E1013" s="61">
        <f>21.5606 * CHOOSE(CONTROL!$C$22, $C$13, 100%, $E$13)</f>
        <v>21.560600000000001</v>
      </c>
      <c r="F1013" s="61">
        <f>21.5606 * CHOOSE(CONTROL!$C$22, $C$13, 100%, $E$13)</f>
        <v>21.560600000000001</v>
      </c>
      <c r="G1013" s="61">
        <f>21.5608 * CHOOSE(CONTROL!$C$22, $C$13, 100%, $E$13)</f>
        <v>21.5608</v>
      </c>
      <c r="H1013" s="61">
        <f>34.5761* CHOOSE(CONTROL!$C$22, $C$13, 100%, $E$13)</f>
        <v>34.576099999999997</v>
      </c>
      <c r="I1013" s="61">
        <f>34.5762 * CHOOSE(CONTROL!$C$22, $C$13, 100%, $E$13)</f>
        <v>34.5762</v>
      </c>
      <c r="J1013" s="61">
        <f>21.5606 * CHOOSE(CONTROL!$C$22, $C$13, 100%, $E$13)</f>
        <v>21.560600000000001</v>
      </c>
      <c r="K1013" s="61">
        <f>21.5608 * CHOOSE(CONTROL!$C$22, $C$13, 100%, $E$13)</f>
        <v>21.5608</v>
      </c>
    </row>
    <row r="1014" spans="1:11" ht="15">
      <c r="A1014" s="13">
        <v>72717</v>
      </c>
      <c r="B1014" s="60">
        <f>18.2842 * CHOOSE(CONTROL!$C$22, $C$13, 100%, $E$13)</f>
        <v>18.284199999999998</v>
      </c>
      <c r="C1014" s="60">
        <f>18.2842 * CHOOSE(CONTROL!$C$22, $C$13, 100%, $E$13)</f>
        <v>18.284199999999998</v>
      </c>
      <c r="D1014" s="60">
        <f>18.3005 * CHOOSE(CONTROL!$C$22, $C$13, 100%, $E$13)</f>
        <v>18.3005</v>
      </c>
      <c r="E1014" s="61">
        <f>21.3225 * CHOOSE(CONTROL!$C$22, $C$13, 100%, $E$13)</f>
        <v>21.322500000000002</v>
      </c>
      <c r="F1014" s="61">
        <f>21.3225 * CHOOSE(CONTROL!$C$22, $C$13, 100%, $E$13)</f>
        <v>21.322500000000002</v>
      </c>
      <c r="G1014" s="61">
        <f>21.3227 * CHOOSE(CONTROL!$C$22, $C$13, 100%, $E$13)</f>
        <v>21.322700000000001</v>
      </c>
      <c r="H1014" s="61">
        <f>34.6481* CHOOSE(CONTROL!$C$22, $C$13, 100%, $E$13)</f>
        <v>34.648099999999999</v>
      </c>
      <c r="I1014" s="61">
        <f>34.6483 * CHOOSE(CONTROL!$C$22, $C$13, 100%, $E$13)</f>
        <v>34.648299999999999</v>
      </c>
      <c r="J1014" s="61">
        <f>21.3225 * CHOOSE(CONTROL!$C$22, $C$13, 100%, $E$13)</f>
        <v>21.322500000000002</v>
      </c>
      <c r="K1014" s="61">
        <f>21.3227 * CHOOSE(CONTROL!$C$22, $C$13, 100%, $E$13)</f>
        <v>21.322700000000001</v>
      </c>
    </row>
    <row r="1015" spans="1:11" ht="15">
      <c r="A1015" s="13">
        <v>72745</v>
      </c>
      <c r="B1015" s="60">
        <f>18.2812 * CHOOSE(CONTROL!$C$22, $C$13, 100%, $E$13)</f>
        <v>18.281199999999998</v>
      </c>
      <c r="C1015" s="60">
        <f>18.2812 * CHOOSE(CONTROL!$C$22, $C$13, 100%, $E$13)</f>
        <v>18.281199999999998</v>
      </c>
      <c r="D1015" s="60">
        <f>18.2975 * CHOOSE(CONTROL!$C$22, $C$13, 100%, $E$13)</f>
        <v>18.297499999999999</v>
      </c>
      <c r="E1015" s="61">
        <f>21.5064 * CHOOSE(CONTROL!$C$22, $C$13, 100%, $E$13)</f>
        <v>21.506399999999999</v>
      </c>
      <c r="F1015" s="61">
        <f>21.5064 * CHOOSE(CONTROL!$C$22, $C$13, 100%, $E$13)</f>
        <v>21.506399999999999</v>
      </c>
      <c r="G1015" s="61">
        <f>21.5066 * CHOOSE(CONTROL!$C$22, $C$13, 100%, $E$13)</f>
        <v>21.506599999999999</v>
      </c>
      <c r="H1015" s="61">
        <f>34.7203* CHOOSE(CONTROL!$C$22, $C$13, 100%, $E$13)</f>
        <v>34.720300000000002</v>
      </c>
      <c r="I1015" s="61">
        <f>34.7205 * CHOOSE(CONTROL!$C$22, $C$13, 100%, $E$13)</f>
        <v>34.720500000000001</v>
      </c>
      <c r="J1015" s="61">
        <f>21.5064 * CHOOSE(CONTROL!$C$22, $C$13, 100%, $E$13)</f>
        <v>21.506399999999999</v>
      </c>
      <c r="K1015" s="61">
        <f>21.5066 * CHOOSE(CONTROL!$C$22, $C$13, 100%, $E$13)</f>
        <v>21.506599999999999</v>
      </c>
    </row>
    <row r="1016" spans="1:11" ht="15">
      <c r="A1016" s="13">
        <v>72776</v>
      </c>
      <c r="B1016" s="60">
        <f>18.2909 * CHOOSE(CONTROL!$C$22, $C$13, 100%, $E$13)</f>
        <v>18.290900000000001</v>
      </c>
      <c r="C1016" s="60">
        <f>18.2909 * CHOOSE(CONTROL!$C$22, $C$13, 100%, $E$13)</f>
        <v>18.290900000000001</v>
      </c>
      <c r="D1016" s="60">
        <f>18.3073 * CHOOSE(CONTROL!$C$22, $C$13, 100%, $E$13)</f>
        <v>18.307300000000001</v>
      </c>
      <c r="E1016" s="61">
        <f>21.7021 * CHOOSE(CONTROL!$C$22, $C$13, 100%, $E$13)</f>
        <v>21.702100000000002</v>
      </c>
      <c r="F1016" s="61">
        <f>21.7021 * CHOOSE(CONTROL!$C$22, $C$13, 100%, $E$13)</f>
        <v>21.702100000000002</v>
      </c>
      <c r="G1016" s="61">
        <f>21.7022 * CHOOSE(CONTROL!$C$22, $C$13, 100%, $E$13)</f>
        <v>21.702200000000001</v>
      </c>
      <c r="H1016" s="61">
        <f>34.7926* CHOOSE(CONTROL!$C$22, $C$13, 100%, $E$13)</f>
        <v>34.7926</v>
      </c>
      <c r="I1016" s="61">
        <f>34.7928 * CHOOSE(CONTROL!$C$22, $C$13, 100%, $E$13)</f>
        <v>34.7928</v>
      </c>
      <c r="J1016" s="61">
        <f>21.7021 * CHOOSE(CONTROL!$C$22, $C$13, 100%, $E$13)</f>
        <v>21.702100000000002</v>
      </c>
      <c r="K1016" s="61">
        <f>21.7022 * CHOOSE(CONTROL!$C$22, $C$13, 100%, $E$13)</f>
        <v>21.702200000000001</v>
      </c>
    </row>
    <row r="1017" spans="1:11" ht="15">
      <c r="A1017" s="13">
        <v>72806</v>
      </c>
      <c r="B1017" s="60">
        <f>18.2909 * CHOOSE(CONTROL!$C$22, $C$13, 100%, $E$13)</f>
        <v>18.290900000000001</v>
      </c>
      <c r="C1017" s="60">
        <f>18.2909 * CHOOSE(CONTROL!$C$22, $C$13, 100%, $E$13)</f>
        <v>18.290900000000001</v>
      </c>
      <c r="D1017" s="60">
        <f>18.3236 * CHOOSE(CONTROL!$C$22, $C$13, 100%, $E$13)</f>
        <v>18.323599999999999</v>
      </c>
      <c r="E1017" s="61">
        <f>21.777 * CHOOSE(CONTROL!$C$22, $C$13, 100%, $E$13)</f>
        <v>21.777000000000001</v>
      </c>
      <c r="F1017" s="61">
        <f>21.777 * CHOOSE(CONTROL!$C$22, $C$13, 100%, $E$13)</f>
        <v>21.777000000000001</v>
      </c>
      <c r="G1017" s="61">
        <f>21.779 * CHOOSE(CONTROL!$C$22, $C$13, 100%, $E$13)</f>
        <v>21.779</v>
      </c>
      <c r="H1017" s="61">
        <f>34.8651* CHOOSE(CONTROL!$C$22, $C$13, 100%, $E$13)</f>
        <v>34.865099999999998</v>
      </c>
      <c r="I1017" s="61">
        <f>34.8671 * CHOOSE(CONTROL!$C$22, $C$13, 100%, $E$13)</f>
        <v>34.867100000000001</v>
      </c>
      <c r="J1017" s="61">
        <f>21.777 * CHOOSE(CONTROL!$C$22, $C$13, 100%, $E$13)</f>
        <v>21.777000000000001</v>
      </c>
      <c r="K1017" s="61">
        <f>21.779 * CHOOSE(CONTROL!$C$22, $C$13, 100%, $E$13)</f>
        <v>21.779</v>
      </c>
    </row>
    <row r="1018" spans="1:11" ht="15">
      <c r="A1018" s="13">
        <v>72837</v>
      </c>
      <c r="B1018" s="60">
        <f>18.297 * CHOOSE(CONTROL!$C$22, $C$13, 100%, $E$13)</f>
        <v>18.297000000000001</v>
      </c>
      <c r="C1018" s="60">
        <f>18.297 * CHOOSE(CONTROL!$C$22, $C$13, 100%, $E$13)</f>
        <v>18.297000000000001</v>
      </c>
      <c r="D1018" s="60">
        <f>18.3297 * CHOOSE(CONTROL!$C$22, $C$13, 100%, $E$13)</f>
        <v>18.329699999999999</v>
      </c>
      <c r="E1018" s="61">
        <f>21.7063 * CHOOSE(CONTROL!$C$22, $C$13, 100%, $E$13)</f>
        <v>21.706299999999999</v>
      </c>
      <c r="F1018" s="61">
        <f>21.7063 * CHOOSE(CONTROL!$C$22, $C$13, 100%, $E$13)</f>
        <v>21.706299999999999</v>
      </c>
      <c r="G1018" s="61">
        <f>21.7083 * CHOOSE(CONTROL!$C$22, $C$13, 100%, $E$13)</f>
        <v>21.708300000000001</v>
      </c>
      <c r="H1018" s="61">
        <f>34.9377* CHOOSE(CONTROL!$C$22, $C$13, 100%, $E$13)</f>
        <v>34.9377</v>
      </c>
      <c r="I1018" s="61">
        <f>34.9398 * CHOOSE(CONTROL!$C$22, $C$13, 100%, $E$13)</f>
        <v>34.939799999999998</v>
      </c>
      <c r="J1018" s="61">
        <f>21.7063 * CHOOSE(CONTROL!$C$22, $C$13, 100%, $E$13)</f>
        <v>21.706299999999999</v>
      </c>
      <c r="K1018" s="61">
        <f>21.7083 * CHOOSE(CONTROL!$C$22, $C$13, 100%, $E$13)</f>
        <v>21.708300000000001</v>
      </c>
    </row>
    <row r="1019" spans="1:11" ht="15">
      <c r="A1019" s="13">
        <v>72867</v>
      </c>
      <c r="B1019" s="60">
        <f>18.5815 * CHOOSE(CONTROL!$C$22, $C$13, 100%, $E$13)</f>
        <v>18.581499999999998</v>
      </c>
      <c r="C1019" s="60">
        <f>18.5815 * CHOOSE(CONTROL!$C$22, $C$13, 100%, $E$13)</f>
        <v>18.581499999999998</v>
      </c>
      <c r="D1019" s="60">
        <f>18.6141 * CHOOSE(CONTROL!$C$22, $C$13, 100%, $E$13)</f>
        <v>18.614100000000001</v>
      </c>
      <c r="E1019" s="61">
        <f>22.1168 * CHOOSE(CONTROL!$C$22, $C$13, 100%, $E$13)</f>
        <v>22.116800000000001</v>
      </c>
      <c r="F1019" s="61">
        <f>22.1168 * CHOOSE(CONTROL!$C$22, $C$13, 100%, $E$13)</f>
        <v>22.116800000000001</v>
      </c>
      <c r="G1019" s="61">
        <f>22.1189 * CHOOSE(CONTROL!$C$22, $C$13, 100%, $E$13)</f>
        <v>22.1189</v>
      </c>
      <c r="H1019" s="61">
        <f>35.0105* CHOOSE(CONTROL!$C$22, $C$13, 100%, $E$13)</f>
        <v>35.0105</v>
      </c>
      <c r="I1019" s="61">
        <f>35.0126 * CHOOSE(CONTROL!$C$22, $C$13, 100%, $E$13)</f>
        <v>35.012599999999999</v>
      </c>
      <c r="J1019" s="61">
        <f>22.1168 * CHOOSE(CONTROL!$C$22, $C$13, 100%, $E$13)</f>
        <v>22.116800000000001</v>
      </c>
      <c r="K1019" s="61">
        <f>22.1189 * CHOOSE(CONTROL!$C$22, $C$13, 100%, $E$13)</f>
        <v>22.1189</v>
      </c>
    </row>
    <row r="1020" spans="1:11" ht="15">
      <c r="A1020" s="13">
        <v>72898</v>
      </c>
      <c r="B1020" s="60">
        <f>18.5881 * CHOOSE(CONTROL!$C$22, $C$13, 100%, $E$13)</f>
        <v>18.588100000000001</v>
      </c>
      <c r="C1020" s="60">
        <f>18.5881 * CHOOSE(CONTROL!$C$22, $C$13, 100%, $E$13)</f>
        <v>18.588100000000001</v>
      </c>
      <c r="D1020" s="60">
        <f>18.6208 * CHOOSE(CONTROL!$C$22, $C$13, 100%, $E$13)</f>
        <v>18.620799999999999</v>
      </c>
      <c r="E1020" s="61">
        <f>21.8967 * CHOOSE(CONTROL!$C$22, $C$13, 100%, $E$13)</f>
        <v>21.896699999999999</v>
      </c>
      <c r="F1020" s="61">
        <f>21.8967 * CHOOSE(CONTROL!$C$22, $C$13, 100%, $E$13)</f>
        <v>21.896699999999999</v>
      </c>
      <c r="G1020" s="61">
        <f>21.8987 * CHOOSE(CONTROL!$C$22, $C$13, 100%, $E$13)</f>
        <v>21.898700000000002</v>
      </c>
      <c r="H1020" s="61">
        <f>35.0835* CHOOSE(CONTROL!$C$22, $C$13, 100%, $E$13)</f>
        <v>35.083500000000001</v>
      </c>
      <c r="I1020" s="61">
        <f>35.0855 * CHOOSE(CONTROL!$C$22, $C$13, 100%, $E$13)</f>
        <v>35.085500000000003</v>
      </c>
      <c r="J1020" s="61">
        <f>21.8967 * CHOOSE(CONTROL!$C$22, $C$13, 100%, $E$13)</f>
        <v>21.896699999999999</v>
      </c>
      <c r="K1020" s="61">
        <f>21.8987 * CHOOSE(CONTROL!$C$22, $C$13, 100%, $E$13)</f>
        <v>21.898700000000002</v>
      </c>
    </row>
    <row r="1021" spans="1:11" ht="15">
      <c r="A1021" s="13">
        <v>72929</v>
      </c>
      <c r="B1021" s="60">
        <f>18.5851 * CHOOSE(CONTROL!$C$22, $C$13, 100%, $E$13)</f>
        <v>18.585100000000001</v>
      </c>
      <c r="C1021" s="60">
        <f>18.5851 * CHOOSE(CONTROL!$C$22, $C$13, 100%, $E$13)</f>
        <v>18.585100000000001</v>
      </c>
      <c r="D1021" s="60">
        <f>18.6178 * CHOOSE(CONTROL!$C$22, $C$13, 100%, $E$13)</f>
        <v>18.617799999999999</v>
      </c>
      <c r="E1021" s="61">
        <f>21.8696 * CHOOSE(CONTROL!$C$22, $C$13, 100%, $E$13)</f>
        <v>21.869599999999998</v>
      </c>
      <c r="F1021" s="61">
        <f>21.8696 * CHOOSE(CONTROL!$C$22, $C$13, 100%, $E$13)</f>
        <v>21.869599999999998</v>
      </c>
      <c r="G1021" s="61">
        <f>21.8716 * CHOOSE(CONTROL!$C$22, $C$13, 100%, $E$13)</f>
        <v>21.871600000000001</v>
      </c>
      <c r="H1021" s="61">
        <f>35.1565* CHOOSE(CONTROL!$C$22, $C$13, 100%, $E$13)</f>
        <v>35.156500000000001</v>
      </c>
      <c r="I1021" s="61">
        <f>35.1586 * CHOOSE(CONTROL!$C$22, $C$13, 100%, $E$13)</f>
        <v>35.1586</v>
      </c>
      <c r="J1021" s="61">
        <f>21.8696 * CHOOSE(CONTROL!$C$22, $C$13, 100%, $E$13)</f>
        <v>21.869599999999998</v>
      </c>
      <c r="K1021" s="61">
        <f>21.8716 * CHOOSE(CONTROL!$C$22, $C$13, 100%, $E$13)</f>
        <v>21.871600000000001</v>
      </c>
    </row>
    <row r="1022" spans="1:11" ht="15">
      <c r="A1022" s="13">
        <v>72959</v>
      </c>
      <c r="B1022" s="60">
        <f>18.6278 * CHOOSE(CONTROL!$C$22, $C$13, 100%, $E$13)</f>
        <v>18.627800000000001</v>
      </c>
      <c r="C1022" s="60">
        <f>18.6278 * CHOOSE(CONTROL!$C$22, $C$13, 100%, $E$13)</f>
        <v>18.627800000000001</v>
      </c>
      <c r="D1022" s="60">
        <f>18.6441 * CHOOSE(CONTROL!$C$22, $C$13, 100%, $E$13)</f>
        <v>18.644100000000002</v>
      </c>
      <c r="E1022" s="61">
        <f>21.9561 * CHOOSE(CONTROL!$C$22, $C$13, 100%, $E$13)</f>
        <v>21.956099999999999</v>
      </c>
      <c r="F1022" s="61">
        <f>21.9561 * CHOOSE(CONTROL!$C$22, $C$13, 100%, $E$13)</f>
        <v>21.956099999999999</v>
      </c>
      <c r="G1022" s="61">
        <f>21.9563 * CHOOSE(CONTROL!$C$22, $C$13, 100%, $E$13)</f>
        <v>21.956299999999999</v>
      </c>
      <c r="H1022" s="61">
        <f>35.2298* CHOOSE(CONTROL!$C$22, $C$13, 100%, $E$13)</f>
        <v>35.229799999999997</v>
      </c>
      <c r="I1022" s="61">
        <f>35.23 * CHOOSE(CONTROL!$C$22, $C$13, 100%, $E$13)</f>
        <v>35.229999999999997</v>
      </c>
      <c r="J1022" s="61">
        <f>21.9561 * CHOOSE(CONTROL!$C$22, $C$13, 100%, $E$13)</f>
        <v>21.956099999999999</v>
      </c>
      <c r="K1022" s="61">
        <f>21.9563 * CHOOSE(CONTROL!$C$22, $C$13, 100%, $E$13)</f>
        <v>21.956299999999999</v>
      </c>
    </row>
    <row r="1023" spans="1:11" ht="15">
      <c r="A1023" s="13">
        <v>72990</v>
      </c>
      <c r="B1023" s="60">
        <f>18.6308 * CHOOSE(CONTROL!$C$22, $C$13, 100%, $E$13)</f>
        <v>18.630800000000001</v>
      </c>
      <c r="C1023" s="60">
        <f>18.6308 * CHOOSE(CONTROL!$C$22, $C$13, 100%, $E$13)</f>
        <v>18.630800000000001</v>
      </c>
      <c r="D1023" s="60">
        <f>18.6472 * CHOOSE(CONTROL!$C$22, $C$13, 100%, $E$13)</f>
        <v>18.647200000000002</v>
      </c>
      <c r="E1023" s="61">
        <f>22.0082 * CHOOSE(CONTROL!$C$22, $C$13, 100%, $E$13)</f>
        <v>22.008199999999999</v>
      </c>
      <c r="F1023" s="61">
        <f>22.0082 * CHOOSE(CONTROL!$C$22, $C$13, 100%, $E$13)</f>
        <v>22.008199999999999</v>
      </c>
      <c r="G1023" s="61">
        <f>22.0083 * CHOOSE(CONTROL!$C$22, $C$13, 100%, $E$13)</f>
        <v>22.008299999999998</v>
      </c>
      <c r="H1023" s="61">
        <f>35.3032* CHOOSE(CONTROL!$C$22, $C$13, 100%, $E$13)</f>
        <v>35.303199999999997</v>
      </c>
      <c r="I1023" s="61">
        <f>35.3034 * CHOOSE(CONTROL!$C$22, $C$13, 100%, $E$13)</f>
        <v>35.303400000000003</v>
      </c>
      <c r="J1023" s="61">
        <f>22.0082 * CHOOSE(CONTROL!$C$22, $C$13, 100%, $E$13)</f>
        <v>22.008199999999999</v>
      </c>
      <c r="K1023" s="61">
        <f>22.0083 * CHOOSE(CONTROL!$C$22, $C$13, 100%, $E$13)</f>
        <v>22.008299999999998</v>
      </c>
    </row>
    <row r="1024" spans="1:11" ht="15">
      <c r="A1024" s="13">
        <v>73020</v>
      </c>
      <c r="B1024" s="60">
        <f>18.6308 * CHOOSE(CONTROL!$C$22, $C$13, 100%, $E$13)</f>
        <v>18.630800000000001</v>
      </c>
      <c r="C1024" s="60">
        <f>18.6308 * CHOOSE(CONTROL!$C$22, $C$13, 100%, $E$13)</f>
        <v>18.630800000000001</v>
      </c>
      <c r="D1024" s="60">
        <f>18.6472 * CHOOSE(CONTROL!$C$22, $C$13, 100%, $E$13)</f>
        <v>18.647200000000002</v>
      </c>
      <c r="E1024" s="61">
        <f>21.8833 * CHOOSE(CONTROL!$C$22, $C$13, 100%, $E$13)</f>
        <v>21.883299999999998</v>
      </c>
      <c r="F1024" s="61">
        <f>21.8833 * CHOOSE(CONTROL!$C$22, $C$13, 100%, $E$13)</f>
        <v>21.883299999999998</v>
      </c>
      <c r="G1024" s="61">
        <f>21.8834 * CHOOSE(CONTROL!$C$22, $C$13, 100%, $E$13)</f>
        <v>21.883400000000002</v>
      </c>
      <c r="H1024" s="61">
        <f>35.3767* CHOOSE(CONTROL!$C$22, $C$13, 100%, $E$13)</f>
        <v>35.3767</v>
      </c>
      <c r="I1024" s="61">
        <f>35.3769 * CHOOSE(CONTROL!$C$22, $C$13, 100%, $E$13)</f>
        <v>35.376899999999999</v>
      </c>
      <c r="J1024" s="61">
        <f>21.8833 * CHOOSE(CONTROL!$C$22, $C$13, 100%, $E$13)</f>
        <v>21.883299999999998</v>
      </c>
      <c r="K1024" s="61">
        <f>21.8834 * CHOOSE(CONTROL!$C$22, $C$13, 100%, $E$13)</f>
        <v>21.883400000000002</v>
      </c>
    </row>
    <row r="1025" spans="1:11" ht="15">
      <c r="A1025" s="13">
        <v>73051</v>
      </c>
      <c r="B1025" s="60">
        <f>18.5326 * CHOOSE(CONTROL!$C$22, $C$13, 100%, $E$13)</f>
        <v>18.532599999999999</v>
      </c>
      <c r="C1025" s="60">
        <f>18.5326 * CHOOSE(CONTROL!$C$22, $C$13, 100%, $E$13)</f>
        <v>18.532599999999999</v>
      </c>
      <c r="D1025" s="60">
        <f>18.5489 * CHOOSE(CONTROL!$C$22, $C$13, 100%, $E$13)</f>
        <v>18.5489</v>
      </c>
      <c r="E1025" s="61">
        <f>21.8531 * CHOOSE(CONTROL!$C$22, $C$13, 100%, $E$13)</f>
        <v>21.853100000000001</v>
      </c>
      <c r="F1025" s="61">
        <f>21.8531 * CHOOSE(CONTROL!$C$22, $C$13, 100%, $E$13)</f>
        <v>21.853100000000001</v>
      </c>
      <c r="G1025" s="61">
        <f>21.8532 * CHOOSE(CONTROL!$C$22, $C$13, 100%, $E$13)</f>
        <v>21.853200000000001</v>
      </c>
      <c r="H1025" s="61">
        <f>35.022* CHOOSE(CONTROL!$C$22, $C$13, 100%, $E$13)</f>
        <v>35.021999999999998</v>
      </c>
      <c r="I1025" s="61">
        <f>35.0221 * CHOOSE(CONTROL!$C$22, $C$13, 100%, $E$13)</f>
        <v>35.022100000000002</v>
      </c>
      <c r="J1025" s="61">
        <f>21.8531 * CHOOSE(CONTROL!$C$22, $C$13, 100%, $E$13)</f>
        <v>21.853100000000001</v>
      </c>
      <c r="K1025" s="61">
        <f>21.8532 * CHOOSE(CONTROL!$C$22, $C$13, 100%, $E$13)</f>
        <v>21.853200000000001</v>
      </c>
    </row>
    <row r="1026" spans="1:11" ht="15">
      <c r="A1026" s="13">
        <v>73082</v>
      </c>
      <c r="B1026" s="60">
        <f>18.5295 * CHOOSE(CONTROL!$C$22, $C$13, 100%, $E$13)</f>
        <v>18.529499999999999</v>
      </c>
      <c r="C1026" s="60">
        <f>18.5295 * CHOOSE(CONTROL!$C$22, $C$13, 100%, $E$13)</f>
        <v>18.529499999999999</v>
      </c>
      <c r="D1026" s="60">
        <f>18.5459 * CHOOSE(CONTROL!$C$22, $C$13, 100%, $E$13)</f>
        <v>18.5459</v>
      </c>
      <c r="E1026" s="61">
        <f>21.6117 * CHOOSE(CONTROL!$C$22, $C$13, 100%, $E$13)</f>
        <v>21.611699999999999</v>
      </c>
      <c r="F1026" s="61">
        <f>21.6117 * CHOOSE(CONTROL!$C$22, $C$13, 100%, $E$13)</f>
        <v>21.611699999999999</v>
      </c>
      <c r="G1026" s="61">
        <f>21.6119 * CHOOSE(CONTROL!$C$22, $C$13, 100%, $E$13)</f>
        <v>21.611899999999999</v>
      </c>
      <c r="H1026" s="61">
        <f>35.0949* CHOOSE(CONTROL!$C$22, $C$13, 100%, $E$13)</f>
        <v>35.094900000000003</v>
      </c>
      <c r="I1026" s="61">
        <f>35.0951 * CHOOSE(CONTROL!$C$22, $C$13, 100%, $E$13)</f>
        <v>35.095100000000002</v>
      </c>
      <c r="J1026" s="61">
        <f>21.6117 * CHOOSE(CONTROL!$C$22, $C$13, 100%, $E$13)</f>
        <v>21.611699999999999</v>
      </c>
      <c r="K1026" s="61">
        <f>21.6119 * CHOOSE(CONTROL!$C$22, $C$13, 100%, $E$13)</f>
        <v>21.611899999999999</v>
      </c>
    </row>
    <row r="1027" spans="1:11" ht="15">
      <c r="A1027" s="13">
        <v>73110</v>
      </c>
      <c r="B1027" s="60">
        <f>18.5265 * CHOOSE(CONTROL!$C$22, $C$13, 100%, $E$13)</f>
        <v>18.526499999999999</v>
      </c>
      <c r="C1027" s="60">
        <f>18.5265 * CHOOSE(CONTROL!$C$22, $C$13, 100%, $E$13)</f>
        <v>18.526499999999999</v>
      </c>
      <c r="D1027" s="60">
        <f>18.5428 * CHOOSE(CONTROL!$C$22, $C$13, 100%, $E$13)</f>
        <v>18.5428</v>
      </c>
      <c r="E1027" s="61">
        <f>21.7982 * CHOOSE(CONTROL!$C$22, $C$13, 100%, $E$13)</f>
        <v>21.798200000000001</v>
      </c>
      <c r="F1027" s="61">
        <f>21.7982 * CHOOSE(CONTROL!$C$22, $C$13, 100%, $E$13)</f>
        <v>21.798200000000001</v>
      </c>
      <c r="G1027" s="61">
        <f>21.7984 * CHOOSE(CONTROL!$C$22, $C$13, 100%, $E$13)</f>
        <v>21.798400000000001</v>
      </c>
      <c r="H1027" s="61">
        <f>35.168* CHOOSE(CONTROL!$C$22, $C$13, 100%, $E$13)</f>
        <v>35.167999999999999</v>
      </c>
      <c r="I1027" s="61">
        <f>35.1682 * CHOOSE(CONTROL!$C$22, $C$13, 100%, $E$13)</f>
        <v>35.168199999999999</v>
      </c>
      <c r="J1027" s="61">
        <f>21.7982 * CHOOSE(CONTROL!$C$22, $C$13, 100%, $E$13)</f>
        <v>21.798200000000001</v>
      </c>
      <c r="K1027" s="61">
        <f>21.7984 * CHOOSE(CONTROL!$C$22, $C$13, 100%, $E$13)</f>
        <v>21.798400000000001</v>
      </c>
    </row>
    <row r="1028" spans="1:11" ht="15">
      <c r="A1028" s="13">
        <v>73141</v>
      </c>
      <c r="B1028" s="60">
        <f>18.5365 * CHOOSE(CONTROL!$C$22, $C$13, 100%, $E$13)</f>
        <v>18.5365</v>
      </c>
      <c r="C1028" s="60">
        <f>18.5365 * CHOOSE(CONTROL!$C$22, $C$13, 100%, $E$13)</f>
        <v>18.5365</v>
      </c>
      <c r="D1028" s="60">
        <f>18.5528 * CHOOSE(CONTROL!$C$22, $C$13, 100%, $E$13)</f>
        <v>18.552800000000001</v>
      </c>
      <c r="E1028" s="61">
        <f>21.9965 * CHOOSE(CONTROL!$C$22, $C$13, 100%, $E$13)</f>
        <v>21.996500000000001</v>
      </c>
      <c r="F1028" s="61">
        <f>21.9965 * CHOOSE(CONTROL!$C$22, $C$13, 100%, $E$13)</f>
        <v>21.996500000000001</v>
      </c>
      <c r="G1028" s="61">
        <f>21.9967 * CHOOSE(CONTROL!$C$22, $C$13, 100%, $E$13)</f>
        <v>21.996700000000001</v>
      </c>
      <c r="H1028" s="61">
        <f>35.2413* CHOOSE(CONTROL!$C$22, $C$13, 100%, $E$13)</f>
        <v>35.241300000000003</v>
      </c>
      <c r="I1028" s="61">
        <f>35.2415 * CHOOSE(CONTROL!$C$22, $C$13, 100%, $E$13)</f>
        <v>35.241500000000002</v>
      </c>
      <c r="J1028" s="61">
        <f>21.9965 * CHOOSE(CONTROL!$C$22, $C$13, 100%, $E$13)</f>
        <v>21.996500000000001</v>
      </c>
      <c r="K1028" s="61">
        <f>21.9967 * CHOOSE(CONTROL!$C$22, $C$13, 100%, $E$13)</f>
        <v>21.996700000000001</v>
      </c>
    </row>
    <row r="1029" spans="1:11" ht="15">
      <c r="A1029" s="13">
        <v>73171</v>
      </c>
      <c r="B1029" s="60">
        <f>18.5365 * CHOOSE(CONTROL!$C$22, $C$13, 100%, $E$13)</f>
        <v>18.5365</v>
      </c>
      <c r="C1029" s="60">
        <f>18.5365 * CHOOSE(CONTROL!$C$22, $C$13, 100%, $E$13)</f>
        <v>18.5365</v>
      </c>
      <c r="D1029" s="60">
        <f>18.5691 * CHOOSE(CONTROL!$C$22, $C$13, 100%, $E$13)</f>
        <v>18.569099999999999</v>
      </c>
      <c r="E1029" s="61">
        <f>22.0725 * CHOOSE(CONTROL!$C$22, $C$13, 100%, $E$13)</f>
        <v>22.072500000000002</v>
      </c>
      <c r="F1029" s="61">
        <f>22.0725 * CHOOSE(CONTROL!$C$22, $C$13, 100%, $E$13)</f>
        <v>22.072500000000002</v>
      </c>
      <c r="G1029" s="61">
        <f>22.0745 * CHOOSE(CONTROL!$C$22, $C$13, 100%, $E$13)</f>
        <v>22.0745</v>
      </c>
      <c r="H1029" s="61">
        <f>35.3147* CHOOSE(CONTROL!$C$22, $C$13, 100%, $E$13)</f>
        <v>35.314700000000002</v>
      </c>
      <c r="I1029" s="61">
        <f>35.3167 * CHOOSE(CONTROL!$C$22, $C$13, 100%, $E$13)</f>
        <v>35.316699999999997</v>
      </c>
      <c r="J1029" s="61">
        <f>22.0725 * CHOOSE(CONTROL!$C$22, $C$13, 100%, $E$13)</f>
        <v>22.072500000000002</v>
      </c>
      <c r="K1029" s="61">
        <f>22.0745 * CHOOSE(CONTROL!$C$22, $C$13, 100%, $E$13)</f>
        <v>22.0745</v>
      </c>
    </row>
    <row r="1030" spans="1:11" ht="15">
      <c r="A1030" s="13">
        <v>73202</v>
      </c>
      <c r="B1030" s="60">
        <f>18.5425 * CHOOSE(CONTROL!$C$22, $C$13, 100%, $E$13)</f>
        <v>18.5425</v>
      </c>
      <c r="C1030" s="60">
        <f>18.5425 * CHOOSE(CONTROL!$C$22, $C$13, 100%, $E$13)</f>
        <v>18.5425</v>
      </c>
      <c r="D1030" s="60">
        <f>18.5752 * CHOOSE(CONTROL!$C$22, $C$13, 100%, $E$13)</f>
        <v>18.575199999999999</v>
      </c>
      <c r="E1030" s="61">
        <f>22.0007 * CHOOSE(CONTROL!$C$22, $C$13, 100%, $E$13)</f>
        <v>22.000699999999998</v>
      </c>
      <c r="F1030" s="61">
        <f>22.0007 * CHOOSE(CONTROL!$C$22, $C$13, 100%, $E$13)</f>
        <v>22.000699999999998</v>
      </c>
      <c r="G1030" s="61">
        <f>22.0028 * CHOOSE(CONTROL!$C$22, $C$13, 100%, $E$13)</f>
        <v>22.002800000000001</v>
      </c>
      <c r="H1030" s="61">
        <f>35.3883* CHOOSE(CONTROL!$C$22, $C$13, 100%, $E$13)</f>
        <v>35.388300000000001</v>
      </c>
      <c r="I1030" s="61">
        <f>35.3903 * CHOOSE(CONTROL!$C$22, $C$13, 100%, $E$13)</f>
        <v>35.390300000000003</v>
      </c>
      <c r="J1030" s="61">
        <f>22.0007 * CHOOSE(CONTROL!$C$22, $C$13, 100%, $E$13)</f>
        <v>22.000699999999998</v>
      </c>
      <c r="K1030" s="61">
        <f>22.0028 * CHOOSE(CONTROL!$C$22, $C$13, 100%, $E$13)</f>
        <v>22.002800000000001</v>
      </c>
    </row>
    <row r="1031" spans="1:11" ht="15">
      <c r="A1031" s="13">
        <v>73232</v>
      </c>
      <c r="B1031" s="60">
        <f>18.8307 * CHOOSE(CONTROL!$C$22, $C$13, 100%, $E$13)</f>
        <v>18.8307</v>
      </c>
      <c r="C1031" s="60">
        <f>18.8307 * CHOOSE(CONTROL!$C$22, $C$13, 100%, $E$13)</f>
        <v>18.8307</v>
      </c>
      <c r="D1031" s="60">
        <f>18.8633 * CHOOSE(CONTROL!$C$22, $C$13, 100%, $E$13)</f>
        <v>18.863299999999999</v>
      </c>
      <c r="E1031" s="61">
        <f>22.4167 * CHOOSE(CONTROL!$C$22, $C$13, 100%, $E$13)</f>
        <v>22.416699999999999</v>
      </c>
      <c r="F1031" s="61">
        <f>22.4167 * CHOOSE(CONTROL!$C$22, $C$13, 100%, $E$13)</f>
        <v>22.416699999999999</v>
      </c>
      <c r="G1031" s="61">
        <f>22.4188 * CHOOSE(CONTROL!$C$22, $C$13, 100%, $E$13)</f>
        <v>22.418800000000001</v>
      </c>
      <c r="H1031" s="61">
        <f>35.462* CHOOSE(CONTROL!$C$22, $C$13, 100%, $E$13)</f>
        <v>35.462000000000003</v>
      </c>
      <c r="I1031" s="61">
        <f>35.464 * CHOOSE(CONTROL!$C$22, $C$13, 100%, $E$13)</f>
        <v>35.463999999999999</v>
      </c>
      <c r="J1031" s="61">
        <f>22.4167 * CHOOSE(CONTROL!$C$22, $C$13, 100%, $E$13)</f>
        <v>22.416699999999999</v>
      </c>
      <c r="K1031" s="61">
        <f>22.4188 * CHOOSE(CONTROL!$C$22, $C$13, 100%, $E$13)</f>
        <v>22.418800000000001</v>
      </c>
    </row>
    <row r="1032" spans="1:11" ht="15">
      <c r="A1032" s="13">
        <v>73263</v>
      </c>
      <c r="B1032" s="60">
        <f>18.8374 * CHOOSE(CONTROL!$C$22, $C$13, 100%, $E$13)</f>
        <v>18.837399999999999</v>
      </c>
      <c r="C1032" s="60">
        <f>18.8374 * CHOOSE(CONTROL!$C$22, $C$13, 100%, $E$13)</f>
        <v>18.837399999999999</v>
      </c>
      <c r="D1032" s="60">
        <f>18.87 * CHOOSE(CONTROL!$C$22, $C$13, 100%, $E$13)</f>
        <v>18.87</v>
      </c>
      <c r="E1032" s="61">
        <f>22.1935 * CHOOSE(CONTROL!$C$22, $C$13, 100%, $E$13)</f>
        <v>22.1935</v>
      </c>
      <c r="F1032" s="61">
        <f>22.1935 * CHOOSE(CONTROL!$C$22, $C$13, 100%, $E$13)</f>
        <v>22.1935</v>
      </c>
      <c r="G1032" s="61">
        <f>22.1955 * CHOOSE(CONTROL!$C$22, $C$13, 100%, $E$13)</f>
        <v>22.195499999999999</v>
      </c>
      <c r="H1032" s="61">
        <f>35.5359* CHOOSE(CONTROL!$C$22, $C$13, 100%, $E$13)</f>
        <v>35.535899999999998</v>
      </c>
      <c r="I1032" s="61">
        <f>35.5379 * CHOOSE(CONTROL!$C$22, $C$13, 100%, $E$13)</f>
        <v>35.5379</v>
      </c>
      <c r="J1032" s="61">
        <f>22.1935 * CHOOSE(CONTROL!$C$22, $C$13, 100%, $E$13)</f>
        <v>22.1935</v>
      </c>
      <c r="K1032" s="61">
        <f>22.1955 * CHOOSE(CONTROL!$C$22, $C$13, 100%, $E$13)</f>
        <v>22.195499999999999</v>
      </c>
    </row>
    <row r="1033" spans="1:11" ht="15">
      <c r="A1033" s="13">
        <v>73294</v>
      </c>
      <c r="B1033" s="60">
        <f>18.8343 * CHOOSE(CONTROL!$C$22, $C$13, 100%, $E$13)</f>
        <v>18.834299999999999</v>
      </c>
      <c r="C1033" s="60">
        <f>18.8343 * CHOOSE(CONTROL!$C$22, $C$13, 100%, $E$13)</f>
        <v>18.834299999999999</v>
      </c>
      <c r="D1033" s="60">
        <f>18.867 * CHOOSE(CONTROL!$C$22, $C$13, 100%, $E$13)</f>
        <v>18.867000000000001</v>
      </c>
      <c r="E1033" s="61">
        <f>22.1661 * CHOOSE(CONTROL!$C$22, $C$13, 100%, $E$13)</f>
        <v>22.1661</v>
      </c>
      <c r="F1033" s="61">
        <f>22.1661 * CHOOSE(CONTROL!$C$22, $C$13, 100%, $E$13)</f>
        <v>22.1661</v>
      </c>
      <c r="G1033" s="61">
        <f>22.1681 * CHOOSE(CONTROL!$C$22, $C$13, 100%, $E$13)</f>
        <v>22.168099999999999</v>
      </c>
      <c r="H1033" s="61">
        <f>35.6099* CHOOSE(CONTROL!$C$22, $C$13, 100%, $E$13)</f>
        <v>35.609900000000003</v>
      </c>
      <c r="I1033" s="61">
        <f>35.612 * CHOOSE(CONTROL!$C$22, $C$13, 100%, $E$13)</f>
        <v>35.612000000000002</v>
      </c>
      <c r="J1033" s="61">
        <f>22.1661 * CHOOSE(CONTROL!$C$22, $C$13, 100%, $E$13)</f>
        <v>22.1661</v>
      </c>
      <c r="K1033" s="61">
        <f>22.1681 * CHOOSE(CONTROL!$C$22, $C$13, 100%, $E$13)</f>
        <v>22.168099999999999</v>
      </c>
    </row>
    <row r="1034" spans="1:11" ht="15">
      <c r="A1034" s="13">
        <v>73324</v>
      </c>
      <c r="B1034" s="60">
        <f>18.8778 * CHOOSE(CONTROL!$C$22, $C$13, 100%, $E$13)</f>
        <v>18.877800000000001</v>
      </c>
      <c r="C1034" s="60">
        <f>18.8778 * CHOOSE(CONTROL!$C$22, $C$13, 100%, $E$13)</f>
        <v>18.877800000000001</v>
      </c>
      <c r="D1034" s="60">
        <f>18.8941 * CHOOSE(CONTROL!$C$22, $C$13, 100%, $E$13)</f>
        <v>18.894100000000002</v>
      </c>
      <c r="E1034" s="61">
        <f>22.2539 * CHOOSE(CONTROL!$C$22, $C$13, 100%, $E$13)</f>
        <v>22.253900000000002</v>
      </c>
      <c r="F1034" s="61">
        <f>22.2539 * CHOOSE(CONTROL!$C$22, $C$13, 100%, $E$13)</f>
        <v>22.253900000000002</v>
      </c>
      <c r="G1034" s="61">
        <f>22.2541 * CHOOSE(CONTROL!$C$22, $C$13, 100%, $E$13)</f>
        <v>22.254100000000001</v>
      </c>
      <c r="H1034" s="61">
        <f>35.6841* CHOOSE(CONTROL!$C$22, $C$13, 100%, $E$13)</f>
        <v>35.684100000000001</v>
      </c>
      <c r="I1034" s="61">
        <f>35.6843 * CHOOSE(CONTROL!$C$22, $C$13, 100%, $E$13)</f>
        <v>35.6843</v>
      </c>
      <c r="J1034" s="61">
        <f>22.2539 * CHOOSE(CONTROL!$C$22, $C$13, 100%, $E$13)</f>
        <v>22.253900000000002</v>
      </c>
      <c r="K1034" s="61">
        <f>22.2541 * CHOOSE(CONTROL!$C$22, $C$13, 100%, $E$13)</f>
        <v>22.254100000000001</v>
      </c>
    </row>
    <row r="1035" spans="1:11" ht="15">
      <c r="A1035" s="13">
        <v>73355</v>
      </c>
      <c r="B1035" s="60">
        <f>18.8808 * CHOOSE(CONTROL!$C$22, $C$13, 100%, $E$13)</f>
        <v>18.880800000000001</v>
      </c>
      <c r="C1035" s="60">
        <f>18.8808 * CHOOSE(CONTROL!$C$22, $C$13, 100%, $E$13)</f>
        <v>18.880800000000001</v>
      </c>
      <c r="D1035" s="60">
        <f>18.8972 * CHOOSE(CONTROL!$C$22, $C$13, 100%, $E$13)</f>
        <v>18.897200000000002</v>
      </c>
      <c r="E1035" s="61">
        <f>22.3067 * CHOOSE(CONTROL!$C$22, $C$13, 100%, $E$13)</f>
        <v>22.306699999999999</v>
      </c>
      <c r="F1035" s="61">
        <f>22.3067 * CHOOSE(CONTROL!$C$22, $C$13, 100%, $E$13)</f>
        <v>22.306699999999999</v>
      </c>
      <c r="G1035" s="61">
        <f>22.3069 * CHOOSE(CONTROL!$C$22, $C$13, 100%, $E$13)</f>
        <v>22.306899999999999</v>
      </c>
      <c r="H1035" s="61">
        <f>35.7585* CHOOSE(CONTROL!$C$22, $C$13, 100%, $E$13)</f>
        <v>35.758499999999998</v>
      </c>
      <c r="I1035" s="61">
        <f>35.7586 * CHOOSE(CONTROL!$C$22, $C$13, 100%, $E$13)</f>
        <v>35.758600000000001</v>
      </c>
      <c r="J1035" s="61">
        <f>22.3067 * CHOOSE(CONTROL!$C$22, $C$13, 100%, $E$13)</f>
        <v>22.306699999999999</v>
      </c>
      <c r="K1035" s="61">
        <f>22.3069 * CHOOSE(CONTROL!$C$22, $C$13, 100%, $E$13)</f>
        <v>22.306899999999999</v>
      </c>
    </row>
    <row r="1036" spans="1:11" ht="15">
      <c r="A1036" s="13">
        <v>73385</v>
      </c>
      <c r="B1036" s="60">
        <f>18.8808 * CHOOSE(CONTROL!$C$22, $C$13, 100%, $E$13)</f>
        <v>18.880800000000001</v>
      </c>
      <c r="C1036" s="60">
        <f>18.8808 * CHOOSE(CONTROL!$C$22, $C$13, 100%, $E$13)</f>
        <v>18.880800000000001</v>
      </c>
      <c r="D1036" s="60">
        <f>18.8972 * CHOOSE(CONTROL!$C$22, $C$13, 100%, $E$13)</f>
        <v>18.897200000000002</v>
      </c>
      <c r="E1036" s="61">
        <f>22.1801 * CHOOSE(CONTROL!$C$22, $C$13, 100%, $E$13)</f>
        <v>22.180099999999999</v>
      </c>
      <c r="F1036" s="61">
        <f>22.1801 * CHOOSE(CONTROL!$C$22, $C$13, 100%, $E$13)</f>
        <v>22.180099999999999</v>
      </c>
      <c r="G1036" s="61">
        <f>22.1803 * CHOOSE(CONTROL!$C$22, $C$13, 100%, $E$13)</f>
        <v>22.180299999999999</v>
      </c>
      <c r="H1036" s="61">
        <f>35.833* CHOOSE(CONTROL!$C$22, $C$13, 100%, $E$13)</f>
        <v>35.832999999999998</v>
      </c>
      <c r="I1036" s="61">
        <f>35.8331 * CHOOSE(CONTROL!$C$22, $C$13, 100%, $E$13)</f>
        <v>35.833100000000002</v>
      </c>
      <c r="J1036" s="61">
        <f>22.1801 * CHOOSE(CONTROL!$C$22, $C$13, 100%, $E$13)</f>
        <v>22.180099999999999</v>
      </c>
      <c r="K1036" s="61">
        <f>22.1803 * CHOOSE(CONTROL!$C$22, $C$13, 100%, $E$13)</f>
        <v>22.180299999999999</v>
      </c>
    </row>
    <row r="1037" spans="1:11" ht="15">
      <c r="A1037" s="10"/>
      <c r="B1037" s="60"/>
      <c r="C1037" s="60"/>
      <c r="D1037" s="60"/>
      <c r="E1037" s="61"/>
      <c r="F1037" s="61"/>
      <c r="G1037" s="61"/>
      <c r="H1037" s="61"/>
      <c r="I1037" s="61"/>
      <c r="J1037" s="61"/>
      <c r="K1037" s="61"/>
    </row>
    <row r="1038" spans="1:11" ht="15">
      <c r="A1038" s="3">
        <v>2016</v>
      </c>
      <c r="B1038" s="60">
        <f t="shared" ref="B1038:K1038" si="0">AVERAGE(B17:B28)</f>
        <v>2.6408833333333335</v>
      </c>
      <c r="C1038" s="60">
        <f t="shared" si="0"/>
        <v>2.6408833333333335</v>
      </c>
      <c r="D1038" s="60">
        <f t="shared" si="0"/>
        <v>2.6640166666666665</v>
      </c>
      <c r="E1038" s="60">
        <f t="shared" si="0"/>
        <v>3.361966666666667</v>
      </c>
      <c r="F1038" s="60">
        <f t="shared" si="0"/>
        <v>4.0214166666666662</v>
      </c>
      <c r="G1038" s="60">
        <f t="shared" si="0"/>
        <v>4.0223666666666666</v>
      </c>
      <c r="H1038" s="60">
        <f t="shared" si="0"/>
        <v>5.7971666666666666</v>
      </c>
      <c r="I1038" s="60">
        <f t="shared" si="0"/>
        <v>5.7981166666666661</v>
      </c>
      <c r="J1038" s="60">
        <f t="shared" si="0"/>
        <v>3.361966666666667</v>
      </c>
      <c r="K1038" s="60">
        <f t="shared" si="0"/>
        <v>3.3629333333333338</v>
      </c>
    </row>
    <row r="1039" spans="1:11" ht="15">
      <c r="A1039" s="3">
        <v>2017</v>
      </c>
      <c r="B1039" s="60">
        <f t="shared" ref="B1039:K1039" si="1">AVERAGE(B29:B40)</f>
        <v>2.7329833333333333</v>
      </c>
      <c r="C1039" s="60">
        <f t="shared" si="1"/>
        <v>2.7329833333333333</v>
      </c>
      <c r="D1039" s="60">
        <f t="shared" si="1"/>
        <v>2.7561166666666672</v>
      </c>
      <c r="E1039" s="60">
        <f t="shared" si="1"/>
        <v>3.5132250000000003</v>
      </c>
      <c r="F1039" s="60">
        <f t="shared" si="1"/>
        <v>3.5132250000000003</v>
      </c>
      <c r="G1039" s="60">
        <f t="shared" si="1"/>
        <v>3.5141833333333334</v>
      </c>
      <c r="H1039" s="60">
        <f t="shared" si="1"/>
        <v>5.943766666666666</v>
      </c>
      <c r="I1039" s="60">
        <f t="shared" si="1"/>
        <v>5.9447083333333337</v>
      </c>
      <c r="J1039" s="60">
        <f t="shared" si="1"/>
        <v>3.5132250000000003</v>
      </c>
      <c r="K1039" s="60">
        <f t="shared" si="1"/>
        <v>3.5141833333333334</v>
      </c>
    </row>
    <row r="1040" spans="1:11" ht="15">
      <c r="A1040" s="3">
        <v>2018</v>
      </c>
      <c r="B1040" s="60">
        <f t="shared" ref="B1040:K1040" si="2">AVERAGE(B41:B52)</f>
        <v>2.8547750000000001</v>
      </c>
      <c r="C1040" s="60">
        <f t="shared" si="2"/>
        <v>2.8547750000000001</v>
      </c>
      <c r="D1040" s="60">
        <f t="shared" si="2"/>
        <v>2.8779333333333335</v>
      </c>
      <c r="E1040" s="60">
        <f t="shared" si="2"/>
        <v>3.3498833333333331</v>
      </c>
      <c r="F1040" s="60">
        <f t="shared" si="2"/>
        <v>3.3498833333333331</v>
      </c>
      <c r="G1040" s="60">
        <f t="shared" si="2"/>
        <v>3.3508250000000004</v>
      </c>
      <c r="H1040" s="60">
        <f t="shared" si="2"/>
        <v>6.0940916666666674</v>
      </c>
      <c r="I1040" s="60">
        <f t="shared" si="2"/>
        <v>6.0950249999999997</v>
      </c>
      <c r="J1040" s="60">
        <f t="shared" si="2"/>
        <v>3.3498833333333331</v>
      </c>
      <c r="K1040" s="60">
        <f t="shared" si="2"/>
        <v>3.3508250000000004</v>
      </c>
    </row>
    <row r="1041" spans="1:11" ht="15">
      <c r="A1041" s="3">
        <v>2019</v>
      </c>
      <c r="B1041" s="60">
        <f t="shared" ref="B1041:K1041" si="3">AVERAGE(B53:B64)</f>
        <v>2.9488833333333333</v>
      </c>
      <c r="C1041" s="60">
        <f t="shared" si="3"/>
        <v>2.9488833333333333</v>
      </c>
      <c r="D1041" s="60">
        <f t="shared" si="3"/>
        <v>2.9720333333333335</v>
      </c>
      <c r="E1041" s="60">
        <f t="shared" si="3"/>
        <v>3.4520083333333336</v>
      </c>
      <c r="F1041" s="60">
        <f t="shared" si="3"/>
        <v>3.4520083333333336</v>
      </c>
      <c r="G1041" s="60">
        <f t="shared" si="3"/>
        <v>3.4529666666666663</v>
      </c>
      <c r="H1041" s="60">
        <f t="shared" si="3"/>
        <v>6.2481916666666679</v>
      </c>
      <c r="I1041" s="60">
        <f t="shared" si="3"/>
        <v>6.2491583333333329</v>
      </c>
      <c r="J1041" s="60">
        <f t="shared" si="3"/>
        <v>3.4520083333333336</v>
      </c>
      <c r="K1041" s="60">
        <f t="shared" si="3"/>
        <v>3.4529666666666663</v>
      </c>
    </row>
    <row r="1042" spans="1:11" ht="15">
      <c r="A1042" s="3">
        <v>2020</v>
      </c>
      <c r="B1042" s="60">
        <f t="shared" ref="B1042:K1042" si="4">AVERAGE(B65:B76)</f>
        <v>3.0247416666666669</v>
      </c>
      <c r="C1042" s="60">
        <f t="shared" si="4"/>
        <v>3.0247416666666669</v>
      </c>
      <c r="D1042" s="60">
        <f t="shared" si="4"/>
        <v>3.0478916666666671</v>
      </c>
      <c r="E1042" s="60">
        <f t="shared" si="4"/>
        <v>3.5770166666666667</v>
      </c>
      <c r="F1042" s="60">
        <f t="shared" si="4"/>
        <v>3.5770166666666667</v>
      </c>
      <c r="G1042" s="60">
        <f t="shared" si="4"/>
        <v>3.5779833333333335</v>
      </c>
      <c r="H1042" s="60">
        <f t="shared" si="4"/>
        <v>6.4061999999999992</v>
      </c>
      <c r="I1042" s="60">
        <f t="shared" si="4"/>
        <v>6.4071500000000015</v>
      </c>
      <c r="J1042" s="60">
        <f t="shared" si="4"/>
        <v>3.5770166666666667</v>
      </c>
      <c r="K1042" s="60">
        <f t="shared" si="4"/>
        <v>3.5779833333333335</v>
      </c>
    </row>
    <row r="1043" spans="1:11" ht="15">
      <c r="A1043" s="3">
        <v>2021</v>
      </c>
      <c r="B1043" s="60">
        <f t="shared" ref="B1043:K1043" si="5">AVERAGE(B77:B88)</f>
        <v>3.1064250000000002</v>
      </c>
      <c r="C1043" s="60">
        <f t="shared" si="5"/>
        <v>3.1064250000000002</v>
      </c>
      <c r="D1043" s="60">
        <f t="shared" si="5"/>
        <v>3.1295833333333332</v>
      </c>
      <c r="E1043" s="60">
        <f t="shared" si="5"/>
        <v>3.659675</v>
      </c>
      <c r="F1043" s="60">
        <f t="shared" si="5"/>
        <v>3.659675</v>
      </c>
      <c r="G1043" s="60">
        <f t="shared" si="5"/>
        <v>3.6606166666666664</v>
      </c>
      <c r="H1043" s="60">
        <f t="shared" si="5"/>
        <v>6.5682</v>
      </c>
      <c r="I1043" s="60">
        <f t="shared" si="5"/>
        <v>6.5691416666666669</v>
      </c>
      <c r="J1043" s="60">
        <f t="shared" si="5"/>
        <v>3.659675</v>
      </c>
      <c r="K1043" s="60">
        <f t="shared" si="5"/>
        <v>3.6606166666666664</v>
      </c>
    </row>
    <row r="1044" spans="1:11" ht="15">
      <c r="A1044" s="3">
        <v>2022</v>
      </c>
      <c r="B1044" s="60">
        <f t="shared" ref="B1044:K1044" si="6">AVERAGE(B89:B100)</f>
        <v>3.1894000000000005</v>
      </c>
      <c r="C1044" s="60">
        <f t="shared" si="6"/>
        <v>3.1894000000000005</v>
      </c>
      <c r="D1044" s="60">
        <f t="shared" si="6"/>
        <v>3.2125500000000002</v>
      </c>
      <c r="E1044" s="60">
        <f t="shared" si="6"/>
        <v>3.7376166666666673</v>
      </c>
      <c r="F1044" s="60">
        <f t="shared" si="6"/>
        <v>3.7376166666666673</v>
      </c>
      <c r="G1044" s="60">
        <f t="shared" si="6"/>
        <v>3.7385666666666668</v>
      </c>
      <c r="H1044" s="60">
        <f t="shared" si="6"/>
        <v>6.7342833333333338</v>
      </c>
      <c r="I1044" s="60">
        <f t="shared" si="6"/>
        <v>6.7352583333333342</v>
      </c>
      <c r="J1044" s="60">
        <f t="shared" si="6"/>
        <v>3.7376166666666673</v>
      </c>
      <c r="K1044" s="60">
        <f t="shared" si="6"/>
        <v>3.7385666666666668</v>
      </c>
    </row>
    <row r="1045" spans="1:11" ht="15">
      <c r="A1045" s="3">
        <v>2023</v>
      </c>
      <c r="B1045" s="60">
        <f t="shared" ref="B1045:K1045" si="7">AVERAGE(B101:B112)</f>
        <v>3.2733583333333329</v>
      </c>
      <c r="C1045" s="60">
        <f t="shared" si="7"/>
        <v>3.2733583333333329</v>
      </c>
      <c r="D1045" s="60">
        <f t="shared" si="7"/>
        <v>3.2965250000000008</v>
      </c>
      <c r="E1045" s="60">
        <f t="shared" si="7"/>
        <v>3.8185500000000006</v>
      </c>
      <c r="F1045" s="60">
        <f t="shared" si="7"/>
        <v>3.8185500000000006</v>
      </c>
      <c r="G1045" s="60">
        <f t="shared" si="7"/>
        <v>3.8195083333333333</v>
      </c>
      <c r="H1045" s="60">
        <f t="shared" si="7"/>
        <v>6.9045916666666658</v>
      </c>
      <c r="I1045" s="60">
        <f t="shared" si="7"/>
        <v>6.905549999999999</v>
      </c>
      <c r="J1045" s="60">
        <f t="shared" si="7"/>
        <v>3.8185500000000006</v>
      </c>
      <c r="K1045" s="60">
        <f t="shared" si="7"/>
        <v>3.8195083333333333</v>
      </c>
    </row>
    <row r="1046" spans="1:11" ht="15">
      <c r="A1046" s="3">
        <v>2024</v>
      </c>
      <c r="B1046" s="60">
        <f t="shared" ref="B1046:K1046" si="8">AVERAGE(B113:B124)</f>
        <v>3.356641666666667</v>
      </c>
      <c r="C1046" s="60">
        <f t="shared" si="8"/>
        <v>3.356641666666667</v>
      </c>
      <c r="D1046" s="60">
        <f t="shared" si="8"/>
        <v>3.3797833333333327</v>
      </c>
      <c r="E1046" s="60">
        <f t="shared" si="8"/>
        <v>3.8828749999999999</v>
      </c>
      <c r="F1046" s="60">
        <f t="shared" si="8"/>
        <v>3.8828749999999999</v>
      </c>
      <c r="G1046" s="60">
        <f t="shared" si="8"/>
        <v>3.8838249999999999</v>
      </c>
      <c r="H1046" s="60">
        <f t="shared" si="8"/>
        <v>7.0792083333333329</v>
      </c>
      <c r="I1046" s="60">
        <f t="shared" si="8"/>
        <v>7.0801500000000006</v>
      </c>
      <c r="J1046" s="60">
        <f t="shared" si="8"/>
        <v>3.8828749999999999</v>
      </c>
      <c r="K1046" s="60">
        <f t="shared" si="8"/>
        <v>3.8838249999999999</v>
      </c>
    </row>
    <row r="1047" spans="1:11" ht="15">
      <c r="A1047" s="3">
        <v>2025</v>
      </c>
      <c r="B1047" s="60">
        <f t="shared" ref="B1047:K1047" si="9">AVERAGE(B125:B136)</f>
        <v>3.4431833333333337</v>
      </c>
      <c r="C1047" s="60">
        <f t="shared" si="9"/>
        <v>3.4431833333333337</v>
      </c>
      <c r="D1047" s="60">
        <f t="shared" si="9"/>
        <v>3.4663249999999999</v>
      </c>
      <c r="E1047" s="60">
        <f t="shared" si="9"/>
        <v>3.9477666666666664</v>
      </c>
      <c r="F1047" s="60">
        <f t="shared" si="9"/>
        <v>3.9477666666666664</v>
      </c>
      <c r="G1047" s="60">
        <f t="shared" si="9"/>
        <v>3.9487333333333328</v>
      </c>
      <c r="H1047" s="60">
        <f t="shared" si="9"/>
        <v>7.2582250000000004</v>
      </c>
      <c r="I1047" s="60">
        <f t="shared" si="9"/>
        <v>7.2591666666666681</v>
      </c>
      <c r="J1047" s="60">
        <f t="shared" si="9"/>
        <v>3.9477666666666664</v>
      </c>
      <c r="K1047" s="60">
        <f t="shared" si="9"/>
        <v>3.9487333333333328</v>
      </c>
    </row>
    <row r="1048" spans="1:11" ht="15">
      <c r="A1048" s="3">
        <v>2026</v>
      </c>
      <c r="B1048" s="60">
        <f t="shared" ref="B1048:K1048" si="10">AVERAGE(B137:B148)</f>
        <v>3.5199749999999992</v>
      </c>
      <c r="C1048" s="60">
        <f t="shared" si="10"/>
        <v>3.5199749999999992</v>
      </c>
      <c r="D1048" s="60">
        <f t="shared" si="10"/>
        <v>3.5430916666666659</v>
      </c>
      <c r="E1048" s="60">
        <f t="shared" si="10"/>
        <v>4.0216916666666664</v>
      </c>
      <c r="F1048" s="60">
        <f t="shared" si="10"/>
        <v>4.0216916666666664</v>
      </c>
      <c r="G1048" s="60">
        <f t="shared" si="10"/>
        <v>4.0226583333333332</v>
      </c>
      <c r="H1048" s="60">
        <f t="shared" si="10"/>
        <v>7.4417749999999998</v>
      </c>
      <c r="I1048" s="60">
        <f t="shared" si="10"/>
        <v>7.4427249999999994</v>
      </c>
      <c r="J1048" s="60">
        <f t="shared" si="10"/>
        <v>4.0216916666666664</v>
      </c>
      <c r="K1048" s="60">
        <f t="shared" si="10"/>
        <v>4.0226583333333332</v>
      </c>
    </row>
    <row r="1049" spans="1:11" ht="15">
      <c r="A1049" s="3">
        <v>2027</v>
      </c>
      <c r="B1049" s="60">
        <f t="shared" ref="B1049:K1049" si="11">AVERAGE(B149:B160)</f>
        <v>3.5945083333333336</v>
      </c>
      <c r="C1049" s="60">
        <f t="shared" si="11"/>
        <v>3.5945083333333336</v>
      </c>
      <c r="D1049" s="60">
        <f t="shared" si="11"/>
        <v>3.617666666666667</v>
      </c>
      <c r="E1049" s="60">
        <f t="shared" si="11"/>
        <v>4.0970250000000004</v>
      </c>
      <c r="F1049" s="60">
        <f t="shared" si="11"/>
        <v>4.0970250000000004</v>
      </c>
      <c r="G1049" s="60">
        <f t="shared" si="11"/>
        <v>4.0979666666666672</v>
      </c>
      <c r="H1049" s="60">
        <f t="shared" si="11"/>
        <v>7.6299583333333345</v>
      </c>
      <c r="I1049" s="60">
        <f t="shared" si="11"/>
        <v>7.6309166666666668</v>
      </c>
      <c r="J1049" s="60">
        <f t="shared" si="11"/>
        <v>4.0970250000000004</v>
      </c>
      <c r="K1049" s="60">
        <f t="shared" si="11"/>
        <v>4.0979666666666672</v>
      </c>
    </row>
    <row r="1050" spans="1:11" ht="15">
      <c r="A1050" s="3">
        <v>2028</v>
      </c>
      <c r="B1050" s="60">
        <f t="shared" ref="B1050:K1050" si="12">AVERAGE(B161:B172)</f>
        <v>3.6865333333333346</v>
      </c>
      <c r="C1050" s="60">
        <f t="shared" si="12"/>
        <v>3.6865333333333346</v>
      </c>
      <c r="D1050" s="60">
        <f t="shared" si="12"/>
        <v>3.7096583333333331</v>
      </c>
      <c r="E1050" s="60">
        <f t="shared" si="12"/>
        <v>4.1895333333333324</v>
      </c>
      <c r="F1050" s="60">
        <f t="shared" si="12"/>
        <v>4.1895333333333324</v>
      </c>
      <c r="G1050" s="60">
        <f t="shared" si="12"/>
        <v>4.1904916666666665</v>
      </c>
      <c r="H1050" s="60">
        <f t="shared" si="12"/>
        <v>7.822916666666667</v>
      </c>
      <c r="I1050" s="60">
        <f t="shared" si="12"/>
        <v>7.8238750000000001</v>
      </c>
      <c r="J1050" s="60">
        <f t="shared" si="12"/>
        <v>4.1895333333333324</v>
      </c>
      <c r="K1050" s="60">
        <f t="shared" si="12"/>
        <v>4.1904916666666665</v>
      </c>
    </row>
    <row r="1051" spans="1:11" ht="15">
      <c r="A1051" s="3">
        <v>2029</v>
      </c>
      <c r="B1051" s="60">
        <f t="shared" ref="B1051:K1051" si="13">AVERAGE(B173:B184)</f>
        <v>3.7820583333333331</v>
      </c>
      <c r="C1051" s="60">
        <f t="shared" si="13"/>
        <v>3.7820583333333331</v>
      </c>
      <c r="D1051" s="60">
        <f t="shared" si="13"/>
        <v>3.8052083333333329</v>
      </c>
      <c r="E1051" s="60">
        <f t="shared" si="13"/>
        <v>4.3054249999999996</v>
      </c>
      <c r="F1051" s="60">
        <f t="shared" si="13"/>
        <v>4.3054249999999996</v>
      </c>
      <c r="G1051" s="60">
        <f t="shared" si="13"/>
        <v>4.3063833333333337</v>
      </c>
      <c r="H1051" s="60">
        <f t="shared" si="13"/>
        <v>8.0207499999999996</v>
      </c>
      <c r="I1051" s="60">
        <f t="shared" si="13"/>
        <v>8.0216750000000001</v>
      </c>
      <c r="J1051" s="60">
        <f t="shared" si="13"/>
        <v>4.3054249999999996</v>
      </c>
      <c r="K1051" s="60">
        <f t="shared" si="13"/>
        <v>4.3063833333333337</v>
      </c>
    </row>
    <row r="1052" spans="1:11" ht="15">
      <c r="A1052" s="3">
        <v>2030</v>
      </c>
      <c r="B1052" s="60">
        <f t="shared" ref="B1052:K1052" si="14">AVERAGE(B185:B196)</f>
        <v>3.8811916666666666</v>
      </c>
      <c r="C1052" s="60">
        <f t="shared" si="14"/>
        <v>3.8811916666666666</v>
      </c>
      <c r="D1052" s="60">
        <f t="shared" si="14"/>
        <v>3.9043500000000009</v>
      </c>
      <c r="E1052" s="60">
        <f t="shared" si="14"/>
        <v>4.4246083333333326</v>
      </c>
      <c r="F1052" s="60">
        <f t="shared" si="14"/>
        <v>4.4246083333333326</v>
      </c>
      <c r="G1052" s="60">
        <f t="shared" si="14"/>
        <v>4.4255750000000003</v>
      </c>
      <c r="H1052" s="60">
        <f t="shared" si="14"/>
        <v>8.2235750000000003</v>
      </c>
      <c r="I1052" s="60">
        <f t="shared" si="14"/>
        <v>8.2245333333333317</v>
      </c>
      <c r="J1052" s="60">
        <f t="shared" si="14"/>
        <v>4.4246083333333326</v>
      </c>
      <c r="K1052" s="60">
        <f t="shared" si="14"/>
        <v>4.4255750000000003</v>
      </c>
    </row>
    <row r="1053" spans="1:11" ht="15">
      <c r="A1053" s="3">
        <v>2031</v>
      </c>
      <c r="B1053" s="60">
        <f t="shared" ref="B1053:K1053" si="15">AVERAGE(B197:B208)</f>
        <v>3.9861666666666671</v>
      </c>
      <c r="C1053" s="60">
        <f t="shared" si="15"/>
        <v>3.9861666666666671</v>
      </c>
      <c r="D1053" s="60">
        <f t="shared" si="15"/>
        <v>4.0092916666666669</v>
      </c>
      <c r="E1053" s="60">
        <f t="shared" si="15"/>
        <v>4.564283333333333</v>
      </c>
      <c r="F1053" s="60">
        <f t="shared" si="15"/>
        <v>4.564283333333333</v>
      </c>
      <c r="G1053" s="60">
        <f t="shared" si="15"/>
        <v>4.5652333333333335</v>
      </c>
      <c r="H1053" s="60">
        <f t="shared" si="15"/>
        <v>8.4315499999999997</v>
      </c>
      <c r="I1053" s="60">
        <f t="shared" si="15"/>
        <v>8.4324750000000002</v>
      </c>
      <c r="J1053" s="60">
        <f t="shared" si="15"/>
        <v>4.564283333333333</v>
      </c>
      <c r="K1053" s="60">
        <f t="shared" si="15"/>
        <v>4.5652333333333335</v>
      </c>
    </row>
    <row r="1054" spans="1:11" ht="15">
      <c r="A1054" s="3">
        <v>2032</v>
      </c>
      <c r="B1054" s="60">
        <f t="shared" ref="B1054:K1054" si="16">AVERAGE(B209:B220)</f>
        <v>4.1071416666666662</v>
      </c>
      <c r="C1054" s="60">
        <f t="shared" si="16"/>
        <v>4.1071416666666662</v>
      </c>
      <c r="D1054" s="60">
        <f t="shared" si="16"/>
        <v>4.1302666666666665</v>
      </c>
      <c r="E1054" s="60">
        <f t="shared" si="16"/>
        <v>4.7087666666666665</v>
      </c>
      <c r="F1054" s="60">
        <f t="shared" si="16"/>
        <v>4.7087666666666665</v>
      </c>
      <c r="G1054" s="60">
        <f t="shared" si="16"/>
        <v>4.7096916666666671</v>
      </c>
      <c r="H1054" s="60">
        <f t="shared" si="16"/>
        <v>8.6447666666666674</v>
      </c>
      <c r="I1054" s="60">
        <f t="shared" si="16"/>
        <v>8.6457166666666652</v>
      </c>
      <c r="J1054" s="60">
        <f t="shared" si="16"/>
        <v>4.7087666666666665</v>
      </c>
      <c r="K1054" s="60">
        <f t="shared" si="16"/>
        <v>4.7096916666666671</v>
      </c>
    </row>
    <row r="1055" spans="1:11" ht="15">
      <c r="A1055" s="3">
        <v>2033</v>
      </c>
      <c r="B1055" s="60">
        <f t="shared" ref="B1055:K1055" si="17">AVERAGE(B221:B232)</f>
        <v>4.2320083333333329</v>
      </c>
      <c r="C1055" s="60">
        <f t="shared" si="17"/>
        <v>4.2320083333333329</v>
      </c>
      <c r="D1055" s="60">
        <f t="shared" si="17"/>
        <v>4.2551750000000004</v>
      </c>
      <c r="E1055" s="60">
        <f t="shared" si="17"/>
        <v>4.8575416666666671</v>
      </c>
      <c r="F1055" s="60">
        <f t="shared" si="17"/>
        <v>4.8575416666666671</v>
      </c>
      <c r="G1055" s="60">
        <f t="shared" si="17"/>
        <v>4.858483333333333</v>
      </c>
      <c r="H1055" s="60">
        <f t="shared" si="17"/>
        <v>8.8633666666666659</v>
      </c>
      <c r="I1055" s="60">
        <f t="shared" si="17"/>
        <v>8.8643166666666655</v>
      </c>
      <c r="J1055" s="60">
        <f t="shared" si="17"/>
        <v>4.8575416666666671</v>
      </c>
      <c r="K1055" s="60">
        <f t="shared" si="17"/>
        <v>4.858483333333333</v>
      </c>
    </row>
    <row r="1056" spans="1:11" ht="15">
      <c r="A1056" s="3">
        <v>2034</v>
      </c>
      <c r="B1056" s="60">
        <f t="shared" ref="B1056:K1056" si="18">AVERAGE(B233:B244)</f>
        <v>4.3617000000000008</v>
      </c>
      <c r="C1056" s="60">
        <f t="shared" si="18"/>
        <v>4.3617000000000008</v>
      </c>
      <c r="D1056" s="60">
        <f t="shared" si="18"/>
        <v>4.3848499999999992</v>
      </c>
      <c r="E1056" s="60">
        <f t="shared" si="18"/>
        <v>5.0112666666666668</v>
      </c>
      <c r="F1056" s="60">
        <f t="shared" si="18"/>
        <v>5.0112666666666668</v>
      </c>
      <c r="G1056" s="60">
        <f t="shared" si="18"/>
        <v>5.0122166666666663</v>
      </c>
      <c r="H1056" s="60">
        <f t="shared" si="18"/>
        <v>9.0875166666666658</v>
      </c>
      <c r="I1056" s="60">
        <f t="shared" si="18"/>
        <v>9.0884666666666671</v>
      </c>
      <c r="J1056" s="60">
        <f t="shared" si="18"/>
        <v>5.0112666666666668</v>
      </c>
      <c r="K1056" s="60">
        <f t="shared" si="18"/>
        <v>5.0122166666666663</v>
      </c>
    </row>
    <row r="1057" spans="1:11" ht="15">
      <c r="A1057" s="3">
        <v>2035</v>
      </c>
      <c r="B1057" s="60">
        <f t="shared" ref="B1057:K1057" si="19">AVERAGE(B245:B256)</f>
        <v>4.4858083333333338</v>
      </c>
      <c r="C1057" s="60">
        <f t="shared" si="19"/>
        <v>4.4858083333333338</v>
      </c>
      <c r="D1057" s="60">
        <f t="shared" si="19"/>
        <v>4.5089666666666668</v>
      </c>
      <c r="E1057" s="60">
        <f t="shared" si="19"/>
        <v>5.1507166666666668</v>
      </c>
      <c r="F1057" s="60">
        <f t="shared" si="19"/>
        <v>5.1507166666666668</v>
      </c>
      <c r="G1057" s="60">
        <f t="shared" si="19"/>
        <v>5.1516499999999992</v>
      </c>
      <c r="H1057" s="60">
        <f t="shared" si="19"/>
        <v>9.3173083333333349</v>
      </c>
      <c r="I1057" s="60">
        <f t="shared" si="19"/>
        <v>9.3182583333333344</v>
      </c>
      <c r="J1057" s="60">
        <f t="shared" si="19"/>
        <v>5.1507166666666668</v>
      </c>
      <c r="K1057" s="60">
        <f t="shared" si="19"/>
        <v>5.1516499999999992</v>
      </c>
    </row>
    <row r="1058" spans="1:11" ht="15">
      <c r="A1058" s="3">
        <v>2036</v>
      </c>
      <c r="B1058" s="60">
        <f t="shared" ref="B1058:K1058" si="20">AVERAGE(B257:B268)</f>
        <v>4.6092000000000004</v>
      </c>
      <c r="C1058" s="60">
        <f t="shared" si="20"/>
        <v>4.6092000000000004</v>
      </c>
      <c r="D1058" s="60">
        <f t="shared" si="20"/>
        <v>4.6323416666666661</v>
      </c>
      <c r="E1058" s="60">
        <f t="shared" si="20"/>
        <v>5.2943249999999997</v>
      </c>
      <c r="F1058" s="60">
        <f t="shared" si="20"/>
        <v>5.2943249999999997</v>
      </c>
      <c r="G1058" s="60">
        <f t="shared" si="20"/>
        <v>5.2952750000000002</v>
      </c>
      <c r="H1058" s="60">
        <f t="shared" si="20"/>
        <v>9.5529416666666673</v>
      </c>
      <c r="I1058" s="60">
        <f t="shared" si="20"/>
        <v>9.5539000000000005</v>
      </c>
      <c r="J1058" s="60">
        <f t="shared" si="20"/>
        <v>5.2943249999999997</v>
      </c>
      <c r="K1058" s="60">
        <f t="shared" si="20"/>
        <v>5.2952750000000002</v>
      </c>
    </row>
    <row r="1059" spans="1:11" ht="15">
      <c r="A1059" s="3">
        <v>2037</v>
      </c>
      <c r="B1059" s="60">
        <f t="shared" ref="B1059:K1059" si="21">AVERAGE(B269:B280)</f>
        <v>4.7357500000000003</v>
      </c>
      <c r="C1059" s="60">
        <f t="shared" si="21"/>
        <v>4.7357500000000003</v>
      </c>
      <c r="D1059" s="60">
        <f t="shared" si="21"/>
        <v>4.7588999999999997</v>
      </c>
      <c r="E1059" s="60">
        <f t="shared" si="21"/>
        <v>5.441816666666667</v>
      </c>
      <c r="F1059" s="60">
        <f t="shared" si="21"/>
        <v>5.441816666666667</v>
      </c>
      <c r="G1059" s="60">
        <f t="shared" si="21"/>
        <v>5.4427666666666665</v>
      </c>
      <c r="H1059" s="60">
        <f t="shared" si="21"/>
        <v>9.7945249999999984</v>
      </c>
      <c r="I1059" s="60">
        <f t="shared" si="21"/>
        <v>9.7954666666666661</v>
      </c>
      <c r="J1059" s="60">
        <f t="shared" si="21"/>
        <v>5.441816666666667</v>
      </c>
      <c r="K1059" s="60">
        <f t="shared" si="21"/>
        <v>5.4427666666666665</v>
      </c>
    </row>
    <row r="1060" spans="1:11" ht="15">
      <c r="A1060" s="3">
        <v>2038</v>
      </c>
      <c r="B1060" s="60">
        <f t="shared" ref="B1060:K1060" si="22">AVERAGE(B281:B292)</f>
        <v>4.8654333333333337</v>
      </c>
      <c r="C1060" s="60">
        <f t="shared" si="22"/>
        <v>4.8654333333333337</v>
      </c>
      <c r="D1060" s="60">
        <f t="shared" si="22"/>
        <v>4.8885833333333339</v>
      </c>
      <c r="E1060" s="60">
        <f t="shared" si="22"/>
        <v>5.594408333333333</v>
      </c>
      <c r="F1060" s="60">
        <f t="shared" si="22"/>
        <v>5.594408333333333</v>
      </c>
      <c r="G1060" s="60">
        <f t="shared" si="22"/>
        <v>5.5953750000000007</v>
      </c>
      <c r="H1060" s="60">
        <f t="shared" si="22"/>
        <v>10.042208333333333</v>
      </c>
      <c r="I1060" s="60">
        <f t="shared" si="22"/>
        <v>10.043141666666669</v>
      </c>
      <c r="J1060" s="60">
        <f t="shared" si="22"/>
        <v>5.594408333333333</v>
      </c>
      <c r="K1060" s="60">
        <f t="shared" si="22"/>
        <v>5.5953750000000007</v>
      </c>
    </row>
    <row r="1061" spans="1:11" ht="15">
      <c r="A1061" s="3">
        <v>2039</v>
      </c>
      <c r="B1061" s="60">
        <f t="shared" ref="B1061:K1061" si="23">AVERAGE(B293:B304)</f>
        <v>5.0003166666666656</v>
      </c>
      <c r="C1061" s="60">
        <f t="shared" si="23"/>
        <v>5.0003166666666656</v>
      </c>
      <c r="D1061" s="60">
        <f t="shared" si="23"/>
        <v>5.0234750000000004</v>
      </c>
      <c r="E1061" s="60">
        <f t="shared" si="23"/>
        <v>5.749200000000001</v>
      </c>
      <c r="F1061" s="60">
        <f t="shared" si="23"/>
        <v>5.749200000000001</v>
      </c>
      <c r="G1061" s="60">
        <f t="shared" si="23"/>
        <v>5.7501416666666652</v>
      </c>
      <c r="H1061" s="60">
        <f t="shared" si="23"/>
        <v>10.296166666666666</v>
      </c>
      <c r="I1061" s="60">
        <f t="shared" si="23"/>
        <v>10.297083333333333</v>
      </c>
      <c r="J1061" s="60">
        <f t="shared" si="23"/>
        <v>5.749200000000001</v>
      </c>
      <c r="K1061" s="60">
        <f t="shared" si="23"/>
        <v>5.7501416666666652</v>
      </c>
    </row>
    <row r="1062" spans="1:11" ht="15">
      <c r="A1062" s="3">
        <v>2040</v>
      </c>
      <c r="B1062" s="60">
        <f t="shared" ref="B1062:K1062" si="24">AVERAGE(B305:B316)</f>
        <v>5.136425</v>
      </c>
      <c r="C1062" s="60">
        <f t="shared" si="24"/>
        <v>5.136425</v>
      </c>
      <c r="D1062" s="60">
        <f t="shared" si="24"/>
        <v>5.159583333333333</v>
      </c>
      <c r="E1062" s="60">
        <f t="shared" si="24"/>
        <v>5.9101166666666662</v>
      </c>
      <c r="F1062" s="60">
        <f t="shared" si="24"/>
        <v>5.9101166666666662</v>
      </c>
      <c r="G1062" s="60">
        <f t="shared" si="24"/>
        <v>5.9110666666666667</v>
      </c>
      <c r="H1062" s="60">
        <f t="shared" si="24"/>
        <v>10.556541666666666</v>
      </c>
      <c r="I1062" s="60">
        <f t="shared" si="24"/>
        <v>10.557491666666666</v>
      </c>
      <c r="J1062" s="60">
        <f t="shared" si="24"/>
        <v>5.9101166666666662</v>
      </c>
      <c r="K1062" s="60">
        <f t="shared" si="24"/>
        <v>5.9110666666666667</v>
      </c>
    </row>
    <row r="1063" spans="1:11" ht="15">
      <c r="A1063" s="3">
        <v>2041</v>
      </c>
      <c r="B1063" s="60">
        <f t="shared" ref="B1063:K1063" si="25">AVERAGE(B317:B328)</f>
        <v>5.2762833333333345</v>
      </c>
      <c r="C1063" s="60">
        <f t="shared" si="25"/>
        <v>5.2762833333333345</v>
      </c>
      <c r="D1063" s="60">
        <f t="shared" si="25"/>
        <v>5.2994249999999994</v>
      </c>
      <c r="E1063" s="60">
        <f t="shared" si="25"/>
        <v>6.0755333333333335</v>
      </c>
      <c r="F1063" s="60">
        <f t="shared" si="25"/>
        <v>6.0755333333333335</v>
      </c>
      <c r="G1063" s="60">
        <f t="shared" si="25"/>
        <v>6.0764916666666666</v>
      </c>
      <c r="H1063" s="60">
        <f t="shared" si="25"/>
        <v>10.823500000000001</v>
      </c>
      <c r="I1063" s="60">
        <f t="shared" si="25"/>
        <v>10.824433333333333</v>
      </c>
      <c r="J1063" s="60">
        <f t="shared" si="25"/>
        <v>6.0755333333333335</v>
      </c>
      <c r="K1063" s="60">
        <f t="shared" si="25"/>
        <v>6.0764916666666666</v>
      </c>
    </row>
    <row r="1064" spans="1:11" ht="15">
      <c r="A1064" s="3">
        <v>2042</v>
      </c>
      <c r="B1064" s="60">
        <f t="shared" ref="B1064:K1064" si="26">AVERAGE(B329:B340)</f>
        <v>5.4200000000000008</v>
      </c>
      <c r="C1064" s="60">
        <f t="shared" si="26"/>
        <v>5.4200000000000008</v>
      </c>
      <c r="D1064" s="60">
        <f t="shared" si="26"/>
        <v>5.4431249999999993</v>
      </c>
      <c r="E1064" s="60">
        <f t="shared" si="26"/>
        <v>6.2455916666666669</v>
      </c>
      <c r="F1064" s="60">
        <f t="shared" si="26"/>
        <v>6.2455916666666669</v>
      </c>
      <c r="G1064" s="60">
        <f t="shared" si="26"/>
        <v>6.2465333333333328</v>
      </c>
      <c r="H1064" s="60">
        <f t="shared" si="26"/>
        <v>11.097200000000001</v>
      </c>
      <c r="I1064" s="60">
        <f t="shared" si="26"/>
        <v>11.098149999999999</v>
      </c>
      <c r="J1064" s="60">
        <f t="shared" si="26"/>
        <v>6.2455916666666669</v>
      </c>
      <c r="K1064" s="60">
        <f t="shared" si="26"/>
        <v>6.2465333333333328</v>
      </c>
    </row>
    <row r="1065" spans="1:11" ht="15">
      <c r="A1065" s="3">
        <v>2043</v>
      </c>
      <c r="B1065" s="60">
        <f t="shared" ref="B1065:K1065" si="27">AVERAGE(B341:B352)</f>
        <v>5.5676416666666659</v>
      </c>
      <c r="C1065" s="60">
        <f t="shared" si="27"/>
        <v>5.5676416666666659</v>
      </c>
      <c r="D1065" s="60">
        <f t="shared" si="27"/>
        <v>5.5907749999999998</v>
      </c>
      <c r="E1065" s="60">
        <f t="shared" si="27"/>
        <v>6.4204000000000008</v>
      </c>
      <c r="F1065" s="60">
        <f t="shared" si="27"/>
        <v>6.4204000000000008</v>
      </c>
      <c r="G1065" s="60">
        <f t="shared" si="27"/>
        <v>6.4213333333333331</v>
      </c>
      <c r="H1065" s="60">
        <f t="shared" si="27"/>
        <v>11.377841666666667</v>
      </c>
      <c r="I1065" s="60">
        <f t="shared" si="27"/>
        <v>11.378774999999999</v>
      </c>
      <c r="J1065" s="60">
        <f t="shared" si="27"/>
        <v>6.4204000000000008</v>
      </c>
      <c r="K1065" s="60">
        <f t="shared" si="27"/>
        <v>6.4213333333333331</v>
      </c>
    </row>
    <row r="1066" spans="1:11" ht="15">
      <c r="A1066" s="3">
        <v>2044</v>
      </c>
      <c r="B1066" s="60">
        <f t="shared" ref="B1066:K1066" si="28">AVERAGE(B353:B364)</f>
        <v>5.7193499999999995</v>
      </c>
      <c r="C1066" s="60">
        <f t="shared" si="28"/>
        <v>5.7193499999999995</v>
      </c>
      <c r="D1066" s="60">
        <f t="shared" si="28"/>
        <v>5.7424916666666661</v>
      </c>
      <c r="E1066" s="60">
        <f t="shared" si="28"/>
        <v>6.6000916666666649</v>
      </c>
      <c r="F1066" s="60">
        <f t="shared" si="28"/>
        <v>6.6000916666666649</v>
      </c>
      <c r="G1066" s="60">
        <f t="shared" si="28"/>
        <v>6.6010416666666645</v>
      </c>
      <c r="H1066" s="60">
        <f t="shared" si="28"/>
        <v>11.665550000000001</v>
      </c>
      <c r="I1066" s="60">
        <f t="shared" si="28"/>
        <v>11.666508333333333</v>
      </c>
      <c r="J1066" s="60">
        <f t="shared" si="28"/>
        <v>6.6000916666666649</v>
      </c>
      <c r="K1066" s="60">
        <f t="shared" si="28"/>
        <v>6.6010416666666645</v>
      </c>
    </row>
    <row r="1067" spans="1:11" ht="15">
      <c r="A1067" s="3">
        <v>2045</v>
      </c>
      <c r="B1067" s="60">
        <f t="shared" ref="B1067:K1067" si="29">AVERAGE(B365:B376)</f>
        <v>5.875233333333334</v>
      </c>
      <c r="C1067" s="60">
        <f t="shared" si="29"/>
        <v>5.875233333333334</v>
      </c>
      <c r="D1067" s="60">
        <f t="shared" si="29"/>
        <v>5.8983833333333324</v>
      </c>
      <c r="E1067" s="60">
        <f t="shared" si="29"/>
        <v>6.784841666666666</v>
      </c>
      <c r="F1067" s="60">
        <f t="shared" si="29"/>
        <v>6.784841666666666</v>
      </c>
      <c r="G1067" s="60">
        <f t="shared" si="29"/>
        <v>6.7857750000000001</v>
      </c>
      <c r="H1067" s="60">
        <f t="shared" si="29"/>
        <v>11.960566666666667</v>
      </c>
      <c r="I1067" s="60">
        <f t="shared" si="29"/>
        <v>11.961516666666666</v>
      </c>
      <c r="J1067" s="60">
        <f t="shared" si="29"/>
        <v>6.784841666666666</v>
      </c>
      <c r="K1067" s="60">
        <f t="shared" si="29"/>
        <v>6.7857750000000001</v>
      </c>
    </row>
    <row r="1068" spans="1:11" ht="15">
      <c r="A1068" s="3">
        <v>2046</v>
      </c>
      <c r="B1068" s="60">
        <f t="shared" ref="B1068:K1068" si="30">AVERAGE(B377:B388)</f>
        <v>6.0354000000000001</v>
      </c>
      <c r="C1068" s="60">
        <f t="shared" si="30"/>
        <v>6.0354000000000001</v>
      </c>
      <c r="D1068" s="60">
        <f t="shared" si="30"/>
        <v>6.0585416666666667</v>
      </c>
      <c r="E1068" s="60">
        <f t="shared" si="30"/>
        <v>6.9747249999999994</v>
      </c>
      <c r="F1068" s="60">
        <f t="shared" si="30"/>
        <v>6.9747249999999994</v>
      </c>
      <c r="G1068" s="60">
        <f t="shared" si="30"/>
        <v>6.9756833333333335</v>
      </c>
      <c r="H1068" s="60">
        <f t="shared" si="30"/>
        <v>12.263041666666666</v>
      </c>
      <c r="I1068" s="60">
        <f t="shared" si="30"/>
        <v>12.263983333333334</v>
      </c>
      <c r="J1068" s="60">
        <f t="shared" si="30"/>
        <v>6.9747249999999994</v>
      </c>
      <c r="K1068" s="60">
        <f t="shared" si="30"/>
        <v>6.9756833333333335</v>
      </c>
    </row>
    <row r="1069" spans="1:11" ht="15">
      <c r="A1069" s="3">
        <v>2047</v>
      </c>
      <c r="B1069" s="60">
        <f t="shared" ref="B1069:K1069" si="31">AVERAGE(B389:B400)</f>
        <v>6.1999666666666657</v>
      </c>
      <c r="C1069" s="60">
        <f t="shared" si="31"/>
        <v>6.1999666666666657</v>
      </c>
      <c r="D1069" s="60">
        <f t="shared" si="31"/>
        <v>6.2231333333333332</v>
      </c>
      <c r="E1069" s="60">
        <f t="shared" si="31"/>
        <v>7.1699499999999992</v>
      </c>
      <c r="F1069" s="60">
        <f t="shared" si="31"/>
        <v>7.1699499999999992</v>
      </c>
      <c r="G1069" s="60">
        <f t="shared" si="31"/>
        <v>7.1709083333333323</v>
      </c>
      <c r="H1069" s="60">
        <f t="shared" si="31"/>
        <v>12.573133333333333</v>
      </c>
      <c r="I1069" s="60">
        <f t="shared" si="31"/>
        <v>12.574091666666668</v>
      </c>
      <c r="J1069" s="60">
        <f t="shared" si="31"/>
        <v>7.1699499999999992</v>
      </c>
      <c r="K1069" s="60">
        <f t="shared" si="31"/>
        <v>7.1709083333333323</v>
      </c>
    </row>
    <row r="1070" spans="1:11" ht="15">
      <c r="A1070" s="3">
        <v>2048</v>
      </c>
      <c r="B1070" s="60">
        <f t="shared" ref="B1070:K1070" si="32">AVERAGE(B401:B412)</f>
        <v>6.3690833333333332</v>
      </c>
      <c r="C1070" s="60">
        <f t="shared" si="32"/>
        <v>6.3690833333333332</v>
      </c>
      <c r="D1070" s="60">
        <f t="shared" si="32"/>
        <v>6.3922249999999998</v>
      </c>
      <c r="E1070" s="60">
        <f t="shared" si="32"/>
        <v>7.3706416666666676</v>
      </c>
      <c r="F1070" s="60">
        <f t="shared" si="32"/>
        <v>7.3706416666666676</v>
      </c>
      <c r="G1070" s="60">
        <f t="shared" si="32"/>
        <v>7.3715916666666672</v>
      </c>
      <c r="H1070" s="60">
        <f t="shared" si="32"/>
        <v>12.891116666666667</v>
      </c>
      <c r="I1070" s="60">
        <f t="shared" si="32"/>
        <v>12.892033333333332</v>
      </c>
      <c r="J1070" s="60">
        <f t="shared" si="32"/>
        <v>7.3706416666666676</v>
      </c>
      <c r="K1070" s="60">
        <f t="shared" si="32"/>
        <v>7.3715916666666672</v>
      </c>
    </row>
    <row r="1071" spans="1:11" ht="15">
      <c r="A1071" s="3">
        <v>2049</v>
      </c>
      <c r="B1071" s="60">
        <f t="shared" ref="B1071:K1071" si="33">AVERAGE(B413:B424)</f>
        <v>6.5428583333333341</v>
      </c>
      <c r="C1071" s="60">
        <f t="shared" si="33"/>
        <v>6.5428583333333341</v>
      </c>
      <c r="D1071" s="60">
        <f t="shared" si="33"/>
        <v>6.5659999999999998</v>
      </c>
      <c r="E1071" s="60">
        <f t="shared" si="33"/>
        <v>7.5769250000000001</v>
      </c>
      <c r="F1071" s="60">
        <f t="shared" si="33"/>
        <v>7.5769250000000001</v>
      </c>
      <c r="G1071" s="60">
        <f t="shared" si="33"/>
        <v>7.5778916666666669</v>
      </c>
      <c r="H1071" s="60">
        <f t="shared" si="33"/>
        <v>13.217100000000002</v>
      </c>
      <c r="I1071" s="60">
        <f t="shared" si="33"/>
        <v>13.218033333333333</v>
      </c>
      <c r="J1071" s="60">
        <f t="shared" si="33"/>
        <v>7.5769250000000001</v>
      </c>
      <c r="K1071" s="60">
        <f t="shared" si="33"/>
        <v>7.5778916666666669</v>
      </c>
    </row>
    <row r="1072" spans="1:11" ht="15">
      <c r="A1072" s="3">
        <v>2050</v>
      </c>
      <c r="B1072" s="60">
        <f t="shared" ref="B1072:K1072" si="34">AVERAGE(B425:B436)</f>
        <v>6.7214083333333337</v>
      </c>
      <c r="C1072" s="60">
        <f t="shared" si="34"/>
        <v>6.7214083333333337</v>
      </c>
      <c r="D1072" s="60">
        <f t="shared" si="34"/>
        <v>6.744533333333333</v>
      </c>
      <c r="E1072" s="60">
        <f t="shared" si="34"/>
        <v>7.7890083333333324</v>
      </c>
      <c r="F1072" s="60">
        <f t="shared" si="34"/>
        <v>7.7890083333333324</v>
      </c>
      <c r="G1072" s="60">
        <f t="shared" si="34"/>
        <v>7.7899333333333329</v>
      </c>
      <c r="H1072" s="60">
        <f t="shared" si="34"/>
        <v>13.551349999999999</v>
      </c>
      <c r="I1072" s="60">
        <f t="shared" si="34"/>
        <v>13.552275</v>
      </c>
      <c r="J1072" s="60">
        <f t="shared" si="34"/>
        <v>7.7890083333333324</v>
      </c>
      <c r="K1072" s="60">
        <f t="shared" si="34"/>
        <v>7.7899333333333329</v>
      </c>
    </row>
    <row r="1073" spans="1:11" ht="15">
      <c r="A1073" s="3">
        <v>2051</v>
      </c>
      <c r="B1073" s="60">
        <f t="shared" ref="B1073:K1073" si="35">AVERAGE(B437:B448)</f>
        <v>6.9048833333333333</v>
      </c>
      <c r="C1073" s="60">
        <f t="shared" si="35"/>
        <v>6.9048833333333333</v>
      </c>
      <c r="D1073" s="60">
        <f t="shared" si="35"/>
        <v>6.9280166666666672</v>
      </c>
      <c r="E1073" s="60">
        <f t="shared" si="35"/>
        <v>8.0070083333333333</v>
      </c>
      <c r="F1073" s="60">
        <f t="shared" si="35"/>
        <v>8.0070083333333333</v>
      </c>
      <c r="G1073" s="60">
        <f t="shared" si="35"/>
        <v>8.007950000000001</v>
      </c>
      <c r="H1073" s="60">
        <f t="shared" si="35"/>
        <v>13.894016666666666</v>
      </c>
      <c r="I1073" s="60">
        <f t="shared" si="35"/>
        <v>13.894974999999997</v>
      </c>
      <c r="J1073" s="60">
        <f t="shared" si="35"/>
        <v>8.0070083333333333</v>
      </c>
      <c r="K1073" s="60">
        <f t="shared" si="35"/>
        <v>8.007950000000001</v>
      </c>
    </row>
    <row r="1074" spans="1:11" ht="15">
      <c r="A1074" s="3">
        <v>2052</v>
      </c>
      <c r="B1074" s="60">
        <f t="shared" ref="B1074:K1074" si="36">AVERAGE(B449:B460)</f>
        <v>7.0933999999999999</v>
      </c>
      <c r="C1074" s="60">
        <f t="shared" si="36"/>
        <v>7.0933999999999999</v>
      </c>
      <c r="D1074" s="60">
        <f t="shared" si="36"/>
        <v>7.1165416666666657</v>
      </c>
      <c r="E1074" s="60">
        <f t="shared" si="36"/>
        <v>8.2311083333333332</v>
      </c>
      <c r="F1074" s="60">
        <f t="shared" si="36"/>
        <v>8.2311083333333332</v>
      </c>
      <c r="G1074" s="60">
        <f t="shared" si="36"/>
        <v>8.2320583333333328</v>
      </c>
      <c r="H1074" s="60">
        <f t="shared" si="36"/>
        <v>14.245383333333331</v>
      </c>
      <c r="I1074" s="60">
        <f t="shared" si="36"/>
        <v>14.246341666666666</v>
      </c>
      <c r="J1074" s="60">
        <f t="shared" si="36"/>
        <v>8.2311083333333332</v>
      </c>
      <c r="K1074" s="60">
        <f t="shared" si="36"/>
        <v>8.2320583333333328</v>
      </c>
    </row>
    <row r="1075" spans="1:11" ht="15">
      <c r="A1075" s="3">
        <v>2053</v>
      </c>
      <c r="B1075" s="60">
        <f t="shared" ref="B1075:K1075" si="37">AVERAGE(B461:B472)</f>
        <v>7.2871333333333324</v>
      </c>
      <c r="C1075" s="60">
        <f t="shared" si="37"/>
        <v>7.2871333333333324</v>
      </c>
      <c r="D1075" s="60">
        <f t="shared" si="37"/>
        <v>7.3102749999999999</v>
      </c>
      <c r="E1075" s="60">
        <f t="shared" si="37"/>
        <v>8.4614916666666673</v>
      </c>
      <c r="F1075" s="60">
        <f t="shared" si="37"/>
        <v>8.4614916666666673</v>
      </c>
      <c r="G1075" s="60">
        <f t="shared" si="37"/>
        <v>8.4624499999999987</v>
      </c>
      <c r="H1075" s="60">
        <f t="shared" si="37"/>
        <v>14.605633333333332</v>
      </c>
      <c r="I1075" s="60">
        <f t="shared" si="37"/>
        <v>14.606591666666667</v>
      </c>
      <c r="J1075" s="60">
        <f t="shared" si="37"/>
        <v>8.4614916666666673</v>
      </c>
      <c r="K1075" s="60">
        <f t="shared" si="37"/>
        <v>8.4624499999999987</v>
      </c>
    </row>
    <row r="1076" spans="1:11" ht="15">
      <c r="A1076" s="3">
        <v>2054</v>
      </c>
      <c r="B1076" s="60">
        <f t="shared" ref="B1076:K1076" si="38">AVERAGE(B473:B484)</f>
        <v>7.4862000000000011</v>
      </c>
      <c r="C1076" s="60">
        <f t="shared" si="38"/>
        <v>7.4862000000000011</v>
      </c>
      <c r="D1076" s="60">
        <f t="shared" si="38"/>
        <v>7.5093250000000014</v>
      </c>
      <c r="E1076" s="60">
        <f t="shared" si="38"/>
        <v>8.6983249999999988</v>
      </c>
      <c r="F1076" s="60">
        <f t="shared" si="38"/>
        <v>8.6983249999999988</v>
      </c>
      <c r="G1076" s="60">
        <f t="shared" si="38"/>
        <v>8.6992583333333329</v>
      </c>
      <c r="H1076" s="60">
        <f t="shared" si="38"/>
        <v>14.974983333333332</v>
      </c>
      <c r="I1076" s="60">
        <f t="shared" si="38"/>
        <v>14.975933333333336</v>
      </c>
      <c r="J1076" s="60">
        <f t="shared" si="38"/>
        <v>8.6983249999999988</v>
      </c>
      <c r="K1076" s="60">
        <f t="shared" si="38"/>
        <v>8.6992583333333329</v>
      </c>
    </row>
    <row r="1077" spans="1:11" ht="15">
      <c r="A1077" s="3">
        <v>2055</v>
      </c>
      <c r="B1077" s="60">
        <f t="shared" ref="B1077:K1077" si="39">AVERAGE(B17:B496)</f>
        <v>4.76862708333333</v>
      </c>
      <c r="C1077" s="60">
        <f t="shared" si="39"/>
        <v>4.76862708333333</v>
      </c>
      <c r="D1077" s="60">
        <f t="shared" si="39"/>
        <v>4.7917706250000025</v>
      </c>
      <c r="E1077" s="60">
        <f t="shared" si="39"/>
        <v>5.5242174999999962</v>
      </c>
      <c r="F1077" s="60">
        <f t="shared" si="39"/>
        <v>5.540703749999996</v>
      </c>
      <c r="G1077" s="60">
        <f t="shared" si="39"/>
        <v>5.5416541666666701</v>
      </c>
      <c r="H1077" s="60">
        <f t="shared" si="39"/>
        <v>9.8313470833333287</v>
      </c>
      <c r="I1077" s="60">
        <f t="shared" si="39"/>
        <v>9.832293125000005</v>
      </c>
      <c r="J1077" s="60">
        <f t="shared" si="39"/>
        <v>5.5242174999999962</v>
      </c>
      <c r="K1077" s="60">
        <f t="shared" si="39"/>
        <v>5.5251683333333368</v>
      </c>
    </row>
    <row r="1078" spans="1:11" ht="15">
      <c r="A1078" s="3">
        <v>2056</v>
      </c>
      <c r="B1078" s="60">
        <f t="shared" ref="B1078:K1078" si="40">AVERAGE(B497:B508)</f>
        <v>7.9009416666666672</v>
      </c>
      <c r="C1078" s="60">
        <f t="shared" si="40"/>
        <v>7.9009416666666672</v>
      </c>
      <c r="D1078" s="60">
        <f t="shared" si="40"/>
        <v>7.9240916666666665</v>
      </c>
      <c r="E1078" s="60">
        <f t="shared" si="40"/>
        <v>9.192025000000001</v>
      </c>
      <c r="F1078" s="60">
        <f t="shared" si="40"/>
        <v>9.192025000000001</v>
      </c>
      <c r="G1078" s="60">
        <f t="shared" si="40"/>
        <v>9.1929749999999988</v>
      </c>
      <c r="H1078" s="60">
        <f t="shared" si="40"/>
        <v>15.741966666666665</v>
      </c>
      <c r="I1078" s="60">
        <f t="shared" si="40"/>
        <v>15.742900000000001</v>
      </c>
      <c r="J1078" s="60">
        <f t="shared" si="40"/>
        <v>9.192025000000001</v>
      </c>
      <c r="K1078" s="60">
        <f t="shared" si="40"/>
        <v>9.1929749999999988</v>
      </c>
    </row>
    <row r="1079" spans="1:11" ht="15">
      <c r="A1079" s="3">
        <v>2057</v>
      </c>
      <c r="B1079" s="60">
        <f t="shared" ref="B1079:K1079" si="41">AVERAGE(B509:B520)</f>
        <v>8.1169250000000002</v>
      </c>
      <c r="C1079" s="60">
        <f t="shared" si="41"/>
        <v>8.1169250000000002</v>
      </c>
      <c r="D1079" s="60">
        <f t="shared" si="41"/>
        <v>8.1400749999999977</v>
      </c>
      <c r="E1079" s="60">
        <f t="shared" si="41"/>
        <v>9.4493000000000009</v>
      </c>
      <c r="F1079" s="60">
        <f t="shared" si="41"/>
        <v>9.4493000000000009</v>
      </c>
      <c r="G1079" s="60">
        <f t="shared" si="41"/>
        <v>9.4502416666666651</v>
      </c>
      <c r="H1079" s="60">
        <f t="shared" si="41"/>
        <v>16.140033333333335</v>
      </c>
      <c r="I1079" s="60">
        <f t="shared" si="41"/>
        <v>16.140991666666668</v>
      </c>
      <c r="J1079" s="60">
        <f t="shared" si="41"/>
        <v>9.4493000000000009</v>
      </c>
      <c r="K1079" s="60">
        <f t="shared" si="41"/>
        <v>9.4502416666666651</v>
      </c>
    </row>
    <row r="1080" spans="1:11" ht="15">
      <c r="A1080" s="3">
        <v>2058</v>
      </c>
      <c r="B1080" s="60">
        <f t="shared" ref="B1080:K1080" si="42">AVERAGE(B521:B532)</f>
        <v>8.3388916666666688</v>
      </c>
      <c r="C1080" s="60">
        <f t="shared" si="42"/>
        <v>8.3388916666666688</v>
      </c>
      <c r="D1080" s="60">
        <f t="shared" si="42"/>
        <v>8.3620500000000018</v>
      </c>
      <c r="E1080" s="60">
        <f t="shared" si="42"/>
        <v>9.7137666666666664</v>
      </c>
      <c r="F1080" s="60">
        <f t="shared" si="42"/>
        <v>9.7137666666666664</v>
      </c>
      <c r="G1080" s="60">
        <f t="shared" si="42"/>
        <v>9.714716666666666</v>
      </c>
      <c r="H1080" s="60">
        <f t="shared" si="42"/>
        <v>16.548199999999998</v>
      </c>
      <c r="I1080" s="60">
        <f t="shared" si="42"/>
        <v>16.549125000000004</v>
      </c>
      <c r="J1080" s="60">
        <f t="shared" si="42"/>
        <v>9.7137666666666664</v>
      </c>
      <c r="K1080" s="60">
        <f t="shared" si="42"/>
        <v>9.714716666666666</v>
      </c>
    </row>
    <row r="1081" spans="1:11" ht="15">
      <c r="A1081" s="3">
        <v>2059</v>
      </c>
      <c r="B1081" s="60">
        <f t="shared" ref="B1081:K1081" si="43">AVERAGE(B533:B544)</f>
        <v>8.5669999999999984</v>
      </c>
      <c r="C1081" s="60">
        <f t="shared" si="43"/>
        <v>8.5669999999999984</v>
      </c>
      <c r="D1081" s="60">
        <f t="shared" si="43"/>
        <v>8.5901166666666651</v>
      </c>
      <c r="E1081" s="60">
        <f t="shared" si="43"/>
        <v>9.9856583333333333</v>
      </c>
      <c r="F1081" s="60">
        <f t="shared" si="43"/>
        <v>9.9856583333333333</v>
      </c>
      <c r="G1081" s="60">
        <f t="shared" si="43"/>
        <v>9.9865916666666674</v>
      </c>
      <c r="H1081" s="60">
        <f t="shared" si="43"/>
        <v>16.966683333333329</v>
      </c>
      <c r="I1081" s="60">
        <f t="shared" si="43"/>
        <v>16.967625000000002</v>
      </c>
      <c r="J1081" s="60">
        <f t="shared" si="43"/>
        <v>9.9856583333333333</v>
      </c>
      <c r="K1081" s="60">
        <f t="shared" si="43"/>
        <v>9.9865916666666674</v>
      </c>
    </row>
    <row r="1082" spans="1:11" ht="15">
      <c r="A1082" s="3">
        <v>2060</v>
      </c>
      <c r="B1082" s="60">
        <f t="shared" ref="B1082:K1082" si="44">AVERAGE(B545:B556)</f>
        <v>8.8013749999999984</v>
      </c>
      <c r="C1082" s="60">
        <f t="shared" si="44"/>
        <v>8.8013749999999984</v>
      </c>
      <c r="D1082" s="60">
        <f t="shared" si="44"/>
        <v>8.8244999999999987</v>
      </c>
      <c r="E1082" s="60">
        <f t="shared" si="44"/>
        <v>10.265124999999999</v>
      </c>
      <c r="F1082" s="60">
        <f t="shared" si="44"/>
        <v>10.265124999999999</v>
      </c>
      <c r="G1082" s="60">
        <f t="shared" si="44"/>
        <v>10.266058333333334</v>
      </c>
      <c r="H1082" s="60">
        <f t="shared" si="44"/>
        <v>17.395733333333336</v>
      </c>
      <c r="I1082" s="60">
        <f t="shared" si="44"/>
        <v>17.396674999999998</v>
      </c>
      <c r="J1082" s="60">
        <f t="shared" si="44"/>
        <v>10.265124999999999</v>
      </c>
      <c r="K1082" s="60">
        <f t="shared" si="44"/>
        <v>10.266058333333334</v>
      </c>
    </row>
    <row r="1083" spans="1:11" ht="15">
      <c r="A1083" s="3">
        <v>2061</v>
      </c>
      <c r="B1083" s="60">
        <f t="shared" ref="B1083:K1083" si="45">AVERAGE(B557:B568)</f>
        <v>9.0422333333333338</v>
      </c>
      <c r="C1083" s="60">
        <f t="shared" si="45"/>
        <v>9.0422333333333338</v>
      </c>
      <c r="D1083" s="60">
        <f t="shared" si="45"/>
        <v>9.0653833333333331</v>
      </c>
      <c r="E1083" s="60">
        <f t="shared" si="45"/>
        <v>10.552424999999999</v>
      </c>
      <c r="F1083" s="60">
        <f t="shared" si="45"/>
        <v>10.552424999999999</v>
      </c>
      <c r="G1083" s="60">
        <f t="shared" si="45"/>
        <v>10.553383333333334</v>
      </c>
      <c r="H1083" s="60">
        <f t="shared" si="45"/>
        <v>17.835633333333334</v>
      </c>
      <c r="I1083" s="60">
        <f t="shared" si="45"/>
        <v>17.836600000000001</v>
      </c>
      <c r="J1083" s="60">
        <f t="shared" si="45"/>
        <v>10.552424999999999</v>
      </c>
      <c r="K1083" s="60">
        <f t="shared" si="45"/>
        <v>10.553383333333334</v>
      </c>
    </row>
    <row r="1084" spans="1:11" ht="15">
      <c r="A1084" s="3">
        <v>2062</v>
      </c>
      <c r="B1084" s="60">
        <f t="shared" ref="B1084:K1093" ca="1" si="46">AVERAGE(OFFSET(B$569,($A1084-$A$1084)*12,0,12,1))</f>
        <v>9.2897499999999997</v>
      </c>
      <c r="C1084" s="60">
        <f t="shared" ca="1" si="46"/>
        <v>9.2897499999999997</v>
      </c>
      <c r="D1084" s="60">
        <f t="shared" ca="1" si="46"/>
        <v>9.3129166666666663</v>
      </c>
      <c r="E1084" s="60">
        <f t="shared" ca="1" si="46"/>
        <v>10.847766666666667</v>
      </c>
      <c r="F1084" s="60">
        <f t="shared" ca="1" si="46"/>
        <v>10.847766666666667</v>
      </c>
      <c r="G1084" s="60">
        <f t="shared" ca="1" si="46"/>
        <v>10.848725000000002</v>
      </c>
      <c r="H1084" s="60">
        <f t="shared" ca="1" si="46"/>
        <v>18.286683333333333</v>
      </c>
      <c r="I1084" s="60">
        <f t="shared" ca="1" si="46"/>
        <v>18.287625000000002</v>
      </c>
      <c r="J1084" s="60">
        <f t="shared" ca="1" si="46"/>
        <v>10.847766666666667</v>
      </c>
      <c r="K1084" s="60">
        <f t="shared" ca="1" si="46"/>
        <v>10.848725000000002</v>
      </c>
    </row>
    <row r="1085" spans="1:11" ht="15">
      <c r="A1085" s="3">
        <v>2063</v>
      </c>
      <c r="B1085" s="60">
        <f t="shared" ca="1" si="46"/>
        <v>9.5372666666666657</v>
      </c>
      <c r="C1085" s="60">
        <f t="shared" ca="1" si="46"/>
        <v>9.5372666666666657</v>
      </c>
      <c r="D1085" s="60">
        <f t="shared" ca="1" si="46"/>
        <v>9.5604166666666686</v>
      </c>
      <c r="E1085" s="60">
        <f t="shared" ca="1" si="46"/>
        <v>11.143116666666666</v>
      </c>
      <c r="F1085" s="60">
        <f t="shared" ca="1" si="46"/>
        <v>11.143116666666666</v>
      </c>
      <c r="G1085" s="60">
        <f t="shared" ca="1" si="46"/>
        <v>11.144058333333334</v>
      </c>
      <c r="H1085" s="60">
        <f t="shared" ca="1" si="46"/>
        <v>18.7377</v>
      </c>
      <c r="I1085" s="60">
        <f t="shared" ca="1" si="46"/>
        <v>18.738683333333334</v>
      </c>
      <c r="J1085" s="60">
        <f t="shared" ca="1" si="46"/>
        <v>11.143116666666666</v>
      </c>
      <c r="K1085" s="60">
        <f t="shared" ca="1" si="46"/>
        <v>11.144058333333334</v>
      </c>
    </row>
    <row r="1086" spans="1:11" ht="15">
      <c r="A1086" s="3">
        <v>2064</v>
      </c>
      <c r="B1086" s="60">
        <f t="shared" ca="1" si="46"/>
        <v>9.7848083333333342</v>
      </c>
      <c r="C1086" s="60">
        <f t="shared" ca="1" si="46"/>
        <v>9.7848083333333342</v>
      </c>
      <c r="D1086" s="60">
        <f t="shared" ca="1" si="46"/>
        <v>9.8079250000000009</v>
      </c>
      <c r="E1086" s="60">
        <f t="shared" ca="1" si="46"/>
        <v>11.438450000000001</v>
      </c>
      <c r="F1086" s="60">
        <f t="shared" ca="1" si="46"/>
        <v>11.438450000000001</v>
      </c>
      <c r="G1086" s="60">
        <f t="shared" ca="1" si="46"/>
        <v>11.439416666666666</v>
      </c>
      <c r="H1086" s="60">
        <f t="shared" ca="1" si="46"/>
        <v>19.188758333333329</v>
      </c>
      <c r="I1086" s="60">
        <f t="shared" ca="1" si="46"/>
        <v>19.189708333333332</v>
      </c>
      <c r="J1086" s="60">
        <f t="shared" ca="1" si="46"/>
        <v>11.438450000000001</v>
      </c>
      <c r="K1086" s="60">
        <f t="shared" ca="1" si="46"/>
        <v>11.439416666666666</v>
      </c>
    </row>
    <row r="1087" spans="1:11" ht="15">
      <c r="A1087" s="3">
        <v>2065</v>
      </c>
      <c r="B1087" s="60">
        <f t="shared" ca="1" si="46"/>
        <v>10.032308333333335</v>
      </c>
      <c r="C1087" s="60">
        <f t="shared" ca="1" si="46"/>
        <v>10.032308333333335</v>
      </c>
      <c r="D1087" s="60">
        <f t="shared" ca="1" si="46"/>
        <v>10.055449999999999</v>
      </c>
      <c r="E1087" s="60">
        <f t="shared" ca="1" si="46"/>
        <v>11.733808333333334</v>
      </c>
      <c r="F1087" s="60">
        <f t="shared" ca="1" si="46"/>
        <v>11.733808333333334</v>
      </c>
      <c r="G1087" s="60">
        <f t="shared" ca="1" si="46"/>
        <v>11.734724999999999</v>
      </c>
      <c r="H1087" s="60">
        <f t="shared" ca="1" si="46"/>
        <v>19.639800000000005</v>
      </c>
      <c r="I1087" s="60">
        <f t="shared" ca="1" si="46"/>
        <v>19.640724999999996</v>
      </c>
      <c r="J1087" s="60">
        <f t="shared" ca="1" si="46"/>
        <v>11.733808333333334</v>
      </c>
      <c r="K1087" s="60">
        <f t="shared" ca="1" si="46"/>
        <v>11.734724999999999</v>
      </c>
    </row>
    <row r="1088" spans="1:11" ht="15">
      <c r="A1088" s="3">
        <v>2066</v>
      </c>
      <c r="B1088" s="60">
        <f t="shared" ca="1" si="46"/>
        <v>10.279825000000001</v>
      </c>
      <c r="C1088" s="60">
        <f t="shared" ca="1" si="46"/>
        <v>10.279825000000001</v>
      </c>
      <c r="D1088" s="60">
        <f t="shared" ca="1" si="46"/>
        <v>10.302983333333332</v>
      </c>
      <c r="E1088" s="60">
        <f t="shared" ca="1" si="46"/>
        <v>12.029158333333333</v>
      </c>
      <c r="F1088" s="60">
        <f t="shared" ca="1" si="46"/>
        <v>12.029158333333333</v>
      </c>
      <c r="G1088" s="60">
        <f t="shared" ca="1" si="46"/>
        <v>12.030091666666669</v>
      </c>
      <c r="H1088" s="60">
        <f t="shared" ca="1" si="46"/>
        <v>20.090816666666665</v>
      </c>
      <c r="I1088" s="60">
        <f t="shared" ca="1" si="46"/>
        <v>20.091774999999998</v>
      </c>
      <c r="J1088" s="60">
        <f t="shared" ca="1" si="46"/>
        <v>12.029158333333333</v>
      </c>
      <c r="K1088" s="60">
        <f t="shared" ca="1" si="46"/>
        <v>12.030091666666669</v>
      </c>
    </row>
    <row r="1089" spans="1:11" ht="15">
      <c r="A1089" s="3">
        <v>2067</v>
      </c>
      <c r="B1089" s="60">
        <f t="shared" ca="1" si="46"/>
        <v>10.527333333333333</v>
      </c>
      <c r="C1089" s="60">
        <f t="shared" ca="1" si="46"/>
        <v>10.527333333333333</v>
      </c>
      <c r="D1089" s="60">
        <f t="shared" ca="1" si="46"/>
        <v>10.550491666666666</v>
      </c>
      <c r="E1089" s="60">
        <f t="shared" ca="1" si="46"/>
        <v>12.324491666666667</v>
      </c>
      <c r="F1089" s="60">
        <f t="shared" ca="1" si="46"/>
        <v>12.324491666666667</v>
      </c>
      <c r="G1089" s="60">
        <f t="shared" ca="1" si="46"/>
        <v>12.325433333333329</v>
      </c>
      <c r="H1089" s="60">
        <f t="shared" ca="1" si="46"/>
        <v>20.541858333333334</v>
      </c>
      <c r="I1089" s="60">
        <f t="shared" ca="1" si="46"/>
        <v>20.542799999999996</v>
      </c>
      <c r="J1089" s="60">
        <f t="shared" ca="1" si="46"/>
        <v>12.324491666666667</v>
      </c>
      <c r="K1089" s="60">
        <f t="shared" ca="1" si="46"/>
        <v>12.325433333333329</v>
      </c>
    </row>
    <row r="1090" spans="1:11" ht="15">
      <c r="A1090" s="3">
        <v>2068</v>
      </c>
      <c r="B1090" s="60">
        <f t="shared" ca="1" si="46"/>
        <v>10.774883333333333</v>
      </c>
      <c r="C1090" s="60">
        <f t="shared" ca="1" si="46"/>
        <v>10.774883333333333</v>
      </c>
      <c r="D1090" s="60">
        <f t="shared" ca="1" si="46"/>
        <v>10.798008333333335</v>
      </c>
      <c r="E1090" s="60">
        <f t="shared" ca="1" si="46"/>
        <v>12.619816666666667</v>
      </c>
      <c r="F1090" s="60">
        <f t="shared" ca="1" si="46"/>
        <v>12.619816666666667</v>
      </c>
      <c r="G1090" s="60">
        <f t="shared" ca="1" si="46"/>
        <v>12.620783333333335</v>
      </c>
      <c r="H1090" s="60">
        <f t="shared" ca="1" si="46"/>
        <v>20.992891666666669</v>
      </c>
      <c r="I1090" s="60">
        <f t="shared" ca="1" si="46"/>
        <v>20.993858333333336</v>
      </c>
      <c r="J1090" s="60">
        <f t="shared" ca="1" si="46"/>
        <v>12.619816666666667</v>
      </c>
      <c r="K1090" s="60">
        <f t="shared" ca="1" si="46"/>
        <v>12.620783333333335</v>
      </c>
    </row>
    <row r="1091" spans="1:11" ht="15">
      <c r="A1091" s="3">
        <v>2069</v>
      </c>
      <c r="B1091" s="60">
        <f t="shared" ca="1" si="46"/>
        <v>11.022399999999999</v>
      </c>
      <c r="C1091" s="60">
        <f t="shared" ca="1" si="46"/>
        <v>11.022399999999999</v>
      </c>
      <c r="D1091" s="60">
        <f t="shared" ca="1" si="46"/>
        <v>11.045541666666667</v>
      </c>
      <c r="E1091" s="60">
        <f t="shared" ca="1" si="46"/>
        <v>12.915183333333333</v>
      </c>
      <c r="F1091" s="60">
        <f t="shared" ca="1" si="46"/>
        <v>12.915183333333333</v>
      </c>
      <c r="G1091" s="60">
        <f t="shared" ca="1" si="46"/>
        <v>12.916108333333334</v>
      </c>
      <c r="H1091" s="60">
        <f t="shared" ca="1" si="46"/>
        <v>21.443916666666667</v>
      </c>
      <c r="I1091" s="60">
        <f t="shared" ca="1" si="46"/>
        <v>21.444883333333333</v>
      </c>
      <c r="J1091" s="60">
        <f t="shared" ca="1" si="46"/>
        <v>12.915183333333333</v>
      </c>
      <c r="K1091" s="60">
        <f t="shared" ca="1" si="46"/>
        <v>12.916108333333334</v>
      </c>
    </row>
    <row r="1092" spans="1:11" ht="15">
      <c r="A1092" s="3">
        <v>2070</v>
      </c>
      <c r="B1092" s="60">
        <f t="shared" ca="1" si="46"/>
        <v>11.269908333333333</v>
      </c>
      <c r="C1092" s="60">
        <f t="shared" ca="1" si="46"/>
        <v>11.269908333333333</v>
      </c>
      <c r="D1092" s="60">
        <f t="shared" ca="1" si="46"/>
        <v>11.293050000000001</v>
      </c>
      <c r="E1092" s="60">
        <f t="shared" ca="1" si="46"/>
        <v>13.210500000000001</v>
      </c>
      <c r="F1092" s="60">
        <f t="shared" ca="1" si="46"/>
        <v>13.210500000000001</v>
      </c>
      <c r="G1092" s="60">
        <f t="shared" ca="1" si="46"/>
        <v>13.211483333333334</v>
      </c>
      <c r="H1092" s="60">
        <f t="shared" ca="1" si="46"/>
        <v>21.894974999999999</v>
      </c>
      <c r="I1092" s="60">
        <f t="shared" ca="1" si="46"/>
        <v>21.895916666666665</v>
      </c>
      <c r="J1092" s="60">
        <f t="shared" ca="1" si="46"/>
        <v>13.210500000000001</v>
      </c>
      <c r="K1092" s="60">
        <f t="shared" ca="1" si="46"/>
        <v>13.211483333333334</v>
      </c>
    </row>
    <row r="1093" spans="1:11" ht="15">
      <c r="A1093" s="3">
        <v>2071</v>
      </c>
      <c r="B1093" s="60">
        <f t="shared" ca="1" si="46"/>
        <v>11.517416666666669</v>
      </c>
      <c r="C1093" s="60">
        <f t="shared" ca="1" si="46"/>
        <v>11.517416666666669</v>
      </c>
      <c r="D1093" s="60">
        <f t="shared" ca="1" si="46"/>
        <v>11.540583333333331</v>
      </c>
      <c r="E1093" s="60">
        <f t="shared" ca="1" si="46"/>
        <v>13.505833333333333</v>
      </c>
      <c r="F1093" s="60">
        <f t="shared" ca="1" si="46"/>
        <v>13.505833333333333</v>
      </c>
      <c r="G1093" s="60">
        <f t="shared" ca="1" si="46"/>
        <v>13.5068</v>
      </c>
      <c r="H1093" s="60">
        <f t="shared" ca="1" si="46"/>
        <v>22.346016666666667</v>
      </c>
      <c r="I1093" s="60">
        <f t="shared" ca="1" si="46"/>
        <v>22.34694166666667</v>
      </c>
      <c r="J1093" s="60">
        <f t="shared" ca="1" si="46"/>
        <v>13.505833333333333</v>
      </c>
      <c r="K1093" s="60">
        <f t="shared" ca="1" si="46"/>
        <v>13.5068</v>
      </c>
    </row>
    <row r="1094" spans="1:11" ht="15">
      <c r="A1094" s="3">
        <v>2072</v>
      </c>
      <c r="B1094" s="60">
        <f t="shared" ref="B1094:K1103" ca="1" si="47">AVERAGE(OFFSET(B$569,($A1094-$A$1084)*12,0,12,1))</f>
        <v>11.764941666666667</v>
      </c>
      <c r="C1094" s="60">
        <f t="shared" ca="1" si="47"/>
        <v>11.764941666666667</v>
      </c>
      <c r="D1094" s="60">
        <f t="shared" ca="1" si="47"/>
        <v>11.788091666666668</v>
      </c>
      <c r="E1094" s="60">
        <f t="shared" ca="1" si="47"/>
        <v>13.801191666666668</v>
      </c>
      <c r="F1094" s="60">
        <f t="shared" ca="1" si="47"/>
        <v>13.801191666666668</v>
      </c>
      <c r="G1094" s="60">
        <f t="shared" ca="1" si="47"/>
        <v>13.802150000000003</v>
      </c>
      <c r="H1094" s="60">
        <f t="shared" ca="1" si="47"/>
        <v>22.797041666666669</v>
      </c>
      <c r="I1094" s="60">
        <f t="shared" ca="1" si="47"/>
        <v>22.797991666666665</v>
      </c>
      <c r="J1094" s="60">
        <f t="shared" ca="1" si="47"/>
        <v>13.801191666666668</v>
      </c>
      <c r="K1094" s="60">
        <f t="shared" ca="1" si="47"/>
        <v>13.802150000000003</v>
      </c>
    </row>
    <row r="1095" spans="1:11" ht="15">
      <c r="A1095" s="3">
        <v>2073</v>
      </c>
      <c r="B1095" s="60">
        <f t="shared" ca="1" si="47"/>
        <v>12.012483333333334</v>
      </c>
      <c r="C1095" s="60">
        <f t="shared" ca="1" si="47"/>
        <v>12.012483333333334</v>
      </c>
      <c r="D1095" s="60">
        <f t="shared" ca="1" si="47"/>
        <v>12.035616666666668</v>
      </c>
      <c r="E1095" s="60">
        <f t="shared" ca="1" si="47"/>
        <v>14.096541666666665</v>
      </c>
      <c r="F1095" s="60">
        <f t="shared" ca="1" si="47"/>
        <v>14.096541666666665</v>
      </c>
      <c r="G1095" s="60">
        <f t="shared" ca="1" si="47"/>
        <v>14.097491666666668</v>
      </c>
      <c r="H1095" s="60">
        <f t="shared" ca="1" si="47"/>
        <v>23.248075000000004</v>
      </c>
      <c r="I1095" s="60">
        <f t="shared" ca="1" si="47"/>
        <v>23.249025</v>
      </c>
      <c r="J1095" s="60">
        <f t="shared" ca="1" si="47"/>
        <v>14.096541666666665</v>
      </c>
      <c r="K1095" s="60">
        <f t="shared" ca="1" si="47"/>
        <v>14.097491666666668</v>
      </c>
    </row>
    <row r="1096" spans="1:11" ht="15">
      <c r="A1096" s="3">
        <v>2074</v>
      </c>
      <c r="B1096" s="60">
        <f t="shared" ca="1" si="47"/>
        <v>12.259991666666666</v>
      </c>
      <c r="C1096" s="60">
        <f t="shared" ca="1" si="47"/>
        <v>12.259991666666666</v>
      </c>
      <c r="D1096" s="60">
        <f t="shared" ca="1" si="47"/>
        <v>12.283141666666667</v>
      </c>
      <c r="E1096" s="60">
        <f t="shared" ca="1" si="47"/>
        <v>14.391883333333332</v>
      </c>
      <c r="F1096" s="60">
        <f t="shared" ca="1" si="47"/>
        <v>14.391883333333332</v>
      </c>
      <c r="G1096" s="60">
        <f t="shared" ca="1" si="47"/>
        <v>14.392841666666667</v>
      </c>
      <c r="H1096" s="60">
        <f t="shared" ca="1" si="47"/>
        <v>23.699116666666665</v>
      </c>
      <c r="I1096" s="60">
        <f t="shared" ca="1" si="47"/>
        <v>23.700074999999998</v>
      </c>
      <c r="J1096" s="60">
        <f t="shared" ca="1" si="47"/>
        <v>14.391883333333332</v>
      </c>
      <c r="K1096" s="60">
        <f t="shared" ca="1" si="47"/>
        <v>14.392841666666667</v>
      </c>
    </row>
    <row r="1097" spans="1:11" ht="15">
      <c r="A1097" s="3">
        <v>2075</v>
      </c>
      <c r="B1097" s="60">
        <f t="shared" ca="1" si="47"/>
        <v>12.5075</v>
      </c>
      <c r="C1097" s="60">
        <f t="shared" ca="1" si="47"/>
        <v>12.5075</v>
      </c>
      <c r="D1097" s="60">
        <f t="shared" ca="1" si="47"/>
        <v>12.530650000000001</v>
      </c>
      <c r="E1097" s="60">
        <f t="shared" ca="1" si="47"/>
        <v>14.687225000000003</v>
      </c>
      <c r="F1097" s="60">
        <f t="shared" ca="1" si="47"/>
        <v>14.687225000000003</v>
      </c>
      <c r="G1097" s="60">
        <f t="shared" ca="1" si="47"/>
        <v>14.688175000000001</v>
      </c>
      <c r="H1097" s="60">
        <f t="shared" ca="1" si="47"/>
        <v>24.150158333333334</v>
      </c>
      <c r="I1097" s="60">
        <f t="shared" ca="1" si="47"/>
        <v>24.151100000000003</v>
      </c>
      <c r="J1097" s="60">
        <f t="shared" ca="1" si="47"/>
        <v>14.687225000000003</v>
      </c>
      <c r="K1097" s="60">
        <f t="shared" ca="1" si="47"/>
        <v>14.688175000000001</v>
      </c>
    </row>
    <row r="1098" spans="1:11" ht="15">
      <c r="A1098" s="3">
        <v>2076</v>
      </c>
      <c r="B1098" s="60">
        <f t="shared" ca="1" si="47"/>
        <v>12.755041666666669</v>
      </c>
      <c r="C1098" s="60">
        <f t="shared" ca="1" si="47"/>
        <v>12.755041666666669</v>
      </c>
      <c r="D1098" s="60">
        <f t="shared" ca="1" si="47"/>
        <v>12.778158333333332</v>
      </c>
      <c r="E1098" s="60">
        <f t="shared" ca="1" si="47"/>
        <v>14.982583333333332</v>
      </c>
      <c r="F1098" s="60">
        <f t="shared" ca="1" si="47"/>
        <v>14.982583333333332</v>
      </c>
      <c r="G1098" s="60">
        <f t="shared" ca="1" si="47"/>
        <v>14.983524999999998</v>
      </c>
      <c r="H1098" s="60">
        <f t="shared" ca="1" si="47"/>
        <v>24.601200000000002</v>
      </c>
      <c r="I1098" s="60">
        <f t="shared" ca="1" si="47"/>
        <v>24.602133333333327</v>
      </c>
      <c r="J1098" s="60">
        <f t="shared" ca="1" si="47"/>
        <v>14.982583333333332</v>
      </c>
      <c r="K1098" s="60">
        <f t="shared" ca="1" si="47"/>
        <v>14.983524999999998</v>
      </c>
    </row>
    <row r="1099" spans="1:11" ht="15">
      <c r="A1099" s="3">
        <v>2077</v>
      </c>
      <c r="B1099" s="60">
        <f t="shared" ca="1" si="47"/>
        <v>13.002541666666668</v>
      </c>
      <c r="C1099" s="60">
        <f t="shared" ca="1" si="47"/>
        <v>13.002541666666668</v>
      </c>
      <c r="D1099" s="60">
        <f t="shared" ca="1" si="47"/>
        <v>13.025700000000002</v>
      </c>
      <c r="E1099" s="60">
        <f t="shared" ca="1" si="47"/>
        <v>15.277916666666664</v>
      </c>
      <c r="F1099" s="60">
        <f t="shared" ca="1" si="47"/>
        <v>15.277916666666664</v>
      </c>
      <c r="G1099" s="60">
        <f t="shared" ca="1" si="47"/>
        <v>15.278858333333332</v>
      </c>
      <c r="H1099" s="60">
        <f t="shared" ca="1" si="47"/>
        <v>25.052241666666664</v>
      </c>
      <c r="I1099" s="60">
        <f t="shared" ca="1" si="47"/>
        <v>25.053158333333339</v>
      </c>
      <c r="J1099" s="60">
        <f t="shared" ca="1" si="47"/>
        <v>15.277916666666664</v>
      </c>
      <c r="K1099" s="60">
        <f t="shared" ca="1" si="47"/>
        <v>15.278858333333332</v>
      </c>
    </row>
    <row r="1100" spans="1:11" ht="15">
      <c r="A1100" s="3">
        <v>2078</v>
      </c>
      <c r="B1100" s="60">
        <f t="shared" ca="1" si="47"/>
        <v>13.250050000000002</v>
      </c>
      <c r="C1100" s="60">
        <f t="shared" ca="1" si="47"/>
        <v>13.250050000000002</v>
      </c>
      <c r="D1100" s="60">
        <f t="shared" ca="1" si="47"/>
        <v>13.273216666666668</v>
      </c>
      <c r="E1100" s="60">
        <f t="shared" ca="1" si="47"/>
        <v>15.573258333333335</v>
      </c>
      <c r="F1100" s="60">
        <f t="shared" ca="1" si="47"/>
        <v>15.573258333333335</v>
      </c>
      <c r="G1100" s="60">
        <f t="shared" ca="1" si="47"/>
        <v>15.574208333333333</v>
      </c>
      <c r="H1100" s="60">
        <f t="shared" ca="1" si="47"/>
        <v>25.503249999999998</v>
      </c>
      <c r="I1100" s="60">
        <f t="shared" ca="1" si="47"/>
        <v>25.504208333333334</v>
      </c>
      <c r="J1100" s="60">
        <f t="shared" ca="1" si="47"/>
        <v>15.573258333333335</v>
      </c>
      <c r="K1100" s="60">
        <f t="shared" ca="1" si="47"/>
        <v>15.574208333333333</v>
      </c>
    </row>
    <row r="1101" spans="1:11" ht="15">
      <c r="A1101" s="3">
        <v>2079</v>
      </c>
      <c r="B1101" s="60">
        <f t="shared" ca="1" si="47"/>
        <v>13.497583333333333</v>
      </c>
      <c r="C1101" s="60">
        <f t="shared" ca="1" si="47"/>
        <v>13.497583333333333</v>
      </c>
      <c r="D1101" s="60">
        <f t="shared" ca="1" si="47"/>
        <v>13.520733333333338</v>
      </c>
      <c r="E1101" s="60">
        <f t="shared" ca="1" si="47"/>
        <v>15.868608333333333</v>
      </c>
      <c r="F1101" s="60">
        <f t="shared" ca="1" si="47"/>
        <v>15.868608333333333</v>
      </c>
      <c r="G1101" s="60">
        <f t="shared" ca="1" si="47"/>
        <v>15.869541666666668</v>
      </c>
      <c r="H1101" s="60">
        <f t="shared" ca="1" si="47"/>
        <v>25.954283333333333</v>
      </c>
      <c r="I1101" s="60">
        <f t="shared" ca="1" si="47"/>
        <v>25.955241666666666</v>
      </c>
      <c r="J1101" s="60">
        <f t="shared" ca="1" si="47"/>
        <v>15.868608333333333</v>
      </c>
      <c r="K1101" s="60">
        <f t="shared" ca="1" si="47"/>
        <v>15.869541666666668</v>
      </c>
    </row>
    <row r="1102" spans="1:11" ht="15">
      <c r="A1102" s="3">
        <v>2080</v>
      </c>
      <c r="B1102" s="60">
        <f t="shared" ca="1" si="47"/>
        <v>13.745116666666668</v>
      </c>
      <c r="C1102" s="60">
        <f t="shared" ca="1" si="47"/>
        <v>13.745116666666668</v>
      </c>
      <c r="D1102" s="60">
        <f t="shared" ca="1" si="47"/>
        <v>13.768233333333336</v>
      </c>
      <c r="E1102" s="60">
        <f t="shared" ca="1" si="47"/>
        <v>16.163950000000003</v>
      </c>
      <c r="F1102" s="60">
        <f t="shared" ca="1" si="47"/>
        <v>16.163950000000003</v>
      </c>
      <c r="G1102" s="60">
        <f t="shared" ca="1" si="47"/>
        <v>16.164883333333332</v>
      </c>
      <c r="H1102" s="60">
        <f t="shared" ca="1" si="47"/>
        <v>26.405316666666661</v>
      </c>
      <c r="I1102" s="60">
        <f t="shared" ca="1" si="47"/>
        <v>26.406283333333334</v>
      </c>
      <c r="J1102" s="60">
        <f t="shared" ca="1" si="47"/>
        <v>16.163950000000003</v>
      </c>
      <c r="K1102" s="60">
        <f t="shared" ca="1" si="47"/>
        <v>16.164883333333332</v>
      </c>
    </row>
    <row r="1103" spans="1:11" ht="15">
      <c r="A1103" s="3">
        <v>2081</v>
      </c>
      <c r="B1103" s="60">
        <f t="shared" ca="1" si="47"/>
        <v>13.992633333333336</v>
      </c>
      <c r="C1103" s="60">
        <f t="shared" ca="1" si="47"/>
        <v>13.992633333333336</v>
      </c>
      <c r="D1103" s="60">
        <f t="shared" ca="1" si="47"/>
        <v>14.015758333333336</v>
      </c>
      <c r="E1103" s="60">
        <f t="shared" ca="1" si="47"/>
        <v>16.459275000000002</v>
      </c>
      <c r="F1103" s="60">
        <f t="shared" ca="1" si="47"/>
        <v>16.459275000000002</v>
      </c>
      <c r="G1103" s="60">
        <f t="shared" ca="1" si="47"/>
        <v>16.460249999999998</v>
      </c>
      <c r="H1103" s="60">
        <f t="shared" ca="1" si="47"/>
        <v>26.856358333333333</v>
      </c>
      <c r="I1103" s="60">
        <f t="shared" ca="1" si="47"/>
        <v>26.857316666666673</v>
      </c>
      <c r="J1103" s="60">
        <f t="shared" ca="1" si="47"/>
        <v>16.459275000000002</v>
      </c>
      <c r="K1103" s="60">
        <f t="shared" ca="1" si="47"/>
        <v>16.460249999999998</v>
      </c>
    </row>
    <row r="1104" spans="1:11" ht="15">
      <c r="A1104" s="3">
        <v>2082</v>
      </c>
      <c r="B1104" s="60">
        <f t="shared" ref="B1104:K1113" ca="1" si="48">AVERAGE(OFFSET(B$569,($A1104-$A$1084)*12,0,12,1))</f>
        <v>14.240133333333334</v>
      </c>
      <c r="C1104" s="60">
        <f t="shared" ca="1" si="48"/>
        <v>14.240133333333334</v>
      </c>
      <c r="D1104" s="60">
        <f t="shared" ca="1" si="48"/>
        <v>14.263308333333333</v>
      </c>
      <c r="E1104" s="60">
        <f t="shared" ca="1" si="48"/>
        <v>16.754633333333334</v>
      </c>
      <c r="F1104" s="60">
        <f t="shared" ca="1" si="48"/>
        <v>16.754633333333334</v>
      </c>
      <c r="G1104" s="60">
        <f t="shared" ca="1" si="48"/>
        <v>16.755575</v>
      </c>
      <c r="H1104" s="60">
        <f t="shared" ca="1" si="48"/>
        <v>27.307400000000001</v>
      </c>
      <c r="I1104" s="60">
        <f t="shared" ca="1" si="48"/>
        <v>27.308350000000001</v>
      </c>
      <c r="J1104" s="60">
        <f t="shared" ca="1" si="48"/>
        <v>16.754633333333334</v>
      </c>
      <c r="K1104" s="60">
        <f t="shared" ca="1" si="48"/>
        <v>16.755575</v>
      </c>
    </row>
    <row r="1105" spans="1:11" ht="15">
      <c r="A1105" s="3">
        <v>2083</v>
      </c>
      <c r="B1105" s="60">
        <f t="shared" ca="1" si="48"/>
        <v>14.487650000000002</v>
      </c>
      <c r="C1105" s="60">
        <f t="shared" ca="1" si="48"/>
        <v>14.487650000000002</v>
      </c>
      <c r="D1105" s="60">
        <f t="shared" ca="1" si="48"/>
        <v>14.510808333333332</v>
      </c>
      <c r="E1105" s="60">
        <f t="shared" ca="1" si="48"/>
        <v>17.049966666666666</v>
      </c>
      <c r="F1105" s="60">
        <f t="shared" ca="1" si="48"/>
        <v>17.049966666666666</v>
      </c>
      <c r="G1105" s="60">
        <f t="shared" ca="1" si="48"/>
        <v>17.050924999999999</v>
      </c>
      <c r="H1105" s="60">
        <f t="shared" ca="1" si="48"/>
        <v>27.758433333333329</v>
      </c>
      <c r="I1105" s="60">
        <f t="shared" ca="1" si="48"/>
        <v>27.759374999999995</v>
      </c>
      <c r="J1105" s="60">
        <f t="shared" ca="1" si="48"/>
        <v>17.049966666666666</v>
      </c>
      <c r="K1105" s="60">
        <f t="shared" ca="1" si="48"/>
        <v>17.050924999999999</v>
      </c>
    </row>
    <row r="1106" spans="1:11" ht="15">
      <c r="A1106" s="3">
        <v>2084</v>
      </c>
      <c r="B1106" s="60">
        <f t="shared" ca="1" si="48"/>
        <v>14.735199999999997</v>
      </c>
      <c r="C1106" s="60">
        <f t="shared" ca="1" si="48"/>
        <v>14.735199999999997</v>
      </c>
      <c r="D1106" s="60">
        <f t="shared" ca="1" si="48"/>
        <v>14.758333333333331</v>
      </c>
      <c r="E1106" s="60">
        <f t="shared" ca="1" si="48"/>
        <v>17.345324999999999</v>
      </c>
      <c r="F1106" s="60">
        <f t="shared" ca="1" si="48"/>
        <v>17.345324999999999</v>
      </c>
      <c r="G1106" s="60">
        <f t="shared" ca="1" si="48"/>
        <v>17.346258333333331</v>
      </c>
      <c r="H1106" s="60">
        <f t="shared" ca="1" si="48"/>
        <v>28.209475000000001</v>
      </c>
      <c r="I1106" s="60">
        <f t="shared" ca="1" si="48"/>
        <v>28.210416666666671</v>
      </c>
      <c r="J1106" s="60">
        <f t="shared" ca="1" si="48"/>
        <v>17.345324999999999</v>
      </c>
      <c r="K1106" s="60">
        <f t="shared" ca="1" si="48"/>
        <v>17.346258333333331</v>
      </c>
    </row>
    <row r="1107" spans="1:11" ht="15">
      <c r="A1107" s="3">
        <v>2085</v>
      </c>
      <c r="B1107" s="60">
        <f t="shared" ca="1" si="48"/>
        <v>14.982699999999999</v>
      </c>
      <c r="C1107" s="60">
        <f t="shared" ca="1" si="48"/>
        <v>14.982699999999999</v>
      </c>
      <c r="D1107" s="60">
        <f t="shared" ca="1" si="48"/>
        <v>15.005841666666667</v>
      </c>
      <c r="E1107" s="60">
        <f t="shared" ca="1" si="48"/>
        <v>17.640658333333334</v>
      </c>
      <c r="F1107" s="60">
        <f t="shared" ca="1" si="48"/>
        <v>17.640658333333334</v>
      </c>
      <c r="G1107" s="60">
        <f t="shared" ca="1" si="48"/>
        <v>17.641616666666664</v>
      </c>
      <c r="H1107" s="60">
        <f t="shared" ca="1" si="48"/>
        <v>28.660508333333336</v>
      </c>
      <c r="I1107" s="60">
        <f t="shared" ca="1" si="48"/>
        <v>28.661458333333332</v>
      </c>
      <c r="J1107" s="60">
        <f t="shared" ca="1" si="48"/>
        <v>17.640658333333334</v>
      </c>
      <c r="K1107" s="60">
        <f t="shared" ca="1" si="48"/>
        <v>17.641616666666664</v>
      </c>
    </row>
    <row r="1108" spans="1:11" ht="15">
      <c r="A1108" s="3">
        <v>2086</v>
      </c>
      <c r="B1108" s="60">
        <f t="shared" ca="1" si="48"/>
        <v>15.230216666666664</v>
      </c>
      <c r="C1108" s="60">
        <f t="shared" ca="1" si="48"/>
        <v>15.230216666666664</v>
      </c>
      <c r="D1108" s="60">
        <f t="shared" ca="1" si="48"/>
        <v>15.253358333333331</v>
      </c>
      <c r="E1108" s="60">
        <f t="shared" ca="1" si="48"/>
        <v>17.936008333333334</v>
      </c>
      <c r="F1108" s="60">
        <f t="shared" ca="1" si="48"/>
        <v>17.936008333333334</v>
      </c>
      <c r="G1108" s="60">
        <f t="shared" ca="1" si="48"/>
        <v>17.936941666666666</v>
      </c>
      <c r="H1108" s="60">
        <f t="shared" ca="1" si="48"/>
        <v>29.11153333333333</v>
      </c>
      <c r="I1108" s="60">
        <f t="shared" ca="1" si="48"/>
        <v>29.112491666666671</v>
      </c>
      <c r="J1108" s="60">
        <f t="shared" ca="1" si="48"/>
        <v>17.936008333333334</v>
      </c>
      <c r="K1108" s="60">
        <f t="shared" ca="1" si="48"/>
        <v>17.936941666666666</v>
      </c>
    </row>
    <row r="1109" spans="1:11" ht="15">
      <c r="A1109" s="3">
        <v>2087</v>
      </c>
      <c r="B1109" s="60">
        <f t="shared" ca="1" si="48"/>
        <v>15.477733333333333</v>
      </c>
      <c r="C1109" s="60">
        <f t="shared" ca="1" si="48"/>
        <v>15.477733333333333</v>
      </c>
      <c r="D1109" s="60">
        <f t="shared" ca="1" si="48"/>
        <v>15.500874999999999</v>
      </c>
      <c r="E1109" s="60">
        <f t="shared" ca="1" si="48"/>
        <v>18.231333333333335</v>
      </c>
      <c r="F1109" s="60">
        <f t="shared" ca="1" si="48"/>
        <v>18.231333333333335</v>
      </c>
      <c r="G1109" s="60">
        <f t="shared" ca="1" si="48"/>
        <v>18.232299999999999</v>
      </c>
      <c r="H1109" s="60">
        <f t="shared" ca="1" si="48"/>
        <v>29.562583333333333</v>
      </c>
      <c r="I1109" s="60">
        <f t="shared" ca="1" si="48"/>
        <v>29.563516666666668</v>
      </c>
      <c r="J1109" s="60">
        <f t="shared" ca="1" si="48"/>
        <v>18.231333333333335</v>
      </c>
      <c r="K1109" s="60">
        <f t="shared" ca="1" si="48"/>
        <v>18.232299999999999</v>
      </c>
    </row>
    <row r="1110" spans="1:11" ht="15">
      <c r="A1110" s="3">
        <v>2088</v>
      </c>
      <c r="B1110" s="60">
        <f t="shared" ca="1" si="48"/>
        <v>15.725258333333331</v>
      </c>
      <c r="C1110" s="60">
        <f t="shared" ca="1" si="48"/>
        <v>15.725258333333331</v>
      </c>
      <c r="D1110" s="60">
        <f t="shared" ca="1" si="48"/>
        <v>15.74840833333333</v>
      </c>
      <c r="E1110" s="60">
        <f t="shared" ca="1" si="48"/>
        <v>18.526683333333335</v>
      </c>
      <c r="F1110" s="60">
        <f t="shared" ca="1" si="48"/>
        <v>18.526683333333335</v>
      </c>
      <c r="G1110" s="60">
        <f t="shared" ca="1" si="48"/>
        <v>18.527633333333334</v>
      </c>
      <c r="H1110" s="60">
        <f t="shared" ca="1" si="48"/>
        <v>30.013625000000005</v>
      </c>
      <c r="I1110" s="60">
        <f t="shared" ca="1" si="48"/>
        <v>30.01455833333333</v>
      </c>
      <c r="J1110" s="60">
        <f t="shared" ca="1" si="48"/>
        <v>18.526683333333335</v>
      </c>
      <c r="K1110" s="60">
        <f t="shared" ca="1" si="48"/>
        <v>18.527633333333334</v>
      </c>
    </row>
    <row r="1111" spans="1:11" ht="15">
      <c r="A1111" s="3">
        <v>2089</v>
      </c>
      <c r="B1111" s="60">
        <f t="shared" ca="1" si="48"/>
        <v>15.972775000000004</v>
      </c>
      <c r="C1111" s="60">
        <f t="shared" ca="1" si="48"/>
        <v>15.972775000000004</v>
      </c>
      <c r="D1111" s="60">
        <f t="shared" ca="1" si="48"/>
        <v>15.995916666666664</v>
      </c>
      <c r="E1111" s="60">
        <f t="shared" ca="1" si="48"/>
        <v>18.822033333333334</v>
      </c>
      <c r="F1111" s="60">
        <f t="shared" ca="1" si="48"/>
        <v>18.822033333333334</v>
      </c>
      <c r="G1111" s="60">
        <f t="shared" ca="1" si="48"/>
        <v>18.822983333333333</v>
      </c>
      <c r="H1111" s="60">
        <f t="shared" ca="1" si="48"/>
        <v>30.464666666666663</v>
      </c>
      <c r="I1111" s="60">
        <f t="shared" ca="1" si="48"/>
        <v>30.465591666666668</v>
      </c>
      <c r="J1111" s="60">
        <f t="shared" ca="1" si="48"/>
        <v>18.822033333333334</v>
      </c>
      <c r="K1111" s="60">
        <f t="shared" ca="1" si="48"/>
        <v>18.822983333333333</v>
      </c>
    </row>
    <row r="1112" spans="1:11" ht="15">
      <c r="A1112" s="3">
        <v>2090</v>
      </c>
      <c r="B1112" s="60">
        <f t="shared" ca="1" si="48"/>
        <v>16.220299999999998</v>
      </c>
      <c r="C1112" s="60">
        <f t="shared" ca="1" si="48"/>
        <v>16.220299999999998</v>
      </c>
      <c r="D1112" s="60">
        <f t="shared" ca="1" si="48"/>
        <v>16.243449999999999</v>
      </c>
      <c r="E1112" s="60">
        <f t="shared" ca="1" si="48"/>
        <v>19.117366666666669</v>
      </c>
      <c r="F1112" s="60">
        <f t="shared" ca="1" si="48"/>
        <v>19.117366666666669</v>
      </c>
      <c r="G1112" s="60">
        <f t="shared" ca="1" si="48"/>
        <v>19.118316666666669</v>
      </c>
      <c r="H1112" s="60">
        <f t="shared" ca="1" si="48"/>
        <v>30.915683333333337</v>
      </c>
      <c r="I1112" s="60">
        <f t="shared" ca="1" si="48"/>
        <v>30.916650000000001</v>
      </c>
      <c r="J1112" s="60">
        <f t="shared" ca="1" si="48"/>
        <v>19.117366666666669</v>
      </c>
      <c r="K1112" s="60">
        <f t="shared" ca="1" si="48"/>
        <v>19.118316666666669</v>
      </c>
    </row>
    <row r="1113" spans="1:11" ht="15">
      <c r="A1113" s="3">
        <v>2091</v>
      </c>
      <c r="B1113" s="60">
        <f t="shared" ca="1" si="48"/>
        <v>16.467799999999997</v>
      </c>
      <c r="C1113" s="60">
        <f t="shared" ca="1" si="48"/>
        <v>16.467799999999997</v>
      </c>
      <c r="D1113" s="60">
        <f t="shared" ca="1" si="48"/>
        <v>16.490958333333332</v>
      </c>
      <c r="E1113" s="60">
        <f t="shared" ca="1" si="48"/>
        <v>19.412708333333331</v>
      </c>
      <c r="F1113" s="60">
        <f t="shared" ca="1" si="48"/>
        <v>19.412708333333331</v>
      </c>
      <c r="G1113" s="60">
        <f t="shared" ca="1" si="48"/>
        <v>19.413675000000001</v>
      </c>
      <c r="H1113" s="60">
        <f t="shared" ca="1" si="48"/>
        <v>31.366708333333332</v>
      </c>
      <c r="I1113" s="60">
        <f t="shared" ca="1" si="48"/>
        <v>31.367666666666665</v>
      </c>
      <c r="J1113" s="60">
        <f t="shared" ca="1" si="48"/>
        <v>19.412708333333331</v>
      </c>
      <c r="K1113" s="60">
        <f t="shared" ca="1" si="48"/>
        <v>19.413675000000001</v>
      </c>
    </row>
    <row r="1114" spans="1:11" ht="15">
      <c r="A1114" s="3">
        <v>2092</v>
      </c>
      <c r="B1114" s="60">
        <f t="shared" ref="B1114:K1122" ca="1" si="49">AVERAGE(OFFSET(B$569,($A1114-$A$1084)*12,0,12,1))</f>
        <v>16.715349999999997</v>
      </c>
      <c r="C1114" s="60">
        <f t="shared" ca="1" si="49"/>
        <v>16.715349999999997</v>
      </c>
      <c r="D1114" s="60">
        <f t="shared" ca="1" si="49"/>
        <v>16.738466666666664</v>
      </c>
      <c r="E1114" s="60">
        <f t="shared" ca="1" si="49"/>
        <v>19.708050000000004</v>
      </c>
      <c r="F1114" s="60">
        <f t="shared" ca="1" si="49"/>
        <v>19.708050000000004</v>
      </c>
      <c r="G1114" s="60">
        <f t="shared" ca="1" si="49"/>
        <v>19.709008333333333</v>
      </c>
      <c r="H1114" s="60">
        <f t="shared" ca="1" si="49"/>
        <v>31.817750000000007</v>
      </c>
      <c r="I1114" s="60">
        <f t="shared" ca="1" si="49"/>
        <v>31.81870833333333</v>
      </c>
      <c r="J1114" s="60">
        <f t="shared" ca="1" si="49"/>
        <v>19.708050000000004</v>
      </c>
      <c r="K1114" s="60">
        <f t="shared" ca="1" si="49"/>
        <v>19.709008333333333</v>
      </c>
    </row>
    <row r="1115" spans="1:11" ht="15">
      <c r="A1115" s="3">
        <v>2093</v>
      </c>
      <c r="B1115" s="60">
        <f t="shared" ca="1" si="49"/>
        <v>16.962858333333333</v>
      </c>
      <c r="C1115" s="60">
        <f t="shared" ca="1" si="49"/>
        <v>16.962858333333333</v>
      </c>
      <c r="D1115" s="60">
        <f t="shared" ca="1" si="49"/>
        <v>16.986000000000001</v>
      </c>
      <c r="E1115" s="60">
        <f t="shared" ca="1" si="49"/>
        <v>20.003391666666669</v>
      </c>
      <c r="F1115" s="60">
        <f t="shared" ca="1" si="49"/>
        <v>20.003391666666669</v>
      </c>
      <c r="G1115" s="60">
        <f t="shared" ca="1" si="49"/>
        <v>20.004349999999999</v>
      </c>
      <c r="H1115" s="60">
        <f t="shared" ca="1" si="49"/>
        <v>32.268808333333332</v>
      </c>
      <c r="I1115" s="60">
        <f t="shared" ca="1" si="49"/>
        <v>32.269750000000009</v>
      </c>
      <c r="J1115" s="60">
        <f t="shared" ca="1" si="49"/>
        <v>20.003391666666669</v>
      </c>
      <c r="K1115" s="60">
        <f t="shared" ca="1" si="49"/>
        <v>20.004349999999999</v>
      </c>
    </row>
    <row r="1116" spans="1:11" ht="15">
      <c r="A1116" s="3">
        <v>2094</v>
      </c>
      <c r="B1116" s="60">
        <f t="shared" ca="1" si="49"/>
        <v>17.210366666666665</v>
      </c>
      <c r="C1116" s="60">
        <f t="shared" ca="1" si="49"/>
        <v>17.210366666666665</v>
      </c>
      <c r="D1116" s="60">
        <f t="shared" ca="1" si="49"/>
        <v>17.233525</v>
      </c>
      <c r="E1116" s="60">
        <f t="shared" ca="1" si="49"/>
        <v>20.298733333333335</v>
      </c>
      <c r="F1116" s="60">
        <f t="shared" ca="1" si="49"/>
        <v>20.298733333333335</v>
      </c>
      <c r="G1116" s="60">
        <f t="shared" ca="1" si="49"/>
        <v>20.299700000000001</v>
      </c>
      <c r="H1116" s="60">
        <f t="shared" ca="1" si="49"/>
        <v>32.719841666666667</v>
      </c>
      <c r="I1116" s="60">
        <f t="shared" ca="1" si="49"/>
        <v>32.72078333333333</v>
      </c>
      <c r="J1116" s="60">
        <f t="shared" ca="1" si="49"/>
        <v>20.298733333333335</v>
      </c>
      <c r="K1116" s="60">
        <f t="shared" ca="1" si="49"/>
        <v>20.299700000000001</v>
      </c>
    </row>
    <row r="1117" spans="1:11" ht="15">
      <c r="A1117" s="3">
        <v>2095</v>
      </c>
      <c r="B1117" s="60">
        <f t="shared" ca="1" si="49"/>
        <v>17.457874999999998</v>
      </c>
      <c r="C1117" s="60">
        <f t="shared" ca="1" si="49"/>
        <v>17.457874999999998</v>
      </c>
      <c r="D1117" s="60">
        <f t="shared" ca="1" si="49"/>
        <v>17.481041666666666</v>
      </c>
      <c r="E1117" s="60">
        <f t="shared" ca="1" si="49"/>
        <v>20.594083333333334</v>
      </c>
      <c r="F1117" s="60">
        <f t="shared" ca="1" si="49"/>
        <v>20.594083333333334</v>
      </c>
      <c r="G1117" s="60">
        <f t="shared" ca="1" si="49"/>
        <v>20.595025</v>
      </c>
      <c r="H1117" s="60">
        <f t="shared" ca="1" si="49"/>
        <v>33.170858333333335</v>
      </c>
      <c r="I1117" s="60">
        <f t="shared" ca="1" si="49"/>
        <v>33.171833333333332</v>
      </c>
      <c r="J1117" s="60">
        <f t="shared" ca="1" si="49"/>
        <v>20.594083333333334</v>
      </c>
      <c r="K1117" s="60">
        <f t="shared" ca="1" si="49"/>
        <v>20.595025</v>
      </c>
    </row>
    <row r="1118" spans="1:11" ht="15">
      <c r="A1118" s="3">
        <v>2096</v>
      </c>
      <c r="B1118" s="60">
        <f t="shared" ca="1" si="49"/>
        <v>17.705416666666668</v>
      </c>
      <c r="C1118" s="60">
        <f t="shared" ca="1" si="49"/>
        <v>17.705416666666668</v>
      </c>
      <c r="D1118" s="60">
        <f t="shared" ca="1" si="49"/>
        <v>17.728550000000002</v>
      </c>
      <c r="E1118" s="60">
        <f t="shared" ca="1" si="49"/>
        <v>20.889433333333333</v>
      </c>
      <c r="F1118" s="60">
        <f t="shared" ca="1" si="49"/>
        <v>20.889433333333333</v>
      </c>
      <c r="G1118" s="60">
        <f t="shared" ca="1" si="49"/>
        <v>20.890366666666665</v>
      </c>
      <c r="H1118" s="60">
        <f t="shared" ca="1" si="49"/>
        <v>33.621900000000004</v>
      </c>
      <c r="I1118" s="60">
        <f t="shared" ca="1" si="49"/>
        <v>33.622866666666667</v>
      </c>
      <c r="J1118" s="60">
        <f t="shared" ca="1" si="49"/>
        <v>20.889433333333333</v>
      </c>
      <c r="K1118" s="60">
        <f t="shared" ca="1" si="49"/>
        <v>20.890366666666665</v>
      </c>
    </row>
    <row r="1119" spans="1:11" ht="15">
      <c r="A1119" s="3">
        <v>2097</v>
      </c>
      <c r="B1119" s="60">
        <f t="shared" ca="1" si="49"/>
        <v>17.952933333333334</v>
      </c>
      <c r="C1119" s="60">
        <f t="shared" ca="1" si="49"/>
        <v>17.952933333333334</v>
      </c>
      <c r="D1119" s="60">
        <f t="shared" ca="1" si="49"/>
        <v>17.976074999999998</v>
      </c>
      <c r="E1119" s="60">
        <f t="shared" ca="1" si="49"/>
        <v>21.184783333333336</v>
      </c>
      <c r="F1119" s="60">
        <f t="shared" ca="1" si="49"/>
        <v>21.184783333333336</v>
      </c>
      <c r="G1119" s="60">
        <f t="shared" ca="1" si="49"/>
        <v>21.185716666666668</v>
      </c>
      <c r="H1119" s="60">
        <f t="shared" ca="1" si="49"/>
        <v>34.072941666666665</v>
      </c>
      <c r="I1119" s="60">
        <f t="shared" ca="1" si="49"/>
        <v>34.073891666666675</v>
      </c>
      <c r="J1119" s="60">
        <f t="shared" ca="1" si="49"/>
        <v>21.184783333333336</v>
      </c>
      <c r="K1119" s="60">
        <f t="shared" ca="1" si="49"/>
        <v>21.185716666666668</v>
      </c>
    </row>
    <row r="1120" spans="1:11" ht="15">
      <c r="A1120" s="3">
        <v>2098</v>
      </c>
      <c r="B1120" s="60">
        <f t="shared" ca="1" si="49"/>
        <v>18.200441666666666</v>
      </c>
      <c r="C1120" s="60">
        <f t="shared" ca="1" si="49"/>
        <v>18.200441666666666</v>
      </c>
      <c r="D1120" s="60">
        <f t="shared" ca="1" si="49"/>
        <v>18.223599999999998</v>
      </c>
      <c r="E1120" s="60">
        <f t="shared" ca="1" si="49"/>
        <v>21.480099999999997</v>
      </c>
      <c r="F1120" s="60">
        <f t="shared" ca="1" si="49"/>
        <v>21.480099999999997</v>
      </c>
      <c r="G1120" s="60">
        <f t="shared" ca="1" si="49"/>
        <v>21.481066666666663</v>
      </c>
      <c r="H1120" s="60">
        <f t="shared" ca="1" si="49"/>
        <v>34.523975</v>
      </c>
      <c r="I1120" s="60">
        <f t="shared" ca="1" si="49"/>
        <v>34.524925000000003</v>
      </c>
      <c r="J1120" s="60">
        <f t="shared" ca="1" si="49"/>
        <v>21.480099999999997</v>
      </c>
      <c r="K1120" s="60">
        <f t="shared" ca="1" si="49"/>
        <v>21.481066666666663</v>
      </c>
    </row>
    <row r="1121" spans="1:11" ht="15">
      <c r="A1121" s="3">
        <v>2099</v>
      </c>
      <c r="B1121" s="60">
        <f t="shared" ca="1" si="49"/>
        <v>18.447958333333332</v>
      </c>
      <c r="C1121" s="60">
        <f t="shared" ca="1" si="49"/>
        <v>18.447958333333332</v>
      </c>
      <c r="D1121" s="60">
        <f t="shared" ca="1" si="49"/>
        <v>18.471116666666667</v>
      </c>
      <c r="E1121" s="60">
        <f t="shared" ca="1" si="49"/>
        <v>21.77546666666667</v>
      </c>
      <c r="F1121" s="60">
        <f t="shared" ca="1" si="49"/>
        <v>21.77546666666667</v>
      </c>
      <c r="G1121" s="60">
        <f t="shared" ca="1" si="49"/>
        <v>21.776399999999999</v>
      </c>
      <c r="H1121" s="60">
        <f t="shared" ca="1" si="49"/>
        <v>34.975008333333335</v>
      </c>
      <c r="I1121" s="60">
        <f t="shared" ca="1" si="49"/>
        <v>34.975974999999998</v>
      </c>
      <c r="J1121" s="60">
        <f t="shared" ca="1" si="49"/>
        <v>21.77546666666667</v>
      </c>
      <c r="K1121" s="60">
        <f t="shared" ca="1" si="49"/>
        <v>21.776399999999999</v>
      </c>
    </row>
    <row r="1122" spans="1:11" ht="15">
      <c r="A1122" s="3">
        <v>2100</v>
      </c>
      <c r="B1122" s="60">
        <f t="shared" ca="1" si="49"/>
        <v>18.695491666666666</v>
      </c>
      <c r="C1122" s="60">
        <f t="shared" ca="1" si="49"/>
        <v>18.695491666666666</v>
      </c>
      <c r="D1122" s="60">
        <f t="shared" ca="1" si="49"/>
        <v>18.718624999999999</v>
      </c>
      <c r="E1122" s="60">
        <f t="shared" ca="1" si="49"/>
        <v>22.070808333333336</v>
      </c>
      <c r="F1122" s="60">
        <f t="shared" ca="1" si="49"/>
        <v>22.070808333333336</v>
      </c>
      <c r="G1122" s="60">
        <f t="shared" ca="1" si="49"/>
        <v>22.071766666666665</v>
      </c>
      <c r="H1122" s="60">
        <f t="shared" ca="1" si="49"/>
        <v>35.426049999999996</v>
      </c>
      <c r="I1122" s="60">
        <f t="shared" ca="1" si="49"/>
        <v>35.426983333333332</v>
      </c>
      <c r="J1122" s="60">
        <f t="shared" ca="1" si="49"/>
        <v>22.070808333333336</v>
      </c>
      <c r="K1122" s="60">
        <f t="shared" ca="1" si="49"/>
        <v>22.071766666666665</v>
      </c>
    </row>
  </sheetData>
  <mergeCells count="7">
    <mergeCell ref="B14:D14"/>
    <mergeCell ref="L14:M14"/>
    <mergeCell ref="N14:O14"/>
    <mergeCell ref="L13:O13"/>
    <mergeCell ref="E14:G14"/>
    <mergeCell ref="J14:K14"/>
    <mergeCell ref="H14:I14"/>
  </mergeCells>
  <pageMargins left="0.25" right="0.25" top="0.5" bottom="0.5" header="0.25" footer="0.25"/>
  <pageSetup paperSize="119" scale="80" orientation="landscape" horizontalDpi="1200" verticalDpi="1200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381000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37"/>
  <sheetViews>
    <sheetView showGridLines="0" workbookViewId="0">
      <selection activeCell="A7" sqref="A7"/>
    </sheetView>
  </sheetViews>
  <sheetFormatPr defaultColWidth="8.88671875" defaultRowHeight="15.75"/>
  <cols>
    <col min="1" max="1" width="8.88671875" style="73"/>
    <col min="2" max="2" width="15.5546875" style="73" bestFit="1" customWidth="1"/>
    <col min="3" max="3" width="9.5546875" style="73" bestFit="1" customWidth="1"/>
    <col min="4" max="16384" width="8.88671875" style="73"/>
  </cols>
  <sheetData>
    <row r="1" spans="1:3">
      <c r="A1" s="81" t="s">
        <v>64</v>
      </c>
    </row>
    <row r="2" spans="1:3">
      <c r="A2" s="81" t="s">
        <v>65</v>
      </c>
    </row>
    <row r="3" spans="1:3">
      <c r="A3" s="81" t="s">
        <v>66</v>
      </c>
    </row>
    <row r="4" spans="1:3">
      <c r="A4" s="81" t="s">
        <v>67</v>
      </c>
    </row>
    <row r="5" spans="1:3">
      <c r="A5" s="81" t="s">
        <v>69</v>
      </c>
    </row>
    <row r="6" spans="1:3">
      <c r="A6" s="81" t="s">
        <v>73</v>
      </c>
    </row>
    <row r="8" spans="1:3">
      <c r="B8" s="78" t="s">
        <v>63</v>
      </c>
      <c r="C8" s="78" t="s">
        <v>54</v>
      </c>
    </row>
    <row r="9" spans="1:3">
      <c r="B9" s="80" t="s">
        <v>61</v>
      </c>
      <c r="C9" s="90">
        <v>2</v>
      </c>
    </row>
    <row r="10" spans="1:3">
      <c r="B10" s="80" t="s">
        <v>60</v>
      </c>
      <c r="C10" s="92"/>
    </row>
    <row r="11" spans="1:3">
      <c r="B11" s="79" t="s">
        <v>59</v>
      </c>
      <c r="C11" s="91"/>
    </row>
    <row r="14" spans="1:3">
      <c r="B14" s="78" t="s">
        <v>55</v>
      </c>
      <c r="C14" s="78" t="s">
        <v>54</v>
      </c>
    </row>
    <row r="15" spans="1:3">
      <c r="B15" s="80" t="s">
        <v>61</v>
      </c>
      <c r="C15" s="90">
        <v>2</v>
      </c>
    </row>
    <row r="16" spans="1:3">
      <c r="B16" s="80" t="s">
        <v>60</v>
      </c>
      <c r="C16" s="92"/>
    </row>
    <row r="17" spans="2:3">
      <c r="B17" s="79" t="s">
        <v>59</v>
      </c>
      <c r="C17" s="91"/>
    </row>
    <row r="21" spans="2:3">
      <c r="B21" s="78" t="s">
        <v>62</v>
      </c>
      <c r="C21" s="78" t="s">
        <v>54</v>
      </c>
    </row>
    <row r="22" spans="2:3">
      <c r="B22" s="80" t="s">
        <v>61</v>
      </c>
      <c r="C22" s="90">
        <v>2</v>
      </c>
    </row>
    <row r="23" spans="2:3">
      <c r="B23" s="80" t="s">
        <v>60</v>
      </c>
      <c r="C23" s="92"/>
    </row>
    <row r="24" spans="2:3">
      <c r="B24" s="79" t="s">
        <v>59</v>
      </c>
      <c r="C24" s="91"/>
    </row>
    <row r="27" spans="2:3">
      <c r="B27" s="78" t="s">
        <v>58</v>
      </c>
      <c r="C27" s="78" t="s">
        <v>54</v>
      </c>
    </row>
    <row r="28" spans="2:3">
      <c r="B28" s="77" t="s">
        <v>57</v>
      </c>
      <c r="C28" s="90">
        <v>1</v>
      </c>
    </row>
    <row r="29" spans="2:3">
      <c r="B29" s="76" t="s">
        <v>56</v>
      </c>
      <c r="C29" s="91"/>
    </row>
    <row r="31" spans="2:3">
      <c r="B31" s="78" t="s">
        <v>55</v>
      </c>
      <c r="C31" s="78" t="s">
        <v>54</v>
      </c>
    </row>
    <row r="32" spans="2:3">
      <c r="B32" s="77" t="s">
        <v>53</v>
      </c>
      <c r="C32" s="90">
        <v>1</v>
      </c>
    </row>
    <row r="33" spans="2:5">
      <c r="B33" s="76" t="s">
        <v>52</v>
      </c>
      <c r="C33" s="91"/>
    </row>
    <row r="37" spans="2:5">
      <c r="C37" s="75"/>
      <c r="E37" s="74"/>
    </row>
  </sheetData>
  <mergeCells count="5">
    <mergeCell ref="C32:C33"/>
    <mergeCell ref="C22:C24"/>
    <mergeCell ref="C28:C29"/>
    <mergeCell ref="C9:C11"/>
    <mergeCell ref="C15:C17"/>
  </mergeCells>
  <pageMargins left="0.25" right="0.25" top="0.5" bottom="0.5" header="0.25" footer="0.25"/>
  <pageSetup orientation="portrait" horizontalDpi="1200" verticalDpi="1200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2016-07-29T16:28:14Z</dcterms:created>
  <dcterms:modified xsi:type="dcterms:W3CDTF">2016-07-29T16:28:17Z</dcterms:modified>
</cp:coreProperties>
</file>